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Assumptions" sheetId="1" state="visible" r:id="rId3"/>
    <sheet name="Current Budget" sheetId="2" state="visible" r:id="rId4"/>
    <sheet name="Refurb Budget" sheetId="3" state="visible" r:id="rId5"/>
    <sheet name="IDC" sheetId="4" state="visible" r:id="rId6"/>
    <sheet name="Capacity Adj Table" sheetId="5" state="visible" r:id="rId7"/>
    <sheet name="Debt Amortization" sheetId="6" state="visible" r:id="rId8"/>
    <sheet name="Book Income Statement" sheetId="7" state="visible" r:id="rId9"/>
    <sheet name="Cash Flow Statement" sheetId="8" state="visible" r:id="rId10"/>
    <sheet name="Start-up Cashflow" sheetId="9" state="visible" r:id="rId11"/>
    <sheet name="Tax Calculations" sheetId="10" state="visible" r:id="rId12"/>
    <sheet name="Depreciation" sheetId="11" state="visible" r:id="rId13"/>
    <sheet name="Enron Pre-Tax Returns" sheetId="12" state="visible" r:id="rId14"/>
    <sheet name="Balance_Sht" sheetId="13" state="visible" r:id="rId15"/>
    <sheet name="Operations" sheetId="14" state="visible" r:id="rId16"/>
    <sheet name="PPA Assumptions" sheetId="15" state="visible" r:id="rId17"/>
    <sheet name="Maintenance Reserves" sheetId="16" state="visible" r:id="rId18"/>
  </sheets>
  <definedNames>
    <definedName function="false" hidden="false" localSheetId="12" name="_xlnm.Print_Area" vbProcedure="false">Balance_Sht!$F$1:$V$27</definedName>
    <definedName function="false" hidden="false" localSheetId="12" name="_xlnm.Print_Titles" vbProcedure="false">Balance_Sht!$A:$E</definedName>
    <definedName function="false" hidden="false" localSheetId="6" name="_xlnm.Print_Area" vbProcedure="false">'Book Income Statement'!$C$1:$R$51</definedName>
    <definedName function="false" hidden="false" localSheetId="6" name="_xlnm.Print_Titles" vbProcedure="false">'Book Income Statement'!$A:$B</definedName>
    <definedName function="false" hidden="false" localSheetId="4" name="_xlnm.Print_Area" vbProcedure="false">'Capacity Adj Table'!$A$1:$C$28</definedName>
    <definedName function="false" hidden="false" localSheetId="7" name="_xlnm.Print_Area" vbProcedure="false">'Cash Flow Statement'!$D$1:$S$22</definedName>
    <definedName function="false" hidden="false" localSheetId="7" name="_xlnm.Print_Titles" vbProcedure="false">'Cash Flow Statement'!$A:$C</definedName>
    <definedName function="false" hidden="false" localSheetId="1" name="_xlnm.Print_Area" vbProcedure="false">'Current Budget'!$A$6:$S$90</definedName>
    <definedName function="false" hidden="false" localSheetId="5" name="_xlnm.Print_Area" vbProcedure="false">'Debt Amortization'!$C$1:$S$42</definedName>
    <definedName function="false" hidden="false" localSheetId="5" name="_xlnm.Print_Titles" vbProcedure="false">'Debt Amortization'!$A:$B</definedName>
    <definedName function="false" hidden="false" localSheetId="10" name="_xlnm.Print_Area" vbProcedure="false">Depreciation!$A$1:$S$60</definedName>
    <definedName function="false" hidden="false" localSheetId="10" name="_xlnm.Print_Titles" vbProcedure="false">Depreciation!$A:$B</definedName>
    <definedName function="false" hidden="false" localSheetId="11" name="_xlnm.Print_Area" vbProcedure="false">'Enron Pre-Tax Returns'!$A$1:$T$24</definedName>
    <definedName function="false" hidden="false" localSheetId="11" name="_xlnm.Print_Titles" vbProcedure="false">'Enron Pre-Tax Returns'!$A:$D</definedName>
    <definedName function="false" hidden="false" localSheetId="3" name="_xlnm.Print_Area" vbProcedure="false">IDC!$A$1:$Z$55</definedName>
    <definedName function="false" hidden="false" localSheetId="3" name="_xlnm.Print_Titles" vbProcedure="false">IDC!$A:$A</definedName>
    <definedName function="false" hidden="false" localSheetId="15" name="_xlnm.Print_Area" vbProcedure="false">'Maintenance Reserves'!$C$1:$AB$35</definedName>
    <definedName function="false" hidden="false" localSheetId="15" name="_xlnm.Print_Titles" vbProcedure="false">'Maintenance Reserves'!$A:$B</definedName>
    <definedName function="false" hidden="false" localSheetId="13" name="_xlnm.Print_Area" vbProcedure="false">Operations!$C$1:$R$43</definedName>
    <definedName function="false" hidden="false" localSheetId="13" name="_xlnm.Print_Titles" vbProcedure="false">Operations!$A:$B</definedName>
    <definedName function="false" hidden="false" localSheetId="14" name="_xlnm.Print_Area" vbProcedure="false">'PPA Assumptions'!$C$7:$R$21</definedName>
    <definedName function="false" hidden="false" localSheetId="14" name="_xlnm.Print_Titles" vbProcedure="false">'PPA Assumptions'!$A:$B,'PPA Assumptions'!$1:$5</definedName>
    <definedName function="false" hidden="false" localSheetId="0" name="_xlnm.Print_Area" vbProcedure="false">'Project Assumptions'!$A$1:$N$68</definedName>
    <definedName function="false" hidden="false" localSheetId="2" name="_xlnm.Print_Area" vbProcedure="false">'Refurb Budget'!$A$2:$I$57</definedName>
    <definedName function="false" hidden="false" localSheetId="8" name="_xlnm.Print_Area" vbProcedure="false">'Start-up Cashflow'!$A$1:$AA$23</definedName>
    <definedName function="false" hidden="false" localSheetId="8" name="_xlnm.Print_Titles" vbProcedure="false">'Start-up Cashflow'!$A:$B</definedName>
    <definedName function="false" hidden="false" localSheetId="9" name="_xlnm.Print_Area" vbProcedure="false">'Tax Calculations'!$A$1:$R$29</definedName>
    <definedName function="false" hidden="false" localSheetId="9" name="_xlnm.Print_Titles" vbProcedure="false">'Tax Calculations'!$A:$B</definedName>
    <definedName function="false" hidden="false" name="Asset_Mgt" vbProcedure="false">'Project Assumptions'!$N$23</definedName>
    <definedName function="false" hidden="false" name="Ebitda" vbProcedure="false">'Book Income Statement'!$A$40:$AA$40</definedName>
    <definedName function="false" hidden="false" name="Fixed" vbProcedure="false">'Project Assumptions'!$N$10</definedName>
    <definedName function="false" hidden="false" name="InterestExpense" vbProcedure="false">'Debt Amortization'!$C$104:$AB$104</definedName>
    <definedName function="false" hidden="false" name="Labor" vbProcedure="false">'Project Assumptions'!$N$11</definedName>
    <definedName function="false" hidden="false" name="Maint_Accrual" vbProcedure="false">'Project Assumptions'!$N$9</definedName>
    <definedName function="false" hidden="false" name="OM_Fee" vbProcedure="false">'Project Assumptions'!$N$22</definedName>
    <definedName function="false" hidden="false" name="Opcostescalation" vbProcedure="false">'Project Assumptions'!$N$27</definedName>
    <definedName function="false" hidden="false" name="principal" vbProcedure="false">'Debt Amortization'!$C$105:$AB$105</definedName>
    <definedName function="false" hidden="false" name="Variable" vbProcedure="false">'Project Assumptions'!$N$8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0" name="ZA0" vbProcedure="false">"Crystal Ball Data : Ver. 4.0"</definedName>
    <definedName function="false" hidden="false" localSheetId="0" name="ZA0A" vbProcedure="false">16+123</definedName>
    <definedName function="false" hidden="false" localSheetId="0" name="ZA0C" vbProcedure="false">0+0</definedName>
    <definedName function="false" hidden="false" localSheetId="0" name="ZA0F" vbProcedure="false">1+100</definedName>
    <definedName function="false" hidden="false" localSheetId="0" name="ZA0T" vbProcedure="false">59579771+0</definedName>
    <definedName function="false" hidden="false" localSheetId="0" name="ZA100" vbProcedure="false">'Project Assumptions'!$B$85+"b  Balance of Plant Costs (x160%)"+5+'Project Assumptions'!$F$101+0+0.8+'Project Assumptions'!$G$101+0+1+'Project Assumptions'!$H$101+0+1.25</definedName>
    <definedName function="false" hidden="false" localSheetId="0" name="ZA101" vbProcedure="false">'Project Assumptions'!$B$86+"b  Interconnection Costs-Gas Only"+5+'Project Assumptions'!$F$102+0+0.8+'Project Assumptions'!$G$102+0+1+'Project Assumptions'!$H$102+0+1.2</definedName>
    <definedName function="false" hidden="false" localSheetId="0" name="ZA102" vbProcedure="false">'Project Assumptions'!$B$87+"b  Spare Parts Inventory"+5+'Project Assumptions'!$F$103+0+0.85+'Project Assumptions'!$G$103+0+1+'Project Assumptions'!$H$103+0+1</definedName>
    <definedName function="false" hidden="false" localSheetId="0" name="ZA103" vbProcedure="false">'Project Assumptions'!$B$88+"b  Project Development Costs"+5+'Project Assumptions'!$F$104+0+0.9+'Project Assumptions'!$G$104+0+1+'Project Assumptions'!$H$104+0+1.1</definedName>
    <definedName function="false" hidden="false" localSheetId="0" name="ZA104" vbProcedure="false">'Project Assumptions'!$B$89+"b  Startup Costs"+5+'Project Assumptions'!$F$105+0+0.85+'Project Assumptions'!$G$105+0+1+'Project Assumptions'!$H$105+0+1.14999999999999</definedName>
    <definedName function="false" hidden="false" localSheetId="0" name="ZA105" vbProcedure="false">'Project Assumptions'!$B$93+"b  Construction Insurance"+5+'Project Assumptions'!$F$109+0+0.85+'Project Assumptions'!$G$109+0+1+'Project Assumptions'!$H$109+0+1.14999999999999</definedName>
    <definedName function="false" hidden="false" localSheetId="0" name="ZA106" vbProcedure="false">'Project Assumptions'!$B$94+"b  Organizational Expenses"+5+'Project Assumptions'!$F$110+0+0.85+'Project Assumptions'!$G$110+0+1+'Project Assumptions'!$H$110+0+1.14999999999999</definedName>
    <definedName function="false" hidden="false" localSheetId="0" name="ZA115" vbProcedure="false">'Project Assumptions'!$B$90+"b  Partnership Counsel"+5+'Project Assumptions'!$F$106+0+0.6+'Project Assumptions'!$G$106+0+1+'Project Assumptions'!$H$106+0+1.1</definedName>
    <definedName function="false" hidden="false" localSheetId="0" name="ZA116" vbProcedure="false">'Project Assumptions'!$B$91+"b  Local Counsel"+5+'Project Assumptions'!$F$107+0+0.9+'Project Assumptions'!$G$107+0+1+'Project Assumptions'!$H$107+0+1.1</definedName>
    <definedName function="false" hidden="false" localSheetId="0" name="ZA117" vbProcedure="false">'Project Assumptions'!$B$92+"b  Accounting Fees"+5+'Project Assumptions'!$F$108+0+0.9+'Project Assumptions'!$G$108+0+1+'Project Assumptions'!$H$108+0+1.1</definedName>
    <definedName function="false" hidden="false" localSheetId="0" name="ZA118" vbProcedure="false">'Project Assumptions'!$B$95+"b  Lender's Engineer"+5+'Project Assumptions'!$F$111+0+0.9+'Project Assumptions'!$G$111+0+1+'Project Assumptions'!$H$111+0+1.1</definedName>
    <definedName function="false" hidden="false" localSheetId="0" name="ZA119" vbProcedure="false">'Project Assumptions'!$B$96+"b  Lender's Counsel"+5+'Project Assumptions'!$F$112+0+0.9+'Project Assumptions'!$G$112+0+1+'Project Assumptions'!$H$112+0+1.1</definedName>
    <definedName function="false" hidden="false" localSheetId="0" name="ZA120" vbProcedure="false">'Project Assumptions'!$B$97+"bO&amp;M - Variable"+5+'Project Assumptions'!$F$113+0+0.9+'Project Assumptions'!$G$113+0+1+'Project Assumptions'!$H$113+0+1.1</definedName>
    <definedName function="false" hidden="false" localSheetId="0" name="ZA121" vbProcedure="false">'Project Assumptions'!$B$98+"bO&amp;M - Fixed (includes labor)"+5+'Project Assumptions'!$F$114+0+1+'Project Assumptions'!$G$114+0+1+'Project Assumptions'!$H$114+0+1.25</definedName>
    <definedName function="false" hidden="false" localSheetId="0" name="ZA122" vbProcedure="false">'Project Assumptions'!$B$99+"bAnnual Overhaul Accrual ($000)"+5+'Project Assumptions'!$F$115+0+0.9+'Project Assumptions'!$G$115+0+1+'Project Assumptions'!$H$115+0+1.1</definedName>
    <definedName function="false" hidden="false" localSheetId="0" name="ZA123" vbProcedure="false">'Project Assumptions'!$B$101+"AAnnual Peak Operating Hours"+5+'Project Assumptions'!$C$101+0+1+'Project Assumptions'!$D$99+0+0.25+1+"+"</definedName>
    <definedName function="false" hidden="false" localSheetId="0" name="ZF100" vbProcedure="false">'Project Assumptions'!$C$34+"=a24"+""+33+33+441+0+0+0+0+4+3+"-"+"+"+2.6+50+2</definedName>
    <definedName function="false" hidden="false" localSheetId="0" name="Z_14FB3146_3CEF_11D2_B9CE_0060080D6A65__wvu_PrintArea" vbProcedure="false">'Project Assumptions'!$A$2:$N$63</definedName>
    <definedName function="false" hidden="false" localSheetId="0" name="Z_773475A7_2559_11D2_A5F6_0060080AEB13__wvu_PrintArea" vbProcedure="false">'Project Assumptions'!$A$2:$O$52</definedName>
    <definedName function="false" hidden="false" localSheetId="0" name="Z_9D7575BF_255B_11D2_8267_00A0D1027254__wvu_PrintArea" vbProcedure="false">'Project Assumptions'!$A$2:$N$63</definedName>
    <definedName function="false" hidden="false" localSheetId="1" name="Ebitda" vbProcedure="false">#REF!</definedName>
    <definedName function="false" hidden="false" localSheetId="1" name="Excel_BuiltIn_Print_Titles" vbProcedure="false">#REF!</definedName>
    <definedName function="false" hidden="false" localSheetId="1" name="InterestExpense" vbProcedure="false">#REF!</definedName>
    <definedName function="false" hidden="false" localSheetId="1" name="principal" vbProcedure="false">#REF!</definedName>
    <definedName function="false" hidden="false" localSheetId="1" name="wrn_test1_" vbProcedure="false">{"Income Statement",#N/A,FALSE,"CFMODEL";"Balance Sheet",#N/A,FALSE,"CFMODEL"}</definedName>
    <definedName function="false" hidden="false" localSheetId="1" name="wrn_test2_" vbProcedure="false">{"SourcesUses",#N/A,TRUE,"CFMODEL";"TransOverview",#N/A,TRUE,"CFMODEL"}</definedName>
    <definedName function="false" hidden="false" localSheetId="1" name="wrn_test3_" vbProcedure="false">{"SourcesUses",#N/A,TRUE,#N/A;"TransOverview",#N/A,TRUE,"CFMODEL"}</definedName>
    <definedName function="false" hidden="false" localSheetId="1" name="wrn_test4_" vbProcedure="false">{"SourcesUses",#N/A,TRUE,"FundsFlow";"TransOverview",#N/A,TRUE,"FundsFlow"}</definedName>
    <definedName function="false" hidden="false" localSheetId="2" name="wrn_test1_" vbProcedure="false">{"Income Statement",#N/A,FALSE,"CFMODEL";"Balance Sheet",#N/A,FALSE,"CFMODEL"}</definedName>
    <definedName function="false" hidden="false" localSheetId="2" name="wrn_test2_" vbProcedure="false">{"SourcesUses",#N/A,TRUE,"CFMODEL";"TransOverview",#N/A,TRUE,"CFMODEL"}</definedName>
    <definedName function="false" hidden="false" localSheetId="2" name="wrn_test3_" vbProcedure="false">{"SourcesUses",#N/A,TRUE,#N/A;"TransOverview",#N/A,TRUE,"CFMODEL"}</definedName>
    <definedName function="false" hidden="false" localSheetId="2" name="wrn_test4_" vbProcedure="false">{"SourcesUses",#N/A,TRUE,"FundsFlow";"TransOverview",#N/A,TRUE,"FundsFlow"}</definedName>
    <definedName function="false" hidden="false" localSheetId="5" name="solver_adj" vbProcedure="false">'Debt Amortization'!$B$119</definedName>
    <definedName function="false" hidden="false" localSheetId="5" name="solver_cvg" vbProcedure="false">0.001</definedName>
    <definedName function="false" hidden="false" localSheetId="5" name="solver_drv" vbProcedure="false">1</definedName>
    <definedName function="false" hidden="false" localSheetId="5" name="solver_est" vbProcedure="false">1</definedName>
    <definedName function="false" hidden="false" localSheetId="5" name="solver_itr" vbProcedure="false">100</definedName>
    <definedName function="false" hidden="false" localSheetId="5" name="solver_lhs1" vbProcedure="false">'Debt Amortization'!$AH$133</definedName>
    <definedName function="false" hidden="false" localSheetId="5" name="solver_lin" vbProcedure="false">2</definedName>
    <definedName function="false" hidden="false" localSheetId="5" name="solver_neg" vbProcedure="false">2</definedName>
    <definedName function="false" hidden="false" localSheetId="5" name="solver_num" vbProcedure="false">1</definedName>
    <definedName function="false" hidden="false" localSheetId="5" name="solver_nwt" vbProcedure="false">1</definedName>
    <definedName function="false" hidden="false" localSheetId="5" name="solver_opt" vbProcedure="false">'Debt Amortization'!$AH$125</definedName>
    <definedName function="false" hidden="false" localSheetId="5" name="solver_pre" vbProcedure="false">0.000001</definedName>
    <definedName function="false" hidden="false" localSheetId="5" name="solver_rel1" vbProcedure="false">2</definedName>
    <definedName function="false" hidden="false" localSheetId="5" name="solver_rhs1" vbProcedure="false">0</definedName>
    <definedName function="false" hidden="false" localSheetId="5" name="solver_scl" vbProcedure="false">2</definedName>
    <definedName function="false" hidden="false" localSheetId="5" name="solver_sho" vbProcedure="false">2</definedName>
    <definedName function="false" hidden="false" localSheetId="5" name="solver_tim" vbProcedure="false">100</definedName>
    <definedName function="false" hidden="false" localSheetId="5" name="solver_tol" vbProcedure="false">0.05</definedName>
    <definedName function="false" hidden="false" localSheetId="5" name="solver_typ" vbProcedure="false">3</definedName>
    <definedName function="false" hidden="false" localSheetId="5" name="solver_val" vbProcedure="false">0</definedName>
    <definedName function="false" hidden="false" localSheetId="5" name="wrn_test1_" vbProcedure="false">{"Income Statement",#N/A,FALSE,"CFMODEL";"Balance Sheet",#N/A,FALSE,"CFMODEL"}</definedName>
    <definedName function="false" hidden="false" localSheetId="5" name="wrn_test2_" vbProcedure="false">{"SourcesUses",#N/A,TRUE,"CFMODEL";"TransOverview",#N/A,TRUE,"CFMODEL"}</definedName>
    <definedName function="false" hidden="false" localSheetId="5" name="wrn_test3_" vbProcedure="false">{"SourcesUses",#N/A,TRUE,#N/A;"TransOverview",#N/A,TRUE,"CFMODEL"}</definedName>
    <definedName function="false" hidden="false" localSheetId="5" name="wrn_test4_" vbProcedure="false">{"SourcesUses",#N/A,TRUE,"FundsFlow";"TransOverview",#N/A,TRUE,"FundsFlow"}</definedName>
    <definedName function="false" hidden="false" localSheetId="5" name="ZA0" vbProcedure="false">"Crystal Ball Data : Ver. 4.0"</definedName>
    <definedName function="false" hidden="false" localSheetId="5" name="ZA0A" vbProcedure="false">1+125</definedName>
    <definedName function="false" hidden="false" localSheetId="5" name="ZA0C" vbProcedure="false">0+0</definedName>
    <definedName function="false" hidden="false" localSheetId="5" name="ZA0F" vbProcedure="false">0+0</definedName>
    <definedName function="false" hidden="false" localSheetId="5" name="ZA0T" vbProcedure="false">392421882+0</definedName>
    <definedName function="false" hidden="false" localSheetId="5" name="ZA100" vbProcedure="false">'Debt Amortization'!$E$132+"a=d75"+5+'Debt Amortization'!$E$133+0+1+'Debt Amortization'!$D$134+0+0.1</definedName>
    <definedName function="false" hidden="false" localSheetId="5" name="Z_14FB3146_3CEF_11D2_B9CE_0060080D6A65__wvu_PrintArea" vbProcedure="false">'Debt Amortization'!$C$1:$AB$42</definedName>
    <definedName function="false" hidden="false" localSheetId="5" name="Z_14FB3146_3CEF_11D2_B9CE_0060080D6A65__wvu_PrintTitles" vbProcedure="false">'Debt Amortization'!$A:$B</definedName>
    <definedName function="false" hidden="false" localSheetId="5" name="Z_14FB3146_3CEF_11D2_B9CE_0060080D6A65__wvu_Rows" vbProcedure="false">'Debt Amortization'!$140:$148</definedName>
    <definedName function="false" hidden="false" localSheetId="5" name="Z_773475A7_2559_11D2_A5F6_0060080AEB13__wvu_PrintArea" vbProcedure="false">'Debt Amortization'!$C$1:$AR$108</definedName>
    <definedName function="false" hidden="false" localSheetId="5" name="Z_773475A7_2559_11D2_A5F6_0060080AEB13__wvu_PrintTitles" vbProcedure="false">'Debt Amortization'!$A:$B</definedName>
    <definedName function="false" hidden="false" localSheetId="5" name="Z_773475A7_2559_11D2_A5F6_0060080AEB13__wvu_Rows" vbProcedure="false">'Debt Amortization'!$140:$148</definedName>
    <definedName function="false" hidden="false" localSheetId="5" name="Z_9D7575BF_255B_11D2_8267_00A0D1027254__wvu_PrintArea" vbProcedure="false">'Debt Amortization'!$C$1:$AB$42</definedName>
    <definedName function="false" hidden="false" localSheetId="5" name="Z_9D7575BF_255B_11D2_8267_00A0D1027254__wvu_PrintTitles" vbProcedure="false">'Debt Amortization'!$A:$B</definedName>
    <definedName function="false" hidden="false" localSheetId="5" name="Z_9D7575BF_255B_11D2_8267_00A0D1027254__wvu_Rows" vbProcedure="false">'Debt Amortization'!$140:$148</definedName>
    <definedName function="false" hidden="false" localSheetId="6" name="Z_14FB3146_3CEF_11D2_B9CE_0060080D6A65__wvu_PrintArea" vbProcedure="false">'Book Income Statement'!$C$1:$AA$51</definedName>
    <definedName function="false" hidden="false" localSheetId="6" name="Z_14FB3146_3CEF_11D2_B9CE_0060080D6A65__wvu_PrintTitles" vbProcedure="false">'Book Income Statement'!$A:$B</definedName>
    <definedName function="false" hidden="false" localSheetId="6" name="Z_773475A7_2559_11D2_A5F6_0060080AEB13__wvu_PrintArea" vbProcedure="false">'Book Income Statement'!$C$1:$AA$51</definedName>
    <definedName function="false" hidden="false" localSheetId="6" name="Z_773475A7_2559_11D2_A5F6_0060080AEB13__wvu_PrintTitles" vbProcedure="false">'Book Income Statement'!$A:$B</definedName>
    <definedName function="false" hidden="false" localSheetId="6" name="Z_9D7575BF_255B_11D2_8267_00A0D1027254__wvu_PrintArea" vbProcedure="false">'Book Income Statement'!$C$1:$AA$51</definedName>
    <definedName function="false" hidden="false" localSheetId="6" name="Z_9D7575BF_255B_11D2_8267_00A0D1027254__wvu_PrintTitles" vbProcedure="false">'Book Income Statement'!$A:$B</definedName>
    <definedName function="false" hidden="false" localSheetId="7" name="ZA0" vbProcedure="false">"Crystal Ball Data : Ver. 4.0"</definedName>
    <definedName function="false" hidden="false" localSheetId="7" name="ZA0A" vbProcedure="false">0+0</definedName>
    <definedName function="false" hidden="false" localSheetId="7" name="ZA0C" vbProcedure="false">0+0</definedName>
    <definedName function="false" hidden="false" localSheetId="7" name="ZA0F" vbProcedure="false">40+149</definedName>
    <definedName function="false" hidden="false" localSheetId="7" name="ZA0T" vbProcedure="false">32025820+0</definedName>
    <definedName function="false" hidden="false" localSheetId="7" name="ZF100" vbProcedure="false">'Cash Flow Statement'!$D$22+"After Tax Cash Flow - 1"+""+41+41+440+57+18+341+476+4+3+"-"+"+"+2.6+50+2</definedName>
    <definedName function="false" hidden="false" localSheetId="7" name="ZF101" vbProcedure="false">'Cash Flow Statement'!$E$22+"After Tax Cash Flow - 2"+""+41+41+440+72+40+356+498+4+3+"-"+"+"+2.6+50+2</definedName>
    <definedName function="false" hidden="false" localSheetId="7" name="ZF102" vbProcedure="false">'Cash Flow Statement'!$F$22+"After Tax Cash Flow - 3"+""+41+41+440+87+62+371+520+4+3+"-"+"+"+2.6+50+2</definedName>
    <definedName function="false" hidden="false" localSheetId="7" name="ZF103" vbProcedure="false">'Cash Flow Statement'!$G$22+"After Tax Cash Flow - 4"+""+41+41+440+102+84+386+542+4+3+"-"+"+"+2.6+50+2</definedName>
    <definedName function="false" hidden="false" localSheetId="7" name="ZF104" vbProcedure="false">'Cash Flow Statement'!$H$22+"After Tax Cash Flow - 5"+""+41+41+440+117+106+401+564+4+3+"-"+"+"+2.6+50+2</definedName>
    <definedName function="false" hidden="false" localSheetId="7" name="ZF105" vbProcedure="false">'Cash Flow Statement'!$I$22+"After Tax Cash Flow - 6"+""+41+41+440+132+128+416+586+4+3+"-"+"+"+2.6+50+2</definedName>
    <definedName function="false" hidden="false" localSheetId="7" name="ZF106" vbProcedure="false">'Cash Flow Statement'!$J$22+"After Tax Cash Flow - 7"+""+41+41+440+147+150+431+608+4+3+"-"+"+"+2.6+50+2</definedName>
    <definedName function="false" hidden="false" localSheetId="7" name="ZF107" vbProcedure="false">'Cash Flow Statement'!$K$22+"After Tax Cash Flow - 7"+""+41+41+440+0+0+0+0+4+3+"-"+"+"+2.6+50+2</definedName>
    <definedName function="false" hidden="false" localSheetId="7" name="ZF108" vbProcedure="false">'Cash Flow Statement'!$L$22+"After Tax Cash Flow - 8"+""+41+41+440+0+0+0+0+4+3+"-"+"+"+2.6+50+2</definedName>
    <definedName function="false" hidden="false" localSheetId="7" name="ZF109" vbProcedure="false">'Cash Flow Statement'!$M$22+"After Tax Cash Flow - 9"+""+41+41+440+0+0+0+0+4+3+"-"+"+"+2.6+50+2</definedName>
    <definedName function="false" hidden="false" localSheetId="7" name="ZF110" vbProcedure="false">'Cash Flow Statement'!$N$22+"After Tax Cash Flow - 10"+""+41+41+440+0+0+0+0+4+3+"-"+"+"+2.6+50+2</definedName>
    <definedName function="false" hidden="false" localSheetId="7" name="ZF111" vbProcedure="false">'Cash Flow Statement'!$O$22+"After Tax Cash Flow - 11"+""+41+41+440+0+0+0+0+4+3+"-"+"+"+2.6+50+2</definedName>
    <definedName function="false" hidden="false" localSheetId="7" name="ZF112" vbProcedure="false">'Cash Flow Statement'!$P$22+"After Tax Cash Flow - 12"+""+41+41+440+0+0+0+0+4+3+"-"+"+"+2.6+50+2</definedName>
    <definedName function="false" hidden="false" localSheetId="7" name="ZF113" vbProcedure="false">'Cash Flow Statement'!$Q$22+"After Tax Cash Flow - 13"+""+41+41+440+0+0+0+0+4+3+"-"+"+"+2.6+50+2</definedName>
    <definedName function="false" hidden="false" localSheetId="7" name="ZF114" vbProcedure="false">'Cash Flow Statement'!$R$22+"After Tax Cash Flow - 14"+""+41+41+440+0+0+0+0+4+3+"-"+"+"+2.6+50+2</definedName>
    <definedName function="false" hidden="false" localSheetId="7" name="ZF115" vbProcedure="false">'Cash Flow Statement'!$S$22+"After Tax Cash Flow - 15"+""+41+41+440+0+0+0+0+4+3+"-"+"+"+2.6+50+2</definedName>
    <definedName function="false" hidden="false" localSheetId="7" name="ZF116" vbProcedure="false">'Cash Flow Statement'!$T$22+"After Tax Cash Flow - 16"+""+41+41+440+0+0+0+0+4+3+"-"+"+"+2.6+50+2</definedName>
    <definedName function="false" hidden="false" localSheetId="7" name="ZF117" vbProcedure="false">'Cash Flow Statement'!$U$22+"After Tax Cash Flow - 17"+""+41+41+440+0+0+0+0+4+3+"-"+"+"+2.6+50+2</definedName>
    <definedName function="false" hidden="false" localSheetId="7" name="ZF118" vbProcedure="false">'Cash Flow Statement'!$V$22+"After Tax Cash Flow - 18"+""+41+41+440+0+0+0+0+4+3+"-"+"+"+2.6+50+2</definedName>
    <definedName function="false" hidden="false" localSheetId="7" name="ZF119" vbProcedure="false">'Cash Flow Statement'!$W$22+"After Tax Cash Flow - 19"+""+41+41+440+0+0+0+0+4+3+"-"+"+"+2.6+50+2</definedName>
    <definedName function="false" hidden="false" localSheetId="7" name="ZF125" vbProcedure="false">'Cash Flow Statement'!$D$27+"Debt Need - 1"+""+33+33+440+0+0+0+0+4+3+"-"+"+"+2.6+50+2</definedName>
    <definedName function="false" hidden="false" localSheetId="7" name="ZF126" vbProcedure="false">'Cash Flow Statement'!$E$27+"Debt Need - 2"+""+33+33+440+0+0+0+0+4+3+"-"+"+"+2.6+50+2</definedName>
    <definedName function="false" hidden="false" localSheetId="7" name="ZF127" vbProcedure="false">'Cash Flow Statement'!$F$27+"Debt Need - 3"+""+33+33+440+0+0+0+0+4+3+"-"+"+"+2.6+50+2</definedName>
    <definedName function="false" hidden="false" localSheetId="7" name="ZF128" vbProcedure="false">'Cash Flow Statement'!$G$27+"Debt Need - 4"+""+33+33+440+0+0+0+0+4+3+"-"+"+"+2.6+50+2</definedName>
    <definedName function="false" hidden="false" localSheetId="7" name="ZF129" vbProcedure="false">'Cash Flow Statement'!$H$27+"Debt Need - 5"+""+33+33+440+0+0+0+0+4+3+"-"+"+"+2.6+50+2</definedName>
    <definedName function="false" hidden="false" localSheetId="7" name="ZF130" vbProcedure="false">'Cash Flow Statement'!$I$27+"Debt Need - 6"+""+33+33+440+0+0+0+0+4+3+"-"+"+"+2.6+50+2</definedName>
    <definedName function="false" hidden="false" localSheetId="7" name="ZF131" vbProcedure="false">'Cash Flow Statement'!$J$27+"Debt Need - 7"+""+33+33+440+0+0+0+0+4+3+"-"+"+"+2.6+50+2</definedName>
    <definedName function="false" hidden="false" localSheetId="7" name="ZF132" vbProcedure="false">'Cash Flow Statement'!$K$27+"Debt Need - 8"+""+33+33+440+0+0+0+0+4+3+"-"+"+"+2.6+50+2</definedName>
    <definedName function="false" hidden="false" localSheetId="7" name="ZF133" vbProcedure="false">'Cash Flow Statement'!$L$27+"Debt Need - 9"+""+33+33+440+0+0+0+0+4+3+"-"+"+"+2.6+50+2</definedName>
    <definedName function="false" hidden="false" localSheetId="7" name="ZF134" vbProcedure="false">'Cash Flow Statement'!$M$27+"Debt Need - 10"+""+33+33+440+0+0+0+0+4+3+"-"+"+"+2.6+50+2</definedName>
    <definedName function="false" hidden="false" localSheetId="7" name="ZF135" vbProcedure="false">'Cash Flow Statement'!$N$27+"Debt Need - 11"+""+33+33+440+0+0+0+0+4+3+"-"+"+"+2.6+50+2</definedName>
    <definedName function="false" hidden="false" localSheetId="7" name="ZF136" vbProcedure="false">'Cash Flow Statement'!$O$27+"Debt Need - 12"+""+33+33+440+0+0+0+0+4+3+"-"+"+"+2.6+50+2</definedName>
    <definedName function="false" hidden="false" localSheetId="7" name="ZF137" vbProcedure="false">'Cash Flow Statement'!$P$27+"Debt Need - 13"+""+33+33+440+0+0+0+0+4+3+"-"+"+"+2.6+50+2</definedName>
    <definedName function="false" hidden="false" localSheetId="7" name="ZF138" vbProcedure="false">'Cash Flow Statement'!$Q$27+"Debt Need - 14"+""+33+33+440+0+0+0+0+4+3+"-"+"+"+2.6+50+2</definedName>
    <definedName function="false" hidden="false" localSheetId="7" name="ZF139" vbProcedure="false">'Cash Flow Statement'!$R$27+"Debt Need - 15"+""+33+33+440+0+0+0+0+4+3+"-"+"+"+2.6+50+2</definedName>
    <definedName function="false" hidden="false" localSheetId="7" name="ZF140" vbProcedure="false">'Cash Flow Statement'!$S$27+"Debt Need - 16"+""+33+33+440+0+0+0+0+4+3+"-"+"+"+2.6+50+2</definedName>
    <definedName function="false" hidden="false" localSheetId="7" name="ZF141" vbProcedure="false">'Cash Flow Statement'!$T$27+"Debt Need - 17"+""+33+33+440+0+0+0+0+4+3+"-"+"+"+2.6+50+2</definedName>
    <definedName function="false" hidden="false" localSheetId="7" name="ZF142" vbProcedure="false">'Cash Flow Statement'!$U$27+"Debt Need - 18"+""+33+33+440+0+0+0+0+4+3+"-"+"+"+2.6+50+2</definedName>
    <definedName function="false" hidden="false" localSheetId="7" name="ZF143" vbProcedure="false">'Cash Flow Statement'!$V$27+"Debt Need - 19"+""+33+33+440+0+0+0+0+4+3+"-"+"+"+2.6+50+2</definedName>
    <definedName function="false" hidden="false" localSheetId="7" name="ZF144" vbProcedure="false">'Cash Flow Statement'!$W$27+"Debt Need - 20"+""+33+33+440+0+0+0+0+4+3+"-"+"+"+2.6+50+2</definedName>
    <definedName function="false" hidden="false" localSheetId="7" name="Z_14FB3146_3CEF_11D2_B9CE_0060080D6A65__wvu_PrintArea" vbProcedure="false">'Cash Flow Statement'!$D$1:$AB$68</definedName>
    <definedName function="false" hidden="false" localSheetId="7" name="Z_14FB3146_3CEF_11D2_B9CE_0060080D6A65__wvu_PrintTitles" vbProcedure="false">'Cash Flow Statement'!$A:$C</definedName>
    <definedName function="false" hidden="false" localSheetId="7" name="Z_773475A7_2559_11D2_A5F6_0060080AEB13__wvu_PrintArea" vbProcedure="false">'Cash Flow Statement'!$D$1:$AB$23</definedName>
    <definedName function="false" hidden="false" localSheetId="7" name="Z_773475A7_2559_11D2_A5F6_0060080AEB13__wvu_PrintTitles" vbProcedure="false">'Cash Flow Statement'!$A:$C</definedName>
    <definedName function="false" hidden="false" localSheetId="7" name="Z_9D7575BF_255B_11D2_8267_00A0D1027254__wvu_PrintArea" vbProcedure="false">'Cash Flow Statement'!$D$1:$AB$68</definedName>
    <definedName function="false" hidden="false" localSheetId="7" name="Z_9D7575BF_255B_11D2_8267_00A0D1027254__wvu_PrintTitles" vbProcedure="false">'Cash Flow Statement'!$A:$C</definedName>
    <definedName function="false" hidden="false" localSheetId="9" name="Z_14FB3146_3CEF_11D2_B9CE_0060080D6A65__wvu_PrintArea" vbProcedure="false">'Tax Calculations'!$C$1:$AA$61</definedName>
    <definedName function="false" hidden="false" localSheetId="9" name="Z_14FB3146_3CEF_11D2_B9CE_0060080D6A65__wvu_PrintTitles" vbProcedure="false">'Tax Calculations'!$A:$B</definedName>
    <definedName function="false" hidden="false" localSheetId="9" name="Z_773475A7_2559_11D2_A5F6_0060080AEB13__wvu_PrintArea" vbProcedure="false">'Tax Calculations'!$C$1:$AA$61</definedName>
    <definedName function="false" hidden="false" localSheetId="9" name="Z_773475A7_2559_11D2_A5F6_0060080AEB13__wvu_PrintTitles" vbProcedure="false">'Tax Calculations'!$A:$B</definedName>
    <definedName function="false" hidden="false" localSheetId="9" name="Z_9D7575BF_255B_11D2_8267_00A0D1027254__wvu_PrintArea" vbProcedure="false">'Tax Calculations'!$C$1:$AA$61</definedName>
    <definedName function="false" hidden="false" localSheetId="9" name="Z_9D7575BF_255B_11D2_8267_00A0D1027254__wvu_PrintTitles" vbProcedure="false">'Tax Calculations'!$A:$B</definedName>
    <definedName function="false" hidden="false" localSheetId="10" name="wrn_test1_" vbProcedure="false">{"Income Statement",#N/A,FALSE,"CFMODEL";"Balance Sheet",#N/A,FALSE,"CFMODEL"}</definedName>
    <definedName function="false" hidden="false" localSheetId="10" name="wrn_test2_" vbProcedure="false">{"SourcesUses",#N/A,TRUE,"CFMODEL";"TransOverview",#N/A,TRUE,"CFMODEL"}</definedName>
    <definedName function="false" hidden="false" localSheetId="10" name="wrn_test3_" vbProcedure="false">{"SourcesUses",#N/A,TRUE,#N/A;"TransOverview",#N/A,TRUE,"CFMODEL"}</definedName>
    <definedName function="false" hidden="false" localSheetId="10" name="wrn_test4_" vbProcedure="false">{"SourcesUses",#N/A,TRUE,"FundsFlow";"TransOverview",#N/A,TRUE,"FundsFlow"}</definedName>
    <definedName function="false" hidden="false" localSheetId="11" name="wrn_test1_" vbProcedure="false">{"Income Statement",#N/A,FALSE,"CFMODEL";"Balance Sheet",#N/A,FALSE,"CFMODEL"}</definedName>
    <definedName function="false" hidden="false" localSheetId="11" name="wrn_test2_" vbProcedure="false">{"SourcesUses",#N/A,TRUE,"CFMODEL";"TransOverview",#N/A,TRUE,"CFMODEL"}</definedName>
    <definedName function="false" hidden="false" localSheetId="11" name="wrn_test3_" vbProcedure="false">{"SourcesUses",#N/A,TRUE,#N/A;"TransOverview",#N/A,TRUE,"CFMODEL"}</definedName>
    <definedName function="false" hidden="false" localSheetId="11" name="wrn_test4_" vbProcedure="false">{"SourcesUses",#N/A,TRUE,"FundsFlow";"TransOverview",#N/A,TRUE,"FundsFlow"}</definedName>
    <definedName function="false" hidden="false" localSheetId="11" name="ZA0" vbProcedure="false">"Crystal Ball Data : Ver. 4.0"</definedName>
    <definedName function="false" hidden="false" localSheetId="11" name="ZA0A" vbProcedure="false">0+0</definedName>
    <definedName function="false" hidden="false" localSheetId="11" name="ZA0C" vbProcedure="false">0+0</definedName>
    <definedName function="false" hidden="false" localSheetId="11" name="ZA0F" vbProcedure="false">20+124</definedName>
    <definedName function="false" hidden="false" localSheetId="11" name="ZA0T" vbProcedure="false">392468449+0</definedName>
    <definedName function="false" hidden="false" localSheetId="11" name="ZF100" vbProcedure="false">#REF!+"NPV - 1"+""+41+41+440+0+0+0+0+4+3+"-"+"+"+2.6+50+2</definedName>
    <definedName function="false" hidden="false" localSheetId="11" name="ZF101" vbProcedure="false">#REF!+"NPV - 2"+""+41+41+440+0+0+0+0+4+3+"-"+"+"+2.6+50+2</definedName>
    <definedName function="false" hidden="false" localSheetId="11" name="ZF102" vbProcedure="false">#REF!+"NPV - 3"+""+41+41+440+0+0+0+0+4+3+"-"+"+"+2.6+50+2</definedName>
    <definedName function="false" hidden="false" localSheetId="11" name="ZF103" vbProcedure="false">#REF!+"NPV - 4"+""+41+41+440+0+0+0+0+4+3+"-"+"+"+2.6+50+2</definedName>
    <definedName function="false" hidden="false" localSheetId="11" name="ZF104" vbProcedure="false">#REF!+"NPV - 5"+""+41+41+440+0+0+0+0+4+3+"-"+"+"+2.6+50+2</definedName>
    <definedName function="false" hidden="false" localSheetId="11" name="ZF105" vbProcedure="false">#REF!+"NPV - 6"+""+41+41+440+0+0+0+0+4+3+"-"+"+"+2.6+50+2</definedName>
    <definedName function="false" hidden="false" localSheetId="11" name="ZF106" vbProcedure="false">#REF!+"NPV - 7"+""+41+41+440+0+0+0+0+4+3+"-"+"+"+2.6+50+2</definedName>
    <definedName function="false" hidden="false" localSheetId="11" name="ZF107" vbProcedure="false">#REF!+"NPV - 8"+""+41+41+440+0+0+0+0+4+3+"-"+"+"+2.6+50+2</definedName>
    <definedName function="false" hidden="false" localSheetId="11" name="ZF108" vbProcedure="false">#REF!+"NPV - 9"+""+41+41+440+0+0+0+0+4+3+"-"+"+"+2.6+50+2</definedName>
    <definedName function="false" hidden="false" localSheetId="11" name="ZF109" vbProcedure="false">#REF!+"NPV - 10"+""+41+41+440+0+0+0+0+4+3+"-"+"+"+2.6+50+2</definedName>
    <definedName function="false" hidden="false" localSheetId="11" name="ZF110" vbProcedure="false">#REF!+"NPV - 11"+""+41+41+440+0+0+0+0+4+3+"-"+"+"+2.6+50+2</definedName>
    <definedName function="false" hidden="false" localSheetId="11" name="ZF111" vbProcedure="false">#REF!+"NPV - 12"+""+41+41+440+0+0+0+0+4+3+"-"+"+"+2.6+50+2</definedName>
    <definedName function="false" hidden="false" localSheetId="11" name="ZF112" vbProcedure="false">#REF!+"NPV - 13"+""+41+41+440+0+0+0+0+4+3+"-"+"+"+2.6+50+2</definedName>
    <definedName function="false" hidden="false" localSheetId="11" name="ZF113" vbProcedure="false">#REF!+"NPV - 14"+""+41+41+440+0+0+0+0+4+3+"-"+"+"+2.6+50+2</definedName>
    <definedName function="false" hidden="false" localSheetId="11" name="ZF114" vbProcedure="false">#REF!+"NPV - 15"+""+41+41+440+0+0+0+0+4+3+"-"+"+"+2.6+50+2</definedName>
    <definedName function="false" hidden="false" localSheetId="11" name="ZF115" vbProcedure="false">#REF!+"NPV - 16"+""+41+41+440+0+0+0+0+4+3+"-"+"+"+2.6+50+2</definedName>
    <definedName function="false" hidden="false" localSheetId="11" name="ZF116" vbProcedure="false">#REF!+"NPV - 17"+""+41+41+440+0+0+0+0+4+3+"-"+"+"+2.6+50+2</definedName>
    <definedName function="false" hidden="false" localSheetId="11" name="ZF117" vbProcedure="false">#REF!+"NPV - 18"+""+41+41+440+0+0+0+0+4+3+"-"+"+"+2.6+50+2</definedName>
    <definedName function="false" hidden="false" localSheetId="11" name="ZF118" vbProcedure="false">#REF!+"NPV - 19"+""+41+41+440+0+0+0+0+4+3+"-"+"+"+2.6+50+2</definedName>
    <definedName function="false" hidden="false" localSheetId="11" name="ZF119" vbProcedure="false">#REF!+"NPV - 20"+""+41+41+440+0+0+0+0+4+3+"-"+"+"+2.6+50+2</definedName>
    <definedName function="false" hidden="false" localSheetId="11" name="Z_14FB3146_3CEF_11D2_B9CE_0060080D6A65__wvu_PrintArea" vbProcedure="false">'Enron Pre-Tax Returns'!$E$1:$AC$40</definedName>
    <definedName function="false" hidden="false" localSheetId="11" name="Z_14FB3146_3CEF_11D2_B9CE_0060080D6A65__wvu_PrintTitles" vbProcedure="false">'Enron Pre-Tax Returns'!$A:$D</definedName>
    <definedName function="false" hidden="false" localSheetId="11" name="Z_773475A7_2559_11D2_A5F6_0060080AEB13__wvu_PrintArea" vbProcedure="false">'Enron Pre-Tax Returns'!$A$1:$AC$90</definedName>
    <definedName function="false" hidden="false" localSheetId="11" name="Z_9D7575BF_255B_11D2_8267_00A0D1027254__wvu_PrintArea" vbProcedure="false">'Enron Pre-Tax Returns'!$E$1:$AC$40</definedName>
    <definedName function="false" hidden="false" localSheetId="11" name="Z_9D7575BF_255B_11D2_8267_00A0D1027254__wvu_PrintTitles" vbProcedure="false">'Enron Pre-Tax Returns'!$A:$D</definedName>
    <definedName function="false" hidden="false" localSheetId="13" name="Z_14FB3146_3CEF_11D2_B9CE_0060080D6A65__wvu_PrintTitles" vbProcedure="false">Operations!$A:$B</definedName>
    <definedName function="false" hidden="false" localSheetId="13" name="Z_14FB3146_3CEF_11D2_B9CE_0060080D6A65__wvu_Rows" vbProcedure="false">Operations!$51:$51</definedName>
    <definedName function="false" hidden="false" localSheetId="13" name="Z_9D7575BF_255B_11D2_8267_00A0D1027254__wvu_PrintTitles" vbProcedure="false">Operations!$A:$B</definedName>
    <definedName function="false" hidden="false" localSheetId="13" name="Z_9D7575BF_255B_11D2_8267_00A0D1027254__wvu_Rows" vbProcedure="false">Operations!$51:$51</definedName>
    <definedName function="false" hidden="false" localSheetId="14" name="Z_14FB3146_3CEF_11D2_B9CE_0060080D6A65__wvu_PrintArea" vbProcedure="false">'PPA Assumptions'!$C$1:$AA$25</definedName>
    <definedName function="false" hidden="false" localSheetId="14" name="Z_14FB3146_3CEF_11D2_B9CE_0060080D6A65__wvu_PrintTitles" vbProcedure="false">'PPA Assumptions'!$A:$B</definedName>
    <definedName function="false" hidden="false" localSheetId="14" name="Z_14FB3146_3CEF_11D2_B9CE_0060080D6A65__wvu_Rows" vbProcedure="false">'PPA Assumptions'!$22:$22</definedName>
    <definedName function="false" hidden="false" localSheetId="14" name="Z_9D7575BF_255B_11D2_8267_00A0D1027254__wvu_PrintArea" vbProcedure="false">'PPA Assumptions'!$C$1:$AA$25</definedName>
    <definedName function="false" hidden="false" localSheetId="14" name="Z_9D7575BF_255B_11D2_8267_00A0D1027254__wvu_PrintTitles" vbProcedure="false">'PPA Assumptions'!$A:$B</definedName>
    <definedName function="false" hidden="false" localSheetId="14" name="Z_9D7575BF_255B_11D2_8267_00A0D1027254__wvu_Rows" vbProcedure="false">'PPA Assumptions'!$22:$22</definedName>
    <definedName function="false" hidden="false" localSheetId="15" name="Z_14FB3146_3CEF_11D2_B9CE_0060080D6A65__wvu_PrintArea" vbProcedure="false">'Maintenance Reserves'!$C$1:$AB$35</definedName>
    <definedName function="false" hidden="false" localSheetId="15" name="Z_14FB3146_3CEF_11D2_B9CE_0060080D6A65__wvu_PrintTitles" vbProcedure="false">'Maintenance Reserves'!$A:$B</definedName>
    <definedName function="false" hidden="false" localSheetId="15" name="Z_14FB3146_3CEF_11D2_B9CE_0060080D6A65__wvu_Rows" vbProcedure="false">'Maintenance Reserves'!$16:$16,'Maintenance Reserves'!$28:$35</definedName>
    <definedName function="false" hidden="false" localSheetId="15" name="Z_9D7575BF_255B_11D2_8267_00A0D1027254__wvu_PrintArea" vbProcedure="false">'Maintenance Reserves'!$C$1:$AB$35</definedName>
    <definedName function="false" hidden="false" localSheetId="15" name="Z_9D7575BF_255B_11D2_8267_00A0D1027254__wvu_PrintTitles" vbProcedure="false">'Maintenance Reserves'!$A:$B</definedName>
    <definedName function="false" hidden="false" localSheetId="15" name="Z_9D7575BF_255B_11D2_8267_00A0D1027254__wvu_Rows" vbProcedure="false">'Maintenance Reserves'!$16:$16,'Maintenance Reserves'!$28:$35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bgarrett:
</t>
        </r>
        <r>
          <rPr>
            <sz val="8"/>
            <color rgb="FF000000"/>
            <rFont val="Tahoma"/>
            <family val="0"/>
          </rPr>
          <t xml:space="preserve">Increased arbitrarily due to concerns that insurance cost assumptions were too low.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88</xdr:colOff>
                <xdr:row>8</xdr:row>
                <xdr:rowOff>9</xdr:rowOff>
              </xdr:from>
              <xdr:to>
                <xdr:col>13</xdr:col>
                <xdr:colOff>30</xdr:colOff>
                <xdr:row>12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<sst xmlns="http://schemas.openxmlformats.org/spreadsheetml/2006/main" count="749" uniqueCount="524">
  <si>
    <t xml:space="preserve">PROJECT DOYLE</t>
  </si>
  <si>
    <t xml:space="preserve">ASSUMPTIONS AND SUMMARY</t>
  </si>
  <si>
    <t xml:space="preserve">SOURCES AND USES:</t>
  </si>
  <si>
    <t xml:space="preserve">PROJECT DESCRIPTION:</t>
  </si>
  <si>
    <t xml:space="preserve">GE7EAs</t>
  </si>
  <si>
    <t xml:space="preserve">GE7Bs</t>
  </si>
  <si>
    <t xml:space="preserve">PASS-THROUGH MAINTENANCE COSTS ($000)</t>
  </si>
  <si>
    <t xml:space="preserve">Yr. 2000 $</t>
  </si>
  <si>
    <t xml:space="preserve">Sources of Funds</t>
  </si>
  <si>
    <t xml:space="preserve">No. Turbines </t>
  </si>
  <si>
    <t xml:space="preserve">Variable Maintenance</t>
  </si>
  <si>
    <t xml:space="preserve">  Equity Capital = Walton EMC Equity</t>
  </si>
  <si>
    <t xml:space="preserve">Turbine Rating (MW)</t>
  </si>
  <si>
    <t xml:space="preserve">Major Maintenance Accrual </t>
  </si>
  <si>
    <t xml:space="preserve">  Permanent Loan</t>
  </si>
  <si>
    <t xml:space="preserve">Net MW</t>
  </si>
  <si>
    <t xml:space="preserve">Fixed Maintenance</t>
  </si>
  <si>
    <t xml:space="preserve">Heat Rate (HHV)</t>
  </si>
  <si>
    <t xml:space="preserve">Labor</t>
  </si>
  <si>
    <t xml:space="preserve">  Total Sources</t>
  </si>
  <si>
    <t xml:space="preserve">Total Project MW</t>
  </si>
  <si>
    <t xml:space="preserve">Business Interruption Insurance (% of Rev)</t>
  </si>
  <si>
    <t xml:space="preserve">Wtd Avg Heat Rate or Twelve-Two? </t>
  </si>
  <si>
    <t xml:space="preserve">Weighted Average</t>
  </si>
  <si>
    <t xml:space="preserve">Ops and Mach Insurance (% of book value)</t>
  </si>
  <si>
    <t xml:space="preserve">Annual Peak Operating Hours</t>
  </si>
  <si>
    <r>
      <rPr>
        <sz val="9"/>
        <color rgb="FF000000"/>
        <rFont val="Arial"/>
        <family val="2"/>
      </rPr>
      <t xml:space="preserve">Property Taxes (no property tax in the 1</t>
    </r>
    <r>
      <rPr>
        <vertAlign val="superscript"/>
        <sz val="9"/>
        <color rgb="FF000000"/>
        <rFont val="Arial"/>
        <family val="2"/>
      </rPr>
      <t xml:space="preserve">st</t>
    </r>
    <r>
      <rPr>
        <sz val="9"/>
        <color rgb="FF000000"/>
        <rFont val="Arial"/>
        <family val="2"/>
      </rPr>
      <t xml:space="preserve"> year)</t>
    </r>
  </si>
  <si>
    <t xml:space="preserve">PPA Term (Years)</t>
  </si>
  <si>
    <t xml:space="preserve">Startup Power (estimate)</t>
  </si>
  <si>
    <t xml:space="preserve">Uses of Funds</t>
  </si>
  <si>
    <t xml:space="preserve">Start of Commercial Operation</t>
  </si>
  <si>
    <t xml:space="preserve">Fuel Losses During Starts/Stops (calculated figure)</t>
  </si>
  <si>
    <t xml:space="preserve">Hard Costs:</t>
  </si>
  <si>
    <t xml:space="preserve">Installed Cost ($/kW)</t>
  </si>
  <si>
    <t xml:space="preserve">Total Pass-through Maintenance Costs</t>
  </si>
  <si>
    <t xml:space="preserve">  Turbines  (including DLN, Refurb &amp; Misting System)</t>
  </si>
  <si>
    <t xml:space="preserve">  BOP Costs (Incl. $2MM for electrical interconnection)</t>
  </si>
  <si>
    <t xml:space="preserve">Assumed Escalation</t>
  </si>
  <si>
    <t xml:space="preserve">  Gas Interconnection Cost</t>
  </si>
  <si>
    <t xml:space="preserve">PPA ASSUMPTIONS</t>
  </si>
  <si>
    <t xml:space="preserve">  Spare Parts Inventory</t>
  </si>
  <si>
    <t xml:space="preserve">Turbine One On-line</t>
  </si>
  <si>
    <t xml:space="preserve"># MWs =</t>
  </si>
  <si>
    <t xml:space="preserve">ESCALATING CAPACITY PAYMENT COSTS ($000)</t>
  </si>
  <si>
    <t xml:space="preserve">  Land Acquisition</t>
  </si>
  <si>
    <t xml:space="preserve">Turbine Two On-line</t>
  </si>
  <si>
    <t xml:space="preserve">Operation &amp; Maintenance Fee</t>
  </si>
  <si>
    <t xml:space="preserve">Turbine Three On-line</t>
  </si>
  <si>
    <t xml:space="preserve">Asset Management Fee</t>
  </si>
  <si>
    <t xml:space="preserve">Turbine Four On-line</t>
  </si>
  <si>
    <t xml:space="preserve">Owner's contingency</t>
  </si>
  <si>
    <t xml:space="preserve">Turbine Five On-line</t>
  </si>
  <si>
    <t xml:space="preserve">Total Escalating Capacity Payment Costs</t>
  </si>
  <si>
    <t xml:space="preserve">Soft Costs:</t>
  </si>
  <si>
    <t xml:space="preserve">Total</t>
  </si>
  <si>
    <t xml:space="preserve">  Project Development Costs</t>
  </si>
  <si>
    <t xml:space="preserve">Assumed Esc. Cap. Pmt. Escalation</t>
  </si>
  <si>
    <t xml:space="preserve">  Environmental Permitting</t>
  </si>
  <si>
    <t xml:space="preserve">Fixed Capacity Payment ($/kWmo)</t>
  </si>
  <si>
    <t xml:space="preserve">  O&amp;M Mobilization Costs</t>
  </si>
  <si>
    <t xml:space="preserve">Fixed Capacity Payment Escalation</t>
  </si>
  <si>
    <t xml:space="preserve">Total Fixed O&amp;M (partial yr 2000)</t>
  </si>
  <si>
    <t xml:space="preserve">($/kW mo) </t>
  </si>
  <si>
    <t xml:space="preserve"> </t>
  </si>
  <si>
    <t xml:space="preserve">  Primary Counsel</t>
  </si>
  <si>
    <t xml:space="preserve">Variable O&amp;M (partial yr 2000)</t>
  </si>
  <si>
    <t xml:space="preserve">($/MWh)</t>
  </si>
  <si>
    <t xml:space="preserve">  Local Counsel</t>
  </si>
  <si>
    <t xml:space="preserve">Escalating Capacity Payment ($/kWmo)</t>
  </si>
  <si>
    <t xml:space="preserve">  Construction Insurance</t>
  </si>
  <si>
    <t xml:space="preserve">Escalating Capacity Payment Escalation</t>
  </si>
  <si>
    <t xml:space="preserve">  Fuel Used During Startup Testing</t>
  </si>
  <si>
    <t xml:space="preserve">MAJOR MAINTENANCE ACCRUAL ASSUMPTIONS </t>
  </si>
  <si>
    <t xml:space="preserve">Call Option Price of Plant at end of Term ($000)</t>
  </si>
  <si>
    <t xml:space="preserve">Number of Starts per year</t>
  </si>
  <si>
    <t xml:space="preserve">Major Maintenance Accrual $ per start per turbine</t>
  </si>
  <si>
    <t xml:space="preserve">DEBT FINANCING ASSUMPTIONS:</t>
  </si>
  <si>
    <t xml:space="preserve">Financing Costs:</t>
  </si>
  <si>
    <t xml:space="preserve">Walton EMC Equity</t>
  </si>
  <si>
    <t xml:space="preserve">STATE &amp; FEDERAL TAX ASSUMPTIONS</t>
  </si>
  <si>
    <t xml:space="preserve">  Loan Fee</t>
  </si>
  <si>
    <t xml:space="preserve">Debt </t>
  </si>
  <si>
    <t xml:space="preserve">Assumed</t>
  </si>
  <si>
    <t xml:space="preserve">Federal Income Tax Rate</t>
  </si>
  <si>
    <t xml:space="preserve">If Assumed, Mortgage Style, Level Principal or Custom?</t>
  </si>
  <si>
    <t xml:space="preserve">Mortgage Style</t>
  </si>
  <si>
    <t xml:space="preserve">State Income Tax Rate</t>
  </si>
  <si>
    <t xml:space="preserve">Effective Income Tax Rate</t>
  </si>
  <si>
    <t xml:space="preserve">Interest During Construction: </t>
  </si>
  <si>
    <t xml:space="preserve">Principal Amount</t>
  </si>
  <si>
    <t xml:space="preserve">  Capitalized Interest</t>
  </si>
  <si>
    <t xml:space="preserve">Term</t>
  </si>
  <si>
    <t xml:space="preserve">State Utility Gross Receipts Tax Rate</t>
  </si>
  <si>
    <t xml:space="preserve">Interest Rate</t>
  </si>
  <si>
    <t xml:space="preserve">State Franchise Tax Rate (annual flat rate, $000)</t>
  </si>
  <si>
    <t xml:space="preserve">ECT Cost Contingency:</t>
  </si>
  <si>
    <t xml:space="preserve">State Sales and Use Tax Rate</t>
  </si>
  <si>
    <t xml:space="preserve">  Contingency</t>
  </si>
  <si>
    <t xml:space="preserve">Min DSCR </t>
  </si>
  <si>
    <t xml:space="preserve">Miscellaneous Taxes </t>
  </si>
  <si>
    <t xml:space="preserve">Avg. DSCR </t>
  </si>
  <si>
    <t xml:space="preserve">Adjustment Factor</t>
  </si>
  <si>
    <t xml:space="preserve">Max DSCR</t>
  </si>
  <si>
    <t xml:space="preserve">PROPERTY TAX ASSUMPTIONS</t>
  </si>
  <si>
    <t xml:space="preserve">  Total Uses</t>
  </si>
  <si>
    <t xml:space="preserve">Avg. Life (years)</t>
  </si>
  <si>
    <t xml:space="preserve">Assessed Value Multiplier</t>
  </si>
  <si>
    <t xml:space="preserve">Millage Rate for School Tax</t>
  </si>
  <si>
    <t xml:space="preserve">Years of School Tax Abatement</t>
  </si>
  <si>
    <t xml:space="preserve">PRE-TAX RETURNS:</t>
  </si>
  <si>
    <t xml:space="preserve">Millage rate for County Tax</t>
  </si>
  <si>
    <t xml:space="preserve">ECT NPV of Project Cashflows @ 12% discount rate</t>
  </si>
  <si>
    <t xml:space="preserve">Years of County Tax Abatement</t>
  </si>
  <si>
    <t xml:space="preserve">Walton EMC NPV @ 6% discount rate</t>
  </si>
  <si>
    <t xml:space="preserve">BOOK INCOME ASSUMPTIONS</t>
  </si>
  <si>
    <t xml:space="preserve">Book Depreciation Period</t>
  </si>
  <si>
    <t xml:space="preserve">Book Residual</t>
  </si>
  <si>
    <t xml:space="preserve">Interest Income Earned @</t>
  </si>
  <si>
    <t xml:space="preserve">ECT Ownership %</t>
  </si>
  <si>
    <t xml:space="preserve">WEMC Ownership %</t>
  </si>
  <si>
    <t xml:space="preserve">FILE LOCATION:</t>
  </si>
  <si>
    <t xml:space="preserve">MODEL TOGGLES:</t>
  </si>
  <si>
    <t xml:space="preserve">Fixed Price or Oglethorpe Gas Curve?</t>
  </si>
  <si>
    <t xml:space="preserve">Oglethorpe</t>
  </si>
  <si>
    <t xml:space="preserve">Pass through Fixed O&amp;M?</t>
  </si>
  <si>
    <t xml:space="preserve">Yes</t>
  </si>
  <si>
    <t xml:space="preserve">Pass through actual or assumed Variable O&amp;M?</t>
  </si>
  <si>
    <t xml:space="preserve">Actual</t>
  </si>
  <si>
    <t xml:space="preserve">Assumed VO&amp;M pass through</t>
  </si>
  <si>
    <t xml:space="preserve">Assumed VO&amp;M pass through escalation (%)</t>
  </si>
  <si>
    <t xml:space="preserve">Use NOL Carryforward?</t>
  </si>
  <si>
    <t xml:space="preserve">Maximum Term of Carryforward (years)</t>
  </si>
  <si>
    <t xml:space="preserve">Project Doyle Construction and Development Budget</t>
  </si>
  <si>
    <t xml:space="preserve">BUDGET ITEM</t>
  </si>
  <si>
    <t xml:space="preserve">Original Budget</t>
  </si>
  <si>
    <t xml:space="preserve">Current Budget</t>
  </si>
  <si>
    <t xml:space="preserve">Delta</t>
  </si>
  <si>
    <t xml:space="preserve">BALANCE OF PLANT COSTS:</t>
  </si>
  <si>
    <t xml:space="preserve">Delainey Estimate</t>
  </si>
  <si>
    <t xml:space="preserve">Working Budget</t>
  </si>
  <si>
    <t xml:space="preserve">Increase/(Decrease)</t>
  </si>
  <si>
    <t xml:space="preserve">  Engineered Equipment</t>
  </si>
  <si>
    <t xml:space="preserve">  Construction Directs</t>
  </si>
  <si>
    <t xml:space="preserve">  Construction Indirects</t>
  </si>
  <si>
    <t xml:space="preserve">  Engineering</t>
  </si>
  <si>
    <t xml:space="preserve">  Startup</t>
  </si>
  <si>
    <t xml:space="preserve">  Sales Tax on Materials</t>
  </si>
  <si>
    <t xml:space="preserve">  NEPCO Home Office</t>
  </si>
  <si>
    <t xml:space="preserve">  NEPCO Overheads</t>
  </si>
  <si>
    <t xml:space="preserve">  NEPCO Fixed G&amp;A</t>
  </si>
  <si>
    <t xml:space="preserve">  Original Scope Total</t>
  </si>
  <si>
    <t xml:space="preserve">  Retention Pond Adder</t>
  </si>
  <si>
    <t xml:space="preserve">  Fixed G&amp;A</t>
  </si>
  <si>
    <t xml:space="preserve">  Cooling Tower Addition</t>
  </si>
  <si>
    <t xml:space="preserve">  Sales Tax on Supplies/Materials (included in previous bid, EE&amp;CC says not included in current bid)</t>
  </si>
  <si>
    <t xml:space="preserve">  Road Widening Adder</t>
  </si>
  <si>
    <t xml:space="preserve">  NEPCO Margin</t>
  </si>
  <si>
    <t xml:space="preserve">  Fire Water Tank Size Increase</t>
  </si>
  <si>
    <t xml:space="preserve">  EE&amp;CC Project Management</t>
  </si>
  <si>
    <t xml:space="preserve">  Additional Clearing &amp; Grading for Switchyard and Laydown Area</t>
  </si>
  <si>
    <t xml:space="preserve">  ECT Refurb Management &amp; 7EA contract management</t>
  </si>
  <si>
    <t xml:space="preserve">SUBTOTAL - NEPCO</t>
  </si>
  <si>
    <t xml:space="preserve">  NEPCO Profit</t>
  </si>
  <si>
    <t xml:space="preserve">TOTAL NEPCO</t>
  </si>
  <si>
    <t xml:space="preserve">OTHER BOP CONSTRUCTION COSTS:</t>
  </si>
  <si>
    <t xml:space="preserve">SUBTOTAL - OTHER</t>
  </si>
  <si>
    <t xml:space="preserve">  EE&amp;CC Home Office</t>
  </si>
  <si>
    <t xml:space="preserve">SUBTOTAL - BOP</t>
  </si>
  <si>
    <t xml:space="preserve">BOP TARGET</t>
  </si>
  <si>
    <t xml:space="preserve">BOP TARGET:</t>
  </si>
  <si>
    <t xml:space="preserve">ELECTRICAL EQUIPMENT COSTS:</t>
  </si>
  <si>
    <t xml:space="preserve">  Reimbusement to OPC for Construction of Substation</t>
  </si>
  <si>
    <t xml:space="preserve">  Pwr Dist Transformers</t>
  </si>
  <si>
    <t xml:space="preserve">  Load Center Transformers</t>
  </si>
  <si>
    <t xml:space="preserve">SUBTOTAL - ELECTRICAL EQUIPMENT COST</t>
  </si>
  <si>
    <t xml:space="preserve">TURBINE EQUIPMENT COSTS:</t>
  </si>
  <si>
    <t xml:space="preserve">Original 7B Purchase/Refurb Budget</t>
  </si>
  <si>
    <t xml:space="preserve">Refurbished/Uprated 7Bs</t>
  </si>
  <si>
    <t xml:space="preserve">7Bs</t>
  </si>
  <si>
    <t xml:space="preserve"># of Units</t>
  </si>
  <si>
    <t xml:space="preserve">  Unrefurbished 7Bs</t>
  </si>
  <si>
    <t xml:space="preserve">Cost/Unit</t>
  </si>
  <si>
    <t xml:space="preserve">  Refurbishment Costs</t>
  </si>
  <si>
    <t xml:space="preserve">  Evap Cooling System for 7Bs</t>
  </si>
  <si>
    <t xml:space="preserve">7Bs Subtotal</t>
  </si>
  <si>
    <t xml:space="preserve">GE 7EAs</t>
  </si>
  <si>
    <t xml:space="preserve">7EAs</t>
  </si>
  <si>
    <t xml:space="preserve">  Base Cost</t>
  </si>
  <si>
    <t xml:space="preserve">  Evaporative Cooling System Cost</t>
  </si>
  <si>
    <t xml:space="preserve">  Exhaust Stack Cost</t>
  </si>
  <si>
    <t xml:space="preserve">7EAs Subtotal</t>
  </si>
  <si>
    <t xml:space="preserve">SUBTOTAL - TURBINE COST</t>
  </si>
  <si>
    <t xml:space="preserve">MISCELLANEOUS HARD COSTS:</t>
  </si>
  <si>
    <t xml:space="preserve">SUBTOTAL - MISCELLANEOUS HARD COSTS</t>
  </si>
  <si>
    <t xml:space="preserve">TOTAL HARD COSTS </t>
  </si>
  <si>
    <t xml:space="preserve">TOTAL HARD COSTS</t>
  </si>
  <si>
    <t xml:space="preserve">SOFT COSTS:</t>
  </si>
  <si>
    <t xml:space="preserve">SUBTOTAL - SOFT COSTS</t>
  </si>
  <si>
    <t xml:space="preserve">OTHER PROJECT COSTS:</t>
  </si>
  <si>
    <t xml:space="preserve">  Additional Contingency (formerly loan fee)</t>
  </si>
  <si>
    <t xml:space="preserve">  ECT Contingency</t>
  </si>
  <si>
    <t xml:space="preserve">  IDC</t>
  </si>
  <si>
    <t xml:space="preserve">SUBTOTAL - OTHER COSTS</t>
  </si>
  <si>
    <t xml:space="preserve">TOTAL INSTALLED COST</t>
  </si>
  <si>
    <t xml:space="preserve">  Budget Shortfall</t>
  </si>
  <si>
    <t xml:space="preserve">  Prudency</t>
  </si>
  <si>
    <t xml:space="preserve">NET SHORTFALL</t>
  </si>
  <si>
    <t xml:space="preserve">ACTUAL PROJECT COST</t>
  </si>
  <si>
    <t xml:space="preserve">NOTE: Assumes 61MW output from each 7B to maintain 1.03 DSCR by adjusting Contingency. </t>
  </si>
  <si>
    <t xml:space="preserve">7B TURBINE REFURBISHMENT BUDGET</t>
  </si>
  <si>
    <t xml:space="preserve">COMPONENT</t>
  </si>
  <si>
    <t xml:space="preserve">IBC</t>
  </si>
  <si>
    <t xml:space="preserve">Prelim Updated Estimate</t>
  </si>
  <si>
    <t xml:space="preserve">Potential Savings</t>
  </si>
  <si>
    <t xml:space="preserve">Fixed or Open</t>
  </si>
  <si>
    <t xml:space="preserve">Base Bid</t>
  </si>
  <si>
    <t xml:space="preserve">Lump Sum Turnkey</t>
  </si>
  <si>
    <t xml:space="preserve">N/A</t>
  </si>
  <si>
    <t xml:space="preserve">Generators Refurb</t>
  </si>
  <si>
    <t xml:space="preserve">Open</t>
  </si>
  <si>
    <t xml:space="preserve">ECT Contingency</t>
  </si>
  <si>
    <r>
      <rPr>
        <sz val="10"/>
        <rFont val="Arial"/>
        <family val="0"/>
      </rPr>
      <t xml:space="preserve">CO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 Skids</t>
    </r>
  </si>
  <si>
    <t xml:space="preserve">Component shipping</t>
  </si>
  <si>
    <t xml:space="preserve">GTG shipping</t>
  </si>
  <si>
    <t xml:space="preserve">Dow Overhaul</t>
  </si>
  <si>
    <t xml:space="preserve">BOP Refurb</t>
  </si>
  <si>
    <t xml:space="preserve">Inlets/Exhausts/Evap Coolers</t>
  </si>
  <si>
    <t xml:space="preserve">Yong Wol Overhaul</t>
  </si>
  <si>
    <t xml:space="preserve">Fixed</t>
  </si>
  <si>
    <t xml:space="preserve">HGP Parts Refurb</t>
  </si>
  <si>
    <t xml:space="preserve">LEC Install/Fuel System/TDI</t>
  </si>
  <si>
    <t xml:space="preserve">Project Mgt. Expense </t>
  </si>
  <si>
    <t xml:space="preserve">Project Mgt. Fee</t>
  </si>
  <si>
    <t xml:space="preserve">Rotor Coating Backout</t>
  </si>
  <si>
    <t xml:space="preserve">LEC Installation</t>
  </si>
  <si>
    <t xml:space="preserve">LEC TDI</t>
  </si>
  <si>
    <t xml:space="preserve">Warehouse lease</t>
  </si>
  <si>
    <t xml:space="preserve">Subtotal</t>
  </si>
  <si>
    <t xml:space="preserve">Other Items</t>
  </si>
  <si>
    <t xml:space="preserve">Control System</t>
  </si>
  <si>
    <t xml:space="preserve">Dow Inlet</t>
  </si>
  <si>
    <t xml:space="preserve">LEC Equipment</t>
  </si>
  <si>
    <t xml:space="preserve">Water Wash Manifolds</t>
  </si>
  <si>
    <t xml:space="preserve">Dow Rotor Refurb</t>
  </si>
  <si>
    <t xml:space="preserve">Subtotal </t>
  </si>
  <si>
    <t xml:space="preserve">SUBTOTAL</t>
  </si>
  <si>
    <t xml:space="preserve">TBD Items</t>
  </si>
  <si>
    <t xml:space="preserve">HGP parts for Dow</t>
  </si>
  <si>
    <t xml:space="preserve">Subtotal of TBD</t>
  </si>
  <si>
    <t xml:space="preserve">TOTAL</t>
  </si>
  <si>
    <t xml:space="preserve">Total Fixed</t>
  </si>
  <si>
    <t xml:space="preserve">Original Refurb Budget</t>
  </si>
  <si>
    <t xml:space="preserve">Total Open</t>
  </si>
  <si>
    <t xml:space="preserve">Over Budget Amount</t>
  </si>
  <si>
    <t xml:space="preserve">SUBSTATION/TRANSFORMER COSTS</t>
  </si>
  <si>
    <t xml:space="preserve">ECT Cost</t>
  </si>
  <si>
    <t xml:space="preserve">OPC Reimbursement Amt</t>
  </si>
  <si>
    <t xml:space="preserve">ECT Profit</t>
  </si>
  <si>
    <t xml:space="preserve">(2) 230kV Transformers</t>
  </si>
  <si>
    <t xml:space="preserve">(3) 115kV Transformers</t>
  </si>
  <si>
    <t xml:space="preserve">(1) 7B Generator Breaker</t>
  </si>
  <si>
    <t xml:space="preserve">(1) 7EA Generator Breaker</t>
  </si>
  <si>
    <t xml:space="preserve">IDC</t>
  </si>
  <si>
    <t xml:space="preserve">IDC Interest Rate</t>
  </si>
  <si>
    <t xml:space="preserve">Absolute Dollar Amounts Drawn</t>
  </si>
  <si>
    <t xml:space="preserve">   BOP</t>
  </si>
  <si>
    <t xml:space="preserve">   7Bs &amp; Refurbishment</t>
  </si>
  <si>
    <t xml:space="preserve">   7EAs</t>
  </si>
  <si>
    <t xml:space="preserve">   Soft Costs</t>
  </si>
  <si>
    <t xml:space="preserve">   Miscellaneous Hard Costs</t>
  </si>
  <si>
    <t xml:space="preserve">   Contingency</t>
  </si>
  <si>
    <t xml:space="preserve">   Loan Fee</t>
  </si>
  <si>
    <t xml:space="preserve">   Cost increases/Change orders</t>
  </si>
  <si>
    <t xml:space="preserve">   Prior Period IDC</t>
  </si>
  <si>
    <t xml:space="preserve">   OPC Deposit</t>
  </si>
  <si>
    <t xml:space="preserve">   Cumulative Draws</t>
  </si>
  <si>
    <t xml:space="preserve">Draws Under Loan Agreement</t>
  </si>
  <si>
    <t xml:space="preserve">   Walton Loan Fee</t>
  </si>
  <si>
    <t xml:space="preserve">   Cumulative Amount</t>
  </si>
  <si>
    <t xml:space="preserve">Total Project Debt =</t>
  </si>
  <si>
    <t xml:space="preserve">Draws on Walton Equity</t>
  </si>
  <si>
    <t xml:space="preserve">   Cumulative IDC</t>
  </si>
  <si>
    <t xml:space="preserve">   Cumulative Costs Excluding IDC</t>
  </si>
  <si>
    <t xml:space="preserve">   Cumulative Draws Including IDC</t>
  </si>
  <si>
    <t xml:space="preserve">SENSITIVITY OF CAPACITY PAYMENT TO INTEREST RATE CHANGES</t>
  </si>
  <si>
    <t xml:space="preserve">FLAT ADJUSTMENT FOR FLOATING IDC RATE = $250,000</t>
  </si>
  <si>
    <t xml:space="preserve">New Capacity Amount ($/kW month)</t>
  </si>
  <si>
    <t xml:space="preserve">Delta from Original Amount ($/kW month)</t>
  </si>
  <si>
    <t xml:space="preserve">NOTE: Adjusted to provide $100,000 per year cushion to Doyle.</t>
  </si>
  <si>
    <t xml:space="preserve">Debt Amortization</t>
  </si>
  <si>
    <t xml:space="preserve">EBITDA</t>
  </si>
  <si>
    <t xml:space="preserve">DSCR - Tranche A</t>
  </si>
  <si>
    <t xml:space="preserve">Interest Rate For Period, Tranche A</t>
  </si>
  <si>
    <t xml:space="preserve">TOTAL ANNUAL DEBT AMORTIZATION</t>
  </si>
  <si>
    <t xml:space="preserve">  Beginning Balance</t>
  </si>
  <si>
    <t xml:space="preserve">  Interest </t>
  </si>
  <si>
    <t xml:space="preserve">  Principal</t>
  </si>
  <si>
    <t xml:space="preserve">  Total Debt Service</t>
  </si>
  <si>
    <t xml:space="preserve">  Ending Balance</t>
  </si>
  <si>
    <t xml:space="preserve">  Average Life (years)</t>
  </si>
  <si>
    <t xml:space="preserve">  EBITDA/Debt Service</t>
  </si>
  <si>
    <t xml:space="preserve">PATRONAGE CAPITAL CALCULATION </t>
  </si>
  <si>
    <t xml:space="preserve">Patronage Capital Return</t>
  </si>
  <si>
    <t xml:space="preserve">Percentage of Prior Year's Interest Payment</t>
  </si>
  <si>
    <t xml:space="preserve">DSCR DRIVEN </t>
  </si>
  <si>
    <t xml:space="preserve">ASSUMED DEBT STRUCTURE</t>
  </si>
  <si>
    <t xml:space="preserve">MORTGAGE STYLE</t>
  </si>
  <si>
    <t xml:space="preserve">Semi-annual Payments</t>
  </si>
  <si>
    <t xml:space="preserve">Annual Accrued Debt Service</t>
  </si>
  <si>
    <t xml:space="preserve">Annual Debt Service</t>
  </si>
  <si>
    <t xml:space="preserve">DSCR</t>
  </si>
  <si>
    <t xml:space="preserve">Level Principal</t>
  </si>
  <si>
    <t xml:space="preserve">TOTAL CUSTOM</t>
  </si>
  <si>
    <t xml:space="preserve">Custom 1</t>
  </si>
  <si>
    <t xml:space="preserve">Income Statement</t>
  </si>
  <si>
    <t xml:space="preserve">Months of Year In Operation</t>
  </si>
  <si>
    <t xml:space="preserve">Revenues</t>
  </si>
  <si>
    <t xml:space="preserve">   Fixed Capacity Revenue</t>
  </si>
  <si>
    <t xml:space="preserve">   Escalating Capacity Revenue</t>
  </si>
  <si>
    <t xml:space="preserve">   Pass-through Fixed O&amp;M Revenue</t>
  </si>
  <si>
    <t xml:space="preserve">   PPA Energy Revenue (Fuel and VO&amp;M)</t>
  </si>
  <si>
    <t xml:space="preserve">   Put Value Revenue</t>
  </si>
  <si>
    <t xml:space="preserve">   Total Revenue</t>
  </si>
  <si>
    <t xml:space="preserve">   </t>
  </si>
  <si>
    <t xml:space="preserve">Pass-through Expenses</t>
  </si>
  <si>
    <t xml:space="preserve">   Fuel</t>
  </si>
  <si>
    <t xml:space="preserve">   One-time Start-up Delay LD Expense</t>
  </si>
  <si>
    <t xml:space="preserve">    Variable Maintenance</t>
  </si>
  <si>
    <t xml:space="preserve">   Startup Power</t>
  </si>
  <si>
    <t xml:space="preserve">   Fuel Losses During Starts/Stops </t>
  </si>
  <si>
    <t xml:space="preserve">   Major Maintenance Accrual</t>
  </si>
  <si>
    <t xml:space="preserve">    Total Variable Pass-through Expenses</t>
  </si>
  <si>
    <t xml:space="preserve">    Fixed Maintenance</t>
  </si>
  <si>
    <t xml:space="preserve">   Labor</t>
  </si>
  <si>
    <t xml:space="preserve">   Property Taxes</t>
  </si>
  <si>
    <t xml:space="preserve">   Business Interruption Insurance</t>
  </si>
  <si>
    <t xml:space="preserve">   Operations and Machinery Insurance</t>
  </si>
  <si>
    <t xml:space="preserve">    Total Fixed Pass-through Expenses</t>
  </si>
  <si>
    <t xml:space="preserve">Escalating Expenses</t>
  </si>
  <si>
    <t xml:space="preserve">   Asset Management Fee</t>
  </si>
  <si>
    <t xml:space="preserve">   Operation &amp; Maintenance Fee</t>
  </si>
  <si>
    <t xml:space="preserve">   Owner's contingency</t>
  </si>
  <si>
    <t xml:space="preserve">   Total Escalating Expenses</t>
  </si>
  <si>
    <t xml:space="preserve">Total Operating Expenses</t>
  </si>
  <si>
    <t xml:space="preserve">   Book Depreciation &amp; Amortization</t>
  </si>
  <si>
    <t xml:space="preserve">EBIT</t>
  </si>
  <si>
    <t xml:space="preserve">   Interest Expense</t>
  </si>
  <si>
    <t xml:space="preserve">   Interest Income</t>
  </si>
  <si>
    <t xml:space="preserve">   Net Interest Expense</t>
  </si>
  <si>
    <t xml:space="preserve">EBT</t>
  </si>
  <si>
    <t xml:space="preserve">   Book Provision for Taxes</t>
  </si>
  <si>
    <t xml:space="preserve">After Tax Book Income</t>
  </si>
  <si>
    <t xml:space="preserve">Enron Capital Account</t>
  </si>
  <si>
    <t xml:space="preserve">Original Investment</t>
  </si>
  <si>
    <t xml:space="preserve">Pre-tax Book Income</t>
  </si>
  <si>
    <t xml:space="preserve">Pre-tax Cash Distributions</t>
  </si>
  <si>
    <t xml:space="preserve">New Investment Balance</t>
  </si>
  <si>
    <t xml:space="preserve">Walton Capital Account</t>
  </si>
  <si>
    <t xml:space="preserve">Pass-through Fixed O&amp;M Revenue Calculation</t>
  </si>
  <si>
    <t xml:space="preserve">Property Taxes</t>
  </si>
  <si>
    <t xml:space="preserve">Total Pass-through FO&amp;M </t>
  </si>
  <si>
    <t xml:space="preserve">Total Pass-through FO&amp;M $/kW mo </t>
  </si>
  <si>
    <t xml:space="preserve">Escalating Capacity Payment Revenue Calculation</t>
  </si>
  <si>
    <t xml:space="preserve">Total Escalating Capacity Payment </t>
  </si>
  <si>
    <t xml:space="preserve">Total Escalating Capacity Payment  $/kW mo </t>
  </si>
  <si>
    <t xml:space="preserve">Total FO&amp;M + Esc. Cap. Pmt. Revs. ($)</t>
  </si>
  <si>
    <t xml:space="preserve">Total FO&amp;M + Esc. Cap. Pmt. Revs. ($/kW mo)</t>
  </si>
  <si>
    <t xml:space="preserve">Cash Flow Statement</t>
  </si>
  <si>
    <t xml:space="preserve">Pretax Book Income</t>
  </si>
  <si>
    <t xml:space="preserve">  Plus Book Depreciation &amp; Amortization</t>
  </si>
  <si>
    <t xml:space="preserve">  Plus Accrued Prop Tax Expense</t>
  </si>
  <si>
    <t xml:space="preserve">  Less Property Tax Payment</t>
  </si>
  <si>
    <t xml:space="preserve">  Plus Accrued Interest Expense</t>
  </si>
  <si>
    <t xml:space="preserve">  Less Interest Payments</t>
  </si>
  <si>
    <t xml:space="preserve">  Less Principal Payments</t>
  </si>
  <si>
    <t xml:space="preserve">  LCTC Balance</t>
  </si>
  <si>
    <t xml:space="preserve">  Plus Return of LCTCs</t>
  </si>
  <si>
    <t xml:space="preserve">Pretax Cash Flow</t>
  </si>
  <si>
    <t xml:space="preserve">  Total Income Tax Expense (Benefit)</t>
  </si>
  <si>
    <t xml:space="preserve">After Tax Cash Flow</t>
  </si>
  <si>
    <t xml:space="preserve">Positive After Tax Cash Flows</t>
  </si>
  <si>
    <t xml:space="preserve">Deficit Revolver Drawdown</t>
  </si>
  <si>
    <t xml:space="preserve">Interest on Revolver Balance</t>
  </si>
  <si>
    <t xml:space="preserve">Cumulative Revolver Debt Payment</t>
  </si>
  <si>
    <t xml:space="preserve">Distributions to Equity Holders</t>
  </si>
  <si>
    <t xml:space="preserve">Start-up Cashflow</t>
  </si>
  <si>
    <t xml:space="preserve">Debt Service Trigger</t>
  </si>
  <si>
    <t xml:space="preserve">MWs of Capacity Online</t>
  </si>
  <si>
    <t xml:space="preserve">Expenses</t>
  </si>
  <si>
    <t xml:space="preserve">   Non-Capitalized IDC Expense</t>
  </si>
  <si>
    <t xml:space="preserve">   Debt Service Expense</t>
  </si>
  <si>
    <t xml:space="preserve">   Total Expenses</t>
  </si>
  <si>
    <t xml:space="preserve">Cash Balance</t>
  </si>
  <si>
    <t xml:space="preserve">State and Federal Tax Calculation</t>
  </si>
  <si>
    <t xml:space="preserve">STATE &amp; FEDERAL TAXES</t>
  </si>
  <si>
    <t xml:space="preserve">   Pretax Book Income</t>
  </si>
  <si>
    <t xml:space="preserve">   Less State Franchise Tax</t>
  </si>
  <si>
    <t xml:space="preserve">   Less State Gross Receipts Tax</t>
  </si>
  <si>
    <t xml:space="preserve">   Adjusted Pretax Book Income</t>
  </si>
  <si>
    <t xml:space="preserve">   Plus Book Depreciation &amp; Amortization</t>
  </si>
  <si>
    <t xml:space="preserve">   Less Tax Depreciation &amp; Amortization</t>
  </si>
  <si>
    <t xml:space="preserve">   State Taxable Income</t>
  </si>
  <si>
    <t xml:space="preserve">   Less Current State Income Tax Expense (Benefit)</t>
  </si>
  <si>
    <t xml:space="preserve">   Federal Taxable Income</t>
  </si>
  <si>
    <t xml:space="preserve">   Current Federal Income Tax Expense (Benefit)</t>
  </si>
  <si>
    <t xml:space="preserve">NOL CARRYFORWARD</t>
  </si>
  <si>
    <t xml:space="preserve">   Current State Income Tax Expense (Benefit)</t>
  </si>
  <si>
    <t xml:space="preserve">   Total Current Federal and State Income Tax Expense (Benefit)</t>
  </si>
  <si>
    <t xml:space="preserve">   NOL Carryforward Balance</t>
  </si>
  <si>
    <t xml:space="preserve">   NOL Utilization</t>
  </si>
  <si>
    <t xml:space="preserve">   Cash Taxes Payable/(Benefit)</t>
  </si>
  <si>
    <t xml:space="preserve">Depreciation and Property Taxes</t>
  </si>
  <si>
    <t xml:space="preserve">US FEDERAL TAX DEPRECIATION &amp; AMORTIZATION</t>
  </si>
  <si>
    <t xml:space="preserve">Years</t>
  </si>
  <si>
    <t xml:space="preserve">   Plant and Equipment - MACRS</t>
  </si>
  <si>
    <t xml:space="preserve">   Start-up Costs - SL </t>
  </si>
  <si>
    <t xml:space="preserve">   Debt Iss &amp; Loan Fees - SL</t>
  </si>
  <si>
    <t xml:space="preserve">   Tax Depr - Plant and Equipment</t>
  </si>
  <si>
    <t xml:space="preserve">   Amort - Start-up Costs</t>
  </si>
  <si>
    <t xml:space="preserve">   Amort - Debt Iss &amp; Loan Fees</t>
  </si>
  <si>
    <t xml:space="preserve">   Total Annual Depr &amp; Amort </t>
  </si>
  <si>
    <t xml:space="preserve">STATE TAX DEPRECIATION &amp; AMORTIZATION</t>
  </si>
  <si>
    <t xml:space="preserve">BOOK DEPRECIATION &amp; AMORTIZATION</t>
  </si>
  <si>
    <t xml:space="preserve">Residual</t>
  </si>
  <si>
    <t xml:space="preserve">   Plant and Equipment - SL</t>
  </si>
  <si>
    <t xml:space="preserve">   Book Depr - Plant and Equipment</t>
  </si>
  <si>
    <t xml:space="preserve">   Total Beginning Book Value</t>
  </si>
  <si>
    <t xml:space="preserve">   Ending Book Value of Assets</t>
  </si>
  <si>
    <t xml:space="preserve">PROPERTY TAX CALCULATION</t>
  </si>
  <si>
    <t xml:space="preserve">   Assessable Value of Hard Assets</t>
  </si>
  <si>
    <t xml:space="preserve">   Annual Depreciated Assessable Value</t>
  </si>
  <si>
    <t xml:space="preserve">   Annual School Tax</t>
  </si>
  <si>
    <t xml:space="preserve">   Annual County Tax </t>
  </si>
  <si>
    <t xml:space="preserve">   Annual City Tax </t>
  </si>
  <si>
    <t xml:space="preserve">   Total Property Tax</t>
  </si>
  <si>
    <t xml:space="preserve">State Franchise Taxes</t>
  </si>
  <si>
    <t xml:space="preserve">   State Franchise Tax Rate</t>
  </si>
  <si>
    <t xml:space="preserve">   State Franchise Tax Liability</t>
  </si>
  <si>
    <t xml:space="preserve">State Gross Receipts Taxes</t>
  </si>
  <si>
    <t xml:space="preserve">   Gross Revenue</t>
  </si>
  <si>
    <t xml:space="preserve">   Gross Receipts Tax Rate</t>
  </si>
  <si>
    <t xml:space="preserve">   Gross Receipts Tax Liability</t>
  </si>
  <si>
    <t xml:space="preserve">15 Year MACRS Table</t>
  </si>
  <si>
    <t xml:space="preserve">Half-Year Convention</t>
  </si>
  <si>
    <t xml:space="preserve">Year</t>
  </si>
  <si>
    <t xml:space="preserve">Depr. %</t>
  </si>
  <si>
    <t xml:space="preserve">20 Year MACRS Table</t>
  </si>
  <si>
    <t xml:space="preserve">Enron Pre-Tax Returns</t>
  </si>
  <si>
    <t xml:space="preserve">Date of Cashflow</t>
  </si>
  <si>
    <t xml:space="preserve">NPVs</t>
  </si>
  <si>
    <t xml:space="preserve">Pretax Cashflow (Including Put Value)</t>
  </si>
  <si>
    <t xml:space="preserve">Discount Rate </t>
  </si>
  <si>
    <t xml:space="preserve">Asset Management Fees</t>
  </si>
  <si>
    <t xml:space="preserve">O&amp;M Fees</t>
  </si>
  <si>
    <t xml:space="preserve">Owner's Contingency</t>
  </si>
  <si>
    <t xml:space="preserve">Total Fees</t>
  </si>
  <si>
    <t xml:space="preserve">Walton EMC Pre-Tax Returns</t>
  </si>
  <si>
    <t xml:space="preserve">Pretax Project Cashflow</t>
  </si>
  <si>
    <t xml:space="preserve">LCTC Return</t>
  </si>
  <si>
    <t xml:space="preserve">Pre-Tax XNPV of Project Cashflow</t>
  </si>
  <si>
    <t xml:space="preserve">Pre-Tax XNPV of Patronage Capital</t>
  </si>
  <si>
    <t xml:space="preserve">Note: Patronage capital cashflows continue for an additional 15 years after the term of the deal.</t>
  </si>
  <si>
    <t xml:space="preserve">Pre-Tax XNPV of LCTC Return</t>
  </si>
  <si>
    <t xml:space="preserve">Total Pre-Tax XNPV</t>
  </si>
  <si>
    <t xml:space="preserve">Balance Sheet</t>
  </si>
  <si>
    <t xml:space="preserve">Opening</t>
  </si>
  <si>
    <t xml:space="preserve">Balance</t>
  </si>
  <si>
    <t xml:space="preserve">Assets</t>
  </si>
  <si>
    <t xml:space="preserve">Non-Depreciable Assets</t>
  </si>
  <si>
    <t xml:space="preserve">Depreciable Assets</t>
  </si>
  <si>
    <t xml:space="preserve">Total Assets</t>
  </si>
  <si>
    <t xml:space="preserve">Liabilities:</t>
  </si>
  <si>
    <t xml:space="preserve">Deferred Tax Liability</t>
  </si>
  <si>
    <t xml:space="preserve">Long-term debt</t>
  </si>
  <si>
    <t xml:space="preserve">Short-term debt</t>
  </si>
  <si>
    <t xml:space="preserve">Total liabilities</t>
  </si>
  <si>
    <t xml:space="preserve">Stockholders' equity</t>
  </si>
  <si>
    <t xml:space="preserve">Capital Stock</t>
  </si>
  <si>
    <t xml:space="preserve">Book Income</t>
  </si>
  <si>
    <t xml:space="preserve">Dividends Paid</t>
  </si>
  <si>
    <t xml:space="preserve">Retained Earnings</t>
  </si>
  <si>
    <t xml:space="preserve">Total stockholders' equity</t>
  </si>
  <si>
    <t xml:space="preserve">Total liabilities and stockholders' equity:</t>
  </si>
  <si>
    <t xml:space="preserve">ECT Balance Sheet</t>
  </si>
  <si>
    <t xml:space="preserve">Operations</t>
  </si>
  <si>
    <t xml:space="preserve">Plant Output Summary</t>
  </si>
  <si>
    <t xml:space="preserve">   Capacity Degradation</t>
  </si>
  <si>
    <t xml:space="preserve">   Heat Rate Degradation</t>
  </si>
  <si>
    <t xml:space="preserve">   Peak Days Per Week</t>
  </si>
  <si>
    <t xml:space="preserve">   Degraded Capacity (MW)</t>
  </si>
  <si>
    <t xml:space="preserve">   Contract Capacity (MW)</t>
  </si>
  <si>
    <t xml:space="preserve">   Run Hours</t>
  </si>
  <si>
    <t xml:space="preserve">   Maximum Peak Generation (MWh)</t>
  </si>
  <si>
    <t xml:space="preserve">Fuel Consumption</t>
  </si>
  <si>
    <t xml:space="preserve">   PPA MWh</t>
  </si>
  <si>
    <t xml:space="preserve">   Degraded Peak Heat Rate (Btu/kWh)</t>
  </si>
  <si>
    <t xml:space="preserve">   Peak Fuel BBtu</t>
  </si>
  <si>
    <t xml:space="preserve">   Peak Fuel Cost $000</t>
  </si>
  <si>
    <t xml:space="preserve">PPA Assumptions and Pricing Summary</t>
  </si>
  <si>
    <t xml:space="preserve">PPA Breakout</t>
  </si>
  <si>
    <t xml:space="preserve">   Capacity ($/kw-mo)</t>
  </si>
  <si>
    <t xml:space="preserve">   Capacity Escalation</t>
  </si>
  <si>
    <t xml:space="preserve">PPA Power Pricing Summary</t>
  </si>
  <si>
    <t xml:space="preserve">   Fuel $/MWH</t>
  </si>
  <si>
    <t xml:space="preserve">   Actual Variable O&amp;M Expense $/MWH</t>
  </si>
  <si>
    <t xml:space="preserve">   Contractual VO&amp;M pass through ($MWh)</t>
  </si>
  <si>
    <t xml:space="preserve">   Marginal cost of Generation $/MWh</t>
  </si>
  <si>
    <t xml:space="preserve">   Total Energy ($/MWH)</t>
  </si>
  <si>
    <t xml:space="preserve">   Total Capacity and FO&amp;M ($/MWH)</t>
  </si>
  <si>
    <t xml:space="preserve">   All-in PPA Power Price $/MWH</t>
  </si>
  <si>
    <t xml:space="preserve">Gas Curve</t>
  </si>
  <si>
    <t xml:space="preserve">   BurnerTip Price ($/MMBtu)</t>
  </si>
  <si>
    <t xml:space="preserve">   Oglethorpe Commodity Price Curve ($/MMBtu)</t>
  </si>
  <si>
    <t xml:space="preserve">   Oglethorpe Transport Cost Assumption for Transco ($/MMBtu)</t>
  </si>
  <si>
    <t xml:space="preserve">   Oglethorpe Delivered Gas Cost Curve ($/MMBtu)</t>
  </si>
  <si>
    <t xml:space="preserve">Maintenance Reserves</t>
  </si>
  <si>
    <t xml:space="preserve">Number of Starts per Year</t>
  </si>
  <si>
    <t xml:space="preserve">Total Cumulative Starts</t>
  </si>
  <si>
    <t xml:space="preserve">Cumulative Starts</t>
  </si>
  <si>
    <t xml:space="preserve">Number of Starts til Major Maintenance</t>
  </si>
  <si>
    <t xml:space="preserve">Annual Overhaul Accrual Expense</t>
  </si>
  <si>
    <t xml:space="preserve">Cumulative Overhaul Accrual Expense</t>
  </si>
  <si>
    <t xml:space="preserve">Annual Overhaul Accrual Interest Income</t>
  </si>
  <si>
    <t xml:space="preserve">Cumulative Overhaul Accrual Interest Income</t>
  </si>
</sst>
</file>

<file path=xl/styles.xml><?xml version="1.0" encoding="utf-8"?>
<styleSheet xmlns="http://schemas.openxmlformats.org/spreadsheetml/2006/main">
  <numFmts count="110">
    <numFmt numFmtId="164" formatCode="General"/>
    <numFmt numFmtId="165" formatCode="0.00000000000000000000000000"/>
    <numFmt numFmtId="166" formatCode="0.0000E+00"/>
    <numFmt numFmtId="167" formatCode="\$#,##0.00000"/>
    <numFmt numFmtId="168" formatCode="\$#,##0.0000"/>
    <numFmt numFmtId="169" formatCode="[$-409]#,##0_);[RED]\(#,##0\)"/>
    <numFmt numFmtId="170" formatCode="\$#,##0_);[RED]&quot;($&quot;#,##0\)"/>
    <numFmt numFmtId="171" formatCode="m"/>
    <numFmt numFmtId="172" formatCode="0.000000000_)"/>
    <numFmt numFmtId="173" formatCode="\£#,##0.0000_);&quot;(£&quot;#,##0.0000\)"/>
    <numFmt numFmtId="174" formatCode="\$#,##0;[RED]\$#,##0"/>
    <numFmt numFmtId="175" formatCode="0.0000000000000000000000000000"/>
    <numFmt numFmtId="176" formatCode="#,##0.00000000000000000000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000000000000"/>
    <numFmt numFmtId="183" formatCode="0.00000000000"/>
    <numFmt numFmtId="184" formatCode="_(* #,##0.00000000000000_);_(* \(#,##0.00000000000000\);_(* \-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0.00_);[RED]\(0.00\)"/>
    <numFmt numFmtId="189" formatCode="\£#,##0.00_);&quot;(£&quot;#,##0.00\)"/>
    <numFmt numFmtId="190" formatCode="0.000000000000000000000000000000000"/>
    <numFmt numFmtId="191" formatCode="0.000"/>
    <numFmt numFmtId="192" formatCode="_(* #,##0.0_);_(* \(#,##0.0\);_(* \-?_);_(@_)"/>
    <numFmt numFmtId="193" formatCode="_(* #,##0.00_);_(* \(#,##0.00\);_(* \-??_);_(@_)"/>
    <numFmt numFmtId="194" formatCode="#,##0.00"/>
    <numFmt numFmtId="195" formatCode="0.0000000000"/>
    <numFmt numFmtId="196" formatCode="\£#,##0.00_);[RED]&quot;(£&quot;#,##0.00\)"/>
    <numFmt numFmtId="197" formatCode="0_);[RED]\(0\)"/>
    <numFmt numFmtId="198" formatCode="0.00000000000000000000000000000000000"/>
    <numFmt numFmtId="199" formatCode="_(* #,##0.0000000000000_);_(* \(#,##0.0000000000000\);_(* \-_);_(@_)"/>
    <numFmt numFmtId="200" formatCode="_(\$* #,##0_);_(\$* \(#,##0\);_(\$* \-_);_(@_)"/>
    <numFmt numFmtId="201" formatCode="##0.000"/>
    <numFmt numFmtId="202" formatCode="_(* #,##0.0000000000_);_(* \(#,##0.0000000000\);_(* \-_);_(@_)"/>
    <numFmt numFmtId="203" formatCode="_(\$* #,##0.000000_);_(\$* \(#,##0.000000\);_(\$* \-??_);_(@_)"/>
    <numFmt numFmtId="204" formatCode="0.0000000000000000"/>
    <numFmt numFmtId="205" formatCode="0.0000_)"/>
    <numFmt numFmtId="206" formatCode="#,##0.000_);\(#,##0.000\)"/>
    <numFmt numFmtId="207" formatCode="_(\$* #,##0.00000_);_(\$* \(#,##0.00000\);_(\$* \-??_);_(@_)"/>
    <numFmt numFmtId="208" formatCode="0.000E+00"/>
    <numFmt numFmtId="209" formatCode="0.00000000000000%"/>
    <numFmt numFmtId="210" formatCode="\£#,##0.0_);&quot;(£&quot;#,##0.0\)"/>
    <numFmt numFmtId="211" formatCode="0.0000000000000000000000000"/>
    <numFmt numFmtId="212" formatCode="m/d/yyyy"/>
    <numFmt numFmtId="213" formatCode="0.00000000000000000000000000000000"/>
    <numFmt numFmtId="214" formatCode="\£#,##0.0_);[RED]&quot;(£&quot;#,##0.0\)"/>
    <numFmt numFmtId="215" formatCode="_(* #,##0.0000_);_(* \(#,##0.0000\);_(* \-??_);_(@_)"/>
    <numFmt numFmtId="216" formatCode="_(* #,##0.00000000_);_(* \(#,##0.00000000\);_(* \-??_);_(@_)"/>
    <numFmt numFmtId="217" formatCode="_(\$* #,##0.00_);_(\$* \(#,##0.00\);_(\$* \-??_);_(@_)"/>
    <numFmt numFmtId="218" formatCode="_(* #,##0.000000000000_);_(* \(#,##0.000000000000\);_(* \-_);_(@_)"/>
    <numFmt numFmtId="219" formatCode="#,##0.000_);[RED]\(#,##0.000\)"/>
    <numFmt numFmtId="220" formatCode="0.00000000000000000"/>
    <numFmt numFmtId="221" formatCode="0.000000000"/>
    <numFmt numFmtId="222" formatCode="\£#,##0_);&quot;(£&quot;#,##0\)"/>
    <numFmt numFmtId="223" formatCode="_(\$* #,##0.0000000_);_(\$* \(#,##0.0000000\);_(\$* \-??_);_(@_)"/>
    <numFmt numFmtId="224" formatCode="[$-409]m/d/yyyy"/>
    <numFmt numFmtId="225" formatCode="\£#,##0.000_);&quot;(£&quot;#,##0.000\)"/>
    <numFmt numFmtId="226" formatCode="0.000000000000000000000000000"/>
    <numFmt numFmtId="227" formatCode="0.0000000000000000000000000000000000"/>
    <numFmt numFmtId="228" formatCode="\£#,##0_);[RED]&quot;(£&quot;#,##0\)"/>
    <numFmt numFmtId="229" formatCode="0.00"/>
    <numFmt numFmtId="230" formatCode="mm/dd/yy"/>
    <numFmt numFmtId="231" formatCode="dd\-mmm\-yy"/>
    <numFmt numFmtId="232" formatCode=";;;"/>
    <numFmt numFmtId="233" formatCode="m/d/yyyy\ h:mm:ss"/>
    <numFmt numFmtId="234" formatCode="_(* #,##0.000_);_(* \(#,##0.000\);_(* \-???_);_(@_)"/>
    <numFmt numFmtId="235" formatCode="0.000000000000000000"/>
    <numFmt numFmtId="236" formatCode="[$-409]#,##0_);\(#,##0\)"/>
    <numFmt numFmtId="237" formatCode="0.00_)"/>
    <numFmt numFmtId="238" formatCode="0.000000000000000000000000000000"/>
    <numFmt numFmtId="239" formatCode="General_)"/>
    <numFmt numFmtId="240" formatCode="#,##0"/>
    <numFmt numFmtId="241" formatCode="#,##0.0_);\(#,##0.0\)"/>
    <numFmt numFmtId="242" formatCode="#,##0.0000_);[RED]\(#,##0.0000\)"/>
    <numFmt numFmtId="243" formatCode="0"/>
    <numFmt numFmtId="244" formatCode="0.00%"/>
    <numFmt numFmtId="245" formatCode="0%"/>
    <numFmt numFmtId="246" formatCode="00000"/>
    <numFmt numFmtId="247" formatCode="_(\$* #,##0_);_(\$* \(#,##0\);_(\$* \-??_);_(@_)"/>
    <numFmt numFmtId="248" formatCode="_(* #,##0_);_(* \(#,##0\);_(* \-??_);_(@_)"/>
    <numFmt numFmtId="249" formatCode="0.0%"/>
    <numFmt numFmtId="250" formatCode="_(* #,##0.0_);_(* \(#,##0.0\);_(* \-??_);_(@_)"/>
    <numFmt numFmtId="251" formatCode="mmm\-yy_)"/>
    <numFmt numFmtId="252" formatCode="\$#,##0_);&quot;($&quot;#,##0\)"/>
    <numFmt numFmtId="253" formatCode="[$-409]d\-mmm\-yy"/>
    <numFmt numFmtId="254" formatCode="\$#,##0.00_);&quot;($&quot;#,##0.00\)"/>
    <numFmt numFmtId="255" formatCode="\$#,##0.000_);&quot;($&quot;#,##0.000\)"/>
    <numFmt numFmtId="256" formatCode="0.00000000"/>
    <numFmt numFmtId="257" formatCode="0.0"/>
    <numFmt numFmtId="258" formatCode="0.000%"/>
    <numFmt numFmtId="259" formatCode="[$-409]0.00"/>
    <numFmt numFmtId="260" formatCode="\$#,##0.00"/>
    <numFmt numFmtId="261" formatCode="[$-409]#,##0.00_);\(#,##0.00\)"/>
    <numFmt numFmtId="262" formatCode="_(\$* #,##0.0000_);_(\$* \(#,##0.0000\);_(\$* \-??_);_(@_)"/>
    <numFmt numFmtId="263" formatCode="0.0000"/>
    <numFmt numFmtId="264" formatCode="_(* #,##0.00_);_(* \(#,##0.00\);_(* \-_);_(@_)"/>
    <numFmt numFmtId="265" formatCode="0_)"/>
    <numFmt numFmtId="266" formatCode="_(* #,##0.000_);_(* \(#,##0.000\);_(* \-??_);_(@_)"/>
    <numFmt numFmtId="267" formatCode="_(* #,##0.000000_);_(* \(#,##0.000000\);_(* \-??_);_(@_)"/>
    <numFmt numFmtId="268" formatCode="_(* #,##0.00000_);_(* \(#,##0.00000\);_(* \-??_);_(@_)"/>
    <numFmt numFmtId="269" formatCode="_(* #,##0.0000000_);_(* \(#,##0.0000000\);_(* \-??_);_(@_)"/>
    <numFmt numFmtId="270" formatCode="_(* #,##0.000_);_(* \(#,##0.000\);_(* \-_);_(@_)"/>
    <numFmt numFmtId="271" formatCode="0.00000%"/>
    <numFmt numFmtId="272" formatCode="0.000_)"/>
    <numFmt numFmtId="273" formatCode="0.0000%"/>
  </numFmts>
  <fonts count="1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 val="true"/>
      <sz val="36"/>
      <color rgb="FF0000FF"/>
      <name val="Arial"/>
      <family val="2"/>
    </font>
    <font>
      <sz val="16"/>
      <color rgb="FF0000FF"/>
      <name val="Arial"/>
      <family val="2"/>
    </font>
    <font>
      <sz val="12"/>
      <color rgb="FF0000FF"/>
      <name val="Arial"/>
      <family val="2"/>
    </font>
    <font>
      <b val="true"/>
      <u val="single"/>
      <sz val="12"/>
      <name val="Arial"/>
      <family val="0"/>
    </font>
    <font>
      <u val="single"/>
      <sz val="9"/>
      <name val="Arial"/>
      <family val="2"/>
    </font>
    <font>
      <sz val="9"/>
      <color rgb="FF000000"/>
      <name val="Arial"/>
      <family val="2"/>
    </font>
    <font>
      <u val="single"/>
      <sz val="11"/>
      <name val="Arial"/>
      <family val="0"/>
    </font>
    <font>
      <sz val="9"/>
      <color rgb="FF0000FF"/>
      <name val="Arial"/>
      <family val="0"/>
    </font>
    <font>
      <sz val="9"/>
      <color rgb="FFFFFFFF"/>
      <name val="Arial"/>
      <family val="2"/>
    </font>
    <font>
      <vertAlign val="superscript"/>
      <sz val="9"/>
      <color rgb="FF000000"/>
      <name val="Arial"/>
      <family val="2"/>
    </font>
    <font>
      <i val="true"/>
      <sz val="9"/>
      <name val="Arial"/>
      <family val="0"/>
    </font>
    <font>
      <u val="single"/>
      <sz val="9"/>
      <color rgb="FF0000FF"/>
      <name val="Arial"/>
      <family val="2"/>
    </font>
    <font>
      <sz val="9"/>
      <color rgb="FF003366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9"/>
      <color rgb="FFFF0000"/>
      <name val="Arial"/>
      <family val="2"/>
    </font>
    <font>
      <b val="true"/>
      <sz val="9"/>
      <color rgb="FF0000FF"/>
      <name val="Arial"/>
      <family val="2"/>
    </font>
    <font>
      <b val="true"/>
      <u val="single"/>
      <sz val="9"/>
      <name val="Arial"/>
      <family val="2"/>
    </font>
    <font>
      <b val="true"/>
      <sz val="18"/>
      <name val="Arial"/>
      <family val="2"/>
    </font>
    <font>
      <b val="true"/>
      <sz val="12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2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6"/>
      <name val="Arial"/>
      <family val="2"/>
    </font>
    <font>
      <u val="single"/>
      <sz val="16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1"/>
      <name val="Arial"/>
      <family val="2"/>
    </font>
    <font>
      <u val="single"/>
      <sz val="10"/>
      <name val="Arial"/>
      <family val="2"/>
    </font>
    <font>
      <vertAlign val="subscript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double"/>
      <sz val="10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sz val="8"/>
      <color rgb="FFFFFFFF"/>
      <name val="Arial"/>
      <family val="2"/>
    </font>
    <font>
      <u val="single"/>
      <sz val="8"/>
      <name val="Arial"/>
      <family val="2"/>
    </font>
    <font>
      <u val="single"/>
      <sz val="8"/>
      <name val="Arial"/>
      <family val="0"/>
    </font>
    <font>
      <u val="double"/>
      <sz val="8"/>
      <name val="Arial"/>
      <family val="0"/>
    </font>
    <font>
      <b val="true"/>
      <sz val="8"/>
      <name val="Arial"/>
      <family val="2"/>
    </font>
    <font>
      <b val="true"/>
      <i val="true"/>
      <sz val="8"/>
      <name val="Arial"/>
      <family val="2"/>
    </font>
    <font>
      <u val="double"/>
      <sz val="8"/>
      <name val="Arial"/>
      <family val="2"/>
    </font>
    <font>
      <i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i val="true"/>
      <u val="single"/>
      <sz val="8"/>
      <name val="Arial"/>
      <family val="2"/>
    </font>
    <font>
      <b val="true"/>
      <sz val="10"/>
      <name val="Arial"/>
      <family val="0"/>
    </font>
    <font>
      <b val="true"/>
      <sz val="16"/>
      <name val="Arial"/>
      <family val="0"/>
    </font>
    <font>
      <b val="true"/>
      <u val="single"/>
      <sz val="12"/>
      <name val="Arial"/>
      <family val="2"/>
    </font>
    <font>
      <b val="true"/>
      <sz val="12"/>
      <name val="Arial"/>
      <family val="0"/>
    </font>
    <font>
      <sz val="12"/>
      <color rgb="FFFF0000"/>
      <name val="Arial"/>
      <family val="2"/>
    </font>
    <font>
      <sz val="8"/>
      <color rgb="FF0000FF"/>
      <name val="Arial"/>
      <family val="0"/>
    </font>
    <font>
      <sz val="8"/>
      <color rgb="FFFF0000"/>
      <name val="Arial"/>
      <family val="2"/>
    </font>
    <font>
      <u val="single"/>
      <sz val="8"/>
      <color rgb="FF0000FF"/>
      <name val="Arial"/>
      <family val="2"/>
    </font>
    <font>
      <u val="single"/>
      <sz val="9"/>
      <name val="Arial"/>
      <family val="0"/>
    </font>
    <font>
      <b val="true"/>
      <u val="single"/>
      <sz val="8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9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236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23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236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false" applyProtection="true">
      <protection locked="true" hidden="false"/>
    </xf>
    <xf numFmtId="236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4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4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236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236" fontId="25" fillId="0" borderId="0" applyFont="true" applyBorder="false" applyAlignment="false" applyProtection="false"/>
    <xf numFmtId="23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applyFont="true" applyBorder="false" applyAlignment="false" applyProtection="false"/>
    <xf numFmtId="236" fontId="25" fillId="0" borderId="0" applyFont="true" applyBorder="false" applyAlignment="false" applyProtection="false"/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9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7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7" fontId="6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0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7" fontId="6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9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50" fontId="60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6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59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1" fontId="6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8" fontId="6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7" fontId="5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4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0" fontId="65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1" fontId="6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8" fontId="6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8" fontId="6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4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5" fontId="65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7" fontId="6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4" fontId="5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7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6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7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7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0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6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6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8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6" fontId="53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6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9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4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4" fontId="60" fillId="0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248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7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6" fillId="0" borderId="0" xfId="113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247" fontId="7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8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8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249" fontId="60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29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6" fontId="6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5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6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3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6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6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9" fontId="6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4" fontId="6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7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8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7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8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53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9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0" fontId="5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9" fontId="6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6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8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9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8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49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7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9" fontId="6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8" fontId="5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54" fontId="5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6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58" fillId="0" borderId="0" xfId="40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60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9" fontId="5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8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4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25" fillId="0" borderId="0" xfId="1237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260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5" fontId="8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9" fontId="14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2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6" fontId="25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8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0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6" fontId="90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5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3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3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6" fontId="9" fillId="0" borderId="0" xfId="123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44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65" fontId="8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6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90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1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1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9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70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97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86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6" fontId="25" fillId="0" borderId="0" xfId="123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236" fontId="98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5" fontId="9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6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6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1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2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0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10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1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4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0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0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9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0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0" fontId="10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2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07" fillId="0" borderId="0" xfId="123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2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2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65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7" fontId="5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241" fontId="5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0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6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72" fontId="5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8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5" fontId="5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8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7" fontId="10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10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0" fontId="9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7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0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7" fontId="9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7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00" fontId="9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8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8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25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2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25" fillId="0" borderId="0" xfId="123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5" fillId="0" borderId="0" xfId="40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6" fontId="25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5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6" fontId="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9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1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115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1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3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9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9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40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1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7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25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7" fontId="25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5" fillId="0" borderId="0" xfId="40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25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7" fontId="101" fillId="0" borderId="0" xfId="40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5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15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2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116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7" fontId="117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7" fontId="115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5" fontId="1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65" fontId="1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11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0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1" xfId="303"/>
    <cellStyle name="Comma [0]_Sheet1_dimon" xfId="304"/>
    <cellStyle name="Comma [0]_SHENREPT" xfId="305"/>
    <cellStyle name="Comma [0]_Snr. CO" xfId="306"/>
    <cellStyle name="Comma [0]_sprint contr" xfId="307"/>
    <cellStyle name="Comma [0]_Subcont File" xfId="308"/>
    <cellStyle name="Comma [0]_SUMMARY" xfId="309"/>
    <cellStyle name="Comma [0]_Summary Info" xfId="310"/>
    <cellStyle name="Comma [0]_SUMPAGE" xfId="311"/>
    <cellStyle name="Comma [0]_Template" xfId="312"/>
    <cellStyle name="Comma [0]_TMSNW1" xfId="313"/>
    <cellStyle name="Comma [0]_TMSNW2" xfId="314"/>
    <cellStyle name="Comma [0]_TMSOCPX" xfId="315"/>
    <cellStyle name="Comma [0]_TOTAL MTH" xfId="316"/>
    <cellStyle name="Comma [0]_TOTAL YTD" xfId="317"/>
    <cellStyle name="Comma [0]_TRANSDSC.XLS" xfId="318"/>
    <cellStyle name="Comma [0]_TRANSFXA.XLS" xfId="319"/>
    <cellStyle name="Comma [0]_TRANSFXA.XLS_1" xfId="320"/>
    <cellStyle name="Comma [0]_TRANSIME.XLS" xfId="321"/>
    <cellStyle name="Comma [0]_TRANSIME.XLS_TRANSDSC.XLS" xfId="322"/>
    <cellStyle name="Comma [0]_TRANSIME.XLS_TRANSFXA.XLS" xfId="323"/>
    <cellStyle name="Comma [0]_VIRUS-EDY" xfId="324"/>
    <cellStyle name="Comma [0]_White" xfId="325"/>
    <cellStyle name="Comma [0]_WO Var. &amp; Tot. Exp." xfId="326"/>
    <cellStyle name="Comma [0]_WSP" xfId="327"/>
    <cellStyle name="Comma [0]_yrcao" xfId="328"/>
    <cellStyle name="Comma [0]_YREND55" xfId="329"/>
    <cellStyle name="Comma [0]_YREND57" xfId="330"/>
    <cellStyle name="Comma [0]_YTDCUR" xfId="331"/>
    <cellStyle name="Comma_12matrix" xfId="332"/>
    <cellStyle name="Comma_1995" xfId="333"/>
    <cellStyle name="Comma_A" xfId="334"/>
    <cellStyle name="Comma_A_dimon" xfId="335"/>
    <cellStyle name="Comma_A_dimon_1" xfId="336"/>
    <cellStyle name="Comma_ACTUAL" xfId="337"/>
    <cellStyle name="Comma_ACTUAL NA -OBU" xfId="338"/>
    <cellStyle name="Comma_Actual vs." xfId="339"/>
    <cellStyle name="Comma_algasdefault" xfId="340"/>
    <cellStyle name="Comma_algasdefault_1" xfId="341"/>
    <cellStyle name="Comma_Alternative1" xfId="342"/>
    <cellStyle name="Comma_Alternative1_1" xfId="343"/>
    <cellStyle name="Comma_App E" xfId="344"/>
    <cellStyle name="Comma_Apr" xfId="345"/>
    <cellStyle name="Comma_Arapahoe" xfId="346"/>
    <cellStyle name="Comma_Assumptions" xfId="347"/>
    <cellStyle name="Comma_Assumptions_dimon" xfId="348"/>
    <cellStyle name="Comma_Assumptions_summary" xfId="349"/>
    <cellStyle name="Comma_B" xfId="350"/>
    <cellStyle name="Comma_bahiadefault" xfId="351"/>
    <cellStyle name="Comma_bahiadefault_1" xfId="352"/>
    <cellStyle name="Comma_Book3" xfId="353"/>
    <cellStyle name="Comma_BOP" xfId="354"/>
    <cellStyle name="Comma_BOPBAL1" xfId="355"/>
    <cellStyle name="Comma_BOPCBU" xfId="356"/>
    <cellStyle name="Comma_BOPCBU (2)" xfId="357"/>
    <cellStyle name="Comma_BOPCBU96" xfId="358"/>
    <cellStyle name="Comma_BSAPPE.XLS" xfId="359"/>
    <cellStyle name="Comma_C-Cap intensity" xfId="360"/>
    <cellStyle name="Comma_C-Capex%rev" xfId="361"/>
    <cellStyle name="Comma_C-Line per Staff" xfId="362"/>
    <cellStyle name="Comma_C-lines distribution" xfId="363"/>
    <cellStyle name="Comma_C-Orig PLDT lines" xfId="364"/>
    <cellStyle name="Comma_C-Ret on Rev" xfId="365"/>
    <cellStyle name="Comma_C-ROACE" xfId="366"/>
    <cellStyle name="Comma_Calculations" xfId="367"/>
    <cellStyle name="Comma_Calculations (2)" xfId="368"/>
    <cellStyle name="Comma_Calculations II" xfId="369"/>
    <cellStyle name="Comma_Calculations III" xfId="370"/>
    <cellStyle name="Comma_Calculations_1" xfId="371"/>
    <cellStyle name="Comma_Capex" xfId="372"/>
    <cellStyle name="Comma_Capex per line" xfId="373"/>
    <cellStyle name="Comma_Capex%rev" xfId="374"/>
    <cellStyle name="Comma_CAPEX94" xfId="375"/>
    <cellStyle name="Comma_CAPEX_dimon" xfId="376"/>
    <cellStyle name="Comma_CapInt" xfId="377"/>
    <cellStyle name="Comma_Cashflow" xfId="378"/>
    <cellStyle name="Comma_CBU BOX CHART V PLAN" xfId="379"/>
    <cellStyle name="Comma_CCA" xfId="380"/>
    <cellStyle name="Comma_CCOCPX" xfId="381"/>
    <cellStyle name="Comma_CFMODEL" xfId="382"/>
    <cellStyle name="Comma_CFMODEL_summary" xfId="383"/>
    <cellStyle name="Comma_CFtest3" xfId="384"/>
    <cellStyle name="Comma_CFTEST49" xfId="385"/>
    <cellStyle name="Comma_CHANGES.XLS" xfId="386"/>
    <cellStyle name="Comma_Charts" xfId="387"/>
    <cellStyle name="Comma_Cht-Capex per line" xfId="388"/>
    <cellStyle name="Comma_Cht-Cum Real Opr Cf" xfId="389"/>
    <cellStyle name="Comma_Cht-Dep%Rev" xfId="390"/>
    <cellStyle name="Comma_Cht-Real Opr Cf" xfId="391"/>
    <cellStyle name="Comma_Cht-Rev dist" xfId="392"/>
    <cellStyle name="Comma_Cht-Rev p line" xfId="393"/>
    <cellStyle name="Comma_Cht-Rev per Staff" xfId="394"/>
    <cellStyle name="Comma_Cht-Staff cost%revenue" xfId="395"/>
    <cellStyle name="Comma_Comm File" xfId="396"/>
    <cellStyle name="Comma_coperdefault" xfId="397"/>
    <cellStyle name="Comma_coperdefault_1" xfId="398"/>
    <cellStyle name="Comma_Corp method" xfId="399"/>
    <cellStyle name="Comma_CROCF" xfId="400"/>
    <cellStyle name="Comma_CTCUR" xfId="401"/>
    <cellStyle name="Comma_Cum Real Opr Cf" xfId="402"/>
    <cellStyle name="Comma_CUMPLTCH" xfId="403"/>
    <cellStyle name="Comma_Curve_Economics" xfId="404"/>
    <cellStyle name="Comma_DEFAULT" xfId="405"/>
    <cellStyle name="Comma_Demand Fcst." xfId="406"/>
    <cellStyle name="Comma_Dep%Rev" xfId="407"/>
    <cellStyle name="Comma_DeskCurves" xfId="408"/>
    <cellStyle name="Comma_dimon" xfId="409"/>
    <cellStyle name="Comma_dimon_1" xfId="410"/>
    <cellStyle name="Comma_Dowell C1b" xfId="411"/>
    <cellStyle name="Comma_Dowell-C1a" xfId="412"/>
    <cellStyle name="Comma_E&amp;ONW1" xfId="413"/>
    <cellStyle name="Comma_E&amp;ONW2" xfId="414"/>
    <cellStyle name="Comma_E&amp;OOCPX" xfId="415"/>
    <cellStyle name="Comma_emserdefault" xfId="416"/>
    <cellStyle name="Comma_emserdefault_1" xfId="417"/>
    <cellStyle name="Comma_EPS" xfId="418"/>
    <cellStyle name="Comma_EVER1" xfId="419"/>
    <cellStyle name="Comma_F&amp;COCPX" xfId="420"/>
    <cellStyle name="Comma_FEBRUARY" xfId="421"/>
    <cellStyle name="Comma_FF" xfId="422"/>
    <cellStyle name="Comma_FP 20 A (1)" xfId="423"/>
    <cellStyle name="Comma_FP 20 A (2)" xfId="424"/>
    <cellStyle name="Comma_FP-20 (App. E)" xfId="425"/>
    <cellStyle name="Comma_FP-20 (App.A) " xfId="426"/>
    <cellStyle name="Comma_FP-20 (App.D)" xfId="427"/>
    <cellStyle name="Comma_FP-20(App.B)" xfId="428"/>
    <cellStyle name="Comma_FP-20(C1) (a)" xfId="429"/>
    <cellStyle name="Comma_FP-20(C1) (a) (2)" xfId="430"/>
    <cellStyle name="Comma_FP-20(C1) (b)" xfId="431"/>
    <cellStyle name="Comma_FP-20(C1) (b) " xfId="432"/>
    <cellStyle name="Comma_FP-20(C1) (b) (2)" xfId="433"/>
    <cellStyle name="Comma_GASDATA1" xfId="434"/>
    <cellStyle name="Comma_GASDATA1 (2)" xfId="435"/>
    <cellStyle name="Comma_GASDATA1_1" xfId="436"/>
    <cellStyle name="Comma_GCM" xfId="437"/>
    <cellStyle name="Comma_GenAssum" xfId="438"/>
    <cellStyle name="Comma_GenMod" xfId="439"/>
    <cellStyle name="Comma_GP C1a" xfId="440"/>
    <cellStyle name="Comma_GP C1b" xfId="441"/>
    <cellStyle name="Comma_GP_EI_3" xfId="442"/>
    <cellStyle name="Comma_GQ C1A" xfId="443"/>
    <cellStyle name="Comma_GQ C1B" xfId="444"/>
    <cellStyle name="Comma_H" xfId="445"/>
    <cellStyle name="Comma_Inputs" xfId="446"/>
    <cellStyle name="Comma_Int. Data Table" xfId="447"/>
    <cellStyle name="Comma_IPM C1b" xfId="448"/>
    <cellStyle name="Comma_IPMC1a" xfId="449"/>
    <cellStyle name="Comma_IPP" xfId="450"/>
    <cellStyle name="Comma_IRR" xfId="451"/>
    <cellStyle name="Comma_IS-Hold" xfId="452"/>
    <cellStyle name="Comma_ITOCPX" xfId="453"/>
    <cellStyle name="Comma_jancf" xfId="454"/>
    <cellStyle name="Comma_JUNMTH55" xfId="455"/>
    <cellStyle name="Comma_JUNMTH57" xfId="456"/>
    <cellStyle name="Comma_JUNYTD55" xfId="457"/>
    <cellStyle name="Comma_JUNYTD57" xfId="458"/>
    <cellStyle name="Comma_laroux" xfId="459"/>
    <cellStyle name="Comma_laroux_1" xfId="460"/>
    <cellStyle name="Comma_laroux_1995" xfId="461"/>
    <cellStyle name="Comma_laroux_1_dimon" xfId="462"/>
    <cellStyle name="Comma_laroux_1_dimon_1" xfId="463"/>
    <cellStyle name="Comma_laroux_1_laroux" xfId="464"/>
    <cellStyle name="Comma_laroux_1_pldt" xfId="465"/>
    <cellStyle name="Comma_laroux_1_pldt_1" xfId="466"/>
    <cellStyle name="Comma_laroux_1_PLDT_dimon" xfId="467"/>
    <cellStyle name="Comma_laroux_1_VERA" xfId="468"/>
    <cellStyle name="Comma_laroux_1_VERA_1" xfId="469"/>
    <cellStyle name="Comma_laroux_1_VIRUS-EDY" xfId="470"/>
    <cellStyle name="Comma_laroux_2" xfId="471"/>
    <cellStyle name="Comma_laroux_2_dimon" xfId="472"/>
    <cellStyle name="Comma_laroux_2_dimon_1" xfId="473"/>
    <cellStyle name="Comma_laroux_2_dimon_2" xfId="474"/>
    <cellStyle name="Comma_laroux_2_laroux" xfId="475"/>
    <cellStyle name="Comma_laroux_2_laroux_dimon" xfId="476"/>
    <cellStyle name="Comma_laroux_2_pldt" xfId="477"/>
    <cellStyle name="Comma_laroux_2_pldt_1" xfId="478"/>
    <cellStyle name="Comma_laroux_2_PLDT_dimon" xfId="479"/>
    <cellStyle name="Comma_laroux_2_VERA" xfId="480"/>
    <cellStyle name="Comma_laroux_2_VERA_1" xfId="481"/>
    <cellStyle name="Comma_laroux_3" xfId="482"/>
    <cellStyle name="Comma_laroux_3_dimon" xfId="483"/>
    <cellStyle name="Comma_laroux_3_dimon_1" xfId="484"/>
    <cellStyle name="Comma_laroux_3_dimon_2" xfId="485"/>
    <cellStyle name="Comma_laroux_dimon" xfId="486"/>
    <cellStyle name="Comma_laroux_dimon_1" xfId="487"/>
    <cellStyle name="Comma_laroux_laroux" xfId="488"/>
    <cellStyle name="Comma_laroux_laroux_1" xfId="489"/>
    <cellStyle name="Comma_laroux_laroux_dimon" xfId="490"/>
    <cellStyle name="Comma_laroux_pldt" xfId="491"/>
    <cellStyle name="Comma_laroux_pldt_1" xfId="492"/>
    <cellStyle name="Comma_laroux_VERA" xfId="493"/>
    <cellStyle name="Comma_laroux_VERA_1" xfId="494"/>
    <cellStyle name="Comma_laroux_VIRUS-EDY" xfId="495"/>
    <cellStyle name="Comma_Line Inst." xfId="496"/>
    <cellStyle name="Comma_MATERAL2" xfId="497"/>
    <cellStyle name="Comma_MATERAL2_dimon" xfId="498"/>
    <cellStyle name="Comma_MATERAL2_dimon_1" xfId="499"/>
    <cellStyle name="Comma_MKGOCPX" xfId="500"/>
    <cellStyle name="Comma_Mkt Shr" xfId="501"/>
    <cellStyle name="Comma_MOBCPX" xfId="502"/>
    <cellStyle name="Comma_Module1" xfId="503"/>
    <cellStyle name="Comma_mud plant bolted" xfId="504"/>
    <cellStyle name="Comma_NA WITHOUT GOV'T &amp; PNX" xfId="505"/>
    <cellStyle name="Comma_NAOBU10" xfId="506"/>
    <cellStyle name="Comma_NAT ACCT" xfId="507"/>
    <cellStyle name="Comma_NCR-C&amp;W Val" xfId="508"/>
    <cellStyle name="Comma_NCR-Cap intensity" xfId="509"/>
    <cellStyle name="Comma_NCR-Line per Staff" xfId="510"/>
    <cellStyle name="Comma_NCR-Rev dist" xfId="511"/>
    <cellStyle name="Comma_NSACTUAL.XLS" xfId="512"/>
    <cellStyle name="Comma_NX00" xfId="513"/>
    <cellStyle name="Comma_Odner" xfId="514"/>
    <cellStyle name="Comma_Odner (2)" xfId="515"/>
    <cellStyle name="Comma_Odner (3)" xfId="516"/>
    <cellStyle name="Comma_OFFDATA1" xfId="517"/>
    <cellStyle name="Comma_OFFDATA1 (2)" xfId="518"/>
    <cellStyle name="Comma_OFFDATA1_1" xfId="519"/>
    <cellStyle name="Comma_Op Cost Break" xfId="520"/>
    <cellStyle name="Comma_Operations" xfId="521"/>
    <cellStyle name="Comma_opsmacro" xfId="522"/>
    <cellStyle name="Comma_OSMOCPX" xfId="523"/>
    <cellStyle name="Comma_Other Months" xfId="524"/>
    <cellStyle name="Comma_Outlook" xfId="525"/>
    <cellStyle name="Comma_pbdefault" xfId="526"/>
    <cellStyle name="Comma_pbdefault_1" xfId="527"/>
    <cellStyle name="Comma_percentages" xfId="528"/>
    <cellStyle name="Comma_PERSONAL" xfId="529"/>
    <cellStyle name="Comma_PGMKOCPX" xfId="530"/>
    <cellStyle name="Comma_PGNW1" xfId="531"/>
    <cellStyle name="Comma_PGNW2" xfId="532"/>
    <cellStyle name="Comma_PGNWOCPX" xfId="533"/>
    <cellStyle name="Comma_Pink" xfId="534"/>
    <cellStyle name="Comma_PKDATA1" xfId="535"/>
    <cellStyle name="Comma_PKDATA1 (2)" xfId="536"/>
    <cellStyle name="Comma_PKDATA1_1" xfId="537"/>
    <cellStyle name="Comma_Plan" xfId="538"/>
    <cellStyle name="Comma_PLANT" xfId="539"/>
    <cellStyle name="Comma_PLDT" xfId="540"/>
    <cellStyle name="Comma_pldt_1" xfId="541"/>
    <cellStyle name="Comma_PLDT_1_dimon" xfId="542"/>
    <cellStyle name="Comma_pldt_2" xfId="543"/>
    <cellStyle name="Comma_pldt_Calculations" xfId="544"/>
    <cellStyle name="Comma_PLDT_dimon" xfId="545"/>
    <cellStyle name="Comma_priccurv" xfId="546"/>
    <cellStyle name="Comma_PriceCurve" xfId="547"/>
    <cellStyle name="Comma_PriceCurve_1" xfId="548"/>
    <cellStyle name="Comma_PROCDS&amp;G" xfId="549"/>
    <cellStyle name="Comma_PROFILE4" xfId="550"/>
    <cellStyle name="Comma_Projects" xfId="551"/>
    <cellStyle name="Comma_Quarter End Months" xfId="552"/>
    <cellStyle name="Comma_r1" xfId="553"/>
    <cellStyle name="Comma_Real Opr Cf" xfId="554"/>
    <cellStyle name="Comma_Real Rev per Staff (1)" xfId="555"/>
    <cellStyle name="Comma_Real Rev per Staff (2)" xfId="556"/>
    <cellStyle name="Comma_Region 2-C&amp;W" xfId="557"/>
    <cellStyle name="Comma_Return on Rev" xfId="558"/>
    <cellStyle name="Comma_Rev p line" xfId="559"/>
    <cellStyle name="Comma_RFI" xfId="560"/>
    <cellStyle name="Comma_RFI_1" xfId="561"/>
    <cellStyle name="Comma_ROACE" xfId="562"/>
    <cellStyle name="Comma_ROCF (Tot)" xfId="563"/>
    <cellStyle name="Comma_Sales Order" xfId="564"/>
    <cellStyle name="Comma_SATOCPX" xfId="565"/>
    <cellStyle name="Comma_ScreeningModel" xfId="566"/>
    <cellStyle name="Comma_SELECT" xfId="567"/>
    <cellStyle name="Comma_Sheet1" xfId="568"/>
    <cellStyle name="Comma_Sheet1_dimon" xfId="569"/>
    <cellStyle name="Comma_SHENREPT" xfId="570"/>
    <cellStyle name="Comma_Snr. CO" xfId="571"/>
    <cellStyle name="Comma_SPC99-03" xfId="572"/>
    <cellStyle name="Comma_sprint contr" xfId="573"/>
    <cellStyle name="Comma_Staff cost%rev" xfId="574"/>
    <cellStyle name="Comma_Subcont File" xfId="575"/>
    <cellStyle name="Comma_SUMMARY" xfId="576"/>
    <cellStyle name="Comma_Summary Info" xfId="577"/>
    <cellStyle name="Comma_SUMPAGE" xfId="578"/>
    <cellStyle name="Comma_Template" xfId="579"/>
    <cellStyle name="Comma_TESTDATA" xfId="580"/>
    <cellStyle name="Comma_TMSNW1" xfId="581"/>
    <cellStyle name="Comma_TMSNW2" xfId="582"/>
    <cellStyle name="Comma_TMSOCPX" xfId="583"/>
    <cellStyle name="Comma_TOTAL MTH" xfId="584"/>
    <cellStyle name="Comma_TOTAL YTD" xfId="585"/>
    <cellStyle name="Comma_Total-Rev dist." xfId="586"/>
    <cellStyle name="Comma_TRANSDSC.XLS" xfId="587"/>
    <cellStyle name="Comma_TRANSFXA.XLS" xfId="588"/>
    <cellStyle name="Comma_TRANSFXA.XLS_1" xfId="589"/>
    <cellStyle name="Comma_TRANSIME.XLS" xfId="590"/>
    <cellStyle name="Comma_TRANSIME.XLS_TRANSDSC.XLS" xfId="591"/>
    <cellStyle name="Comma_TRANSIME.XLS_TRANSFXA.XLS" xfId="592"/>
    <cellStyle name="Comma_VIRUS-EDY" xfId="593"/>
    <cellStyle name="Comma_White" xfId="594"/>
    <cellStyle name="Comma_WO Var. &amp; Tot. Exp." xfId="595"/>
    <cellStyle name="Comma_WSP" xfId="596"/>
    <cellStyle name="Comma_yrcao" xfId="597"/>
    <cellStyle name="Comma_YREND55" xfId="598"/>
    <cellStyle name="Comma_YREND57" xfId="599"/>
    <cellStyle name="Comma_YTDCUR" xfId="600"/>
    <cellStyle name="Currency [0]_12matrix" xfId="601"/>
    <cellStyle name="Currency [0]_1995" xfId="602"/>
    <cellStyle name="Currency [0]_A" xfId="603"/>
    <cellStyle name="Currency [0]_A_dimon" xfId="604"/>
    <cellStyle name="Currency [0]_A_dimon_1" xfId="605"/>
    <cellStyle name="Currency [0]_ACTUAL" xfId="606"/>
    <cellStyle name="Currency [0]_ACTUAL NA -OBU" xfId="607"/>
    <cellStyle name="Currency [0]_Actual vs." xfId="608"/>
    <cellStyle name="Currency [0]_algasdefault" xfId="609"/>
    <cellStyle name="Currency [0]_Alternative1" xfId="610"/>
    <cellStyle name="Currency [0]_Alternative1_1" xfId="611"/>
    <cellStyle name="Currency [0]_App E" xfId="612"/>
    <cellStyle name="Currency [0]_Apr" xfId="613"/>
    <cellStyle name="Currency [0]_Arapahoe" xfId="614"/>
    <cellStyle name="Currency [0]_Assumptions" xfId="615"/>
    <cellStyle name="Currency [0]_Assumptions_dimon" xfId="616"/>
    <cellStyle name="Currency [0]_Assumptions_summary" xfId="617"/>
    <cellStyle name="Currency [0]_B" xfId="618"/>
    <cellStyle name="Currency [0]_bahiadefault" xfId="619"/>
    <cellStyle name="Currency [0]_Book3" xfId="620"/>
    <cellStyle name="Currency [0]_BOP" xfId="621"/>
    <cellStyle name="Currency [0]_BOPBAL1" xfId="622"/>
    <cellStyle name="Currency [0]_BOPCBU" xfId="623"/>
    <cellStyle name="Currency [0]_BOPCBU (2)" xfId="624"/>
    <cellStyle name="Currency [0]_BOPCBU96" xfId="625"/>
    <cellStyle name="Currency [0]_BSAPPE.XLS" xfId="626"/>
    <cellStyle name="Currency [0]_Calculations" xfId="627"/>
    <cellStyle name="Currency [0]_Calculations (2)" xfId="628"/>
    <cellStyle name="Currency [0]_Calculations II" xfId="629"/>
    <cellStyle name="Currency [0]_Calculations III" xfId="630"/>
    <cellStyle name="Currency [0]_Calculations_1" xfId="631"/>
    <cellStyle name="Currency [0]_CAPEX" xfId="632"/>
    <cellStyle name="Currency [0]_CAPEX94" xfId="633"/>
    <cellStyle name="Currency [0]_CapInt" xfId="634"/>
    <cellStyle name="Currency [0]_Cardig GHS" xfId="635"/>
    <cellStyle name="Currency [0]_Cash Flows" xfId="636"/>
    <cellStyle name="Currency [0]_Cashflow" xfId="637"/>
    <cellStyle name="Currency [0]_CBU BOX CHART V PLAN" xfId="638"/>
    <cellStyle name="Currency [0]_CCA" xfId="639"/>
    <cellStyle name="Currency [0]_CCOCPX" xfId="640"/>
    <cellStyle name="Currency [0]_CFMODEL" xfId="641"/>
    <cellStyle name="Currency [0]_CFTEST49" xfId="642"/>
    <cellStyle name="Currency [0]_CHANGES.XLS" xfId="643"/>
    <cellStyle name="Currency [0]_Charts" xfId="644"/>
    <cellStyle name="Currency [0]_Comm File" xfId="645"/>
    <cellStyle name="Currency [0]_coperdefault" xfId="646"/>
    <cellStyle name="Currency [0]_Corp method" xfId="647"/>
    <cellStyle name="Currency [0]_Cost Code" xfId="648"/>
    <cellStyle name="Currency [0]_CTCUR" xfId="649"/>
    <cellStyle name="Currency [0]_CUMPLTCH" xfId="650"/>
    <cellStyle name="Currency [0]_Curve_Economics" xfId="651"/>
    <cellStyle name="Currency [0]_DEFAULT" xfId="652"/>
    <cellStyle name="Currency [0]_DeskCurves" xfId="653"/>
    <cellStyle name="Currency [0]_dimon" xfId="654"/>
    <cellStyle name="Currency [0]_dimon_1" xfId="655"/>
    <cellStyle name="Currency [0]_dimon_2" xfId="656"/>
    <cellStyle name="Currency [0]_Dowell C1b" xfId="657"/>
    <cellStyle name="Currency [0]_Dowell-C1a" xfId="658"/>
    <cellStyle name="Currency [0]_E&amp;ONW1" xfId="659"/>
    <cellStyle name="Currency [0]_E&amp;ONW2" xfId="660"/>
    <cellStyle name="Currency [0]_E&amp;OOCPX" xfId="661"/>
    <cellStyle name="Currency [0]_emserdefault" xfId="662"/>
    <cellStyle name="Currency [0]_EVER1" xfId="663"/>
    <cellStyle name="Currency [0]_F&amp;COCPX" xfId="664"/>
    <cellStyle name="Currency [0]_FEBRUARY" xfId="665"/>
    <cellStyle name="Currency [0]_FF" xfId="666"/>
    <cellStyle name="Currency [0]_FP 20 A (1)" xfId="667"/>
    <cellStyle name="Currency [0]_FP 20 A (2)" xfId="668"/>
    <cellStyle name="Currency [0]_FP-20 (App. E)" xfId="669"/>
    <cellStyle name="Currency [0]_FP-20 (App.A) " xfId="670"/>
    <cellStyle name="Currency [0]_FP-20 (App.D)" xfId="671"/>
    <cellStyle name="Currency [0]_FP-20(App.B)" xfId="672"/>
    <cellStyle name="Currency [0]_FP-20(C1) (a)" xfId="673"/>
    <cellStyle name="Currency [0]_FP-20(C1) (a) (2)" xfId="674"/>
    <cellStyle name="Currency [0]_FP-20(C1) (b)" xfId="675"/>
    <cellStyle name="Currency [0]_FP-20(C1) (b) " xfId="676"/>
    <cellStyle name="Currency [0]_FP-20(C1) (b) (2)" xfId="677"/>
    <cellStyle name="Currency [0]_GASDATA1" xfId="678"/>
    <cellStyle name="Currency [0]_GASDATA1 (2)" xfId="679"/>
    <cellStyle name="Currency [0]_GCM" xfId="680"/>
    <cellStyle name="Currency [0]_GenAssum" xfId="681"/>
    <cellStyle name="Currency [0]_GenMod" xfId="682"/>
    <cellStyle name="Currency [0]_GP C1a" xfId="683"/>
    <cellStyle name="Currency [0]_GP C1b" xfId="684"/>
    <cellStyle name="Currency [0]_GP_EI_3" xfId="685"/>
    <cellStyle name="Currency [0]_GQ C1A" xfId="686"/>
    <cellStyle name="Currency [0]_GQ C1B" xfId="687"/>
    <cellStyle name="Currency [0]_H" xfId="688"/>
    <cellStyle name="Currency [0]_Inputs" xfId="689"/>
    <cellStyle name="Currency [0]_Int. Data Table" xfId="690"/>
    <cellStyle name="Currency [0]_IPM C1b" xfId="691"/>
    <cellStyle name="Currency [0]_IPMC1a" xfId="692"/>
    <cellStyle name="Currency [0]_IPP" xfId="693"/>
    <cellStyle name="Currency [0]_IS-Hold" xfId="694"/>
    <cellStyle name="Currency [0]_ITOCPX" xfId="695"/>
    <cellStyle name="Currency [0]_jancf" xfId="696"/>
    <cellStyle name="Currency [0]_JUNMTH55" xfId="697"/>
    <cellStyle name="Currency [0]_JUNMTH57" xfId="698"/>
    <cellStyle name="Currency [0]_JUNYTD55" xfId="699"/>
    <cellStyle name="Currency [0]_JUNYTD57" xfId="700"/>
    <cellStyle name="Currency [0]_laroux" xfId="701"/>
    <cellStyle name="Currency [0]_laroux_1" xfId="702"/>
    <cellStyle name="Currency [0]_laroux_1995" xfId="703"/>
    <cellStyle name="Currency [0]_laroux_1_dimon" xfId="704"/>
    <cellStyle name="Currency [0]_laroux_1_dimon_1" xfId="705"/>
    <cellStyle name="Currency [0]_laroux_1_dimon_2" xfId="706"/>
    <cellStyle name="Currency [0]_laroux_1_dimon_3" xfId="707"/>
    <cellStyle name="Currency [0]_laroux_1_laroux" xfId="708"/>
    <cellStyle name="Currency [0]_laroux_1_laroux_1" xfId="709"/>
    <cellStyle name="Currency [0]_laroux_1_laroux_dimon" xfId="710"/>
    <cellStyle name="Currency [0]_laroux_1_Locas" xfId="711"/>
    <cellStyle name="Currency [0]_laroux_1_pldt" xfId="712"/>
    <cellStyle name="Currency [0]_laroux_1_PLDT_dimon" xfId="713"/>
    <cellStyle name="Currency [0]_laroux_1_VERA" xfId="714"/>
    <cellStyle name="Currency [0]_laroux_1_VERA_1" xfId="715"/>
    <cellStyle name="Currency [0]_laroux_1_VIRUS-EDY" xfId="716"/>
    <cellStyle name="Currency [0]_laroux_2" xfId="717"/>
    <cellStyle name="Currency [0]_laroux_2_dimon" xfId="718"/>
    <cellStyle name="Currency [0]_laroux_2_dimon_1" xfId="719"/>
    <cellStyle name="Currency [0]_laroux_2_dimon_2" xfId="720"/>
    <cellStyle name="Currency [0]_laroux_2_dimon_3" xfId="721"/>
    <cellStyle name="Currency [0]_laroux_2_laroux" xfId="722"/>
    <cellStyle name="Currency [0]_laroux_2_laroux_dimon" xfId="723"/>
    <cellStyle name="Currency [0]_laroux_2_Locas" xfId="724"/>
    <cellStyle name="Currency [0]_laroux_2_pldt" xfId="725"/>
    <cellStyle name="Currency [0]_laroux_2_PLDT_dimon" xfId="726"/>
    <cellStyle name="Currency [0]_laroux_2_VIRUS-EDY" xfId="727"/>
    <cellStyle name="Currency [0]_laroux_3" xfId="728"/>
    <cellStyle name="Currency [0]_laroux_3_dimon" xfId="729"/>
    <cellStyle name="Currency [0]_laroux_3_dimon_1" xfId="730"/>
    <cellStyle name="Currency [0]_laroux_3_dimon_2" xfId="731"/>
    <cellStyle name="Currency [0]_laroux_3_dimon_3" xfId="732"/>
    <cellStyle name="Currency [0]_laroux_4" xfId="733"/>
    <cellStyle name="Currency [0]_laroux_4_dimon" xfId="734"/>
    <cellStyle name="Currency [0]_laroux_4_dimon_1" xfId="735"/>
    <cellStyle name="Currency [0]_laroux_5" xfId="736"/>
    <cellStyle name="Currency [0]_laroux_6" xfId="737"/>
    <cellStyle name="Currency [0]_laroux_7" xfId="738"/>
    <cellStyle name="Currency [0]_laroux_dimon" xfId="739"/>
    <cellStyle name="Currency [0]_laroux_dimon_1" xfId="740"/>
    <cellStyle name="Currency [0]_laroux_dimon_2" xfId="741"/>
    <cellStyle name="Currency [0]_laroux_dimon_3" xfId="742"/>
    <cellStyle name="Currency [0]_laroux_laroux" xfId="743"/>
    <cellStyle name="Currency [0]_laroux_laroux_1" xfId="744"/>
    <cellStyle name="Currency [0]_laroux_laroux_1_dimon" xfId="745"/>
    <cellStyle name="Currency [0]_laroux_laroux_dimon" xfId="746"/>
    <cellStyle name="Currency [0]_laroux_Locas" xfId="747"/>
    <cellStyle name="Currency [0]_laroux_MATERAL2" xfId="748"/>
    <cellStyle name="Currency [0]_laroux_MATERAL2_dimon" xfId="749"/>
    <cellStyle name="Currency [0]_laroux_MATERAL2_dimon_1" xfId="750"/>
    <cellStyle name="Currency [0]_laroux_MATERAL2_laroux" xfId="751"/>
    <cellStyle name="Currency [0]_laroux_MATERAL2_laroux_dimon" xfId="752"/>
    <cellStyle name="Currency [0]_laroux_MATERAL2_pldt" xfId="753"/>
    <cellStyle name="Currency [0]_laroux_MATERAL2_VERA" xfId="754"/>
    <cellStyle name="Currency [0]_laroux_MATERAL2_VIRUS-EDY" xfId="755"/>
    <cellStyle name="Currency [0]_laroux_mud plant bolted" xfId="756"/>
    <cellStyle name="Currency [0]_laroux_mud plant bolted_dimon" xfId="757"/>
    <cellStyle name="Currency [0]_laroux_mud plant bolted_dimon_1" xfId="758"/>
    <cellStyle name="Currency [0]_laroux_pldt" xfId="759"/>
    <cellStyle name="Currency [0]_laroux_pldt_1" xfId="760"/>
    <cellStyle name="Currency [0]_laroux_VERA" xfId="761"/>
    <cellStyle name="Currency [0]_laroux_VERA_1" xfId="762"/>
    <cellStyle name="Currency [0]_laroux_VIRUS-EDY" xfId="763"/>
    <cellStyle name="Currency [0]_List" xfId="764"/>
    <cellStyle name="Currency [0]_MATERAL2" xfId="765"/>
    <cellStyle name="Currency [0]_MATERAL2_dimon" xfId="766"/>
    <cellStyle name="Currency [0]_MATERAL2_dimon_1" xfId="767"/>
    <cellStyle name="Currency [0]_MKGOCPX" xfId="768"/>
    <cellStyle name="Currency [0]_MOBCPX" xfId="769"/>
    <cellStyle name="Currency [0]_Module1" xfId="770"/>
    <cellStyle name="Currency [0]_mud plant bolted" xfId="771"/>
    <cellStyle name="Currency [0]_mud plant bolted_dimon" xfId="772"/>
    <cellStyle name="Currency [0]_mud plant bolted_dimon_1" xfId="773"/>
    <cellStyle name="Currency [0]_mud plant bolted_laroux" xfId="774"/>
    <cellStyle name="Currency [0]_mud plant bolted_laroux_dimon" xfId="775"/>
    <cellStyle name="Currency [0]_mud plant bolted_pldt" xfId="776"/>
    <cellStyle name="Currency [0]_mud plant bolted_VERA" xfId="777"/>
    <cellStyle name="Currency [0]_mud plant bolted_VIRUS-EDY" xfId="778"/>
    <cellStyle name="Currency [0]_NA WITHOUT GOV'T &amp; PNX" xfId="779"/>
    <cellStyle name="Currency [0]_NAOBU10" xfId="780"/>
    <cellStyle name="Currency [0]_NAT ACCT" xfId="781"/>
    <cellStyle name="Currency [0]_NSACTUAL.XLS" xfId="782"/>
    <cellStyle name="Currency [0]_NX00" xfId="783"/>
    <cellStyle name="Currency [0]_Odner" xfId="784"/>
    <cellStyle name="Currency [0]_Odner (2)" xfId="785"/>
    <cellStyle name="Currency [0]_Odner (3)" xfId="786"/>
    <cellStyle name="Currency [0]_OFFDATA1" xfId="787"/>
    <cellStyle name="Currency [0]_OFFDATA1 (2)" xfId="788"/>
    <cellStyle name="Currency [0]_Operations" xfId="789"/>
    <cellStyle name="Currency [0]_opsmacro" xfId="790"/>
    <cellStyle name="Currency [0]_OSMOCPX" xfId="791"/>
    <cellStyle name="Currency [0]_Other Months" xfId="792"/>
    <cellStyle name="Currency [0]_Outlook" xfId="793"/>
    <cellStyle name="Currency [0]_pbdefault" xfId="794"/>
    <cellStyle name="Currency [0]_percentages" xfId="795"/>
    <cellStyle name="Currency [0]_PERSONAL" xfId="796"/>
    <cellStyle name="Currency [0]_PGMKOCPX" xfId="797"/>
    <cellStyle name="Currency [0]_PGNW1" xfId="798"/>
    <cellStyle name="Currency [0]_PGNW2" xfId="799"/>
    <cellStyle name="Currency [0]_PGNWOCPX" xfId="800"/>
    <cellStyle name="Currency [0]_Pink" xfId="801"/>
    <cellStyle name="Currency [0]_PKDATA1" xfId="802"/>
    <cellStyle name="Currency [0]_PKDATA1 (2)" xfId="803"/>
    <cellStyle name="Currency [0]_Plan" xfId="804"/>
    <cellStyle name="Currency [0]_PLANT" xfId="805"/>
    <cellStyle name="Currency [0]_PLDT" xfId="806"/>
    <cellStyle name="Currency [0]_pldt_1" xfId="807"/>
    <cellStyle name="Currency [0]_PLDT_1_dimon" xfId="808"/>
    <cellStyle name="Currency [0]_pldt_1_dimon_1" xfId="809"/>
    <cellStyle name="Currency [0]_pldt_2" xfId="810"/>
    <cellStyle name="Currency [0]_pldt_Calculations" xfId="811"/>
    <cellStyle name="Currency [0]_PLDT_dimon" xfId="812"/>
    <cellStyle name="Currency [0]_pldt_dimon_1" xfId="813"/>
    <cellStyle name="Currency [0]_priccurv" xfId="814"/>
    <cellStyle name="Currency [0]_PriceCurve" xfId="815"/>
    <cellStyle name="Currency [0]_PriceCurve_1" xfId="816"/>
    <cellStyle name="Currency [0]_PROCDS&amp;G" xfId="817"/>
    <cellStyle name="Currency [0]_PROFILE4" xfId="818"/>
    <cellStyle name="Currency [0]_Projects" xfId="819"/>
    <cellStyle name="Currency [0]_Quarter End Months" xfId="820"/>
    <cellStyle name="Currency [0]_r1" xfId="821"/>
    <cellStyle name="Currency [0]_RFI" xfId="822"/>
    <cellStyle name="Currency [0]_RFI_1" xfId="823"/>
    <cellStyle name="Currency [0]_Sales Order" xfId="824"/>
    <cellStyle name="Currency [0]_SATOCPX" xfId="825"/>
    <cellStyle name="Currency [0]_ScreeningModel" xfId="826"/>
    <cellStyle name="Currency [0]_SELECT" xfId="827"/>
    <cellStyle name="Currency [0]_Sheet1" xfId="828"/>
    <cellStyle name="Currency [0]_Sheet1 (2)" xfId="829"/>
    <cellStyle name="Currency [0]_Sheet1_dimon" xfId="830"/>
    <cellStyle name="Currency [0]_SHENREPT" xfId="831"/>
    <cellStyle name="Currency [0]_Snr. CO" xfId="832"/>
    <cellStyle name="Currency [0]_sprint contr" xfId="833"/>
    <cellStyle name="Currency [0]_Subcont File" xfId="834"/>
    <cellStyle name="Currency [0]_SUMMARY" xfId="835"/>
    <cellStyle name="Currency [0]_Summary Info" xfId="836"/>
    <cellStyle name="Currency [0]_SUMPAGE" xfId="837"/>
    <cellStyle name="Currency [0]_Template" xfId="838"/>
    <cellStyle name="Currency [0]_TMSNW1" xfId="839"/>
    <cellStyle name="Currency [0]_TMSNW2" xfId="840"/>
    <cellStyle name="Currency [0]_TMSOCPX" xfId="841"/>
    <cellStyle name="Currency [0]_TOTAL MTH" xfId="842"/>
    <cellStyle name="Currency [0]_TOTAL YTD" xfId="843"/>
    <cellStyle name="Currency [0]_TRANSDSC.XLS" xfId="844"/>
    <cellStyle name="Currency [0]_TRANSFXA.XLS" xfId="845"/>
    <cellStyle name="Currency [0]_TRANSFXA.XLS_1" xfId="846"/>
    <cellStyle name="Currency [0]_TRANSIME.XLS" xfId="847"/>
    <cellStyle name="Currency [0]_TRANSIME.XLS_TRANSDSC.XLS" xfId="848"/>
    <cellStyle name="Currency [0]_TRANSIME.XLS_TRANSFXA.XLS" xfId="849"/>
    <cellStyle name="Currency [0]_VERA" xfId="850"/>
    <cellStyle name="Currency [0]_VIRUS-EDY" xfId="851"/>
    <cellStyle name="Currency [0]_VIRUS-EDY_1" xfId="852"/>
    <cellStyle name="Currency [0]_White" xfId="853"/>
    <cellStyle name="Currency [0]_WO Var. &amp; Tot. Exp." xfId="854"/>
    <cellStyle name="Currency [0]_WSP" xfId="855"/>
    <cellStyle name="Currency [0]_yrcao" xfId="856"/>
    <cellStyle name="Currency [0]_YREND55" xfId="857"/>
    <cellStyle name="Currency [0]_YREND57" xfId="858"/>
    <cellStyle name="Currency [0]_YTDCUR" xfId="859"/>
    <cellStyle name="Currency_12matrix" xfId="860"/>
    <cellStyle name="Currency_1995" xfId="861"/>
    <cellStyle name="Currency_A" xfId="862"/>
    <cellStyle name="Currency_A_dimon" xfId="863"/>
    <cellStyle name="Currency_A_dimon_1" xfId="864"/>
    <cellStyle name="Currency_ACTUAL" xfId="865"/>
    <cellStyle name="Currency_ACTUAL NA -OBU" xfId="866"/>
    <cellStyle name="Currency_Actual vs." xfId="867"/>
    <cellStyle name="Currency_algasdefault" xfId="868"/>
    <cellStyle name="Currency_algasdefault_1" xfId="869"/>
    <cellStyle name="Currency_Alternative1" xfId="870"/>
    <cellStyle name="Currency_Alternative1_1" xfId="871"/>
    <cellStyle name="Currency_App E" xfId="872"/>
    <cellStyle name="Currency_Apr" xfId="873"/>
    <cellStyle name="Currency_Arapahoe" xfId="874"/>
    <cellStyle name="Currency_Assumptions" xfId="875"/>
    <cellStyle name="Currency_Assumptions_dimon" xfId="876"/>
    <cellStyle name="Currency_Assumptions_summary" xfId="877"/>
    <cellStyle name="Currency_B" xfId="878"/>
    <cellStyle name="Currency_bahiadefault" xfId="879"/>
    <cellStyle name="Currency_bahiadefault_1" xfId="880"/>
    <cellStyle name="Currency_BIGOUT" xfId="881"/>
    <cellStyle name="Currency_Book3" xfId="882"/>
    <cellStyle name="Currency_BOP" xfId="883"/>
    <cellStyle name="Currency_BOPBAL1" xfId="884"/>
    <cellStyle name="Currency_BOPCBU" xfId="885"/>
    <cellStyle name="Currency_BOPCBU (2)" xfId="886"/>
    <cellStyle name="Currency_BOPCBU96" xfId="887"/>
    <cellStyle name="Currency_BSAPPE.XLS" xfId="888"/>
    <cellStyle name="Currency_Calculations" xfId="889"/>
    <cellStyle name="Currency_Calculations (2)" xfId="890"/>
    <cellStyle name="Currency_Calculations II" xfId="891"/>
    <cellStyle name="Currency_Calculations III" xfId="892"/>
    <cellStyle name="Currency_Calculations_1" xfId="893"/>
    <cellStyle name="Currency_CAPEX" xfId="894"/>
    <cellStyle name="Currency_CAPEX94" xfId="895"/>
    <cellStyle name="Currency_CapInt" xfId="896"/>
    <cellStyle name="Currency_Cardig GHS" xfId="897"/>
    <cellStyle name="Currency_Cash Flows" xfId="898"/>
    <cellStyle name="Currency_Cashflow" xfId="899"/>
    <cellStyle name="Currency_CBU BOX CHART V PLAN" xfId="900"/>
    <cellStyle name="Currency_CCA" xfId="901"/>
    <cellStyle name="Currency_CCOCPX" xfId="902"/>
    <cellStyle name="Currency_CFMODEL" xfId="903"/>
    <cellStyle name="Currency_CFtest3" xfId="904"/>
    <cellStyle name="Currency_CFTEST49" xfId="905"/>
    <cellStyle name="Currency_CHANGES.XLS" xfId="906"/>
    <cellStyle name="Currency_Charts" xfId="907"/>
    <cellStyle name="Currency_Comm File" xfId="908"/>
    <cellStyle name="Currency_coperdefault" xfId="909"/>
    <cellStyle name="Currency_coperdefault_1" xfId="910"/>
    <cellStyle name="Currency_Corp method" xfId="911"/>
    <cellStyle name="Currency_Cost Code" xfId="912"/>
    <cellStyle name="Currency_CTCUR" xfId="913"/>
    <cellStyle name="Currency_CUMPLTCH" xfId="914"/>
    <cellStyle name="Currency_Curve_Economics" xfId="915"/>
    <cellStyle name="Currency_DEFAULT" xfId="916"/>
    <cellStyle name="Currency_DeskCurves" xfId="917"/>
    <cellStyle name="Currency_dimon" xfId="918"/>
    <cellStyle name="Currency_dimon_1" xfId="919"/>
    <cellStyle name="Currency_dimon_2" xfId="920"/>
    <cellStyle name="Currency_Dowell C1b" xfId="921"/>
    <cellStyle name="Currency_Dowell-C1a" xfId="922"/>
    <cellStyle name="Currency_E&amp;ONW1" xfId="923"/>
    <cellStyle name="Currency_E&amp;ONW2" xfId="924"/>
    <cellStyle name="Currency_E&amp;OOCPX" xfId="925"/>
    <cellStyle name="Currency_emserdefault" xfId="926"/>
    <cellStyle name="Currency_emserdefault_1" xfId="927"/>
    <cellStyle name="Currency_EVER1" xfId="928"/>
    <cellStyle name="Currency_F&amp;COCPX" xfId="929"/>
    <cellStyle name="Currency_FEBRUARY" xfId="930"/>
    <cellStyle name="Currency_FF" xfId="931"/>
    <cellStyle name="Currency_FP 20 A (1)" xfId="932"/>
    <cellStyle name="Currency_FP 20 A (2)" xfId="933"/>
    <cellStyle name="Currency_FP-20 (App. E)" xfId="934"/>
    <cellStyle name="Currency_FP-20 (App.A) " xfId="935"/>
    <cellStyle name="Currency_FP-20 (App.D)" xfId="936"/>
    <cellStyle name="Currency_FP-20(App.B)" xfId="937"/>
    <cellStyle name="Currency_FP-20(C1) (a)" xfId="938"/>
    <cellStyle name="Currency_FP-20(C1) (a) (2)" xfId="939"/>
    <cellStyle name="Currency_FP-20(C1) (b)" xfId="940"/>
    <cellStyle name="Currency_FP-20(C1) (b) " xfId="941"/>
    <cellStyle name="Currency_FP-20(C1) (b) (2)" xfId="942"/>
    <cellStyle name="Currency_GASDATA1" xfId="943"/>
    <cellStyle name="Currency_GASDATA1 (2)" xfId="944"/>
    <cellStyle name="Currency_GCM" xfId="945"/>
    <cellStyle name="Currency_GenAssum" xfId="946"/>
    <cellStyle name="Currency_GenMod" xfId="947"/>
    <cellStyle name="Currency_GP C1a" xfId="948"/>
    <cellStyle name="Currency_GP C1b" xfId="949"/>
    <cellStyle name="Currency_GP_EI_3" xfId="950"/>
    <cellStyle name="Currency_GQ C1A" xfId="951"/>
    <cellStyle name="Currency_GQ C1B" xfId="952"/>
    <cellStyle name="Currency_H" xfId="953"/>
    <cellStyle name="Currency_Inputs" xfId="954"/>
    <cellStyle name="Currency_Int. Data Table" xfId="955"/>
    <cellStyle name="Currency_IPM C1b" xfId="956"/>
    <cellStyle name="Currency_IPMC1a" xfId="957"/>
    <cellStyle name="Currency_IPP" xfId="958"/>
    <cellStyle name="Currency_IS-Hold" xfId="959"/>
    <cellStyle name="Currency_ITOCPX" xfId="960"/>
    <cellStyle name="Currency_jancf" xfId="961"/>
    <cellStyle name="Currency_JUNMTH55" xfId="962"/>
    <cellStyle name="Currency_JUNMTH57" xfId="963"/>
    <cellStyle name="Currency_JUNYTD55" xfId="964"/>
    <cellStyle name="Currency_JUNYTD57" xfId="965"/>
    <cellStyle name="Currency_laroux" xfId="966"/>
    <cellStyle name="Currency_laroux_1" xfId="967"/>
    <cellStyle name="Currency_laroux_1995" xfId="968"/>
    <cellStyle name="Currency_laroux_1_dimon" xfId="969"/>
    <cellStyle name="Currency_laroux_1_dimon_1" xfId="970"/>
    <cellStyle name="Currency_laroux_1_dimon_2" xfId="971"/>
    <cellStyle name="Currency_laroux_1_dimon_3" xfId="972"/>
    <cellStyle name="Currency_laroux_1_laroux" xfId="973"/>
    <cellStyle name="Currency_laroux_1_laroux_1" xfId="974"/>
    <cellStyle name="Currency_laroux_1_laroux_dimon" xfId="975"/>
    <cellStyle name="Currency_laroux_1_Locas" xfId="976"/>
    <cellStyle name="Currency_laroux_1_pldt" xfId="977"/>
    <cellStyle name="Currency_laroux_1_PLDT_dimon" xfId="978"/>
    <cellStyle name="Currency_laroux_1_VERA" xfId="979"/>
    <cellStyle name="Currency_laroux_1_VERA_1" xfId="980"/>
    <cellStyle name="Currency_laroux_1_VIRUS-EDY" xfId="981"/>
    <cellStyle name="Currency_laroux_2" xfId="982"/>
    <cellStyle name="Currency_laroux_2_dimon" xfId="983"/>
    <cellStyle name="Currency_laroux_2_dimon_1" xfId="984"/>
    <cellStyle name="Currency_laroux_2_dimon_2" xfId="985"/>
    <cellStyle name="Currency_laroux_2_dimon_3" xfId="986"/>
    <cellStyle name="Currency_laroux_2_laroux" xfId="987"/>
    <cellStyle name="Currency_laroux_2_laroux_dimon" xfId="988"/>
    <cellStyle name="Currency_laroux_2_Locas" xfId="989"/>
    <cellStyle name="Currency_laroux_2_pldt" xfId="990"/>
    <cellStyle name="Currency_laroux_2_PLDT_dimon" xfId="991"/>
    <cellStyle name="Currency_laroux_2_VIRUS-EDY" xfId="992"/>
    <cellStyle name="Currency_laroux_3" xfId="993"/>
    <cellStyle name="Currency_laroux_3_dimon" xfId="994"/>
    <cellStyle name="Currency_laroux_3_dimon_1" xfId="995"/>
    <cellStyle name="Currency_laroux_3_dimon_2" xfId="996"/>
    <cellStyle name="Currency_laroux_3_dimon_3" xfId="997"/>
    <cellStyle name="Currency_laroux_4" xfId="998"/>
    <cellStyle name="Currency_laroux_4_dimon" xfId="999"/>
    <cellStyle name="Currency_laroux_4_dimon_1" xfId="1000"/>
    <cellStyle name="Currency_laroux_5" xfId="1001"/>
    <cellStyle name="Currency_laroux_6" xfId="1002"/>
    <cellStyle name="Currency_laroux_7" xfId="1003"/>
    <cellStyle name="Currency_laroux_8" xfId="1004"/>
    <cellStyle name="Currency_laroux_dimon" xfId="1005"/>
    <cellStyle name="Currency_laroux_dimon_1" xfId="1006"/>
    <cellStyle name="Currency_laroux_dimon_2" xfId="1007"/>
    <cellStyle name="Currency_laroux_dimon_3" xfId="1008"/>
    <cellStyle name="Currency_laroux_laroux" xfId="1009"/>
    <cellStyle name="Currency_laroux_laroux_1" xfId="1010"/>
    <cellStyle name="Currency_laroux_laroux_1_dimon" xfId="1011"/>
    <cellStyle name="Currency_laroux_laroux_dimon" xfId="1012"/>
    <cellStyle name="Currency_laroux_Locas" xfId="1013"/>
    <cellStyle name="Currency_laroux_pldt" xfId="1014"/>
    <cellStyle name="Currency_laroux_pldt_1" xfId="1015"/>
    <cellStyle name="Currency_laroux_VERA" xfId="1016"/>
    <cellStyle name="Currency_laroux_VERA_1" xfId="1017"/>
    <cellStyle name="Currency_laroux_VIRUS-EDY" xfId="1018"/>
    <cellStyle name="Currency_List" xfId="1019"/>
    <cellStyle name="Currency_MATERAL2" xfId="1020"/>
    <cellStyle name="Currency_MATERAL2_dimon" xfId="1021"/>
    <cellStyle name="Currency_MATERAL2_dimon_1" xfId="1022"/>
    <cellStyle name="Currency_MKGOCPX" xfId="1023"/>
    <cellStyle name="Currency_MOBCPX" xfId="1024"/>
    <cellStyle name="Currency_Module1" xfId="1025"/>
    <cellStyle name="Currency_mud plant bolted" xfId="1026"/>
    <cellStyle name="Currency_mud plant bolted_dimon" xfId="1027"/>
    <cellStyle name="Currency_mud plant bolted_dimon_1" xfId="1028"/>
    <cellStyle name="Currency_mud plant bolted_PLDT" xfId="1029"/>
    <cellStyle name="Currency_mud plant bolted_VERA" xfId="1030"/>
    <cellStyle name="Currency_mud plant bolted_VERA_1" xfId="1031"/>
    <cellStyle name="Currency_NA WITHOUT GOV'T &amp; PNX" xfId="1032"/>
    <cellStyle name="Currency_NAOBU10" xfId="1033"/>
    <cellStyle name="Currency_NAT ACCT" xfId="1034"/>
    <cellStyle name="Currency_NSACTUAL.XLS" xfId="1035"/>
    <cellStyle name="Currency_NX00" xfId="1036"/>
    <cellStyle name="Currency_Odner" xfId="1037"/>
    <cellStyle name="Currency_Odner (2)" xfId="1038"/>
    <cellStyle name="Currency_Odner (3)" xfId="1039"/>
    <cellStyle name="Currency_OFFDATA1" xfId="1040"/>
    <cellStyle name="Currency_OFFDATA1 (2)" xfId="1041"/>
    <cellStyle name="Currency_Operations" xfId="1042"/>
    <cellStyle name="Currency_opsmacro" xfId="1043"/>
    <cellStyle name="Currency_OSMOCPX" xfId="1044"/>
    <cellStyle name="Currency_Other Months" xfId="1045"/>
    <cellStyle name="Currency_Outlook" xfId="1046"/>
    <cellStyle name="Currency_pbdefault" xfId="1047"/>
    <cellStyle name="Currency_pbdefault_1" xfId="1048"/>
    <cellStyle name="Currency_percentages" xfId="1049"/>
    <cellStyle name="Currency_PERSONAL" xfId="1050"/>
    <cellStyle name="Currency_PGMKOCPX" xfId="1051"/>
    <cellStyle name="Currency_PGNW1" xfId="1052"/>
    <cellStyle name="Currency_PGNW2" xfId="1053"/>
    <cellStyle name="Currency_PGNWOCPX" xfId="1054"/>
    <cellStyle name="Currency_Pink" xfId="1055"/>
    <cellStyle name="Currency_PKDATA1" xfId="1056"/>
    <cellStyle name="Currency_PKDATA1 (2)" xfId="1057"/>
    <cellStyle name="Currency_Plan" xfId="1058"/>
    <cellStyle name="Currency_PLANT" xfId="1059"/>
    <cellStyle name="Currency_PLDT" xfId="1060"/>
    <cellStyle name="Currency_pldt_1" xfId="1061"/>
    <cellStyle name="Currency_PLDT_1_dimon" xfId="1062"/>
    <cellStyle name="Currency_pldt_1_dimon_1" xfId="1063"/>
    <cellStyle name="Currency_pldt_2" xfId="1064"/>
    <cellStyle name="Currency_pldt_Calculations" xfId="1065"/>
    <cellStyle name="Currency_PLDT_dimon" xfId="1066"/>
    <cellStyle name="Currency_pldt_dimon_1" xfId="1067"/>
    <cellStyle name="Currency_priccurv" xfId="1068"/>
    <cellStyle name="Currency_PriceCurve" xfId="1069"/>
    <cellStyle name="Currency_PriceCurve_1" xfId="1070"/>
    <cellStyle name="Currency_PROCDS&amp;G" xfId="1071"/>
    <cellStyle name="Currency_PROFILE4" xfId="1072"/>
    <cellStyle name="Currency_Projects" xfId="1073"/>
    <cellStyle name="Currency_Quarter End Months" xfId="1074"/>
    <cellStyle name="Currency_r1" xfId="1075"/>
    <cellStyle name="Currency_RFI" xfId="1076"/>
    <cellStyle name="Currency_RFI_1" xfId="1077"/>
    <cellStyle name="Currency_Sales Order" xfId="1078"/>
    <cellStyle name="Currency_SATOCPX" xfId="1079"/>
    <cellStyle name="Currency_ScreeningModel" xfId="1080"/>
    <cellStyle name="Currency_SELECT" xfId="1081"/>
    <cellStyle name="Currency_Sheet1" xfId="1082"/>
    <cellStyle name="Currency_Sheet1 (2)" xfId="1083"/>
    <cellStyle name="Currency_Sheet1_dimon" xfId="1084"/>
    <cellStyle name="Currency_SHENREPT" xfId="1085"/>
    <cellStyle name="Currency_Snr. CO" xfId="1086"/>
    <cellStyle name="Currency_sprint contr" xfId="1087"/>
    <cellStyle name="Currency_Subcont File" xfId="1088"/>
    <cellStyle name="Currency_SUMMARY" xfId="1089"/>
    <cellStyle name="Currency_Summary Info" xfId="1090"/>
    <cellStyle name="Currency_SUMPAGE" xfId="1091"/>
    <cellStyle name="Currency_Template" xfId="1092"/>
    <cellStyle name="Currency_TMSNW1" xfId="1093"/>
    <cellStyle name="Currency_TMSNW2" xfId="1094"/>
    <cellStyle name="Currency_TMSOCPX" xfId="1095"/>
    <cellStyle name="Currency_TOTAL MTH" xfId="1096"/>
    <cellStyle name="Currency_TOTAL YTD" xfId="1097"/>
    <cellStyle name="Currency_TRANSDSC.XLS" xfId="1098"/>
    <cellStyle name="Currency_TRANSFXA.XLS" xfId="1099"/>
    <cellStyle name="Currency_TRANSFXA.XLS_1" xfId="1100"/>
    <cellStyle name="Currency_TRANSIME.XLS" xfId="1101"/>
    <cellStyle name="Currency_TRANSIME.XLS_TRANSDSC.XLS" xfId="1102"/>
    <cellStyle name="Currency_TRANSIME.XLS_TRANSFXA.XLS" xfId="1103"/>
    <cellStyle name="Currency_VERA" xfId="1104"/>
    <cellStyle name="Currency_VIRUS-EDY" xfId="1105"/>
    <cellStyle name="Currency_VIRUS-EDY_1" xfId="1106"/>
    <cellStyle name="Currency_White" xfId="1107"/>
    <cellStyle name="Currency_WO Var. &amp; Tot. Exp." xfId="1108"/>
    <cellStyle name="Currency_WSP" xfId="1109"/>
    <cellStyle name="Currency_yrcao" xfId="1110"/>
    <cellStyle name="Currency_YREND55" xfId="1111"/>
    <cellStyle name="Currency_YREND57" xfId="1112"/>
    <cellStyle name="Currency_YTDCUR" xfId="1113"/>
    <cellStyle name="Date" xfId="1114"/>
    <cellStyle name="Dezimal [0]_Compiling Utility Macros" xfId="1115"/>
    <cellStyle name="Dezimal [0]_FixerSetupDlg" xfId="1116"/>
    <cellStyle name="Dezimal [0]_TemplateInformation" xfId="1117"/>
    <cellStyle name="Dezimal_Compiling Utility Macros" xfId="1118"/>
    <cellStyle name="Dezimal_FixerSetupDlg" xfId="1119"/>
    <cellStyle name="Dezimal_TemplateInformation" xfId="1120"/>
    <cellStyle name="Fixed" xfId="1121"/>
    <cellStyle name="Grey" xfId="1122"/>
    <cellStyle name="HEADER" xfId="1123"/>
    <cellStyle name="Heading 1" xfId="1124"/>
    <cellStyle name="Heading2" xfId="1125"/>
    <cellStyle name="HIGHLIGHT" xfId="1126"/>
    <cellStyle name="Hyperlink_dimon" xfId="1127"/>
    <cellStyle name="Input [yellow]" xfId="1128"/>
    <cellStyle name="no dec" xfId="1129"/>
    <cellStyle name="Normal - Style1" xfId="1130"/>
    <cellStyle name="Normal - Style1_dimon" xfId="1131"/>
    <cellStyle name="Normal_03_06_98 list _ecm deals 030998 excel95" xfId="1132"/>
    <cellStyle name="Normal_12matrix" xfId="1133"/>
    <cellStyle name="Normal_20196" xfId="1134"/>
    <cellStyle name="Normal_4018fin" xfId="1135"/>
    <cellStyle name="Normal_4021fin" xfId="1136"/>
    <cellStyle name="Normal_95CHART" xfId="1137"/>
    <cellStyle name="Normal_A" xfId="1138"/>
    <cellStyle name="Normal_A (2)" xfId="1139"/>
    <cellStyle name="Normal_A_dimon" xfId="1140"/>
    <cellStyle name="Normal_A_dimon_1" xfId="1141"/>
    <cellStyle name="Normal_A_PriceCurve" xfId="1142"/>
    <cellStyle name="Normal_A_VERA" xfId="1143"/>
    <cellStyle name="Normal_ACTUAL" xfId="1144"/>
    <cellStyle name="Normal_ACTUAL NA -OBU" xfId="1145"/>
    <cellStyle name="Normal_Actual vs." xfId="1146"/>
    <cellStyle name="Normal_ACTUAL_1" xfId="1147"/>
    <cellStyle name="Normal_ACTUAL_NA WITHOUT GOV'T &amp; PNX" xfId="1148"/>
    <cellStyle name="Normal_algasdefault" xfId="1149"/>
    <cellStyle name="Normal_algasdefault_1" xfId="1150"/>
    <cellStyle name="Normal_Alternative1" xfId="1151"/>
    <cellStyle name="Normal_Alternative1_1" xfId="1152"/>
    <cellStyle name="Normal_AOPS" xfId="1153"/>
    <cellStyle name="Normal_App E" xfId="1154"/>
    <cellStyle name="Normal_APR" xfId="1155"/>
    <cellStyle name="Normal_APR_laroux" xfId="1156"/>
    <cellStyle name="Normal_Apr_pldt" xfId="1157"/>
    <cellStyle name="Normal_Arapahoe" xfId="1158"/>
    <cellStyle name="Normal_Assumptions" xfId="1159"/>
    <cellStyle name="Normal_Assumptions_dimon" xfId="1160"/>
    <cellStyle name="Normal_Assumptions_summary" xfId="1161"/>
    <cellStyle name="Normal_B" xfId="1162"/>
    <cellStyle name="Normal_bahiadefault" xfId="1163"/>
    <cellStyle name="Normal_bahiadefault_1" xfId="1164"/>
    <cellStyle name="Normal_BIGOUT" xfId="1165"/>
    <cellStyle name="Normal_Book3" xfId="1166"/>
    <cellStyle name="Normal_Book3_dimon" xfId="1167"/>
    <cellStyle name="Normal_BOP" xfId="1168"/>
    <cellStyle name="Normal_BOPBAL1" xfId="1169"/>
    <cellStyle name="Normal_BOPCBU" xfId="1170"/>
    <cellStyle name="Normal_BOPCBU (2)" xfId="1171"/>
    <cellStyle name="Normal_BOPCBU96" xfId="1172"/>
    <cellStyle name="Normal_BREPAIR" xfId="1173"/>
    <cellStyle name="Normal_BSAPPE.XLS" xfId="1174"/>
    <cellStyle name="Normal_BUDGET" xfId="1175"/>
    <cellStyle name="Normal_C-Cap intensity" xfId="1176"/>
    <cellStyle name="Normal_C-Capex%rev" xfId="1177"/>
    <cellStyle name="Normal_C-Line per Staff" xfId="1178"/>
    <cellStyle name="Normal_C-lines distribution" xfId="1179"/>
    <cellStyle name="Normal_C-Orig PLDT lines" xfId="1180"/>
    <cellStyle name="Normal_C-Ret on Rev" xfId="1181"/>
    <cellStyle name="Normal_C-ROACE" xfId="1182"/>
    <cellStyle name="Normal_Calculations" xfId="1183"/>
    <cellStyle name="Normal_Calculations (2)" xfId="1184"/>
    <cellStyle name="Normal_Calculations II" xfId="1185"/>
    <cellStyle name="Normal_Calculations II_1" xfId="1186"/>
    <cellStyle name="Normal_Calculations III" xfId="1187"/>
    <cellStyle name="Normal_Calculations_1" xfId="1188"/>
    <cellStyle name="Normal_Calculations_2" xfId="1189"/>
    <cellStyle name="Normal_Capex" xfId="1190"/>
    <cellStyle name="Normal_Capex per line" xfId="1191"/>
    <cellStyle name="Normal_Capex%rev" xfId="1192"/>
    <cellStyle name="Normal_CAPEX2" xfId="1193"/>
    <cellStyle name="Normal_CAPEX94" xfId="1194"/>
    <cellStyle name="Normal_CAPEX_dimon" xfId="1195"/>
    <cellStyle name="Normal_CAPEX_VERA" xfId="1196"/>
    <cellStyle name="Normal_CAPEXPWI.XLS" xfId="1197"/>
    <cellStyle name="Normal_CAPEXPWO.XLS" xfId="1198"/>
    <cellStyle name="Normal_CapInt" xfId="1199"/>
    <cellStyle name="Normal_Cardig GHS" xfId="1200"/>
    <cellStyle name="Normal_Cash Flows" xfId="1201"/>
    <cellStyle name="Normal_Cashflow" xfId="1202"/>
    <cellStyle name="Normal_CBU BOX CHART V PLAN" xfId="1203"/>
    <cellStyle name="Normal_CBU BOX CHART V PLAN_1" xfId="1204"/>
    <cellStyle name="Normal_CCOCPX" xfId="1205"/>
    <cellStyle name="Normal_CEL-C-CO.XLS" xfId="1206"/>
    <cellStyle name="Normal_Certs Q2" xfId="1207"/>
    <cellStyle name="Normal_Certs Q2 (2)" xfId="1208"/>
    <cellStyle name="Normal_CFMACROS.XLM" xfId="1209"/>
    <cellStyle name="Normal_CFMODEL" xfId="1210"/>
    <cellStyle name="Normal_CFMODEL.XLS" xfId="1211"/>
    <cellStyle name="Normal_CFTEST49" xfId="1212"/>
    <cellStyle name="Normal_CHANGES.XLS" xfId="1213"/>
    <cellStyle name="Normal_CHANGES.XLS_1" xfId="1214"/>
    <cellStyle name="Normal_ChgLoan" xfId="1215"/>
    <cellStyle name="Normal_Cht-Capex per line" xfId="1216"/>
    <cellStyle name="Normal_Cht-Cum Real Opr Cf" xfId="1217"/>
    <cellStyle name="Normal_Cht-Dep%Rev" xfId="1218"/>
    <cellStyle name="Normal_Cht-Real Opr Cf" xfId="1219"/>
    <cellStyle name="Normal_Cht-Rev dist" xfId="1220"/>
    <cellStyle name="Normal_Cht-Rev p line" xfId="1221"/>
    <cellStyle name="Normal_Cht-Rev per Staff" xfId="1222"/>
    <cellStyle name="Normal_Cht-Staff cost%revenue" xfId="1223"/>
    <cellStyle name="Normal_Co-wide Monthly" xfId="1224"/>
    <cellStyle name="Normal_Co-wide Monthly_dimon" xfId="1225"/>
    <cellStyle name="Normal_Code" xfId="1226"/>
    <cellStyle name="Normal_COMOTH" xfId="1227"/>
    <cellStyle name="Normal_coperdefault" xfId="1228"/>
    <cellStyle name="Normal_coperdefault_1" xfId="1229"/>
    <cellStyle name="Normal_Corp method" xfId="1230"/>
    <cellStyle name="Normal_Cost Code" xfId="1231"/>
    <cellStyle name="Normal_CROCF" xfId="1232"/>
    <cellStyle name="Normal_CTCUR" xfId="1233"/>
    <cellStyle name="Normal_Cum Real Opr Cf" xfId="1234"/>
    <cellStyle name="Normal_CUMPLTCH" xfId="1235"/>
    <cellStyle name="Normal_CurrencySKorea" xfId="1236"/>
    <cellStyle name="Normal_Curve_Economics" xfId="1237"/>
    <cellStyle name="Normal_Curve_Economics_1" xfId="1238"/>
    <cellStyle name="Normal_DEFAULT" xfId="1239"/>
    <cellStyle name="Normal_Demand Fcst." xfId="1240"/>
    <cellStyle name="Normal_Dep%Rev" xfId="1241"/>
    <cellStyle name="Normal_DeskCurves" xfId="1242"/>
    <cellStyle name="Normal_dimon" xfId="1243"/>
    <cellStyle name="Normal_dimon_1" xfId="1244"/>
    <cellStyle name="Normal_dimon_2" xfId="1245"/>
    <cellStyle name="Normal_dimon_3" xfId="1246"/>
    <cellStyle name="Normal_dimon_4" xfId="1247"/>
    <cellStyle name="Normal_DIV" xfId="1248"/>
    <cellStyle name="Normal_Dowell C1b" xfId="1249"/>
    <cellStyle name="Normal_Dowell-C1a" xfId="1250"/>
    <cellStyle name="Normal_DRAFT Order Summary" xfId="1251"/>
    <cellStyle name="Normal_E&amp;ONW1" xfId="1252"/>
    <cellStyle name="Normal_E&amp;ONW2" xfId="1253"/>
    <cellStyle name="Normal_E&amp;OOCPX" xfId="1254"/>
    <cellStyle name="Normal_emserdefault" xfId="1255"/>
    <cellStyle name="Normal_emserdefault_1" xfId="1256"/>
    <cellStyle name="Normal_EPS" xfId="1257"/>
    <cellStyle name="Normal_EQCON" xfId="1258"/>
    <cellStyle name="Normal_EVER1" xfId="1259"/>
    <cellStyle name="Normal_export 61898" xfId="1260"/>
    <cellStyle name="Normal_export deals 050898" xfId="1261"/>
    <cellStyle name="Normal_EXTEMP1" xfId="1262"/>
    <cellStyle name="Normal_F&amp;COCPX" xfId="1263"/>
    <cellStyle name="Normal_FEBRUARY" xfId="1264"/>
    <cellStyle name="Normal_FF" xfId="1265"/>
    <cellStyle name="Normal_FP 20 A (1)" xfId="1266"/>
    <cellStyle name="Normal_FP 20 A (2)" xfId="1267"/>
    <cellStyle name="Normal_FP-20 (App. E)" xfId="1268"/>
    <cellStyle name="Normal_FP-20 (App.A) " xfId="1269"/>
    <cellStyle name="Normal_FP-20 (App.A) _1" xfId="1270"/>
    <cellStyle name="Normal_FP-20(C1) (a)" xfId="1271"/>
    <cellStyle name="Normal_FP-20(C1) (a) (2)" xfId="1272"/>
    <cellStyle name="Normal_FP-20(C1) (a)_1" xfId="1273"/>
    <cellStyle name="Normal_FP-20(C1) (b)" xfId="1274"/>
    <cellStyle name="Normal_FP-20(C1) (b) " xfId="1275"/>
    <cellStyle name="Normal_FP-20(C1) (b) (2)" xfId="1276"/>
    <cellStyle name="Normal_FP-20(C1) (e)" xfId="1277"/>
    <cellStyle name="Normal_FP20_C1A" xfId="1278"/>
    <cellStyle name="Normal_FP20_C1B" xfId="1279"/>
    <cellStyle name="Normal_GASDATA1" xfId="1280"/>
    <cellStyle name="Normal_GASDATA1 (2)" xfId="1281"/>
    <cellStyle name="Normal_GASDATA1_1" xfId="1282"/>
    <cellStyle name="Normal_GCM" xfId="1283"/>
    <cellStyle name="Normal_GE03" xfId="1284"/>
    <cellStyle name="Normal_GE04" xfId="1285"/>
    <cellStyle name="Normal_GenAssum" xfId="1286"/>
    <cellStyle name="Normal_GenMod" xfId="1287"/>
    <cellStyle name="Normal_GP C1a" xfId="1288"/>
    <cellStyle name="Normal_GP C1b" xfId="1289"/>
    <cellStyle name="Normal_GP_EI_3" xfId="1290"/>
    <cellStyle name="Normal_GQ C1A" xfId="1291"/>
    <cellStyle name="Normal_GQ C1B" xfId="1292"/>
    <cellStyle name="Normal_H" xfId="1293"/>
    <cellStyle name="Normal_HC" xfId="1294"/>
    <cellStyle name="Normal_Igobox" xfId="1295"/>
    <cellStyle name="Normal_Igobox_1" xfId="1296"/>
    <cellStyle name="Normal_Igobox_2" xfId="1297"/>
    <cellStyle name="Normal_Igobox_Imacros" xfId="1298"/>
    <cellStyle name="Normal_Igobox_IPP" xfId="1299"/>
    <cellStyle name="Normal_Igobox_Iprintbox" xfId="1300"/>
    <cellStyle name="Normal_Imacros" xfId="1301"/>
    <cellStyle name="Normal_Imacros_1" xfId="1302"/>
    <cellStyle name="Normal_Imacros_2" xfId="1303"/>
    <cellStyle name="Normal_Input" xfId="1304"/>
    <cellStyle name="Normal_INPUT_1" xfId="1305"/>
    <cellStyle name="Normal_INPUT_GenAssum" xfId="1306"/>
    <cellStyle name="Normal_Inputs" xfId="1307"/>
    <cellStyle name="Normal_Inputs_dimon" xfId="1308"/>
    <cellStyle name="Normal_Int. Data Table" xfId="1309"/>
    <cellStyle name="Normal_Int. Data Table_1" xfId="1310"/>
    <cellStyle name="Normal_INVREV" xfId="1311"/>
    <cellStyle name="Normal_IPM C1b" xfId="1312"/>
    <cellStyle name="Normal_IPMC1a" xfId="1313"/>
    <cellStyle name="Normal_IPP" xfId="1314"/>
    <cellStyle name="Normal_IPP_1" xfId="1315"/>
    <cellStyle name="Normal_IPP_1_Igobox" xfId="1316"/>
    <cellStyle name="Normal_IPP_1_Imacros" xfId="1317"/>
    <cellStyle name="Normal_IPP_1_Iprintbox" xfId="1318"/>
    <cellStyle name="Normal_IPP_2" xfId="1319"/>
    <cellStyle name="Normal_IPP_dimon" xfId="1320"/>
    <cellStyle name="Normal_Iprintbox" xfId="1321"/>
    <cellStyle name="Normal_Iprintbox_1" xfId="1322"/>
    <cellStyle name="Normal_Iprintbox_2" xfId="1323"/>
    <cellStyle name="Normal_IRR" xfId="1324"/>
    <cellStyle name="Normal_IS-Hold" xfId="1325"/>
    <cellStyle name="Normal_Iterbox" xfId="1326"/>
    <cellStyle name="Normal_ITOCPX" xfId="1327"/>
    <cellStyle name="Normal_jancf" xfId="1328"/>
    <cellStyle name="Normal_JUNMTH55" xfId="1329"/>
    <cellStyle name="Normal_JUNMTH57" xfId="1330"/>
    <cellStyle name="Normal_JUNYTD55" xfId="1331"/>
    <cellStyle name="Normal_JUNYTD57" xfId="1332"/>
    <cellStyle name="Normal_laroux" xfId="1333"/>
    <cellStyle name="Normal_laroux_1" xfId="1334"/>
    <cellStyle name="Normal_laroux_1_dimon" xfId="1335"/>
    <cellStyle name="Normal_laroux_1_dimon_1" xfId="1336"/>
    <cellStyle name="Normal_laroux_1_dimon_2" xfId="1337"/>
    <cellStyle name="Normal_laroux_1_laroux" xfId="1338"/>
    <cellStyle name="Normal_laroux_1_laroux_1" xfId="1339"/>
    <cellStyle name="Normal_laroux_1_laroux_2" xfId="1340"/>
    <cellStyle name="Normal_laroux_1_Locas" xfId="1341"/>
    <cellStyle name="Normal_laroux_1_Locas_1" xfId="1342"/>
    <cellStyle name="Normal_laroux_1_pldt" xfId="1343"/>
    <cellStyle name="Normal_laroux_1_pldt_1" xfId="1344"/>
    <cellStyle name="Normal_laroux_1_pldt_2" xfId="1345"/>
    <cellStyle name="Normal_laroux_1_pldt_3" xfId="1346"/>
    <cellStyle name="Normal_laroux_1_PLDT_dimon" xfId="1347"/>
    <cellStyle name="Normal_laroux_1_VERA" xfId="1348"/>
    <cellStyle name="Normal_laroux_1_VERA_1" xfId="1349"/>
    <cellStyle name="Normal_laroux_1_VIRUS-EDY" xfId="1350"/>
    <cellStyle name="Normal_laroux_2" xfId="1351"/>
    <cellStyle name="Normal_laroux_2_dimon" xfId="1352"/>
    <cellStyle name="Normal_laroux_2_dimon_1" xfId="1353"/>
    <cellStyle name="Normal_laroux_2_dimon_2" xfId="1354"/>
    <cellStyle name="Normal_laroux_2_dimon_3" xfId="1355"/>
    <cellStyle name="Normal_laroux_2_laroux" xfId="1356"/>
    <cellStyle name="Normal_laroux_2_laroux_1" xfId="1357"/>
    <cellStyle name="Normal_laroux_2_laroux_2" xfId="1358"/>
    <cellStyle name="Normal_laroux_2_Locas" xfId="1359"/>
    <cellStyle name="Normal_laroux_2_Locas_1" xfId="1360"/>
    <cellStyle name="Normal_laroux_2_pldt" xfId="1361"/>
    <cellStyle name="Normal_laroux_2_pldt_1" xfId="1362"/>
    <cellStyle name="Normal_laroux_2_pldt_2" xfId="1363"/>
    <cellStyle name="Normal_laroux_2_VIRUS-EDY" xfId="1364"/>
    <cellStyle name="Normal_laroux_3" xfId="1365"/>
    <cellStyle name="Normal_laroux_3_dimon" xfId="1366"/>
    <cellStyle name="Normal_laroux_3_dimon_1" xfId="1367"/>
    <cellStyle name="Normal_laroux_3_dimon_2" xfId="1368"/>
    <cellStyle name="Normal_laroux_3_dimon_3" xfId="1369"/>
    <cellStyle name="Normal_laroux_3_dimon_4" xfId="1370"/>
    <cellStyle name="Normal_laroux_3_laroux" xfId="1371"/>
    <cellStyle name="Normal_laroux_3_laroux_1" xfId="1372"/>
    <cellStyle name="Normal_laroux_3_laroux_2" xfId="1373"/>
    <cellStyle name="Normal_laroux_3_laroux_dimon" xfId="1374"/>
    <cellStyle name="Normal_laroux_3_Locas" xfId="1375"/>
    <cellStyle name="Normal_laroux_3_pldt" xfId="1376"/>
    <cellStyle name="Normal_laroux_3_pldt_1" xfId="1377"/>
    <cellStyle name="Normal_laroux_3_PLDT_dimon" xfId="1378"/>
    <cellStyle name="Normal_laroux_3_VERA" xfId="1379"/>
    <cellStyle name="Normal_laroux_3_VERA_1" xfId="1380"/>
    <cellStyle name="Normal_laroux_3_VIRUS-EDY" xfId="1381"/>
    <cellStyle name="Normal_laroux_4" xfId="1382"/>
    <cellStyle name="Normal_laroux_4_dimon" xfId="1383"/>
    <cellStyle name="Normal_laroux_4_dimon_1" xfId="1384"/>
    <cellStyle name="Normal_laroux_4_dimon_2" xfId="1385"/>
    <cellStyle name="Normal_laroux_4_dimon_3" xfId="1386"/>
    <cellStyle name="Normal_laroux_4_laroux" xfId="1387"/>
    <cellStyle name="Normal_laroux_4_laroux_1" xfId="1388"/>
    <cellStyle name="Normal_laroux_4_laroux_2" xfId="1389"/>
    <cellStyle name="Normal_laroux_4_pldt" xfId="1390"/>
    <cellStyle name="Normal_laroux_4_pldt_1" xfId="1391"/>
    <cellStyle name="Normal_laroux_4_pldt_2" xfId="1392"/>
    <cellStyle name="Normal_laroux_4_PLDT_dimon" xfId="1393"/>
    <cellStyle name="Normal_laroux_4_VERA" xfId="1394"/>
    <cellStyle name="Normal_laroux_4_VIRUS-EDY" xfId="1395"/>
    <cellStyle name="Normal_laroux_5" xfId="1396"/>
    <cellStyle name="Normal_laroux_5_dimon" xfId="1397"/>
    <cellStyle name="Normal_laroux_5_dimon_1" xfId="1398"/>
    <cellStyle name="Normal_laroux_5_dimon_2" xfId="1399"/>
    <cellStyle name="Normal_laroux_5_dimon_3" xfId="1400"/>
    <cellStyle name="Normal_laroux_5_laroux" xfId="1401"/>
    <cellStyle name="Normal_laroux_5_laroux_1" xfId="1402"/>
    <cellStyle name="Normal_laroux_5_laroux_2" xfId="1403"/>
    <cellStyle name="Normal_laroux_5_pldt" xfId="1404"/>
    <cellStyle name="Normal_laroux_5_pldt_1" xfId="1405"/>
    <cellStyle name="Normal_laroux_5_pldt_2" xfId="1406"/>
    <cellStyle name="Normal_laroux_5_pldt_3" xfId="1407"/>
    <cellStyle name="Normal_laroux_5_PLDT_dimon" xfId="1408"/>
    <cellStyle name="Normal_laroux_5_VERA" xfId="1409"/>
    <cellStyle name="Normal_laroux_5_VIRUS-EDY" xfId="1410"/>
    <cellStyle name="Normal_laroux_6" xfId="1411"/>
    <cellStyle name="Normal_laroux_6_dimon" xfId="1412"/>
    <cellStyle name="Normal_laroux_6_dimon_1" xfId="1413"/>
    <cellStyle name="Normal_laroux_6_dimon_2" xfId="1414"/>
    <cellStyle name="Normal_laroux_6_dimon_3" xfId="1415"/>
    <cellStyle name="Normal_laroux_6_laroux" xfId="1416"/>
    <cellStyle name="Normal_laroux_6_laroux_1" xfId="1417"/>
    <cellStyle name="Normal_laroux_6_laroux_dimon" xfId="1418"/>
    <cellStyle name="Normal_laroux_6_pldt" xfId="1419"/>
    <cellStyle name="Normal_laroux_6_pldt_1" xfId="1420"/>
    <cellStyle name="Normal_laroux_6_pldt_2" xfId="1421"/>
    <cellStyle name="Normal_laroux_6_PLDT_dimon" xfId="1422"/>
    <cellStyle name="Normal_laroux_6_VERA" xfId="1423"/>
    <cellStyle name="Normal_laroux_6_VIRUS-EDY" xfId="1424"/>
    <cellStyle name="Normal_laroux_7" xfId="1425"/>
    <cellStyle name="Normal_laroux_7_dimon" xfId="1426"/>
    <cellStyle name="Normal_laroux_7_dimon_1" xfId="1427"/>
    <cellStyle name="Normal_laroux_7_dimon_2" xfId="1428"/>
    <cellStyle name="Normal_laroux_7_laroux" xfId="1429"/>
    <cellStyle name="Normal_laroux_7_pldt" xfId="1430"/>
    <cellStyle name="Normal_laroux_7_pldt_1" xfId="1431"/>
    <cellStyle name="Normal_laroux_7_VERA" xfId="1432"/>
    <cellStyle name="Normal_laroux_7_VIRUS-EDY" xfId="1433"/>
    <cellStyle name="Normal_laroux_8" xfId="1434"/>
    <cellStyle name="Normal_laroux_8_dimon" xfId="1435"/>
    <cellStyle name="Normal_laroux_8_dimon_1" xfId="1436"/>
    <cellStyle name="Normal_laroux_8_pldt" xfId="1437"/>
    <cellStyle name="Normal_laroux_8_pldt_1" xfId="1438"/>
    <cellStyle name="Normal_laroux_8_VERA" xfId="1439"/>
    <cellStyle name="Normal_laroux_9" xfId="1440"/>
    <cellStyle name="Normal_laroux_9_dimon" xfId="1441"/>
    <cellStyle name="Normal_laroux_9_dimon_1" xfId="1442"/>
    <cellStyle name="Normal_laroux_A" xfId="1443"/>
    <cellStyle name="Normal_laroux_B" xfId="1444"/>
    <cellStyle name="Normal_laroux_C" xfId="1445"/>
    <cellStyle name="Normal_laroux_D" xfId="1446"/>
    <cellStyle name="Normal_laroux_dimon" xfId="1447"/>
    <cellStyle name="Normal_laroux_dimon_1" xfId="1448"/>
    <cellStyle name="Normal_laroux_dimon_2" xfId="1449"/>
    <cellStyle name="Normal_laroux_dimon_3" xfId="1450"/>
    <cellStyle name="Normal_laroux_dimon_4" xfId="1451"/>
    <cellStyle name="Normal_laroux_dimon_5" xfId="1452"/>
    <cellStyle name="Normal_laroux_laroux" xfId="1453"/>
    <cellStyle name="Normal_laroux_laroux_1" xfId="1454"/>
    <cellStyle name="Normal_laroux_laroux_2" xfId="1455"/>
    <cellStyle name="Normal_laroux_Locas" xfId="1456"/>
    <cellStyle name="Normal_laroux_pldt" xfId="1457"/>
    <cellStyle name="Normal_laroux_pldt_1" xfId="1458"/>
    <cellStyle name="Normal_laroux_pldt_2" xfId="1459"/>
    <cellStyle name="Normal_laroux_pldt_3" xfId="1460"/>
    <cellStyle name="Normal_laroux_PLDT_dimon" xfId="1461"/>
    <cellStyle name="Normal_laroux_VERA" xfId="1462"/>
    <cellStyle name="Normal_laroux_VERA_1" xfId="1463"/>
    <cellStyle name="Normal_laroux_VIRUS-EDY" xfId="1464"/>
    <cellStyle name="Normal_Line Inst." xfId="1465"/>
    <cellStyle name="Normal_List" xfId="1466"/>
    <cellStyle name="Normal_Locas" xfId="1467"/>
    <cellStyle name="Normal_Locas_1" xfId="1468"/>
    <cellStyle name="Normal_Lock" xfId="1469"/>
    <cellStyle name="Normal_MAJREP" xfId="1470"/>
    <cellStyle name="Normal_MATERAL2" xfId="1471"/>
    <cellStyle name="Normal_MATERAL2_dimon" xfId="1472"/>
    <cellStyle name="Normal_MED-A-CO.XLS" xfId="1473"/>
    <cellStyle name="Normal_MID CURVE" xfId="1474"/>
    <cellStyle name="Normal_MKGOCPX" xfId="1475"/>
    <cellStyle name="Normal_Mkt Shr" xfId="1476"/>
    <cellStyle name="Normal_MOBCPX" xfId="1477"/>
    <cellStyle name="Normal_Module1" xfId="1478"/>
    <cellStyle name="Normal_Module1 (2)" xfId="1479"/>
    <cellStyle name="Normal_Module1 (2)_1" xfId="1480"/>
    <cellStyle name="Normal_MONTHLY" xfId="1481"/>
    <cellStyle name="Normal_MOR  - Supp" xfId="1482"/>
    <cellStyle name="Normal_mud plant bolted" xfId="1483"/>
    <cellStyle name="Normal_mud plant bolted_dimon" xfId="1484"/>
    <cellStyle name="Normal_Multikarya" xfId="1485"/>
    <cellStyle name="Normal_NA WITHOUT GOV'T &amp; PNX" xfId="1486"/>
    <cellStyle name="Normal_NAOBU10" xfId="1487"/>
    <cellStyle name="Normal_NAT ACCT" xfId="1488"/>
    <cellStyle name="Normal_NCR-C&amp;W Val" xfId="1489"/>
    <cellStyle name="Normal_NCR-Cap intensity" xfId="1490"/>
    <cellStyle name="Normal_NCR-Line per Staff" xfId="1491"/>
    <cellStyle name="Normal_NCR-Rev dist" xfId="1492"/>
    <cellStyle name="Normal_NEHQ-ACT.XLS" xfId="1493"/>
    <cellStyle name="Normal_NS-A-CO.XLS" xfId="1494"/>
    <cellStyle name="Normal_NS_AT" xfId="1495"/>
    <cellStyle name="Normal_NS_CONS GROUP" xfId="1496"/>
    <cellStyle name="Normal_NSACTUAL.XLS" xfId="1497"/>
    <cellStyle name="Normal_NSACTUAL.XLS_1" xfId="1498"/>
    <cellStyle name="Normal_NX00" xfId="1499"/>
    <cellStyle name="Normal_OFFDATA1" xfId="1500"/>
    <cellStyle name="Normal_OFFDATA1 (2)" xfId="1501"/>
    <cellStyle name="Normal_OFFDATA1_1" xfId="1502"/>
    <cellStyle name="Normal_Op Cost Break" xfId="1503"/>
    <cellStyle name="Normal_Operations" xfId="1504"/>
    <cellStyle name="Normal_opsmacro" xfId="1505"/>
    <cellStyle name="Normal_OPSTAT" xfId="1506"/>
    <cellStyle name="Normal_OS-A-CO.XLS" xfId="1507"/>
    <cellStyle name="Normal_OSMOCPX" xfId="1508"/>
    <cellStyle name="Normal_Other Months" xfId="1509"/>
    <cellStyle name="Normal_Outlook" xfId="1510"/>
    <cellStyle name="Normal_Outlook_1" xfId="1511"/>
    <cellStyle name="Normal_OWN, AR, SNIPS" xfId="1512"/>
    <cellStyle name="Normal_PAGE 1" xfId="1513"/>
    <cellStyle name="Normal_pbdefault" xfId="1514"/>
    <cellStyle name="Normal_pbdefault_1" xfId="1515"/>
    <cellStyle name="Normal_percentages" xfId="1516"/>
    <cellStyle name="Normal_PERSONAL" xfId="1517"/>
    <cellStyle name="Normal_PERSONAL_dimon" xfId="1518"/>
    <cellStyle name="Normal_PERSONAL_Locas" xfId="1519"/>
    <cellStyle name="Normal_PGMKOCPX" xfId="1520"/>
    <cellStyle name="Normal_PGNW1" xfId="1521"/>
    <cellStyle name="Normal_PGNW2" xfId="1522"/>
    <cellStyle name="Normal_PGNWOCPX" xfId="1523"/>
    <cellStyle name="Normal_Picks" xfId="1524"/>
    <cellStyle name="Normal_Pink" xfId="1525"/>
    <cellStyle name="Normal_PKDATA1" xfId="1526"/>
    <cellStyle name="Normal_PKDATA1 (2)" xfId="1527"/>
    <cellStyle name="Normal_PKDATA1_1" xfId="1528"/>
    <cellStyle name="Normal_PLAN" xfId="1529"/>
    <cellStyle name="Normal_PLANT" xfId="1530"/>
    <cellStyle name="Normal_PLANTS" xfId="1531"/>
    <cellStyle name="Normal_PLDT" xfId="1532"/>
    <cellStyle name="Normal_PLDT_1" xfId="1533"/>
    <cellStyle name="Normal_pldt_1_Calculations" xfId="1534"/>
    <cellStyle name="Normal_PLDT_1_dimon" xfId="1535"/>
    <cellStyle name="Normal_pldt_2" xfId="1536"/>
    <cellStyle name="Normal_pldt_2_Calculations" xfId="1537"/>
    <cellStyle name="Normal_PLDT_2_dimon" xfId="1538"/>
    <cellStyle name="Normal_pldt_2_dimon_1" xfId="1539"/>
    <cellStyle name="Normal_pldt_2_pldt" xfId="1540"/>
    <cellStyle name="Normal_pldt_3" xfId="1541"/>
    <cellStyle name="Normal_pldt_3_dimon" xfId="1542"/>
    <cellStyle name="Normal_pldt_4" xfId="1543"/>
    <cellStyle name="Normal_pldt_4_dimon" xfId="1544"/>
    <cellStyle name="Normal_PLDT_4_dimon_1" xfId="1545"/>
    <cellStyle name="Normal_pldt_5" xfId="1546"/>
    <cellStyle name="Normal_pldt_6" xfId="1547"/>
    <cellStyle name="Normal_pldt_Calculations" xfId="1548"/>
    <cellStyle name="Normal_PLDT_dimon" xfId="1549"/>
    <cellStyle name="Normal_PLDT_dimon_1" xfId="1550"/>
    <cellStyle name="Normal_pldt_pldt" xfId="1551"/>
    <cellStyle name="Normal_POW-Provision" xfId="1552"/>
    <cellStyle name="Normal_priccurv" xfId="1553"/>
    <cellStyle name="Normal_priccurv_1" xfId="1554"/>
    <cellStyle name="Normal_priccurv_2" xfId="1555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TOCPX" xfId="0"/>
    <cellStyle name="Normal_SC COP" xfId="0"/>
    <cellStyle name="Normal_ScreeningModel" xfId="0"/>
    <cellStyle name="Normal_SELEC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dimon" xfId="0"/>
    <cellStyle name="Normal_SUMPAGE" xfId="0"/>
    <cellStyle name="Normal_SWI-C-CO.XLS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Percent_dimon" xfId="0"/>
    <cellStyle name="Percent_SPC99-03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" customHeight="true" zeroHeight="false" outlineLevelRow="0" outlineLevelCol="0"/>
  <cols>
    <col collapsed="false" customWidth="true" hidden="false" outlineLevel="0" max="1" min="1" style="1" width="43.41"/>
    <col collapsed="false" customWidth="true" hidden="false" outlineLevel="0" max="2" min="2" style="1" width="10.85"/>
    <col collapsed="false" customWidth="true" hidden="false" outlineLevel="0" max="3" min="3" style="1" width="17.42"/>
    <col collapsed="false" customWidth="false" hidden="false" outlineLevel="0" max="4" min="4" style="1" width="9.28"/>
    <col collapsed="false" customWidth="true" hidden="false" outlineLevel="0" max="5" min="5" style="1" width="33.7"/>
    <col collapsed="false" customWidth="true" hidden="false" outlineLevel="0" max="6" min="6" style="1" width="11.7"/>
    <col collapsed="false" customWidth="true" hidden="false" outlineLevel="0" max="7" min="7" style="1" width="15.28"/>
    <col collapsed="false" customWidth="true" hidden="false" outlineLevel="0" max="8" min="8" style="1" width="8.41"/>
    <col collapsed="false" customWidth="true" hidden="false" outlineLevel="0" max="9" min="9" style="1" width="15.28"/>
    <col collapsed="false" customWidth="false" hidden="false" outlineLevel="0" max="10" min="10" style="1" width="9.28"/>
    <col collapsed="false" customWidth="true" hidden="false" outlineLevel="0" max="11" min="11" style="1" width="29.13"/>
    <col collapsed="false" customWidth="true" hidden="false" outlineLevel="0" max="12" min="12" style="1" width="22.7"/>
    <col collapsed="false" customWidth="true" hidden="false" outlineLevel="0" max="13" min="13" style="1" width="5.99"/>
    <col collapsed="false" customWidth="false" hidden="false" outlineLevel="0" max="14" min="14" style="1" width="9.28"/>
    <col collapsed="false" customWidth="true" hidden="false" outlineLevel="0" max="15" min="15" style="1" width="10.28"/>
    <col collapsed="false" customWidth="true" hidden="false" outlineLevel="0" max="16" min="16" style="1" width="12.99"/>
    <col collapsed="false" customWidth="true" hidden="false" outlineLevel="0" max="17" min="17" style="1" width="9.7"/>
    <col collapsed="false" customWidth="true" hidden="false" outlineLevel="0" max="18" min="18" style="1" width="12.99"/>
    <col collapsed="false" customWidth="false" hidden="false" outlineLevel="0" max="257" min="19" style="1" width="9.28"/>
  </cols>
  <sheetData>
    <row r="1" customFormat="false" ht="12" hidden="false" customHeight="false" outlineLevel="0" collapsed="false">
      <c r="B1" s="2"/>
    </row>
    <row r="2" customFormat="false" ht="45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20.2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12" hidden="false" customHeight="false" outlineLevel="0" collapsed="false">
      <c r="B6" s="6"/>
      <c r="E6" s="7"/>
      <c r="F6" s="7"/>
      <c r="G6" s="7"/>
      <c r="H6" s="7"/>
    </row>
    <row r="7" customFormat="false" ht="13.9" hidden="false" customHeight="true" outlineLevel="0" collapsed="false">
      <c r="A7" s="8" t="s">
        <v>2</v>
      </c>
      <c r="C7" s="9"/>
      <c r="E7" s="8" t="s">
        <v>3</v>
      </c>
      <c r="G7" s="10" t="s">
        <v>4</v>
      </c>
      <c r="I7" s="11" t="s">
        <v>5</v>
      </c>
      <c r="K7" s="8" t="s">
        <v>6</v>
      </c>
      <c r="L7" s="12"/>
      <c r="M7" s="12"/>
      <c r="N7" s="13" t="s">
        <v>7</v>
      </c>
      <c r="P7" s="13"/>
      <c r="R7" s="13"/>
    </row>
    <row r="8" customFormat="false" ht="13.9" hidden="false" customHeight="true" outlineLevel="0" collapsed="false">
      <c r="A8" s="14" t="s">
        <v>8</v>
      </c>
      <c r="E8" s="15" t="s">
        <v>9</v>
      </c>
      <c r="F8" s="16"/>
      <c r="G8" s="17" t="n">
        <f aca="false">5-I8</f>
        <v>2</v>
      </c>
      <c r="I8" s="17" t="n">
        <v>3</v>
      </c>
      <c r="K8" s="18" t="s">
        <v>10</v>
      </c>
      <c r="L8" s="12"/>
      <c r="M8" s="12"/>
      <c r="N8" s="19" t="n">
        <f aca="false">(252.75+25.05)*(1+$N$19)</f>
        <v>283.356</v>
      </c>
      <c r="O8" s="6"/>
      <c r="P8" s="18"/>
      <c r="R8" s="19"/>
      <c r="S8" s="19"/>
    </row>
    <row r="9" customFormat="false" ht="13.9" hidden="false" customHeight="true" outlineLevel="0" collapsed="false">
      <c r="A9" s="15" t="s">
        <v>11</v>
      </c>
      <c r="B9" s="20" t="n">
        <f aca="false">C9/C12</f>
        <v>0.0284024093655938</v>
      </c>
      <c r="C9" s="9" t="n">
        <f aca="false">IDC!Z49</f>
        <v>3313.376925027</v>
      </c>
      <c r="E9" s="15" t="s">
        <v>12</v>
      </c>
      <c r="G9" s="21" t="n">
        <v>76.5</v>
      </c>
      <c r="H9" s="22"/>
      <c r="I9" s="23" t="n">
        <v>61</v>
      </c>
      <c r="K9" s="1" t="s">
        <v>13</v>
      </c>
      <c r="N9" s="24" t="n">
        <f aca="false">(497+37.2)*(1+$N$19)</f>
        <v>544.884</v>
      </c>
      <c r="O9" s="6"/>
      <c r="R9" s="25"/>
      <c r="S9" s="26"/>
    </row>
    <row r="10" customFormat="false" ht="13.9" hidden="false" customHeight="true" outlineLevel="0" collapsed="false">
      <c r="A10" s="15" t="s">
        <v>14</v>
      </c>
      <c r="B10" s="20" t="n">
        <f aca="false">C10/C12</f>
        <v>0.971597590634406</v>
      </c>
      <c r="C10" s="27" t="n">
        <f aca="false">IF(ISNUMBER('Debt Amortization'!D35),'Debt Amortization'!D35,0)</f>
        <v>113344.927741223</v>
      </c>
      <c r="D10" s="28"/>
      <c r="E10" s="15" t="s">
        <v>15</v>
      </c>
      <c r="G10" s="29" t="n">
        <f aca="false">G8*G9</f>
        <v>153</v>
      </c>
      <c r="H10" s="30"/>
      <c r="I10" s="29" t="n">
        <f aca="false">I8*I9</f>
        <v>183</v>
      </c>
      <c r="K10" s="18" t="s">
        <v>16</v>
      </c>
      <c r="L10" s="12"/>
      <c r="M10" s="12"/>
      <c r="N10" s="24" t="n">
        <f aca="false">(171.05+217.25+25.05)*(1+$N$19)</f>
        <v>421.617</v>
      </c>
      <c r="O10" s="6"/>
      <c r="P10" s="18"/>
      <c r="R10" s="25"/>
      <c r="S10" s="25"/>
    </row>
    <row r="11" customFormat="false" ht="13.9" hidden="false" customHeight="true" outlineLevel="0" collapsed="false">
      <c r="A11" s="31"/>
      <c r="B11" s="7"/>
      <c r="C11" s="32"/>
      <c r="E11" s="33" t="s">
        <v>17</v>
      </c>
      <c r="G11" s="34" t="n">
        <f aca="false">11936</f>
        <v>11936</v>
      </c>
      <c r="H11" s="35"/>
      <c r="I11" s="34" t="n">
        <f aca="false">(12220+12101+12101)/3</f>
        <v>12140.6666666667</v>
      </c>
      <c r="K11" s="18" t="s">
        <v>18</v>
      </c>
      <c r="L11" s="12"/>
      <c r="M11" s="12"/>
      <c r="N11" s="24" t="n">
        <f aca="false">722.21*(1+$N$19)</f>
        <v>736.6542</v>
      </c>
      <c r="O11" s="6"/>
      <c r="P11" s="18"/>
      <c r="R11" s="25"/>
      <c r="S11" s="25"/>
    </row>
    <row r="12" customFormat="false" ht="13.9" hidden="false" customHeight="true" outlineLevel="0" collapsed="false">
      <c r="A12" s="15" t="s">
        <v>19</v>
      </c>
      <c r="B12" s="7"/>
      <c r="C12" s="36" t="n">
        <f aca="false">SUM(C9:C10)</f>
        <v>116658.30466625</v>
      </c>
      <c r="E12" s="15" t="s">
        <v>20</v>
      </c>
      <c r="G12" s="37"/>
      <c r="H12" s="35"/>
      <c r="I12" s="38" t="n">
        <f aca="false">G10+I10</f>
        <v>336</v>
      </c>
      <c r="K12" s="18" t="s">
        <v>21</v>
      </c>
      <c r="L12" s="12"/>
      <c r="M12" s="39" t="n">
        <v>0.005</v>
      </c>
      <c r="N12" s="26" t="n">
        <f aca="false">'Book Income Statement'!C28*(12/'Book Income Statement'!C5)</f>
        <v>59.23008</v>
      </c>
      <c r="O12" s="6"/>
      <c r="P12" s="12"/>
      <c r="R12" s="40"/>
      <c r="S12" s="25"/>
    </row>
    <row r="13" customFormat="false" ht="13.9" hidden="false" customHeight="true" outlineLevel="0" collapsed="false">
      <c r="A13" s="7"/>
      <c r="B13" s="7"/>
      <c r="E13" s="33" t="s">
        <v>22</v>
      </c>
      <c r="G13" s="41" t="s">
        <v>23</v>
      </c>
      <c r="H13" s="35"/>
      <c r="I13" s="37" t="n">
        <f aca="false">IF(G13="Weighted Average",I10/I12*I11+G10/I12*G11,12200)</f>
        <v>12047.4702380952</v>
      </c>
      <c r="K13" s="18" t="s">
        <v>24</v>
      </c>
      <c r="L13" s="12"/>
      <c r="M13" s="39" t="n">
        <v>0.0016</v>
      </c>
      <c r="N13" s="26" t="n">
        <f aca="false">'Book Income Statement'!C29*(12/'Book Income Statement'!C5)</f>
        <v>180.215810048283</v>
      </c>
      <c r="O13" s="6"/>
      <c r="P13" s="12"/>
      <c r="R13" s="42"/>
      <c r="S13" s="19"/>
    </row>
    <row r="14" customFormat="false" ht="13.9" hidden="false" customHeight="true" outlineLevel="0" collapsed="false">
      <c r="B14" s="7"/>
      <c r="C14" s="7"/>
      <c r="E14" s="15" t="s">
        <v>25</v>
      </c>
      <c r="H14" s="43"/>
      <c r="I14" s="44" t="n">
        <v>1400</v>
      </c>
      <c r="K14" s="18" t="s">
        <v>26</v>
      </c>
      <c r="L14" s="12"/>
      <c r="M14" s="39"/>
      <c r="N14" s="45" t="n">
        <v>0</v>
      </c>
      <c r="P14" s="46"/>
      <c r="R14" s="46"/>
    </row>
    <row r="15" customFormat="false" ht="13.9" hidden="false" customHeight="true" outlineLevel="0" collapsed="false">
      <c r="B15" s="7"/>
      <c r="C15" s="7"/>
      <c r="E15" s="15" t="s">
        <v>27</v>
      </c>
      <c r="H15" s="47"/>
      <c r="I15" s="48" t="n">
        <v>15</v>
      </c>
      <c r="K15" s="18" t="s">
        <v>28</v>
      </c>
      <c r="L15" s="12"/>
      <c r="M15" s="39"/>
      <c r="N15" s="45" t="n">
        <v>200</v>
      </c>
      <c r="P15" s="18"/>
      <c r="Q15" s="12"/>
      <c r="R15" s="49"/>
      <c r="S15" s="46"/>
    </row>
    <row r="16" customFormat="false" ht="13.9" hidden="false" customHeight="true" outlineLevel="0" collapsed="false">
      <c r="A16" s="14" t="s">
        <v>29</v>
      </c>
      <c r="B16" s="7"/>
      <c r="C16" s="7"/>
      <c r="E16" s="15" t="s">
        <v>30</v>
      </c>
      <c r="G16" s="50"/>
      <c r="H16" s="22"/>
      <c r="I16" s="51" t="n">
        <v>36661</v>
      </c>
      <c r="K16" s="1" t="s">
        <v>31</v>
      </c>
      <c r="N16" s="52" t="n">
        <f aca="false">((108.8*$I$8)+(94.3*$G$8))*'PPA Assumptions'!C26*$N$34/1000</f>
        <v>128.029</v>
      </c>
      <c r="P16" s="18"/>
      <c r="Q16" s="12"/>
      <c r="R16" s="49"/>
      <c r="S16" s="53"/>
    </row>
    <row r="17" customFormat="false" ht="13.9" hidden="false" customHeight="true" outlineLevel="0" collapsed="false">
      <c r="A17" s="54" t="s">
        <v>32</v>
      </c>
      <c r="B17" s="7"/>
      <c r="E17" s="1" t="s">
        <v>33</v>
      </c>
      <c r="H17" s="41"/>
      <c r="I17" s="55" t="n">
        <f aca="false">C49/I12</f>
        <v>347.19733531622</v>
      </c>
      <c r="K17" s="12" t="s">
        <v>34</v>
      </c>
      <c r="L17" s="12"/>
      <c r="M17" s="12"/>
      <c r="N17" s="46" t="n">
        <f aca="false">SUM(N8:N16)</f>
        <v>2553.98609004828</v>
      </c>
      <c r="P17" s="18"/>
      <c r="Q17" s="12"/>
      <c r="R17" s="56"/>
      <c r="S17" s="57"/>
    </row>
    <row r="18" customFormat="false" ht="13.9" hidden="false" customHeight="true" outlineLevel="0" collapsed="false">
      <c r="A18" s="15" t="s">
        <v>35</v>
      </c>
      <c r="C18" s="58" t="n">
        <f aca="false">'Current Budget'!Q53/1000</f>
        <v>79118.01</v>
      </c>
      <c r="D18" s="59"/>
      <c r="E18" s="33"/>
      <c r="G18" s="51"/>
      <c r="H18" s="35"/>
      <c r="I18" s="51"/>
      <c r="P18" s="18"/>
      <c r="Q18" s="12"/>
      <c r="R18" s="12"/>
      <c r="S18" s="48"/>
    </row>
    <row r="19" customFormat="false" ht="13.9" hidden="false" customHeight="true" outlineLevel="0" collapsed="false">
      <c r="A19" s="15" t="s">
        <v>36</v>
      </c>
      <c r="B19" s="7"/>
      <c r="C19" s="25" t="n">
        <f aca="false">('Current Budget'!Q30+'Current Budget'!Q37)/1000</f>
        <v>26078.42322</v>
      </c>
      <c r="D19" s="59"/>
      <c r="I19" s="0"/>
      <c r="K19" s="12" t="s">
        <v>37</v>
      </c>
      <c r="L19" s="12"/>
      <c r="M19" s="12"/>
      <c r="N19" s="60" t="n">
        <v>0.02</v>
      </c>
      <c r="P19" s="12"/>
      <c r="Q19" s="12"/>
      <c r="R19" s="12"/>
      <c r="S19" s="25"/>
    </row>
    <row r="20" customFormat="false" ht="13.9" hidden="false" customHeight="true" outlineLevel="0" collapsed="false">
      <c r="A20" s="15" t="s">
        <v>38</v>
      </c>
      <c r="B20" s="7"/>
      <c r="C20" s="25" t="n">
        <f aca="false">'Current Budget'!Q58/1000</f>
        <v>1000</v>
      </c>
      <c r="D20" s="59"/>
      <c r="E20" s="8" t="s">
        <v>39</v>
      </c>
      <c r="S20" s="25"/>
    </row>
    <row r="21" customFormat="false" ht="13.9" hidden="false" customHeight="true" outlineLevel="0" collapsed="false">
      <c r="A21" s="1" t="s">
        <v>40</v>
      </c>
      <c r="B21" s="7"/>
      <c r="C21" s="25" t="n">
        <f aca="false">'Current Budget'!Q59/1000</f>
        <v>1694.67</v>
      </c>
      <c r="D21" s="59"/>
      <c r="E21" s="61" t="s">
        <v>41</v>
      </c>
      <c r="F21" s="62" t="n">
        <f aca="false">$I$16</f>
        <v>36661</v>
      </c>
      <c r="H21" s="1" t="s">
        <v>42</v>
      </c>
      <c r="I21" s="63" t="n">
        <f aca="false">$I$9</f>
        <v>61</v>
      </c>
      <c r="K21" s="8" t="s">
        <v>43</v>
      </c>
      <c r="L21" s="12"/>
      <c r="M21" s="12"/>
      <c r="N21" s="13" t="s">
        <v>7</v>
      </c>
      <c r="S21" s="25"/>
    </row>
    <row r="22" customFormat="false" ht="14.25" hidden="false" customHeight="false" outlineLevel="0" collapsed="false">
      <c r="A22" s="1" t="s">
        <v>44</v>
      </c>
      <c r="B22" s="7"/>
      <c r="C22" s="64" t="n">
        <f aca="false">'Current Budget'!Q60/1000</f>
        <v>351.92032</v>
      </c>
      <c r="D22" s="59"/>
      <c r="E22" s="61" t="s">
        <v>45</v>
      </c>
      <c r="F22" s="62" t="n">
        <f aca="false">$I$16</f>
        <v>36661</v>
      </c>
      <c r="H22" s="1" t="s">
        <v>42</v>
      </c>
      <c r="I22" s="63" t="n">
        <f aca="false">$I$9</f>
        <v>61</v>
      </c>
      <c r="J22" s="65"/>
      <c r="K22" s="12" t="s">
        <v>46</v>
      </c>
      <c r="L22" s="12"/>
      <c r="M22" s="66"/>
      <c r="N22" s="67" t="n">
        <f aca="false">150*(1+$N$19)</f>
        <v>153</v>
      </c>
    </row>
    <row r="23" customFormat="false" ht="13.9" hidden="false" customHeight="true" outlineLevel="0" collapsed="false">
      <c r="A23" s="15"/>
      <c r="B23" s="7"/>
      <c r="C23" s="46" t="n">
        <f aca="false">SUM(C18:C22)</f>
        <v>108243.02354</v>
      </c>
      <c r="D23" s="59"/>
      <c r="E23" s="61" t="s">
        <v>47</v>
      </c>
      <c r="F23" s="62" t="n">
        <f aca="false">$I$16</f>
        <v>36661</v>
      </c>
      <c r="H23" s="1" t="s">
        <v>42</v>
      </c>
      <c r="I23" s="63" t="n">
        <f aca="false">$I$9</f>
        <v>61</v>
      </c>
      <c r="K23" s="12" t="s">
        <v>48</v>
      </c>
      <c r="L23" s="12"/>
      <c r="M23" s="66"/>
      <c r="N23" s="26" t="n">
        <v>125</v>
      </c>
      <c r="S23" s="28"/>
    </row>
    <row r="24" customFormat="false" ht="13.9" hidden="false" customHeight="true" outlineLevel="0" collapsed="false">
      <c r="B24" s="68"/>
      <c r="C24" s="40"/>
      <c r="D24" s="59"/>
      <c r="E24" s="61" t="s">
        <v>49</v>
      </c>
      <c r="F24" s="62" t="n">
        <v>36722</v>
      </c>
      <c r="H24" s="1" t="s">
        <v>42</v>
      </c>
      <c r="I24" s="63" t="n">
        <f aca="false">+G9</f>
        <v>76.5</v>
      </c>
      <c r="K24" s="18" t="s">
        <v>50</v>
      </c>
      <c r="L24" s="12"/>
      <c r="M24" s="12"/>
      <c r="N24" s="69" t="n">
        <v>0</v>
      </c>
    </row>
    <row r="25" customFormat="false" ht="13.9" hidden="false" customHeight="true" outlineLevel="0" collapsed="false">
      <c r="A25" s="15"/>
      <c r="B25" s="70"/>
      <c r="C25" s="46"/>
      <c r="D25" s="59"/>
      <c r="E25" s="61" t="s">
        <v>51</v>
      </c>
      <c r="F25" s="62" t="n">
        <f aca="false">36769-F27</f>
        <v>36769</v>
      </c>
      <c r="H25" s="1" t="s">
        <v>42</v>
      </c>
      <c r="I25" s="71" t="n">
        <f aca="false">+G9</f>
        <v>76.5</v>
      </c>
      <c r="K25" s="12" t="s">
        <v>52</v>
      </c>
      <c r="L25" s="12"/>
      <c r="M25" s="56"/>
      <c r="N25" s="57" t="n">
        <f aca="false">SUM(N22:N24)</f>
        <v>278</v>
      </c>
      <c r="P25" s="72"/>
      <c r="S25" s="28"/>
    </row>
    <row r="26" customFormat="false" ht="13.9" hidden="false" customHeight="true" outlineLevel="0" collapsed="false">
      <c r="A26" s="54" t="s">
        <v>53</v>
      </c>
      <c r="B26" s="7"/>
      <c r="C26" s="73"/>
      <c r="D26" s="59"/>
      <c r="E26" s="61" t="s">
        <v>54</v>
      </c>
      <c r="I26" s="63" t="n">
        <f aca="false">SUM(I21:I25)</f>
        <v>336</v>
      </c>
      <c r="K26" s="18"/>
      <c r="L26" s="12"/>
      <c r="M26" s="56"/>
      <c r="N26" s="57"/>
    </row>
    <row r="27" customFormat="false" ht="13.9" hidden="false" customHeight="true" outlineLevel="0" collapsed="false">
      <c r="A27" s="15" t="s">
        <v>55</v>
      </c>
      <c r="B27" s="7"/>
      <c r="C27" s="25" t="n">
        <f aca="false">'Current Budget'!Q68/1000</f>
        <v>375</v>
      </c>
      <c r="D27" s="59"/>
      <c r="E27" s="8"/>
      <c r="K27" s="12" t="s">
        <v>56</v>
      </c>
      <c r="L27" s="12"/>
      <c r="M27" s="12"/>
      <c r="N27" s="39" t="n">
        <v>0.02</v>
      </c>
    </row>
    <row r="28" customFormat="false" ht="13.9" hidden="false" customHeight="true" outlineLevel="0" collapsed="false">
      <c r="A28" s="1" t="s">
        <v>57</v>
      </c>
      <c r="B28" s="37"/>
      <c r="C28" s="40" t="n">
        <f aca="false">'Current Budget'!Q69/1000</f>
        <v>400</v>
      </c>
      <c r="D28" s="59"/>
      <c r="E28" s="61" t="s">
        <v>58</v>
      </c>
      <c r="F28" s="61"/>
      <c r="G28" s="61"/>
      <c r="H28" s="74"/>
      <c r="I28" s="75" t="n">
        <v>2.938</v>
      </c>
      <c r="Q28" s="40"/>
    </row>
    <row r="29" customFormat="false" ht="13.9" hidden="false" customHeight="true" outlineLevel="0" collapsed="false">
      <c r="A29" s="15" t="s">
        <v>59</v>
      </c>
      <c r="B29" s="37"/>
      <c r="C29" s="25" t="n">
        <f aca="false">'Current Budget'!Q70/1000</f>
        <v>1128.564</v>
      </c>
      <c r="D29" s="59"/>
      <c r="E29" s="61" t="s">
        <v>60</v>
      </c>
      <c r="F29" s="61"/>
      <c r="G29" s="61"/>
      <c r="H29" s="74"/>
      <c r="I29" s="39" t="n">
        <v>0</v>
      </c>
      <c r="K29" s="12" t="s">
        <v>61</v>
      </c>
      <c r="L29" s="76" t="s">
        <v>62</v>
      </c>
      <c r="M29" s="1" t="s">
        <v>63</v>
      </c>
      <c r="N29" s="77" t="n">
        <f aca="false">'Book Income Statement'!C88</f>
        <v>0.569956497998439</v>
      </c>
    </row>
    <row r="30" customFormat="false" ht="13.9" hidden="false" customHeight="true" outlineLevel="0" collapsed="false">
      <c r="A30" s="15" t="s">
        <v>64</v>
      </c>
      <c r="B30" s="7"/>
      <c r="C30" s="25" t="n">
        <f aca="false">'Current Budget'!Q71/1000</f>
        <v>300</v>
      </c>
      <c r="D30" s="59"/>
      <c r="E30" s="61"/>
      <c r="F30" s="61"/>
      <c r="G30" s="61"/>
      <c r="H30" s="61"/>
      <c r="I30" s="39"/>
      <c r="K30" s="12" t="s">
        <v>65</v>
      </c>
      <c r="L30" s="78" t="s">
        <v>66</v>
      </c>
      <c r="M30" s="12"/>
      <c r="N30" s="77" t="n">
        <f aca="false">'PPA Assumptions'!C12</f>
        <v>1.76071428571429</v>
      </c>
    </row>
    <row r="31" customFormat="false" ht="13.9" hidden="false" customHeight="true" outlineLevel="0" collapsed="false">
      <c r="A31" s="15" t="s">
        <v>67</v>
      </c>
      <c r="B31" s="7"/>
      <c r="C31" s="25" t="n">
        <f aca="false">'Current Budget'!Q72/1000</f>
        <v>150</v>
      </c>
      <c r="D31" s="59"/>
      <c r="E31" s="61" t="s">
        <v>68</v>
      </c>
      <c r="F31" s="61"/>
      <c r="G31" s="61"/>
      <c r="H31" s="61"/>
      <c r="I31" s="79" t="n">
        <v>0.086</v>
      </c>
      <c r="K31" s="12"/>
      <c r="L31" s="12"/>
      <c r="M31" s="12"/>
      <c r="N31" s="80"/>
    </row>
    <row r="32" customFormat="false" ht="13.9" hidden="false" customHeight="true" outlineLevel="0" collapsed="false">
      <c r="A32" s="1" t="s">
        <v>69</v>
      </c>
      <c r="B32" s="81"/>
      <c r="C32" s="25" t="n">
        <f aca="false">'Current Budget'!Q73/1000</f>
        <v>281.46</v>
      </c>
      <c r="D32" s="59"/>
      <c r="E32" s="61" t="s">
        <v>70</v>
      </c>
      <c r="F32" s="61"/>
      <c r="G32" s="61"/>
      <c r="H32" s="61"/>
      <c r="I32" s="39" t="n">
        <f aca="false">N19</f>
        <v>0.02</v>
      </c>
      <c r="K32" s="12"/>
      <c r="L32" s="12"/>
      <c r="M32" s="12"/>
      <c r="N32" s="82"/>
    </row>
    <row r="33" customFormat="false" ht="13.9" hidden="false" customHeight="true" outlineLevel="0" collapsed="false">
      <c r="A33" s="1" t="s">
        <v>71</v>
      </c>
      <c r="B33" s="81"/>
      <c r="C33" s="64" t="n">
        <f aca="false">'Current Budget'!Q74/1000</f>
        <v>400</v>
      </c>
      <c r="D33" s="59"/>
      <c r="E33" s="15"/>
      <c r="H33" s="51"/>
      <c r="I33" s="16"/>
      <c r="K33" s="8" t="s">
        <v>72</v>
      </c>
      <c r="L33" s="12"/>
      <c r="M33" s="12"/>
    </row>
    <row r="34" customFormat="false" ht="13.9" hidden="false" customHeight="true" outlineLevel="0" collapsed="false">
      <c r="A34" s="15"/>
      <c r="B34" s="7"/>
      <c r="C34" s="83" t="n">
        <f aca="false">SUM(C27:C33)</f>
        <v>3035.024</v>
      </c>
      <c r="D34" s="59"/>
      <c r="E34" s="15" t="s">
        <v>73</v>
      </c>
      <c r="I34" s="16" t="n">
        <v>10000</v>
      </c>
      <c r="K34" s="1" t="s">
        <v>74</v>
      </c>
      <c r="N34" s="48" t="n">
        <v>110</v>
      </c>
    </row>
    <row r="35" customFormat="false" ht="13.9" hidden="false" customHeight="true" outlineLevel="0" collapsed="false">
      <c r="A35" s="15"/>
      <c r="B35" s="7"/>
      <c r="C35" s="40"/>
      <c r="D35" s="59"/>
      <c r="E35" s="84"/>
      <c r="I35" s="85"/>
      <c r="K35" s="1" t="s">
        <v>75</v>
      </c>
      <c r="N35" s="46" t="n">
        <f aca="false">Maint_Accrual/N34/5*1000</f>
        <v>990.698181818182</v>
      </c>
    </row>
    <row r="36" customFormat="false" ht="13.9" hidden="false" customHeight="true" outlineLevel="0" collapsed="false">
      <c r="B36" s="70"/>
      <c r="C36" s="46"/>
      <c r="D36" s="59"/>
      <c r="E36" s="8" t="s">
        <v>76</v>
      </c>
      <c r="F36" s="86"/>
    </row>
    <row r="37" customFormat="false" ht="13.9" hidden="false" customHeight="true" outlineLevel="0" collapsed="false">
      <c r="A37" s="54" t="s">
        <v>77</v>
      </c>
      <c r="B37" s="81"/>
      <c r="C37" s="25"/>
      <c r="D37" s="59"/>
      <c r="E37" s="15" t="s">
        <v>78</v>
      </c>
      <c r="I37" s="87" t="n">
        <v>0.03</v>
      </c>
      <c r="K37" s="8" t="s">
        <v>79</v>
      </c>
    </row>
    <row r="38" customFormat="false" ht="13.9" hidden="false" customHeight="true" outlineLevel="0" collapsed="false">
      <c r="A38" s="15" t="s">
        <v>80</v>
      </c>
      <c r="B38" s="88"/>
      <c r="C38" s="40" t="n">
        <f aca="false">'Current Budget'!Q78/1000</f>
        <v>0</v>
      </c>
      <c r="D38" s="59"/>
      <c r="E38" s="15" t="s">
        <v>81</v>
      </c>
      <c r="F38" s="89" t="s">
        <v>82</v>
      </c>
      <c r="I38" s="87" t="n">
        <f aca="false">1-I37</f>
        <v>0.97</v>
      </c>
      <c r="K38" s="15" t="s">
        <v>83</v>
      </c>
      <c r="N38" s="90" t="n">
        <v>0.35</v>
      </c>
    </row>
    <row r="39" customFormat="false" ht="13.9" hidden="false" customHeight="true" outlineLevel="0" collapsed="false">
      <c r="B39" s="7"/>
      <c r="D39" s="59"/>
      <c r="E39" s="15" t="s">
        <v>84</v>
      </c>
      <c r="I39" s="89" t="s">
        <v>85</v>
      </c>
      <c r="K39" s="15" t="s">
        <v>86</v>
      </c>
      <c r="N39" s="91" t="n">
        <v>0.06</v>
      </c>
    </row>
    <row r="40" customFormat="false" ht="13.9" hidden="false" customHeight="true" outlineLevel="0" collapsed="false">
      <c r="B40" s="81"/>
      <c r="C40" s="92"/>
      <c r="D40" s="59"/>
      <c r="E40" s="15"/>
      <c r="I40" s="93"/>
      <c r="K40" s="1" t="s">
        <v>87</v>
      </c>
      <c r="N40" s="94" t="n">
        <f aca="false">(1-N39)*N38+N39</f>
        <v>0.389</v>
      </c>
    </row>
    <row r="41" customFormat="false" ht="13.9" hidden="false" customHeight="true" outlineLevel="0" collapsed="false">
      <c r="A41" s="54" t="s">
        <v>88</v>
      </c>
      <c r="C41" s="40"/>
      <c r="D41" s="59"/>
      <c r="E41" s="95" t="s">
        <v>89</v>
      </c>
      <c r="F41" s="46"/>
      <c r="G41" s="46"/>
      <c r="H41" s="96"/>
      <c r="I41" s="46" t="n">
        <f aca="false">IF(F38="Coverage Ratio",'Debt Amortization'!B28,'Debt Amortization'!$D$63)</f>
        <v>113344.927741223</v>
      </c>
      <c r="K41" s="15"/>
    </row>
    <row r="42" customFormat="false" ht="13.9" hidden="false" customHeight="true" outlineLevel="0" collapsed="false">
      <c r="A42" s="1" t="s">
        <v>90</v>
      </c>
      <c r="B42" s="68"/>
      <c r="C42" s="40" t="n">
        <f aca="false">IDC!Z53</f>
        <v>7133.88241071515</v>
      </c>
      <c r="D42" s="59"/>
      <c r="E42" s="95" t="s">
        <v>91</v>
      </c>
      <c r="F42" s="97"/>
      <c r="G42" s="98"/>
      <c r="I42" s="99" t="n">
        <v>15</v>
      </c>
      <c r="K42" s="15" t="s">
        <v>92</v>
      </c>
      <c r="N42" s="90" t="n">
        <v>0</v>
      </c>
    </row>
    <row r="43" customFormat="false" ht="13.9" hidden="false" customHeight="true" outlineLevel="0" collapsed="false">
      <c r="A43" s="15"/>
      <c r="B43" s="100"/>
      <c r="C43" s="25"/>
      <c r="D43" s="59"/>
      <c r="E43" s="101" t="s">
        <v>93</v>
      </c>
      <c r="F43" s="39"/>
      <c r="G43" s="39"/>
      <c r="I43" s="39" t="n">
        <v>0.06</v>
      </c>
      <c r="K43" s="15" t="s">
        <v>94</v>
      </c>
      <c r="N43" s="19" t="n">
        <v>5</v>
      </c>
    </row>
    <row r="44" customFormat="false" ht="13.9" hidden="false" customHeight="true" outlineLevel="0" collapsed="false">
      <c r="B44" s="102"/>
      <c r="C44" s="40"/>
      <c r="D44" s="59"/>
      <c r="E44" s="95"/>
      <c r="F44" s="103"/>
      <c r="G44" s="16"/>
      <c r="H44" s="6"/>
      <c r="I44" s="104"/>
    </row>
    <row r="45" customFormat="false" ht="13.9" hidden="false" customHeight="true" outlineLevel="0" collapsed="false">
      <c r="A45" s="54" t="s">
        <v>95</v>
      </c>
      <c r="B45" s="7"/>
      <c r="C45" s="64"/>
      <c r="D45" s="59"/>
      <c r="E45" s="15"/>
      <c r="F45" s="105"/>
      <c r="G45" s="105"/>
      <c r="H45" s="106"/>
      <c r="K45" s="15" t="s">
        <v>96</v>
      </c>
      <c r="N45" s="90" t="n">
        <v>0</v>
      </c>
    </row>
    <row r="46" customFormat="false" ht="13.9" hidden="false" customHeight="true" outlineLevel="0" collapsed="false">
      <c r="A46" s="1" t="s">
        <v>97</v>
      </c>
      <c r="B46" s="102"/>
      <c r="C46" s="40" t="n">
        <f aca="false">'Current Budget'!Q79/1000</f>
        <v>-1753.62528446519</v>
      </c>
      <c r="D46" s="59"/>
      <c r="E46" s="15" t="s">
        <v>98</v>
      </c>
      <c r="F46" s="105"/>
      <c r="G46" s="105"/>
      <c r="H46" s="106"/>
      <c r="I46" s="107" t="n">
        <f aca="false">MIN('Debt Amortization'!D96:S96)</f>
        <v>1.03040517873098</v>
      </c>
      <c r="K46" s="15" t="s">
        <v>99</v>
      </c>
      <c r="N46" s="90" t="n">
        <v>0</v>
      </c>
    </row>
    <row r="47" customFormat="false" ht="13.9" hidden="false" customHeight="true" outlineLevel="0" collapsed="false">
      <c r="A47" s="15"/>
      <c r="B47" s="7"/>
      <c r="C47" s="25"/>
      <c r="D47" s="59"/>
      <c r="E47" s="15" t="s">
        <v>100</v>
      </c>
      <c r="F47" s="105"/>
      <c r="G47" s="105"/>
      <c r="H47" s="106"/>
      <c r="I47" s="107" t="n">
        <f aca="false">AVERAGE('Debt Amortization'!D96:S96)</f>
        <v>1.16014099038329</v>
      </c>
      <c r="K47" s="15"/>
    </row>
    <row r="48" customFormat="false" ht="13.9" hidden="false" customHeight="true" outlineLevel="0" collapsed="false">
      <c r="A48" s="1" t="s">
        <v>101</v>
      </c>
      <c r="B48" s="81"/>
      <c r="C48" s="73"/>
      <c r="D48" s="59"/>
      <c r="E48" s="15" t="s">
        <v>102</v>
      </c>
      <c r="H48" s="108"/>
      <c r="I48" s="107" t="n">
        <f aca="false">MAX('Debt Amortization'!D96:S96)</f>
        <v>2.10035251795626</v>
      </c>
      <c r="K48" s="8" t="s">
        <v>103</v>
      </c>
    </row>
    <row r="49" customFormat="false" ht="13.9" hidden="false" customHeight="true" outlineLevel="0" collapsed="false">
      <c r="A49" s="15" t="s">
        <v>104</v>
      </c>
      <c r="B49" s="109"/>
      <c r="C49" s="110" t="n">
        <f aca="false">C23+C34+C38+C42+C46</f>
        <v>116658.30466625</v>
      </c>
      <c r="D49" s="59"/>
      <c r="E49" s="95" t="s">
        <v>105</v>
      </c>
      <c r="F49" s="111"/>
      <c r="G49" s="112"/>
      <c r="H49" s="112"/>
      <c r="I49" s="6" t="n">
        <f aca="false">+'Debt Amortization'!D40</f>
        <v>9.59665757474042</v>
      </c>
      <c r="K49" s="113" t="s">
        <v>106</v>
      </c>
      <c r="N49" s="114" t="n">
        <v>0.4</v>
      </c>
    </row>
    <row r="50" customFormat="false" ht="13.9" hidden="false" customHeight="true" outlineLevel="0" collapsed="false">
      <c r="A50" s="12"/>
      <c r="B50" s="12"/>
      <c r="C50" s="115"/>
      <c r="D50" s="59"/>
      <c r="E50" s="15"/>
      <c r="I50" s="116"/>
      <c r="K50" s="15" t="s">
        <v>107</v>
      </c>
      <c r="L50" s="12"/>
      <c r="M50" s="12"/>
      <c r="N50" s="117" t="n">
        <v>0.014</v>
      </c>
    </row>
    <row r="51" customFormat="false" ht="13.9" hidden="false" customHeight="true" outlineLevel="0" collapsed="false">
      <c r="B51" s="70"/>
      <c r="C51" s="118"/>
      <c r="D51" s="59"/>
      <c r="E51" s="31"/>
      <c r="I51" s="119"/>
      <c r="K51" s="1" t="s">
        <v>108</v>
      </c>
      <c r="N51" s="2" t="n">
        <v>5</v>
      </c>
    </row>
    <row r="52" customFormat="false" ht="13.9" hidden="false" customHeight="true" outlineLevel="0" collapsed="false">
      <c r="B52" s="68"/>
      <c r="C52" s="120"/>
      <c r="D52" s="59"/>
      <c r="E52" s="8" t="s">
        <v>109</v>
      </c>
      <c r="I52" s="121"/>
      <c r="K52" s="15" t="s">
        <v>110</v>
      </c>
      <c r="N52" s="117" t="n">
        <v>0.014</v>
      </c>
    </row>
    <row r="53" customFormat="false" ht="13.9" hidden="false" customHeight="true" outlineLevel="0" collapsed="false">
      <c r="B53" s="7"/>
      <c r="C53" s="73"/>
      <c r="D53" s="122"/>
      <c r="E53" s="15" t="s">
        <v>111</v>
      </c>
      <c r="F53" s="123"/>
      <c r="G53" s="120"/>
      <c r="H53" s="121"/>
      <c r="I53" s="121" t="n">
        <f aca="false">'Enron Pre-Tax Returns'!B7</f>
        <v>3127.53466351406</v>
      </c>
      <c r="K53" s="124" t="s">
        <v>112</v>
      </c>
      <c r="L53" s="6"/>
      <c r="M53" s="6"/>
      <c r="N53" s="2" t="n">
        <v>5</v>
      </c>
      <c r="O53" s="125"/>
    </row>
    <row r="54" customFormat="false" ht="13.9" hidden="false" customHeight="true" outlineLevel="0" collapsed="false">
      <c r="A54" s="113"/>
      <c r="C54" s="126"/>
      <c r="D54" s="59"/>
      <c r="K54" s="15"/>
      <c r="N54" s="117"/>
      <c r="O54" s="125"/>
    </row>
    <row r="55" customFormat="false" ht="15.75" hidden="false" customHeight="false" outlineLevel="0" collapsed="false">
      <c r="B55" s="7"/>
      <c r="C55" s="73"/>
      <c r="E55" s="1" t="s">
        <v>113</v>
      </c>
      <c r="H55" s="127"/>
      <c r="I55" s="127" t="n">
        <f aca="false">'Enron Pre-Tax Returns'!B25</f>
        <v>5381.09766848501</v>
      </c>
      <c r="K55" s="8" t="s">
        <v>114</v>
      </c>
      <c r="O55" s="125"/>
    </row>
    <row r="56" customFormat="false" ht="13.9" hidden="false" customHeight="true" outlineLevel="0" collapsed="false">
      <c r="A56" s="12"/>
      <c r="B56" s="12"/>
      <c r="C56" s="115"/>
      <c r="D56" s="28"/>
      <c r="I56" s="128"/>
      <c r="K56" s="1" t="s">
        <v>115</v>
      </c>
      <c r="N56" s="129" t="n">
        <v>15</v>
      </c>
      <c r="O56" s="125"/>
    </row>
    <row r="57" customFormat="false" ht="14.25" hidden="false" customHeight="false" outlineLevel="0" collapsed="false">
      <c r="B57" s="12"/>
      <c r="C57" s="115"/>
      <c r="H57" s="130"/>
      <c r="I57" s="130"/>
      <c r="K57" s="1" t="s">
        <v>116</v>
      </c>
      <c r="N57" s="16" t="n">
        <v>10000</v>
      </c>
    </row>
    <row r="58" customFormat="false" ht="12" hidden="false" customHeight="false" outlineLevel="0" collapsed="false">
      <c r="A58" s="12"/>
      <c r="B58" s="12"/>
      <c r="C58" s="115"/>
      <c r="G58" s="131"/>
      <c r="H58" s="121"/>
      <c r="I58" s="121"/>
      <c r="K58" s="1" t="s">
        <v>117</v>
      </c>
      <c r="N58" s="132" t="n">
        <v>0.015</v>
      </c>
    </row>
    <row r="59" customFormat="false" ht="12" hidden="false" customHeight="false" outlineLevel="0" collapsed="false">
      <c r="C59" s="133"/>
      <c r="G59" s="131"/>
      <c r="H59" s="121"/>
      <c r="I59" s="121"/>
      <c r="K59" s="1" t="s">
        <v>118</v>
      </c>
      <c r="N59" s="132" t="n">
        <v>0.5</v>
      </c>
    </row>
    <row r="60" customFormat="false" ht="12" hidden="false" customHeight="false" outlineLevel="0" collapsed="false">
      <c r="C60" s="133"/>
      <c r="E60" s="7"/>
      <c r="F60" s="7"/>
      <c r="G60" s="134"/>
      <c r="H60" s="20"/>
      <c r="I60" s="134"/>
      <c r="K60" s="1" t="s">
        <v>119</v>
      </c>
      <c r="N60" s="135" t="n">
        <f aca="false">1-N59</f>
        <v>0.5</v>
      </c>
    </row>
    <row r="61" customFormat="false" ht="15.75" hidden="false" customHeight="false" outlineLevel="0" collapsed="false">
      <c r="C61" s="133"/>
      <c r="E61" s="8"/>
      <c r="F61" s="61"/>
      <c r="G61" s="136"/>
      <c r="H61" s="61"/>
      <c r="I61" s="40"/>
      <c r="N61" s="137"/>
    </row>
    <row r="62" customFormat="false" ht="12" hidden="false" customHeight="false" outlineLevel="0" collapsed="false">
      <c r="C62" s="138"/>
      <c r="E62" s="31"/>
      <c r="I62" s="139"/>
    </row>
    <row r="63" customFormat="false" ht="12" hidden="false" customHeight="false" outlineLevel="0" collapsed="false">
      <c r="E63" s="31"/>
      <c r="I63" s="140"/>
      <c r="K63" s="124"/>
      <c r="L63" s="6"/>
      <c r="M63" s="6"/>
      <c r="N63" s="2"/>
    </row>
    <row r="64" customFormat="false" ht="12" hidden="false" customHeight="false" outlineLevel="0" collapsed="false">
      <c r="E64" s="31"/>
      <c r="F64" s="141"/>
      <c r="G64" s="141"/>
      <c r="H64" s="141"/>
      <c r="I64" s="141"/>
      <c r="K64" s="18"/>
      <c r="L64" s="12"/>
      <c r="M64" s="12"/>
    </row>
    <row r="65" customFormat="false" ht="12" hidden="false" customHeight="false" outlineLevel="0" collapsed="false">
      <c r="C65" s="142"/>
      <c r="E65" s="15"/>
      <c r="F65" s="123"/>
      <c r="G65" s="123"/>
      <c r="H65" s="121"/>
      <c r="I65" s="121"/>
      <c r="K65" s="18"/>
      <c r="L65" s="12"/>
      <c r="M65" s="12"/>
      <c r="N65" s="125"/>
    </row>
    <row r="66" customFormat="false" ht="12" hidden="false" customHeight="false" outlineLevel="0" collapsed="false">
      <c r="B66" s="143"/>
      <c r="C66" s="144"/>
      <c r="E66" s="15"/>
      <c r="F66" s="123"/>
      <c r="G66" s="123"/>
      <c r="H66" s="121"/>
      <c r="I66" s="121"/>
      <c r="O66" s="6"/>
    </row>
    <row r="67" customFormat="false" ht="23.25" hidden="false" customHeight="false" outlineLevel="0" collapsed="false">
      <c r="A67" s="145" t="s">
        <v>120</v>
      </c>
      <c r="B67" s="145" t="str">
        <f aca="true">CELL("Filename")</f>
        <v>'file:///mnt/12tb/@roms/datasets/enron/EDRM Enron Email Data Set v2 XML/filtered-attachments/xls/AV.IDC_Fix.xls'#$Project Assumptions</v>
      </c>
      <c r="E67" s="8"/>
      <c r="I67" s="146"/>
      <c r="K67" s="18"/>
      <c r="L67" s="12"/>
      <c r="M67" s="12"/>
      <c r="N67" s="40"/>
      <c r="O67" s="147"/>
    </row>
    <row r="68" customFormat="false" ht="12" hidden="false" customHeight="false" outlineLevel="0" collapsed="false">
      <c r="E68" s="31"/>
      <c r="F68" s="123"/>
      <c r="O68" s="147"/>
    </row>
    <row r="69" customFormat="false" ht="15.75" hidden="false" customHeight="false" outlineLevel="0" collapsed="false">
      <c r="A69" s="8" t="s">
        <v>121</v>
      </c>
      <c r="C69" s="28"/>
      <c r="D69" s="142"/>
      <c r="E69" s="31"/>
      <c r="F69" s="7"/>
      <c r="G69" s="134"/>
      <c r="H69" s="20"/>
      <c r="I69" s="134"/>
      <c r="K69" s="6"/>
      <c r="L69" s="6"/>
      <c r="M69" s="6"/>
      <c r="N69" s="6"/>
      <c r="O69" s="147"/>
    </row>
    <row r="70" customFormat="false" ht="12" hidden="false" customHeight="false" outlineLevel="0" collapsed="false">
      <c r="A70" s="15" t="s">
        <v>122</v>
      </c>
      <c r="C70" s="133" t="s">
        <v>123</v>
      </c>
      <c r="D70" s="142"/>
      <c r="E70" s="31"/>
      <c r="F70" s="7"/>
      <c r="G70" s="134"/>
      <c r="H70" s="20"/>
      <c r="I70" s="134"/>
      <c r="K70" s="6"/>
      <c r="L70" s="6"/>
      <c r="M70" s="6"/>
      <c r="N70" s="6"/>
      <c r="O70" s="147"/>
    </row>
    <row r="71" customFormat="false" ht="12" hidden="false" customHeight="false" outlineLevel="0" collapsed="false">
      <c r="A71" s="1" t="s">
        <v>124</v>
      </c>
      <c r="C71" s="133" t="s">
        <v>125</v>
      </c>
      <c r="D71" s="142"/>
      <c r="E71" s="31"/>
      <c r="G71" s="148"/>
      <c r="I71" s="148"/>
      <c r="K71" s="6"/>
      <c r="L71" s="6"/>
      <c r="M71" s="6"/>
      <c r="N71" s="6"/>
      <c r="O71" s="147"/>
    </row>
    <row r="72" customFormat="false" ht="12" hidden="false" customHeight="false" outlineLevel="0" collapsed="false">
      <c r="A72" s="1" t="s">
        <v>126</v>
      </c>
      <c r="C72" s="133" t="s">
        <v>127</v>
      </c>
      <c r="D72" s="142"/>
      <c r="E72" s="31"/>
      <c r="F72" s="7"/>
      <c r="G72" s="149"/>
      <c r="H72" s="123"/>
      <c r="I72" s="149"/>
      <c r="J72" s="6"/>
      <c r="K72" s="6"/>
      <c r="L72" s="6"/>
      <c r="M72" s="6"/>
      <c r="N72" s="6"/>
      <c r="O72" s="147"/>
    </row>
    <row r="73" customFormat="false" ht="12" hidden="false" customHeight="false" outlineLevel="0" collapsed="false">
      <c r="A73" s="1" t="s">
        <v>128</v>
      </c>
      <c r="C73" s="150"/>
      <c r="D73" s="142"/>
      <c r="G73" s="151"/>
      <c r="H73" s="151"/>
      <c r="I73" s="151"/>
      <c r="K73" s="6"/>
      <c r="L73" s="6"/>
      <c r="M73" s="6"/>
      <c r="N73" s="6"/>
      <c r="O73" s="147"/>
    </row>
    <row r="74" customFormat="false" ht="15.75" hidden="false" customHeight="false" outlineLevel="0" collapsed="false">
      <c r="A74" s="1" t="s">
        <v>129</v>
      </c>
      <c r="C74" s="132"/>
      <c r="D74" s="142"/>
      <c r="E74" s="8"/>
      <c r="K74" s="6"/>
      <c r="L74" s="6"/>
      <c r="M74" s="6"/>
      <c r="N74" s="6"/>
      <c r="O74" s="152"/>
    </row>
    <row r="75" customFormat="false" ht="12" hidden="false" customHeight="false" outlineLevel="0" collapsed="false">
      <c r="A75" s="113" t="s">
        <v>130</v>
      </c>
      <c r="C75" s="133" t="s">
        <v>125</v>
      </c>
      <c r="D75" s="142"/>
      <c r="E75" s="84"/>
      <c r="I75" s="153"/>
      <c r="K75" s="6"/>
      <c r="L75" s="6"/>
      <c r="M75" s="6"/>
      <c r="N75" s="6"/>
    </row>
    <row r="76" customFormat="false" ht="12" hidden="false" customHeight="false" outlineLevel="0" collapsed="false">
      <c r="A76" s="113" t="s">
        <v>131</v>
      </c>
      <c r="C76" s="133" t="n">
        <v>15</v>
      </c>
      <c r="D76" s="142"/>
      <c r="E76" s="61"/>
      <c r="F76" s="61"/>
      <c r="G76" s="61"/>
      <c r="H76" s="61"/>
      <c r="I76" s="154"/>
      <c r="K76" s="155"/>
      <c r="L76" s="6"/>
      <c r="M76" s="6"/>
      <c r="N76" s="6"/>
    </row>
    <row r="77" customFormat="false" ht="12" hidden="false" customHeight="false" outlineLevel="0" collapsed="false">
      <c r="D77" s="142"/>
      <c r="E77" s="61"/>
      <c r="F77" s="61"/>
      <c r="G77" s="61"/>
      <c r="H77" s="61"/>
      <c r="I77" s="156"/>
      <c r="L77" s="6"/>
      <c r="M77" s="6"/>
      <c r="N77" s="6"/>
    </row>
    <row r="78" customFormat="false" ht="15.75" hidden="false" customHeight="false" outlineLevel="0" collapsed="false">
      <c r="A78" s="157"/>
      <c r="D78" s="142"/>
      <c r="E78" s="61"/>
      <c r="F78" s="61"/>
      <c r="G78" s="61"/>
      <c r="H78" s="61"/>
      <c r="I78" s="39"/>
    </row>
    <row r="79" customFormat="false" ht="12" hidden="false" customHeight="false" outlineLevel="0" collapsed="false">
      <c r="E79" s="31"/>
      <c r="G79" s="151"/>
      <c r="H79" s="151"/>
      <c r="I79" s="151"/>
    </row>
    <row r="80" customFormat="false" ht="12" hidden="false" customHeight="false" outlineLevel="0" collapsed="false">
      <c r="F80" s="7"/>
      <c r="G80" s="144"/>
      <c r="I80" s="144"/>
    </row>
    <row r="81" customFormat="false" ht="12" hidden="false" customHeight="false" outlineLevel="0" collapsed="false">
      <c r="E81" s="148"/>
      <c r="F81" s="7"/>
      <c r="G81" s="151"/>
      <c r="H81" s="151"/>
      <c r="I81" s="151"/>
    </row>
    <row r="82" customFormat="false" ht="12.75" hidden="false" customHeight="false" outlineLevel="0" collapsed="false">
      <c r="D82" s="0"/>
      <c r="E82" s="31"/>
      <c r="G82" s="151" t="str">
        <f aca="false">IF($I$15&gt;=25,'Enron Pre-Tax Returns'!$AC$9,"")</f>
        <v/>
      </c>
      <c r="H82" s="151"/>
      <c r="I82" s="151" t="str">
        <f aca="false">IF($I$15&gt;=25,#REF!,"")</f>
        <v/>
      </c>
    </row>
    <row r="83" customFormat="false" ht="12.75" hidden="false" customHeight="false" outlineLevel="0" collapsed="false">
      <c r="A83" s="0"/>
      <c r="B83" s="0"/>
      <c r="C83" s="0"/>
      <c r="D83" s="0"/>
      <c r="E83" s="148"/>
    </row>
    <row r="84" customFormat="false" ht="12.75" hidden="false" customHeight="false" outlineLevel="0" collapsed="false">
      <c r="A84" s="0"/>
      <c r="B84" s="0"/>
      <c r="C84" s="0"/>
      <c r="D84" s="0"/>
      <c r="E84" s="158"/>
      <c r="F84" s="7"/>
      <c r="G84" s="134"/>
      <c r="H84" s="20"/>
      <c r="I84" s="134"/>
    </row>
    <row r="85" customFormat="false" ht="12.75" hidden="false" customHeight="false" outlineLevel="0" collapsed="false">
      <c r="A85" s="0"/>
      <c r="B85" s="0"/>
      <c r="C85" s="0"/>
      <c r="D85" s="0"/>
      <c r="E85" s="31" t="str">
        <f aca="false">IF($I$15&gt;=25,25,"")</f>
        <v/>
      </c>
      <c r="I85" s="144"/>
    </row>
    <row r="86" customFormat="false" ht="12.75" hidden="false" customHeight="false" outlineLevel="0" collapsed="false">
      <c r="A86" s="0"/>
      <c r="B86" s="0"/>
      <c r="C86" s="0"/>
      <c r="D86" s="0"/>
      <c r="E86" s="31"/>
      <c r="H86" s="0"/>
      <c r="I86" s="0"/>
    </row>
    <row r="87" customFormat="false" ht="12.75" hidden="false" customHeight="false" outlineLevel="0" collapsed="false">
      <c r="A87" s="0"/>
      <c r="B87" s="0"/>
      <c r="C87" s="0"/>
      <c r="D87" s="0"/>
      <c r="E87" s="31"/>
      <c r="H87" s="0"/>
      <c r="I87" s="0"/>
    </row>
    <row r="88" customFormat="false" ht="12.75" hidden="false" customHeight="false" outlineLevel="0" collapsed="false">
      <c r="A88" s="0"/>
      <c r="B88" s="0"/>
      <c r="C88" s="0"/>
      <c r="D88" s="0"/>
      <c r="E88" s="31"/>
      <c r="H88" s="0"/>
      <c r="I88" s="0"/>
    </row>
    <row r="89" customFormat="false" ht="12.75" hidden="false" customHeight="false" outlineLevel="0" collapsed="false">
      <c r="A89" s="0"/>
      <c r="B89" s="0"/>
      <c r="C89" s="0"/>
      <c r="D89" s="0"/>
      <c r="E89" s="143"/>
      <c r="H89" s="0"/>
      <c r="I89" s="0"/>
    </row>
    <row r="90" customFormat="false" ht="12.75" hidden="false" customHeight="false" outlineLevel="0" collapsed="false">
      <c r="A90" s="0"/>
      <c r="B90" s="0"/>
      <c r="C90" s="0"/>
      <c r="D90" s="0"/>
      <c r="E90" s="143"/>
      <c r="H90" s="0"/>
      <c r="I90" s="0"/>
    </row>
    <row r="91" customFormat="false" ht="12.75" hidden="false" customHeight="false" outlineLevel="0" collapsed="false">
      <c r="A91" s="0"/>
      <c r="B91" s="0"/>
      <c r="C91" s="0"/>
      <c r="D91" s="0"/>
      <c r="E91" s="143"/>
      <c r="H91" s="0"/>
      <c r="I91" s="0"/>
    </row>
    <row r="92" customFormat="false" ht="12.75" hidden="false" customHeight="false" outlineLevel="0" collapsed="false">
      <c r="A92" s="0"/>
      <c r="B92" s="0"/>
      <c r="C92" s="0"/>
      <c r="D92" s="0"/>
      <c r="E92" s="143"/>
      <c r="F92" s="0"/>
      <c r="G92" s="0"/>
      <c r="H92" s="0"/>
      <c r="I92" s="0"/>
    </row>
    <row r="93" customFormat="false" ht="12.75" hidden="false" customHeight="false" outlineLevel="0" collapsed="false">
      <c r="A93" s="0"/>
      <c r="B93" s="0"/>
      <c r="C93" s="0"/>
      <c r="D93" s="0"/>
      <c r="E93" s="143"/>
      <c r="F93" s="0"/>
      <c r="G93" s="0"/>
      <c r="H93" s="0"/>
      <c r="I93" s="0"/>
    </row>
    <row r="94" customFormat="false" ht="12.75" hidden="false" customHeight="false" outlineLevel="0" collapsed="false">
      <c r="A94" s="0"/>
      <c r="B94" s="0"/>
      <c r="C94" s="0"/>
      <c r="D94" s="0"/>
      <c r="E94" s="143"/>
      <c r="F94" s="0"/>
      <c r="G94" s="0"/>
      <c r="H94" s="0"/>
      <c r="I94" s="0"/>
    </row>
    <row r="95" customFormat="false" ht="12.75" hidden="false" customHeight="false" outlineLevel="0" collapsed="false">
      <c r="A95" s="0"/>
      <c r="B95" s="0"/>
      <c r="C95" s="0"/>
      <c r="D95" s="0"/>
      <c r="E95" s="143"/>
      <c r="F95" s="0"/>
      <c r="G95" s="0"/>
      <c r="H95" s="0"/>
      <c r="I95" s="132"/>
    </row>
    <row r="96" customFormat="false" ht="12.75" hidden="false" customHeight="false" outlineLevel="0" collapsed="false">
      <c r="A96" s="0"/>
      <c r="B96" s="0"/>
      <c r="C96" s="0"/>
      <c r="D96" s="0"/>
      <c r="E96" s="143"/>
      <c r="I96" s="132"/>
    </row>
    <row r="97" customFormat="false" ht="12.75" hidden="false" customHeight="false" outlineLevel="0" collapsed="false">
      <c r="A97" s="0"/>
      <c r="B97" s="0"/>
      <c r="C97" s="0"/>
      <c r="D97" s="0"/>
      <c r="E97" s="143"/>
      <c r="F97" s="114"/>
      <c r="G97" s="39"/>
      <c r="H97" s="39"/>
    </row>
    <row r="98" customFormat="false" ht="12.75" hidden="false" customHeight="false" outlineLevel="0" collapsed="false">
      <c r="A98" s="0"/>
      <c r="B98" s="0"/>
      <c r="C98" s="0"/>
      <c r="D98" s="0"/>
      <c r="E98" s="101"/>
    </row>
    <row r="99" customFormat="false" ht="12.75" hidden="false" customHeight="false" outlineLevel="0" collapsed="false">
      <c r="A99" s="0"/>
      <c r="B99" s="0"/>
      <c r="C99" s="0"/>
      <c r="D99" s="0"/>
    </row>
    <row r="100" customFormat="false" ht="12.75" hidden="false" customHeight="false" outlineLevel="0" collapsed="false">
      <c r="A100" s="0"/>
      <c r="B100" s="0"/>
      <c r="C100" s="0"/>
      <c r="D100" s="0"/>
      <c r="F100" s="0"/>
      <c r="G100" s="0"/>
      <c r="H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15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149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</row>
    <row r="108" customFormat="false" ht="12.75" hidden="false" customHeight="false" outlineLevel="0" collapsed="false">
      <c r="A108" s="0"/>
      <c r="B108" s="0"/>
      <c r="C108" s="0"/>
      <c r="E108" s="0"/>
      <c r="F108" s="0"/>
      <c r="G108" s="0"/>
      <c r="H108" s="0"/>
    </row>
    <row r="109" customFormat="false" ht="12.75" hidden="false" customHeight="false" outlineLevel="0" collapsed="false">
      <c r="E109" s="0"/>
      <c r="F109" s="0"/>
      <c r="G109" s="0"/>
      <c r="H109" s="0"/>
    </row>
    <row r="110" customFormat="false" ht="12.75" hidden="false" customHeight="false" outlineLevel="0" collapsed="false">
      <c r="E110" s="0"/>
      <c r="F110" s="0"/>
      <c r="G110" s="0"/>
      <c r="H110" s="0"/>
    </row>
    <row r="111" customFormat="false" ht="12.75" hidden="false" customHeight="false" outlineLevel="0" collapsed="false">
      <c r="E111" s="0"/>
      <c r="F111" s="0"/>
      <c r="G111" s="0"/>
      <c r="H111" s="0"/>
    </row>
    <row r="112" customFormat="false" ht="12.75" hidden="false" customHeight="false" outlineLevel="0" collapsed="false">
      <c r="E112" s="0"/>
      <c r="F112" s="0"/>
      <c r="G112" s="0"/>
      <c r="H112" s="0"/>
    </row>
    <row r="113" customFormat="false" ht="12.75" hidden="false" customHeight="false" outlineLevel="0" collapsed="false">
      <c r="E113" s="0"/>
      <c r="F113" s="0"/>
      <c r="G113" s="0"/>
      <c r="H113" s="0"/>
    </row>
    <row r="114" customFormat="false" ht="12.75" hidden="false" customHeight="false" outlineLevel="0" collapsed="false">
      <c r="E114" s="0"/>
      <c r="F114" s="0"/>
      <c r="G114" s="0"/>
      <c r="H114" s="0"/>
    </row>
    <row r="115" customFormat="false" ht="12.75" hidden="false" customHeight="false" outlineLevel="0" collapsed="false">
      <c r="E115" s="0"/>
      <c r="F115" s="0"/>
      <c r="G115" s="0"/>
      <c r="H115" s="0"/>
    </row>
    <row r="116" customFormat="false" ht="12.75" hidden="false" customHeight="false" outlineLevel="0" collapsed="false">
      <c r="E116" s="0"/>
      <c r="F116" s="0"/>
      <c r="G116" s="0"/>
      <c r="H116" s="0"/>
    </row>
    <row r="117" customFormat="false" ht="12.75" hidden="false" customHeight="false" outlineLevel="0" collapsed="false">
      <c r="E117" s="0"/>
      <c r="F117" s="0"/>
      <c r="G117" s="0"/>
      <c r="H117" s="0"/>
    </row>
    <row r="118" customFormat="false" ht="12.75" hidden="false" customHeight="false" outlineLevel="0" collapsed="false">
      <c r="E118" s="0"/>
      <c r="F118" s="0"/>
      <c r="G118" s="0"/>
      <c r="H118" s="0"/>
    </row>
    <row r="119" customFormat="false" ht="12.75" hidden="false" customHeight="false" outlineLevel="0" collapsed="false">
      <c r="E119" s="0"/>
      <c r="F119" s="0"/>
      <c r="G119" s="0"/>
      <c r="H119" s="0"/>
    </row>
    <row r="120" customFormat="false" ht="12.75" hidden="false" customHeight="false" outlineLevel="0" collapsed="false">
      <c r="E120" s="0"/>
      <c r="F120" s="0"/>
      <c r="G120" s="0"/>
      <c r="H120" s="0"/>
    </row>
    <row r="121" customFormat="false" ht="12.75" hidden="false" customHeight="false" outlineLevel="0" collapsed="false">
      <c r="E121" s="0"/>
      <c r="F121" s="0"/>
      <c r="G121" s="0"/>
      <c r="H121" s="0"/>
    </row>
    <row r="122" customFormat="false" ht="12.75" hidden="false" customHeight="false" outlineLevel="0" collapsed="false">
      <c r="E122" s="0"/>
      <c r="F122" s="0"/>
      <c r="G122" s="0"/>
      <c r="H122" s="0"/>
    </row>
    <row r="123" customFormat="false" ht="12.75" hidden="false" customHeight="false" outlineLevel="0" collapsed="false">
      <c r="E123" s="0"/>
      <c r="F123" s="0"/>
      <c r="G123" s="0"/>
      <c r="H123" s="0"/>
    </row>
    <row r="124" customFormat="false" ht="12.75" hidden="false" customHeight="false" outlineLevel="0" collapsed="false">
      <c r="E124" s="0"/>
      <c r="F124" s="0"/>
      <c r="G124" s="0"/>
      <c r="H124" s="0"/>
    </row>
    <row r="125" customFormat="false" ht="12.75" hidden="false" customHeight="false" outlineLevel="0" collapsed="false">
      <c r="E125" s="0"/>
      <c r="F125" s="0"/>
      <c r="G125" s="0"/>
      <c r="H125" s="0"/>
    </row>
    <row r="126" customFormat="false" ht="12.75" hidden="false" customHeight="false" outlineLevel="0" collapsed="false">
      <c r="E126" s="0"/>
    </row>
  </sheetData>
  <mergeCells count="2">
    <mergeCell ref="A2:N2"/>
    <mergeCell ref="A3:N3"/>
  </mergeCells>
  <dataValidations count="11">
    <dataValidation allowBlank="true" errorStyle="stop" operator="between" showDropDown="false" showErrorMessage="true" showInputMessage="false" sqref="F38" type="list">
      <formula1>"Coverage Ratio,Assumed"</formula1>
      <formula2>0</formula2>
    </dataValidation>
    <dataValidation allowBlank="true" errorStyle="stop" operator="between" showDropDown="false" showErrorMessage="true" showInputMessage="false" sqref="C71 C75" type="list">
      <formula1>"Yes,No"</formula1>
      <formula2>0</formula2>
    </dataValidation>
    <dataValidation allowBlank="true" errorStyle="stop" operator="between" showDropDown="false" showErrorMessage="true" showInputMessage="false" sqref="C70" type="list">
      <formula1>"Fixed,Oglethorpe"</formula1>
      <formula2>0</formula2>
    </dataValidation>
    <dataValidation allowBlank="true" errorStyle="stop" operator="between" showDropDown="false" showErrorMessage="true" showInputMessage="false" sqref="N45" type="list">
      <formula1>"0,.015"</formula1>
      <formula2>0</formula2>
    </dataValidation>
    <dataValidation allowBlank="true" errorStyle="stop" operator="between" showDropDown="false" showErrorMessage="true" showInputMessage="false" sqref="N42" type="list">
      <formula1>"0,.03,.04"</formula1>
      <formula2>0</formula2>
    </dataValidation>
    <dataValidation allowBlank="true" errorStyle="stop" operator="between" showDropDown="false" showErrorMessage="true" showInputMessage="false" sqref="F45:G45" type="list">
      <formula1>"Interest Only,No P&amp;I"</formula1>
      <formula2>0</formula2>
    </dataValidation>
    <dataValidation allowBlank="true" errorStyle="stop" operator="between" showDropDown="false" showErrorMessage="true" showInputMessage="false" sqref="C72" type="list">
      <formula1>"Actual,Assumed"</formula1>
      <formula2>0</formula2>
    </dataValidation>
    <dataValidation allowBlank="true" errorStyle="stop" operator="between" showDropDown="false" showErrorMessage="true" showInputMessage="false" sqref="C74" type="list">
      <formula1>"0,.02,.03"</formula1>
      <formula2>0</formula2>
    </dataValidation>
    <dataValidation allowBlank="true" errorStyle="stop" operator="between" showDropDown="false" showErrorMessage="true" showInputMessage="false" sqref="I39" type="list">
      <formula1>"Mortgage Style,Level Principal,Custom"</formula1>
      <formula2>0</formula2>
    </dataValidation>
    <dataValidation allowBlank="true" errorStyle="stop" operator="between" showDropDown="false" showErrorMessage="true" showInputMessage="false" sqref="I37" type="list">
      <formula1>"0,.01,.02,.03,.04,.05,.06,.07,.08,.09,.1"</formula1>
      <formula2>0</formula2>
    </dataValidation>
    <dataValidation allowBlank="true" errorStyle="stop" operator="between" showDropDown="false" showErrorMessage="true" showInputMessage="false" sqref="G13" type="list">
      <formula1>"Weighted Average,Twelve-Two"</formula1>
      <formula2>0</formula2>
    </dataValidation>
  </dataValidations>
  <printOptions headings="false" gridLines="false" gridLinesSet="true" horizontalCentered="true" verticalCentered="true"/>
  <pageMargins left="0.747916666666667" right="0.5" top="0.2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  <colBreaks count="1" manualBreakCount="1">
    <brk id="14" man="true" max="65535" min="0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1.25" customHeight="true" zeroHeight="false" outlineLevelRow="0" outlineLevelCol="0"/>
  <cols>
    <col collapsed="false" customWidth="true" hidden="false" outlineLevel="0" max="1" min="1" style="341" width="52.85"/>
    <col collapsed="false" customWidth="true" hidden="false" outlineLevel="0" max="2" min="2" style="341" width="7.28"/>
    <col collapsed="false" customWidth="false" hidden="false" outlineLevel="0" max="257" min="3" style="341" width="9.28"/>
  </cols>
  <sheetData>
    <row r="1" customFormat="false" ht="21.75" hidden="false" customHeight="true" outlineLevel="0" collapsed="false">
      <c r="A1" s="160" t="str">
        <f aca="false">'Project Assumptions'!$A$2</f>
        <v>PROJECT DOYLE</v>
      </c>
      <c r="AB1" s="344"/>
      <c r="AC1" s="342"/>
    </row>
    <row r="2" customFormat="false" ht="15.6" hidden="false" customHeight="true" outlineLevel="0" collapsed="false">
      <c r="A2" s="162" t="s">
        <v>393</v>
      </c>
      <c r="C2" s="236"/>
      <c r="D2" s="236"/>
      <c r="E2" s="237"/>
      <c r="F2" s="237"/>
      <c r="G2" s="237"/>
      <c r="H2" s="237"/>
      <c r="I2" s="237"/>
      <c r="J2" s="344"/>
      <c r="K2" s="237"/>
      <c r="L2" s="237"/>
      <c r="M2" s="237"/>
      <c r="N2" s="237"/>
      <c r="O2" s="237"/>
      <c r="P2" s="344"/>
      <c r="Q2" s="237"/>
      <c r="R2" s="237"/>
      <c r="S2" s="237"/>
      <c r="T2" s="237"/>
      <c r="U2" s="237"/>
      <c r="V2" s="344"/>
      <c r="W2" s="237"/>
      <c r="X2" s="237"/>
      <c r="Y2" s="237"/>
      <c r="Z2" s="237"/>
      <c r="AA2" s="237"/>
      <c r="AB2" s="344"/>
      <c r="AC2" s="342"/>
    </row>
    <row r="3" customFormat="false" ht="12.6" hidden="false" customHeight="true" outlineLevel="0" collapsed="false">
      <c r="A3" s="343"/>
      <c r="B3" s="236"/>
      <c r="C3" s="237" t="n">
        <v>1</v>
      </c>
      <c r="D3" s="237" t="n">
        <f aca="false">C3+1</f>
        <v>2</v>
      </c>
      <c r="E3" s="237" t="n">
        <f aca="false">D3+1</f>
        <v>3</v>
      </c>
      <c r="F3" s="237" t="n">
        <f aca="false">E3+1</f>
        <v>4</v>
      </c>
      <c r="G3" s="237" t="n">
        <f aca="false">F3+1</f>
        <v>5</v>
      </c>
      <c r="H3" s="344" t="n">
        <f aca="false">G3+1</f>
        <v>6</v>
      </c>
      <c r="I3" s="237" t="n">
        <f aca="false">H3+1</f>
        <v>7</v>
      </c>
      <c r="J3" s="237" t="n">
        <f aca="false">I3+1</f>
        <v>8</v>
      </c>
      <c r="K3" s="237" t="n">
        <f aca="false">J3+1</f>
        <v>9</v>
      </c>
      <c r="L3" s="237" t="n">
        <f aca="false">K3+1</f>
        <v>10</v>
      </c>
      <c r="M3" s="237" t="n">
        <f aca="false">L3+1</f>
        <v>11</v>
      </c>
      <c r="N3" s="344" t="n">
        <f aca="false">M3+1</f>
        <v>12</v>
      </c>
      <c r="O3" s="237" t="n">
        <f aca="false">N3+1</f>
        <v>13</v>
      </c>
      <c r="P3" s="237" t="n">
        <f aca="false">O3+1</f>
        <v>14</v>
      </c>
      <c r="Q3" s="237" t="n">
        <f aca="false">P3+1</f>
        <v>15</v>
      </c>
      <c r="R3" s="237" t="n">
        <f aca="false">Q3+1</f>
        <v>16</v>
      </c>
      <c r="S3" s="237"/>
      <c r="T3" s="344"/>
      <c r="U3" s="237"/>
      <c r="V3" s="237"/>
      <c r="W3" s="237"/>
      <c r="X3" s="237"/>
      <c r="Y3" s="237"/>
      <c r="Z3" s="344"/>
      <c r="AA3" s="237"/>
      <c r="AB3" s="238"/>
      <c r="AC3" s="0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  <c r="IW3" s="237"/>
    </row>
    <row r="4" customFormat="false" ht="12.6" hidden="false" customHeight="true" outlineLevel="0" collapsed="false">
      <c r="A4" s="345"/>
      <c r="B4" s="346"/>
      <c r="C4" s="346" t="n">
        <f aca="false">YEAR('Project Assumptions'!I16)</f>
        <v>2000</v>
      </c>
      <c r="D4" s="346" t="n">
        <f aca="false">C4+1</f>
        <v>2001</v>
      </c>
      <c r="E4" s="346" t="n">
        <f aca="false">D4+1</f>
        <v>2002</v>
      </c>
      <c r="F4" s="346" t="n">
        <f aca="false">E4+1</f>
        <v>2003</v>
      </c>
      <c r="G4" s="346" t="n">
        <f aca="false">F4+1</f>
        <v>2004</v>
      </c>
      <c r="H4" s="346" t="n">
        <f aca="false">G4+1</f>
        <v>2005</v>
      </c>
      <c r="I4" s="346" t="n">
        <f aca="false">H4+1</f>
        <v>2006</v>
      </c>
      <c r="J4" s="346" t="n">
        <f aca="false">I4+1</f>
        <v>2007</v>
      </c>
      <c r="K4" s="346" t="n">
        <f aca="false">J4+1</f>
        <v>2008</v>
      </c>
      <c r="L4" s="346" t="n">
        <f aca="false">K4+1</f>
        <v>2009</v>
      </c>
      <c r="M4" s="346" t="n">
        <f aca="false">L4+1</f>
        <v>2010</v>
      </c>
      <c r="N4" s="346" t="n">
        <f aca="false">M4+1</f>
        <v>2011</v>
      </c>
      <c r="O4" s="346" t="n">
        <f aca="false">N4+1</f>
        <v>2012</v>
      </c>
      <c r="P4" s="346" t="n">
        <f aca="false">O4+1</f>
        <v>2013</v>
      </c>
      <c r="Q4" s="346" t="n">
        <f aca="false">P4+1</f>
        <v>2014</v>
      </c>
      <c r="R4" s="346" t="n">
        <f aca="false">Q4+1</f>
        <v>2015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0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  <c r="IW4" s="237"/>
    </row>
    <row r="5" customFormat="false" ht="12" hidden="false" customHeight="true" outlineLevel="0" collapsed="false">
      <c r="A5" s="386" t="s">
        <v>394</v>
      </c>
      <c r="B5" s="191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91"/>
      <c r="AC5" s="191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customFormat="false" ht="12.75" hidden="false" customHeight="false" outlineLevel="0" collapsed="false">
      <c r="A6" s="387" t="s">
        <v>395</v>
      </c>
      <c r="B6" s="239"/>
      <c r="C6" s="239" t="n">
        <f aca="false">'Book Income Statement'!C48</f>
        <v>-358.796310887085</v>
      </c>
      <c r="D6" s="239" t="n">
        <f aca="false">'Book Income Statement'!D48</f>
        <v>-1997.65387787499</v>
      </c>
      <c r="E6" s="239" t="n">
        <f aca="false">'Book Income Statement'!E48</f>
        <v>-1696.03144122992</v>
      </c>
      <c r="F6" s="239" t="n">
        <f aca="false">'Book Income Statement'!F48</f>
        <v>-1374.88176544252</v>
      </c>
      <c r="G6" s="239" t="n">
        <f aca="false">'Book Income Statement'!G48</f>
        <v>-1035.38899932426</v>
      </c>
      <c r="H6" s="239" t="n">
        <f aca="false">'Book Income Statement'!H48</f>
        <v>-396.648879345952</v>
      </c>
      <c r="I6" s="239" t="n">
        <f aca="false">'Book Income Statement'!I48</f>
        <v>261.723815596771</v>
      </c>
      <c r="J6" s="239" t="n">
        <f aca="false">'Book Income Statement'!J48</f>
        <v>665.365689953565</v>
      </c>
      <c r="K6" s="239" t="n">
        <f aca="false">'Book Income Statement'!K48</f>
        <v>1094.83549429207</v>
      </c>
      <c r="L6" s="239" t="n">
        <f aca="false">'Book Income Statement'!L48</f>
        <v>1549.33244497369</v>
      </c>
      <c r="M6" s="239" t="n">
        <f aca="false">'Book Income Statement'!M48</f>
        <v>2031.59697142969</v>
      </c>
      <c r="N6" s="239" t="n">
        <f aca="false">'Book Income Statement'!N48</f>
        <v>2542.74129297862</v>
      </c>
      <c r="O6" s="239" t="n">
        <f aca="false">'Book Income Statement'!O48</f>
        <v>3085.70529637241</v>
      </c>
      <c r="P6" s="239" t="n">
        <f aca="false">'Book Income Statement'!P48</f>
        <v>3661.81280216829</v>
      </c>
      <c r="Q6" s="239" t="n">
        <f aca="false">'Book Income Statement'!Q48</f>
        <v>4272.50318927884</v>
      </c>
      <c r="R6" s="239" t="n">
        <f aca="false">'Book Income Statement'!R48</f>
        <v>14496.2971404672</v>
      </c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  <c r="IW6" s="239"/>
    </row>
    <row r="7" customFormat="false" ht="12.75" hidden="false" customHeight="false" outlineLevel="0" collapsed="false">
      <c r="A7" s="387" t="s">
        <v>396</v>
      </c>
      <c r="B7" s="239"/>
      <c r="C7" s="250" t="n">
        <f aca="false">-Depreciation!D53</f>
        <v>-5</v>
      </c>
      <c r="D7" s="250" t="n">
        <f aca="false">-Depreciation!E53</f>
        <v>-5</v>
      </c>
      <c r="E7" s="250" t="n">
        <f aca="false">-Depreciation!F53</f>
        <v>-5</v>
      </c>
      <c r="F7" s="250" t="n">
        <f aca="false">-Depreciation!G53</f>
        <v>-5</v>
      </c>
      <c r="G7" s="250" t="n">
        <f aca="false">-Depreciation!H53</f>
        <v>-5</v>
      </c>
      <c r="H7" s="250" t="n">
        <f aca="false">-Depreciation!I53</f>
        <v>-5</v>
      </c>
      <c r="I7" s="250" t="n">
        <f aca="false">-Depreciation!J53</f>
        <v>-5</v>
      </c>
      <c r="J7" s="250" t="n">
        <f aca="false">-Depreciation!K53</f>
        <v>-5</v>
      </c>
      <c r="K7" s="250" t="n">
        <f aca="false">-Depreciation!L53</f>
        <v>-5</v>
      </c>
      <c r="L7" s="250" t="n">
        <f aca="false">-Depreciation!M53</f>
        <v>-5</v>
      </c>
      <c r="M7" s="250" t="n">
        <f aca="false">-Depreciation!N53</f>
        <v>-5</v>
      </c>
      <c r="N7" s="250" t="n">
        <f aca="false">-Depreciation!O53</f>
        <v>-5</v>
      </c>
      <c r="O7" s="250" t="n">
        <f aca="false">-Depreciation!P53</f>
        <v>-5</v>
      </c>
      <c r="P7" s="250" t="n">
        <f aca="false">-Depreciation!Q53</f>
        <v>-5</v>
      </c>
      <c r="Q7" s="250" t="n">
        <f aca="false">-Depreciation!R53</f>
        <v>-5</v>
      </c>
      <c r="R7" s="250" t="n">
        <f aca="false">-Depreciation!S53</f>
        <v>-5</v>
      </c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39"/>
      <c r="DC7" s="239"/>
      <c r="DD7" s="239"/>
      <c r="DE7" s="239"/>
      <c r="DF7" s="239"/>
      <c r="DG7" s="239"/>
      <c r="DH7" s="239"/>
      <c r="DI7" s="239"/>
      <c r="DJ7" s="239"/>
      <c r="DK7" s="239"/>
      <c r="DL7" s="239"/>
      <c r="DM7" s="239"/>
      <c r="DN7" s="239"/>
      <c r="DO7" s="239"/>
      <c r="DP7" s="239"/>
      <c r="DQ7" s="239"/>
      <c r="DR7" s="239"/>
      <c r="DS7" s="239"/>
      <c r="DT7" s="239"/>
      <c r="DU7" s="239"/>
      <c r="DV7" s="239"/>
      <c r="DW7" s="239"/>
      <c r="DX7" s="239"/>
      <c r="DY7" s="239"/>
      <c r="DZ7" s="239"/>
      <c r="EA7" s="239"/>
      <c r="EB7" s="239"/>
      <c r="EC7" s="239"/>
      <c r="ED7" s="239"/>
      <c r="EE7" s="239"/>
      <c r="EF7" s="239"/>
      <c r="EG7" s="239"/>
      <c r="EH7" s="239"/>
      <c r="EI7" s="239"/>
      <c r="EJ7" s="239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  <c r="IW7" s="239"/>
    </row>
    <row r="8" customFormat="false" ht="15" hidden="false" customHeight="false" outlineLevel="0" collapsed="false">
      <c r="A8" s="387" t="s">
        <v>397</v>
      </c>
      <c r="B8" s="388"/>
      <c r="C8" s="389" t="n">
        <f aca="false">-Depreciation!D60</f>
        <v>-0</v>
      </c>
      <c r="D8" s="389" t="n">
        <f aca="false">-Depreciation!E60</f>
        <v>-0</v>
      </c>
      <c r="E8" s="389" t="n">
        <f aca="false">-Depreciation!F60</f>
        <v>-0</v>
      </c>
      <c r="F8" s="389" t="n">
        <f aca="false">-Depreciation!G60</f>
        <v>-0</v>
      </c>
      <c r="G8" s="389" t="n">
        <f aca="false">-Depreciation!H60</f>
        <v>-0</v>
      </c>
      <c r="H8" s="389" t="n">
        <f aca="false">-Depreciation!I60</f>
        <v>-0</v>
      </c>
      <c r="I8" s="389" t="n">
        <f aca="false">-Depreciation!J60</f>
        <v>-0</v>
      </c>
      <c r="J8" s="389" t="n">
        <f aca="false">-Depreciation!K60</f>
        <v>-0</v>
      </c>
      <c r="K8" s="389" t="n">
        <f aca="false">-Depreciation!L60</f>
        <v>-0</v>
      </c>
      <c r="L8" s="389" t="n">
        <f aca="false">-Depreciation!M60</f>
        <v>-0</v>
      </c>
      <c r="M8" s="389" t="n">
        <f aca="false">-Depreciation!N60</f>
        <v>-0</v>
      </c>
      <c r="N8" s="389" t="n">
        <f aca="false">-Depreciation!O60</f>
        <v>-0</v>
      </c>
      <c r="O8" s="389" t="n">
        <f aca="false">-Depreciation!P60</f>
        <v>-0</v>
      </c>
      <c r="P8" s="389" t="n">
        <f aca="false">-Depreciation!Q60</f>
        <v>-0</v>
      </c>
      <c r="Q8" s="389" t="n">
        <f aca="false">-Depreciation!R60</f>
        <v>-0</v>
      </c>
      <c r="R8" s="389" t="n">
        <f aca="false">-Depreciation!S60</f>
        <v>-0</v>
      </c>
      <c r="S8" s="389"/>
      <c r="T8" s="389"/>
      <c r="U8" s="389"/>
      <c r="V8" s="389"/>
      <c r="W8" s="389"/>
      <c r="X8" s="389"/>
      <c r="Y8" s="389"/>
      <c r="Z8" s="389"/>
      <c r="AA8" s="389"/>
      <c r="AB8" s="390"/>
      <c r="AC8" s="390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customFormat="false" ht="12.75" hidden="false" customHeight="false" outlineLevel="0" collapsed="false">
      <c r="A9" s="387" t="s">
        <v>398</v>
      </c>
      <c r="B9" s="239"/>
      <c r="C9" s="250" t="n">
        <f aca="false">SUM(C6:C8)</f>
        <v>-363.796310887085</v>
      </c>
      <c r="D9" s="250" t="n">
        <f aca="false">SUM(D6:D8)</f>
        <v>-2002.65387787499</v>
      </c>
      <c r="E9" s="250" t="n">
        <f aca="false">SUM(E6:E8)</f>
        <v>-1701.03144122992</v>
      </c>
      <c r="F9" s="250" t="n">
        <f aca="false">SUM(F6:F8)</f>
        <v>-1379.88176544252</v>
      </c>
      <c r="G9" s="250" t="n">
        <f aca="false">SUM(G6:G8)</f>
        <v>-1040.38899932426</v>
      </c>
      <c r="H9" s="250" t="n">
        <f aca="false">SUM(H6:H8)</f>
        <v>-401.648879345952</v>
      </c>
      <c r="I9" s="250" t="n">
        <f aca="false">SUM(I6:I8)</f>
        <v>256.723815596771</v>
      </c>
      <c r="J9" s="250" t="n">
        <f aca="false">SUM(J6:J8)</f>
        <v>660.365689953565</v>
      </c>
      <c r="K9" s="250" t="n">
        <f aca="false">SUM(K6:K8)</f>
        <v>1089.83549429207</v>
      </c>
      <c r="L9" s="250" t="n">
        <f aca="false">SUM(L6:L8)</f>
        <v>1544.33244497369</v>
      </c>
      <c r="M9" s="250" t="n">
        <f aca="false">SUM(M6:M8)</f>
        <v>2026.59697142969</v>
      </c>
      <c r="N9" s="250" t="n">
        <f aca="false">SUM(N6:N8)</f>
        <v>2537.74129297862</v>
      </c>
      <c r="O9" s="250" t="n">
        <f aca="false">SUM(O6:O8)</f>
        <v>3080.70529637241</v>
      </c>
      <c r="P9" s="250" t="n">
        <f aca="false">SUM(P6:P8)</f>
        <v>3656.81280216829</v>
      </c>
      <c r="Q9" s="250" t="n">
        <f aca="false">SUM(Q6:Q8)</f>
        <v>4267.50318927884</v>
      </c>
      <c r="R9" s="250" t="n">
        <f aca="false">SUM(R6:R8)</f>
        <v>14491.2971404672</v>
      </c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39"/>
      <c r="DY9" s="239"/>
      <c r="DZ9" s="239"/>
      <c r="EA9" s="239"/>
      <c r="EB9" s="239"/>
      <c r="EC9" s="239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  <c r="IW9" s="239"/>
    </row>
    <row r="10" customFormat="false" ht="12" hidden="false" customHeight="true" outlineLevel="0" collapsed="false">
      <c r="A10" s="387"/>
      <c r="B10" s="239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39"/>
      <c r="DY10" s="239"/>
      <c r="DZ10" s="239"/>
      <c r="EA10" s="239"/>
      <c r="EB10" s="239"/>
      <c r="EC10" s="239"/>
      <c r="ED10" s="239"/>
      <c r="EE10" s="239"/>
      <c r="EF10" s="239"/>
      <c r="EG10" s="239"/>
      <c r="EH10" s="239"/>
      <c r="EI10" s="239"/>
      <c r="EJ10" s="239"/>
      <c r="EK10" s="239"/>
      <c r="EL10" s="239"/>
      <c r="EM10" s="239"/>
      <c r="EN10" s="239"/>
      <c r="EO10" s="239"/>
      <c r="EP10" s="239"/>
      <c r="EQ10" s="239"/>
      <c r="ER10" s="239"/>
      <c r="ES10" s="239"/>
      <c r="ET10" s="239"/>
      <c r="EU10" s="239"/>
      <c r="EV10" s="239"/>
      <c r="EW10" s="239"/>
      <c r="EX10" s="239"/>
      <c r="EY10" s="239"/>
      <c r="EZ10" s="239"/>
      <c r="FA10" s="239"/>
      <c r="FB10" s="239"/>
      <c r="FC10" s="239"/>
      <c r="FD10" s="239"/>
      <c r="FE10" s="239"/>
      <c r="FF10" s="239"/>
      <c r="FG10" s="239"/>
      <c r="FH10" s="239"/>
      <c r="FI10" s="239"/>
      <c r="FJ10" s="239"/>
      <c r="FK10" s="239"/>
      <c r="FL10" s="239"/>
      <c r="FM10" s="239"/>
      <c r="FN10" s="239"/>
      <c r="FO10" s="239"/>
      <c r="FP10" s="239"/>
      <c r="FQ10" s="239"/>
      <c r="FR10" s="239"/>
      <c r="FS10" s="239"/>
      <c r="FT10" s="239"/>
      <c r="FU10" s="239"/>
      <c r="FV10" s="239"/>
      <c r="FW10" s="239"/>
      <c r="FX10" s="239"/>
      <c r="FY10" s="239"/>
      <c r="FZ10" s="239"/>
      <c r="GA10" s="239"/>
      <c r="GB10" s="239"/>
      <c r="GC10" s="239"/>
      <c r="GD10" s="239"/>
      <c r="GE10" s="239"/>
      <c r="GF10" s="239"/>
      <c r="GG10" s="239"/>
      <c r="GH10" s="239"/>
      <c r="GI10" s="239"/>
      <c r="GJ10" s="239"/>
      <c r="GK10" s="239"/>
      <c r="GL10" s="239"/>
      <c r="GM10" s="239"/>
      <c r="GN10" s="239"/>
      <c r="GO10" s="239"/>
      <c r="GP10" s="239"/>
      <c r="GQ10" s="239"/>
      <c r="GR10" s="239"/>
      <c r="GS10" s="239"/>
      <c r="GT10" s="239"/>
      <c r="GU10" s="239"/>
      <c r="GV10" s="239"/>
      <c r="GW10" s="239"/>
      <c r="GX10" s="239"/>
      <c r="GY10" s="239"/>
      <c r="GZ10" s="239"/>
      <c r="HA10" s="239"/>
      <c r="HB10" s="239"/>
      <c r="HC10" s="239"/>
      <c r="HD10" s="239"/>
      <c r="HE10" s="239"/>
      <c r="HF10" s="239"/>
      <c r="HG10" s="239"/>
      <c r="HH10" s="239"/>
      <c r="HI10" s="239"/>
      <c r="HJ10" s="239"/>
      <c r="HK10" s="239"/>
      <c r="HL10" s="239"/>
      <c r="HM10" s="239"/>
      <c r="HN10" s="239"/>
      <c r="HO10" s="239"/>
      <c r="HP10" s="239"/>
      <c r="HQ10" s="239"/>
      <c r="HR10" s="239"/>
      <c r="HS10" s="239"/>
      <c r="HT10" s="239"/>
      <c r="HU10" s="239"/>
      <c r="HV10" s="239"/>
      <c r="HW10" s="239"/>
      <c r="HX10" s="239"/>
      <c r="HY10" s="239"/>
      <c r="HZ10" s="239"/>
      <c r="IA10" s="239"/>
      <c r="IB10" s="239"/>
      <c r="IC10" s="239"/>
      <c r="ID10" s="239"/>
      <c r="IE10" s="239"/>
      <c r="IF10" s="239"/>
      <c r="IG10" s="239"/>
      <c r="IH10" s="239"/>
      <c r="II10" s="239"/>
      <c r="IJ10" s="239"/>
      <c r="IK10" s="239"/>
      <c r="IL10" s="239"/>
      <c r="IM10" s="239"/>
      <c r="IN10" s="239"/>
      <c r="IO10" s="239"/>
      <c r="IP10" s="239"/>
      <c r="IQ10" s="239"/>
      <c r="IR10" s="239"/>
      <c r="IS10" s="239"/>
      <c r="IT10" s="239"/>
      <c r="IU10" s="239"/>
      <c r="IV10" s="239"/>
      <c r="IW10" s="239"/>
    </row>
    <row r="11" customFormat="false" ht="12.75" hidden="false" customHeight="false" outlineLevel="0" collapsed="false">
      <c r="A11" s="387" t="s">
        <v>399</v>
      </c>
      <c r="B11" s="239"/>
      <c r="C11" s="250" t="n">
        <f aca="false">'Book Income Statement'!C42</f>
        <v>3730.45835053844</v>
      </c>
      <c r="D11" s="250" t="n">
        <f aca="false">'Book Income Statement'!D42</f>
        <v>7460.91670107687</v>
      </c>
      <c r="E11" s="250" t="n">
        <f aca="false">'Book Income Statement'!E42</f>
        <v>7460.91670107687</v>
      </c>
      <c r="F11" s="250" t="n">
        <f aca="false">'Book Income Statement'!F42</f>
        <v>7460.91670107687</v>
      </c>
      <c r="G11" s="250" t="n">
        <f aca="false">'Book Income Statement'!G42</f>
        <v>7460.91670107687</v>
      </c>
      <c r="H11" s="250" t="n">
        <f aca="false">'Book Income Statement'!H42</f>
        <v>7183.49615680498</v>
      </c>
      <c r="I11" s="250" t="n">
        <f aca="false">'Book Income Statement'!I42</f>
        <v>6906.07561253308</v>
      </c>
      <c r="J11" s="250" t="n">
        <f aca="false">'Book Income Statement'!J42</f>
        <v>6906.07561253308</v>
      </c>
      <c r="K11" s="250" t="n">
        <f aca="false">'Book Income Statement'!K42</f>
        <v>6906.07561253308</v>
      </c>
      <c r="L11" s="250" t="n">
        <f aca="false">'Book Income Statement'!L42</f>
        <v>6906.07561253308</v>
      </c>
      <c r="M11" s="250" t="n">
        <f aca="false">'Book Income Statement'!M42</f>
        <v>6906.07561253308</v>
      </c>
      <c r="N11" s="250" t="n">
        <f aca="false">'Book Income Statement'!N42</f>
        <v>6906.07561253308</v>
      </c>
      <c r="O11" s="250" t="n">
        <f aca="false">'Book Income Statement'!O42</f>
        <v>6906.07561253308</v>
      </c>
      <c r="P11" s="250" t="n">
        <f aca="false">'Book Income Statement'!P42</f>
        <v>6906.07561253308</v>
      </c>
      <c r="Q11" s="250" t="n">
        <f aca="false">'Book Income Statement'!Q42</f>
        <v>6906.07561253308</v>
      </c>
      <c r="R11" s="250" t="n">
        <f aca="false">'Book Income Statement'!R42</f>
        <v>3453.03780626654</v>
      </c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39"/>
      <c r="DY11" s="239"/>
      <c r="DZ11" s="239"/>
      <c r="EA11" s="239"/>
      <c r="EB11" s="239"/>
      <c r="EC11" s="239"/>
      <c r="ED11" s="239"/>
      <c r="EE11" s="239"/>
      <c r="EF11" s="239"/>
      <c r="EG11" s="239"/>
      <c r="EH11" s="239"/>
      <c r="EI11" s="239"/>
      <c r="EJ11" s="239"/>
      <c r="EK11" s="239"/>
      <c r="EL11" s="239"/>
      <c r="EM11" s="239"/>
      <c r="EN11" s="239"/>
      <c r="EO11" s="239"/>
      <c r="EP11" s="239"/>
      <c r="EQ11" s="239"/>
      <c r="ER11" s="239"/>
      <c r="ES11" s="239"/>
      <c r="ET11" s="239"/>
      <c r="EU11" s="239"/>
      <c r="EV11" s="239"/>
      <c r="EW11" s="239"/>
      <c r="EX11" s="239"/>
      <c r="EY11" s="239"/>
      <c r="EZ11" s="239"/>
      <c r="FA11" s="239"/>
      <c r="FB11" s="239"/>
      <c r="FC11" s="239"/>
      <c r="FD11" s="239"/>
      <c r="FE11" s="239"/>
      <c r="FF11" s="239"/>
      <c r="FG11" s="239"/>
      <c r="FH11" s="239"/>
      <c r="FI11" s="239"/>
      <c r="FJ11" s="239"/>
      <c r="FK11" s="239"/>
      <c r="FL11" s="239"/>
      <c r="FM11" s="239"/>
      <c r="FN11" s="239"/>
      <c r="FO11" s="239"/>
      <c r="FP11" s="239"/>
      <c r="FQ11" s="239"/>
      <c r="FR11" s="239"/>
      <c r="FS11" s="239"/>
      <c r="FT11" s="239"/>
      <c r="FU11" s="239"/>
      <c r="FV11" s="239"/>
      <c r="FW11" s="239"/>
      <c r="FX11" s="239"/>
      <c r="FY11" s="239"/>
      <c r="FZ11" s="239"/>
      <c r="GA11" s="239"/>
      <c r="GB11" s="239"/>
      <c r="GC11" s="239"/>
      <c r="GD11" s="239"/>
      <c r="GE11" s="239"/>
      <c r="GF11" s="239"/>
      <c r="GG11" s="239"/>
      <c r="GH11" s="239"/>
      <c r="GI11" s="239"/>
      <c r="GJ11" s="239"/>
      <c r="GK11" s="239"/>
      <c r="GL11" s="239"/>
      <c r="GM11" s="239"/>
      <c r="GN11" s="239"/>
      <c r="GO11" s="239"/>
      <c r="GP11" s="239"/>
      <c r="GQ11" s="239"/>
      <c r="GR11" s="239"/>
      <c r="GS11" s="239"/>
      <c r="GT11" s="239"/>
      <c r="GU11" s="239"/>
      <c r="GV11" s="239"/>
      <c r="GW11" s="239"/>
      <c r="GX11" s="239"/>
      <c r="GY11" s="239"/>
      <c r="GZ11" s="239"/>
      <c r="HA11" s="239"/>
      <c r="HB11" s="239"/>
      <c r="HC11" s="239"/>
      <c r="HD11" s="239"/>
      <c r="HE11" s="239"/>
      <c r="HF11" s="239"/>
      <c r="HG11" s="239"/>
      <c r="HH11" s="239"/>
      <c r="HI11" s="239"/>
      <c r="HJ11" s="239"/>
      <c r="HK11" s="239"/>
      <c r="HL11" s="239"/>
      <c r="HM11" s="239"/>
      <c r="HN11" s="239"/>
      <c r="HO11" s="239"/>
      <c r="HP11" s="239"/>
      <c r="HQ11" s="239"/>
      <c r="HR11" s="239"/>
      <c r="HS11" s="239"/>
      <c r="HT11" s="239"/>
      <c r="HU11" s="239"/>
      <c r="HV11" s="239"/>
      <c r="HW11" s="239"/>
      <c r="HX11" s="239"/>
      <c r="HY11" s="239"/>
      <c r="HZ11" s="239"/>
      <c r="IA11" s="239"/>
      <c r="IB11" s="239"/>
      <c r="IC11" s="239"/>
      <c r="ID11" s="239"/>
      <c r="IE11" s="239"/>
      <c r="IF11" s="239"/>
      <c r="IG11" s="239"/>
      <c r="IH11" s="239"/>
      <c r="II11" s="239"/>
      <c r="IJ11" s="239"/>
      <c r="IK11" s="239"/>
      <c r="IL11" s="239"/>
      <c r="IM11" s="239"/>
      <c r="IN11" s="239"/>
      <c r="IO11" s="239"/>
      <c r="IP11" s="239"/>
      <c r="IQ11" s="239"/>
      <c r="IR11" s="239"/>
      <c r="IS11" s="239"/>
      <c r="IT11" s="239"/>
      <c r="IU11" s="239"/>
      <c r="IV11" s="239"/>
      <c r="IW11" s="239"/>
    </row>
    <row r="12" customFormat="false" ht="15" hidden="false" customHeight="false" outlineLevel="0" collapsed="false">
      <c r="A12" s="387" t="s">
        <v>400</v>
      </c>
      <c r="B12" s="191"/>
      <c r="C12" s="391" t="n">
        <f aca="false">Depreciation!D26*-1</f>
        <v>-5970.01818153576</v>
      </c>
      <c r="D12" s="391" t="n">
        <f aca="false">Depreciation!E26*-1</f>
        <v>-11373.3847849179</v>
      </c>
      <c r="E12" s="391" t="n">
        <f aca="false">Depreciation!F26*-1</f>
        <v>-10296.7467864261</v>
      </c>
      <c r="F12" s="391" t="n">
        <f aca="false">Depreciation!G26*-1</f>
        <v>-9333.43910356507</v>
      </c>
      <c r="G12" s="391" t="n">
        <f aca="false">Depreciation!H26*-1</f>
        <v>-8460.79567320856</v>
      </c>
      <c r="H12" s="391" t="n">
        <f aca="false">Depreciation!I26*-1</f>
        <v>-7363.98106379355</v>
      </c>
      <c r="I12" s="391" t="n">
        <f aca="false">Depreciation!J26*-1</f>
        <v>-6686.48862221219</v>
      </c>
      <c r="J12" s="391" t="n">
        <f aca="false">Depreciation!K26*-1</f>
        <v>-6686.48862221219</v>
      </c>
      <c r="K12" s="391" t="n">
        <f aca="false">Depreciation!L26*-1</f>
        <v>-6697.82165377527</v>
      </c>
      <c r="L12" s="391" t="n">
        <f aca="false">Depreciation!M26*-1</f>
        <v>-6686.48862221219</v>
      </c>
      <c r="M12" s="391" t="n">
        <f aca="false">Depreciation!N26*-1</f>
        <v>-6697.82165377527</v>
      </c>
      <c r="N12" s="391" t="n">
        <f aca="false">Depreciation!O26*-1</f>
        <v>-6686.48862221219</v>
      </c>
      <c r="O12" s="391" t="n">
        <f aca="false">Depreciation!P26*-1</f>
        <v>-6697.82165377527</v>
      </c>
      <c r="P12" s="391" t="n">
        <f aca="false">Depreciation!Q26*-1</f>
        <v>-6686.48862221219</v>
      </c>
      <c r="Q12" s="391" t="n">
        <f aca="false">Depreciation!R26*-1</f>
        <v>-6697.82165377527</v>
      </c>
      <c r="R12" s="391" t="n">
        <f aca="false">Depreciation!S26*-1</f>
        <v>-3343.2443111061</v>
      </c>
      <c r="S12" s="391"/>
      <c r="T12" s="391"/>
      <c r="U12" s="391"/>
      <c r="V12" s="391"/>
      <c r="W12" s="391"/>
      <c r="X12" s="391"/>
      <c r="Y12" s="391"/>
      <c r="Z12" s="391"/>
      <c r="AA12" s="391"/>
      <c r="AB12" s="191"/>
      <c r="AC12" s="191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  <c r="AN12" s="392"/>
      <c r="AO12" s="392"/>
      <c r="AP12" s="392"/>
      <c r="AQ12" s="392"/>
      <c r="AR12" s="392"/>
      <c r="AS12" s="392"/>
      <c r="AT12" s="392"/>
      <c r="AU12" s="392"/>
      <c r="AV12" s="392"/>
      <c r="AW12" s="392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2"/>
      <c r="BQ12" s="392"/>
      <c r="BR12" s="392"/>
      <c r="BS12" s="392"/>
      <c r="BT12" s="392"/>
      <c r="BU12" s="392"/>
      <c r="BV12" s="392"/>
      <c r="BW12" s="392"/>
      <c r="BX12" s="392"/>
      <c r="BY12" s="392"/>
      <c r="BZ12" s="392"/>
      <c r="CA12" s="392"/>
      <c r="CB12" s="392"/>
      <c r="CC12" s="392"/>
      <c r="CD12" s="392"/>
      <c r="CE12" s="392"/>
      <c r="CF12" s="392"/>
      <c r="CG12" s="392"/>
      <c r="CH12" s="392"/>
      <c r="CI12" s="392"/>
      <c r="CJ12" s="392"/>
      <c r="CK12" s="392"/>
      <c r="CL12" s="392"/>
      <c r="CM12" s="392"/>
      <c r="CN12" s="392"/>
      <c r="CO12" s="392"/>
      <c r="CP12" s="392"/>
      <c r="CQ12" s="392"/>
      <c r="CR12" s="392"/>
      <c r="CS12" s="392"/>
      <c r="CT12" s="392"/>
      <c r="CU12" s="392"/>
      <c r="CV12" s="392"/>
      <c r="CW12" s="392"/>
      <c r="CX12" s="392"/>
      <c r="CY12" s="392"/>
      <c r="CZ12" s="392"/>
      <c r="DA12" s="392"/>
      <c r="DB12" s="392"/>
      <c r="DC12" s="392"/>
      <c r="DD12" s="392"/>
      <c r="DE12" s="392"/>
      <c r="DF12" s="392"/>
      <c r="DG12" s="392"/>
      <c r="DH12" s="392"/>
      <c r="DI12" s="392"/>
      <c r="DJ12" s="392"/>
      <c r="DK12" s="392"/>
      <c r="DL12" s="392"/>
      <c r="DM12" s="392"/>
      <c r="DN12" s="392"/>
      <c r="DO12" s="392"/>
      <c r="DP12" s="392"/>
      <c r="DQ12" s="392"/>
      <c r="DR12" s="392"/>
      <c r="DS12" s="392"/>
      <c r="DT12" s="392"/>
      <c r="DU12" s="392"/>
      <c r="DV12" s="392"/>
      <c r="DW12" s="392"/>
      <c r="DX12" s="392"/>
      <c r="DY12" s="392"/>
      <c r="DZ12" s="392"/>
      <c r="EA12" s="392"/>
      <c r="EB12" s="392"/>
      <c r="EC12" s="392"/>
      <c r="ED12" s="392"/>
      <c r="EE12" s="392"/>
      <c r="EF12" s="392"/>
      <c r="EG12" s="392"/>
      <c r="EH12" s="392"/>
      <c r="EI12" s="392"/>
      <c r="EJ12" s="392"/>
      <c r="EK12" s="392"/>
      <c r="EL12" s="392"/>
      <c r="EM12" s="392"/>
      <c r="EN12" s="392"/>
      <c r="EO12" s="392"/>
      <c r="EP12" s="392"/>
      <c r="EQ12" s="392"/>
      <c r="ER12" s="392"/>
      <c r="ES12" s="392"/>
      <c r="ET12" s="392"/>
      <c r="EU12" s="392"/>
      <c r="EV12" s="392"/>
      <c r="EW12" s="392"/>
      <c r="EX12" s="392"/>
      <c r="EY12" s="392"/>
      <c r="EZ12" s="392"/>
      <c r="FA12" s="392"/>
      <c r="FB12" s="392"/>
      <c r="FC12" s="392"/>
      <c r="FD12" s="392"/>
      <c r="FE12" s="392"/>
      <c r="FF12" s="392"/>
      <c r="FG12" s="392"/>
      <c r="FH12" s="392"/>
      <c r="FI12" s="392"/>
      <c r="FJ12" s="392"/>
      <c r="FK12" s="392"/>
      <c r="FL12" s="392"/>
      <c r="FM12" s="392"/>
      <c r="FN12" s="392"/>
      <c r="FO12" s="392"/>
      <c r="FP12" s="392"/>
      <c r="FQ12" s="392"/>
      <c r="FR12" s="392"/>
      <c r="FS12" s="392"/>
      <c r="FT12" s="392"/>
      <c r="FU12" s="392"/>
      <c r="FV12" s="392"/>
      <c r="FW12" s="392"/>
      <c r="FX12" s="392"/>
      <c r="FY12" s="392"/>
      <c r="FZ12" s="392"/>
      <c r="GA12" s="392"/>
      <c r="GB12" s="392"/>
      <c r="GC12" s="392"/>
      <c r="GD12" s="392"/>
      <c r="GE12" s="392"/>
      <c r="GF12" s="392"/>
      <c r="GG12" s="392"/>
      <c r="GH12" s="392"/>
      <c r="GI12" s="392"/>
      <c r="GJ12" s="392"/>
      <c r="GK12" s="392"/>
      <c r="GL12" s="392"/>
      <c r="GM12" s="392"/>
      <c r="GN12" s="392"/>
      <c r="GO12" s="392"/>
      <c r="GP12" s="392"/>
      <c r="GQ12" s="392"/>
      <c r="GR12" s="392"/>
      <c r="GS12" s="392"/>
      <c r="GT12" s="392"/>
      <c r="GU12" s="392"/>
      <c r="GV12" s="392"/>
      <c r="GW12" s="392"/>
      <c r="GX12" s="392"/>
      <c r="GY12" s="392"/>
      <c r="GZ12" s="392"/>
      <c r="HA12" s="392"/>
      <c r="HB12" s="392"/>
      <c r="HC12" s="392"/>
      <c r="HD12" s="392"/>
      <c r="HE12" s="392"/>
      <c r="HF12" s="392"/>
      <c r="HG12" s="392"/>
      <c r="HH12" s="392"/>
      <c r="HI12" s="392"/>
      <c r="HJ12" s="392"/>
      <c r="HK12" s="392"/>
      <c r="HL12" s="392"/>
      <c r="HM12" s="392"/>
      <c r="HN12" s="392"/>
      <c r="HO12" s="392"/>
      <c r="HP12" s="392"/>
      <c r="HQ12" s="392"/>
      <c r="HR12" s="392"/>
      <c r="HS12" s="392"/>
      <c r="HT12" s="392"/>
      <c r="HU12" s="392"/>
      <c r="HV12" s="392"/>
      <c r="HW12" s="392"/>
      <c r="HX12" s="392"/>
      <c r="HY12" s="392"/>
      <c r="HZ12" s="392"/>
      <c r="IA12" s="392"/>
      <c r="IB12" s="392"/>
      <c r="IC12" s="392"/>
      <c r="ID12" s="392"/>
      <c r="IE12" s="392"/>
      <c r="IF12" s="392"/>
      <c r="IG12" s="392"/>
      <c r="IH12" s="392"/>
      <c r="II12" s="392"/>
      <c r="IJ12" s="392"/>
      <c r="IK12" s="392"/>
      <c r="IL12" s="392"/>
      <c r="IM12" s="392"/>
      <c r="IN12" s="392"/>
      <c r="IO12" s="392"/>
      <c r="IP12" s="392"/>
      <c r="IQ12" s="392"/>
      <c r="IR12" s="392"/>
      <c r="IS12" s="392"/>
      <c r="IT12" s="392"/>
      <c r="IU12" s="392"/>
      <c r="IV12" s="297"/>
      <c r="IW12" s="297"/>
    </row>
    <row r="13" customFormat="false" ht="12.75" hidden="false" customHeight="false" outlineLevel="0" collapsed="false">
      <c r="A13" s="387" t="s">
        <v>401</v>
      </c>
      <c r="B13" s="239"/>
      <c r="C13" s="250" t="n">
        <f aca="false">SUM(C9:C12)</f>
        <v>-2603.35614188441</v>
      </c>
      <c r="D13" s="250" t="n">
        <f aca="false">SUM(D9:D12)</f>
        <v>-5915.12196171606</v>
      </c>
      <c r="E13" s="250" t="n">
        <f aca="false">SUM(E9:E12)</f>
        <v>-4536.8615265792</v>
      </c>
      <c r="F13" s="250" t="n">
        <f aca="false">SUM(F9:F12)</f>
        <v>-3252.40416793072</v>
      </c>
      <c r="G13" s="250" t="n">
        <f aca="false">SUM(G9:G12)</f>
        <v>-2040.26797145595</v>
      </c>
      <c r="H13" s="250" t="n">
        <f aca="false">SUM(H9:H12)</f>
        <v>-582.13378633453</v>
      </c>
      <c r="I13" s="250" t="n">
        <f aca="false">SUM(I9:I12)</f>
        <v>476.310805917657</v>
      </c>
      <c r="J13" s="250" t="n">
        <f aca="false">SUM(J9:J12)</f>
        <v>879.95268027445</v>
      </c>
      <c r="K13" s="250" t="n">
        <f aca="false">SUM(K9:K12)</f>
        <v>1298.08945304988</v>
      </c>
      <c r="L13" s="250" t="n">
        <f aca="false">SUM(L9:L12)</f>
        <v>1763.91943529458</v>
      </c>
      <c r="M13" s="250" t="n">
        <f aca="false">SUM(M9:M12)</f>
        <v>2234.8509301875</v>
      </c>
      <c r="N13" s="250" t="n">
        <f aca="false">SUM(N9:N12)</f>
        <v>2757.32828329951</v>
      </c>
      <c r="O13" s="250" t="n">
        <f aca="false">SUM(O9:O12)</f>
        <v>3288.95925513022</v>
      </c>
      <c r="P13" s="250" t="n">
        <f aca="false">SUM(P9:P12)</f>
        <v>3876.39979248917</v>
      </c>
      <c r="Q13" s="250" t="n">
        <f aca="false">SUM(Q9:Q12)</f>
        <v>4475.75714803665</v>
      </c>
      <c r="R13" s="250" t="n">
        <f aca="false">SUM(R9:R12)</f>
        <v>14601.0906356277</v>
      </c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39"/>
      <c r="DY13" s="239"/>
      <c r="DZ13" s="239"/>
      <c r="EA13" s="239"/>
      <c r="EB13" s="239"/>
      <c r="EC13" s="239"/>
      <c r="ED13" s="239"/>
      <c r="EE13" s="239"/>
      <c r="EF13" s="239"/>
      <c r="EG13" s="239"/>
      <c r="EH13" s="239"/>
      <c r="EI13" s="239"/>
      <c r="EJ13" s="239"/>
      <c r="EK13" s="239"/>
      <c r="EL13" s="239"/>
      <c r="EM13" s="239"/>
      <c r="EN13" s="239"/>
      <c r="EO13" s="239"/>
      <c r="EP13" s="239"/>
      <c r="EQ13" s="239"/>
      <c r="ER13" s="239"/>
      <c r="ES13" s="239"/>
      <c r="ET13" s="239"/>
      <c r="EU13" s="239"/>
      <c r="EV13" s="239"/>
      <c r="EW13" s="239"/>
      <c r="EX13" s="239"/>
      <c r="EY13" s="239"/>
      <c r="EZ13" s="239"/>
      <c r="FA13" s="239"/>
      <c r="FB13" s="239"/>
      <c r="FC13" s="239"/>
      <c r="FD13" s="239"/>
      <c r="FE13" s="239"/>
      <c r="FF13" s="239"/>
      <c r="FG13" s="239"/>
      <c r="FH13" s="239"/>
      <c r="FI13" s="239"/>
      <c r="FJ13" s="239"/>
      <c r="FK13" s="239"/>
      <c r="FL13" s="239"/>
      <c r="FM13" s="239"/>
      <c r="FN13" s="239"/>
      <c r="FO13" s="239"/>
      <c r="FP13" s="239"/>
      <c r="FQ13" s="239"/>
      <c r="FR13" s="239"/>
      <c r="FS13" s="239"/>
      <c r="FT13" s="239"/>
      <c r="FU13" s="239"/>
      <c r="FV13" s="239"/>
      <c r="FW13" s="239"/>
      <c r="FX13" s="239"/>
      <c r="FY13" s="239"/>
      <c r="FZ13" s="239"/>
      <c r="GA13" s="239"/>
      <c r="GB13" s="239"/>
      <c r="GC13" s="239"/>
      <c r="GD13" s="239"/>
      <c r="GE13" s="239"/>
      <c r="GF13" s="239"/>
      <c r="GG13" s="239"/>
      <c r="GH13" s="239"/>
      <c r="GI13" s="239"/>
      <c r="GJ13" s="239"/>
      <c r="GK13" s="239"/>
      <c r="GL13" s="239"/>
      <c r="GM13" s="239"/>
      <c r="GN13" s="239"/>
      <c r="GO13" s="239"/>
      <c r="GP13" s="239"/>
      <c r="GQ13" s="239"/>
      <c r="GR13" s="239"/>
      <c r="GS13" s="239"/>
      <c r="GT13" s="239"/>
      <c r="GU13" s="239"/>
      <c r="GV13" s="239"/>
      <c r="GW13" s="239"/>
      <c r="GX13" s="239"/>
      <c r="GY13" s="239"/>
      <c r="GZ13" s="239"/>
      <c r="HA13" s="239"/>
      <c r="HB13" s="239"/>
      <c r="HC13" s="239"/>
      <c r="HD13" s="239"/>
      <c r="HE13" s="239"/>
      <c r="HF13" s="239"/>
      <c r="HG13" s="239"/>
      <c r="HH13" s="239"/>
      <c r="HI13" s="239"/>
      <c r="HJ13" s="239"/>
      <c r="HK13" s="239"/>
      <c r="HL13" s="239"/>
      <c r="HM13" s="239"/>
      <c r="HN13" s="239"/>
      <c r="HO13" s="239"/>
      <c r="HP13" s="239"/>
      <c r="HQ13" s="239"/>
      <c r="HR13" s="239"/>
      <c r="HS13" s="239"/>
      <c r="HT13" s="239"/>
      <c r="HU13" s="239"/>
      <c r="HV13" s="239"/>
      <c r="HW13" s="239"/>
      <c r="HX13" s="239"/>
      <c r="HY13" s="239"/>
      <c r="HZ13" s="239"/>
      <c r="IA13" s="239"/>
      <c r="IB13" s="239"/>
      <c r="IC13" s="239"/>
      <c r="ID13" s="239"/>
      <c r="IE13" s="239"/>
      <c r="IF13" s="239"/>
      <c r="IG13" s="239"/>
      <c r="IH13" s="239"/>
      <c r="II13" s="239"/>
      <c r="IJ13" s="239"/>
      <c r="IK13" s="239"/>
      <c r="IL13" s="239"/>
      <c r="IM13" s="239"/>
      <c r="IN13" s="239"/>
      <c r="IO13" s="239"/>
      <c r="IP13" s="239"/>
      <c r="IQ13" s="239"/>
      <c r="IR13" s="239"/>
      <c r="IS13" s="239"/>
      <c r="IT13" s="239"/>
      <c r="IU13" s="239"/>
      <c r="IV13" s="239"/>
      <c r="IW13" s="239"/>
    </row>
    <row r="14" customFormat="false" ht="12" hidden="false" customHeight="true" outlineLevel="0" collapsed="false">
      <c r="A14" s="387"/>
      <c r="B14" s="239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39"/>
      <c r="GD14" s="239"/>
      <c r="GE14" s="239"/>
      <c r="GF14" s="239"/>
      <c r="GG14" s="239"/>
      <c r="GH14" s="239"/>
      <c r="GI14" s="239"/>
      <c r="GJ14" s="239"/>
      <c r="GK14" s="239"/>
      <c r="GL14" s="239"/>
      <c r="GM14" s="239"/>
      <c r="GN14" s="239"/>
      <c r="GO14" s="239"/>
      <c r="GP14" s="239"/>
      <c r="GQ14" s="239"/>
      <c r="GR14" s="239"/>
      <c r="GS14" s="239"/>
      <c r="GT14" s="239"/>
      <c r="GU14" s="239"/>
      <c r="GV14" s="239"/>
      <c r="GW14" s="239"/>
      <c r="GX14" s="239"/>
      <c r="GY14" s="239"/>
      <c r="GZ14" s="239"/>
      <c r="HA14" s="239"/>
      <c r="HB14" s="239"/>
      <c r="HC14" s="239"/>
      <c r="HD14" s="239"/>
      <c r="HE14" s="239"/>
      <c r="HF14" s="239"/>
      <c r="HG14" s="239"/>
      <c r="HH14" s="239"/>
      <c r="HI14" s="239"/>
      <c r="HJ14" s="239"/>
      <c r="HK14" s="239"/>
      <c r="HL14" s="239"/>
      <c r="HM14" s="239"/>
      <c r="HN14" s="239"/>
      <c r="HO14" s="239"/>
      <c r="HP14" s="239"/>
      <c r="HQ14" s="239"/>
      <c r="HR14" s="239"/>
      <c r="HS14" s="239"/>
      <c r="HT14" s="239"/>
      <c r="HU14" s="239"/>
      <c r="HV14" s="239"/>
      <c r="HW14" s="239"/>
      <c r="HX14" s="239"/>
      <c r="HY14" s="239"/>
      <c r="HZ14" s="239"/>
      <c r="IA14" s="239"/>
      <c r="IB14" s="239"/>
      <c r="IC14" s="239"/>
      <c r="ID14" s="239"/>
      <c r="IE14" s="239"/>
      <c r="IF14" s="239"/>
      <c r="IG14" s="239"/>
      <c r="IH14" s="239"/>
      <c r="II14" s="239"/>
      <c r="IJ14" s="239"/>
      <c r="IK14" s="239"/>
      <c r="IL14" s="239"/>
      <c r="IM14" s="239"/>
      <c r="IN14" s="239"/>
      <c r="IO14" s="239"/>
      <c r="IP14" s="239"/>
      <c r="IQ14" s="239"/>
      <c r="IR14" s="239"/>
      <c r="IS14" s="239"/>
      <c r="IT14" s="239"/>
      <c r="IU14" s="239"/>
      <c r="IV14" s="239"/>
      <c r="IW14" s="239"/>
    </row>
    <row r="15" customFormat="false" ht="15" hidden="false" customHeight="false" outlineLevel="0" collapsed="false">
      <c r="A15" s="387" t="s">
        <v>402</v>
      </c>
      <c r="B15" s="191"/>
      <c r="C15" s="391" t="n">
        <f aca="false">C13*'Project Assumptions'!$N$39</f>
        <v>-156.201368513064</v>
      </c>
      <c r="D15" s="391" t="n">
        <f aca="false">D13*'Project Assumptions'!$N$39</f>
        <v>-354.907317702963</v>
      </c>
      <c r="E15" s="391" t="n">
        <f aca="false">E13*'Project Assumptions'!$N$39</f>
        <v>-272.211691594752</v>
      </c>
      <c r="F15" s="391" t="n">
        <f aca="false">F13*'Project Assumptions'!$N$39</f>
        <v>-195.144250075843</v>
      </c>
      <c r="G15" s="391" t="n">
        <f aca="false">G13*'Project Assumptions'!$N$39</f>
        <v>-122.416078287357</v>
      </c>
      <c r="H15" s="391" t="n">
        <f aca="false">H13*'Project Assumptions'!$N$39</f>
        <v>-34.9280271800718</v>
      </c>
      <c r="I15" s="391" t="n">
        <f aca="false">I13*'Project Assumptions'!$N$39</f>
        <v>28.5786483550594</v>
      </c>
      <c r="J15" s="391" t="n">
        <f aca="false">J13*'Project Assumptions'!$N$39</f>
        <v>52.797160816467</v>
      </c>
      <c r="K15" s="391" t="n">
        <f aca="false">K13*'Project Assumptions'!$N$39</f>
        <v>77.8853671829931</v>
      </c>
      <c r="L15" s="391" t="n">
        <f aca="false">L13*'Project Assumptions'!$N$39</f>
        <v>105.835166117675</v>
      </c>
      <c r="M15" s="391" t="n">
        <f aca="false">M13*'Project Assumptions'!$N$39</f>
        <v>134.09105581125</v>
      </c>
      <c r="N15" s="391" t="n">
        <f aca="false">N13*'Project Assumptions'!$N$39</f>
        <v>165.43969699797</v>
      </c>
      <c r="O15" s="391" t="n">
        <f aca="false">O13*'Project Assumptions'!$N$39</f>
        <v>197.337555307813</v>
      </c>
      <c r="P15" s="391" t="n">
        <f aca="false">P13*'Project Assumptions'!$N$39</f>
        <v>232.58398754935</v>
      </c>
      <c r="Q15" s="391" t="n">
        <f aca="false">Q13*'Project Assumptions'!$N$39</f>
        <v>268.545428882199</v>
      </c>
      <c r="R15" s="391" t="n">
        <f aca="false">R13*'Project Assumptions'!$N$39</f>
        <v>876.065438137661</v>
      </c>
      <c r="S15" s="391"/>
      <c r="T15" s="391"/>
      <c r="U15" s="391"/>
      <c r="V15" s="391"/>
      <c r="W15" s="391"/>
      <c r="X15" s="391"/>
      <c r="Y15" s="391"/>
      <c r="Z15" s="391"/>
      <c r="AA15" s="391"/>
      <c r="AB15" s="191"/>
      <c r="AC15" s="191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 s="392"/>
      <c r="BC15" s="392"/>
      <c r="BD15" s="392"/>
      <c r="BE15" s="392"/>
      <c r="BF15" s="392"/>
      <c r="BG15" s="392"/>
      <c r="BH15" s="392"/>
      <c r="BI15" s="392"/>
      <c r="BJ15" s="392"/>
      <c r="BK15" s="392"/>
      <c r="BL15" s="392"/>
      <c r="BM15" s="392"/>
      <c r="BN15" s="392"/>
      <c r="BO15" s="392"/>
      <c r="BP15" s="392"/>
      <c r="BQ15" s="392"/>
      <c r="BR15" s="392"/>
      <c r="BS15" s="392"/>
      <c r="BT15" s="392"/>
      <c r="BU15" s="392"/>
      <c r="BV15" s="392"/>
      <c r="BW15" s="392"/>
      <c r="BX15" s="392"/>
      <c r="BY15" s="392"/>
      <c r="BZ15" s="392"/>
      <c r="CA15" s="392"/>
      <c r="CB15" s="392"/>
      <c r="CC15" s="392"/>
      <c r="CD15" s="392"/>
      <c r="CE15" s="392"/>
      <c r="CF15" s="392"/>
      <c r="CG15" s="392"/>
      <c r="CH15" s="392"/>
      <c r="CI15" s="392"/>
      <c r="CJ15" s="392"/>
      <c r="CK15" s="392"/>
      <c r="CL15" s="392"/>
      <c r="CM15" s="392"/>
      <c r="CN15" s="392"/>
      <c r="CO15" s="392"/>
      <c r="CP15" s="392"/>
      <c r="CQ15" s="392"/>
      <c r="CR15" s="392"/>
      <c r="CS15" s="392"/>
      <c r="CT15" s="392"/>
      <c r="CU15" s="392"/>
      <c r="CV15" s="392"/>
      <c r="CW15" s="392"/>
      <c r="CX15" s="392"/>
      <c r="CY15" s="392"/>
      <c r="CZ15" s="392"/>
      <c r="DA15" s="392"/>
      <c r="DB15" s="392"/>
      <c r="DC15" s="392"/>
      <c r="DD15" s="392"/>
      <c r="DE15" s="392"/>
      <c r="DF15" s="392"/>
      <c r="DG15" s="392"/>
      <c r="DH15" s="392"/>
      <c r="DI15" s="392"/>
      <c r="DJ15" s="392"/>
      <c r="DK15" s="392"/>
      <c r="DL15" s="392"/>
      <c r="DM15" s="392"/>
      <c r="DN15" s="392"/>
      <c r="DO15" s="392"/>
      <c r="DP15" s="392"/>
      <c r="DQ15" s="392"/>
      <c r="DR15" s="392"/>
      <c r="DS15" s="392"/>
      <c r="DT15" s="392"/>
      <c r="DU15" s="392"/>
      <c r="DV15" s="392"/>
      <c r="DW15" s="392"/>
      <c r="DX15" s="392"/>
      <c r="DY15" s="392"/>
      <c r="DZ15" s="392"/>
      <c r="EA15" s="392"/>
      <c r="EB15" s="392"/>
      <c r="EC15" s="392"/>
      <c r="ED15" s="392"/>
      <c r="EE15" s="392"/>
      <c r="EF15" s="392"/>
      <c r="EG15" s="392"/>
      <c r="EH15" s="392"/>
      <c r="EI15" s="392"/>
      <c r="EJ15" s="392"/>
      <c r="EK15" s="392"/>
      <c r="EL15" s="392"/>
      <c r="EM15" s="392"/>
      <c r="EN15" s="392"/>
      <c r="EO15" s="392"/>
      <c r="EP15" s="392"/>
      <c r="EQ15" s="392"/>
      <c r="ER15" s="392"/>
      <c r="ES15" s="392"/>
      <c r="ET15" s="392"/>
      <c r="EU15" s="392"/>
      <c r="EV15" s="392"/>
      <c r="EW15" s="392"/>
      <c r="EX15" s="392"/>
      <c r="EY15" s="392"/>
      <c r="EZ15" s="392"/>
      <c r="FA15" s="392"/>
      <c r="FB15" s="392"/>
      <c r="FC15" s="392"/>
      <c r="FD15" s="392"/>
      <c r="FE15" s="392"/>
      <c r="FF15" s="392"/>
      <c r="FG15" s="392"/>
      <c r="FH15" s="392"/>
      <c r="FI15" s="392"/>
      <c r="FJ15" s="392"/>
      <c r="FK15" s="392"/>
      <c r="FL15" s="392"/>
      <c r="FM15" s="392"/>
      <c r="FN15" s="392"/>
      <c r="FO15" s="392"/>
      <c r="FP15" s="392"/>
      <c r="FQ15" s="392"/>
      <c r="FR15" s="392"/>
      <c r="FS15" s="392"/>
      <c r="FT15" s="392"/>
      <c r="FU15" s="392"/>
      <c r="FV15" s="392"/>
      <c r="FW15" s="392"/>
      <c r="FX15" s="392"/>
      <c r="FY15" s="392"/>
      <c r="FZ15" s="392"/>
      <c r="GA15" s="392"/>
      <c r="GB15" s="392"/>
      <c r="GC15" s="392"/>
      <c r="GD15" s="392"/>
      <c r="GE15" s="392"/>
      <c r="GF15" s="392"/>
      <c r="GG15" s="392"/>
      <c r="GH15" s="392"/>
      <c r="GI15" s="392"/>
      <c r="GJ15" s="392"/>
      <c r="GK15" s="392"/>
      <c r="GL15" s="392"/>
      <c r="GM15" s="392"/>
      <c r="GN15" s="392"/>
      <c r="GO15" s="392"/>
      <c r="GP15" s="392"/>
      <c r="GQ15" s="392"/>
      <c r="GR15" s="392"/>
      <c r="GS15" s="392"/>
      <c r="GT15" s="392"/>
      <c r="GU15" s="392"/>
      <c r="GV15" s="392"/>
      <c r="GW15" s="392"/>
      <c r="GX15" s="392"/>
      <c r="GY15" s="392"/>
      <c r="GZ15" s="392"/>
      <c r="HA15" s="392"/>
      <c r="HB15" s="392"/>
      <c r="HC15" s="392"/>
      <c r="HD15" s="392"/>
      <c r="HE15" s="392"/>
      <c r="HF15" s="392"/>
      <c r="HG15" s="392"/>
      <c r="HH15" s="392"/>
      <c r="HI15" s="392"/>
      <c r="HJ15" s="392"/>
      <c r="HK15" s="392"/>
      <c r="HL15" s="392"/>
      <c r="HM15" s="392"/>
      <c r="HN15" s="392"/>
      <c r="HO15" s="392"/>
      <c r="HP15" s="392"/>
      <c r="HQ15" s="392"/>
      <c r="HR15" s="392"/>
      <c r="HS15" s="392"/>
      <c r="HT15" s="392"/>
      <c r="HU15" s="392"/>
      <c r="HV15" s="392"/>
      <c r="HW15" s="392"/>
      <c r="HX15" s="392"/>
      <c r="HY15" s="392"/>
      <c r="HZ15" s="392"/>
      <c r="IA15" s="392"/>
      <c r="IB15" s="392"/>
      <c r="IC15" s="392"/>
      <c r="ID15" s="392"/>
      <c r="IE15" s="392"/>
      <c r="IF15" s="392"/>
      <c r="IG15" s="392"/>
      <c r="IH15" s="392"/>
      <c r="II15" s="392"/>
      <c r="IJ15" s="392"/>
      <c r="IK15" s="392"/>
      <c r="IL15" s="392"/>
      <c r="IM15" s="392"/>
      <c r="IN15" s="392"/>
      <c r="IO15" s="392"/>
      <c r="IP15" s="392"/>
      <c r="IQ15" s="392"/>
      <c r="IR15" s="392"/>
      <c r="IS15" s="392"/>
      <c r="IT15" s="392"/>
      <c r="IU15" s="392"/>
      <c r="IV15" s="297"/>
      <c r="IW15" s="297"/>
    </row>
    <row r="16" customFormat="false" ht="12.75" hidden="false" customHeight="false" outlineLevel="0" collapsed="false">
      <c r="A16" s="387" t="s">
        <v>403</v>
      </c>
      <c r="B16" s="191"/>
      <c r="C16" s="393" t="n">
        <f aca="false">C13-C15</f>
        <v>-2447.15477337134</v>
      </c>
      <c r="D16" s="393" t="n">
        <f aca="false">D13-D15</f>
        <v>-5560.2146440131</v>
      </c>
      <c r="E16" s="393" t="n">
        <f aca="false">E13-E15</f>
        <v>-4264.64983498445</v>
      </c>
      <c r="F16" s="393" t="n">
        <f aca="false">F13-F15</f>
        <v>-3057.25991785488</v>
      </c>
      <c r="G16" s="393" t="n">
        <f aca="false">G13-G15</f>
        <v>-1917.85189316859</v>
      </c>
      <c r="H16" s="393" t="n">
        <f aca="false">H13-H15</f>
        <v>-547.205759154458</v>
      </c>
      <c r="I16" s="393" t="n">
        <f aca="false">I13-I15</f>
        <v>447.732157562597</v>
      </c>
      <c r="J16" s="393" t="n">
        <f aca="false">J13-J15</f>
        <v>827.155519457983</v>
      </c>
      <c r="K16" s="393" t="n">
        <f aca="false">K13-K15</f>
        <v>1220.20408586689</v>
      </c>
      <c r="L16" s="393" t="n">
        <f aca="false">L13-L15</f>
        <v>1658.0842691769</v>
      </c>
      <c r="M16" s="393" t="n">
        <f aca="false">M13-M15</f>
        <v>2100.75987437625</v>
      </c>
      <c r="N16" s="393" t="n">
        <f aca="false">N13-N15</f>
        <v>2591.88858630154</v>
      </c>
      <c r="O16" s="393" t="n">
        <f aca="false">O13-O15</f>
        <v>3091.62169982241</v>
      </c>
      <c r="P16" s="393" t="n">
        <f aca="false">P13-P15</f>
        <v>3643.81580493982</v>
      </c>
      <c r="Q16" s="393" t="n">
        <f aca="false">Q13-Q15</f>
        <v>4207.21171915445</v>
      </c>
      <c r="R16" s="393" t="n">
        <f aca="false">R13-R15</f>
        <v>13725.02519749</v>
      </c>
      <c r="S16" s="191"/>
      <c r="T16" s="191"/>
      <c r="U16" s="191"/>
      <c r="V16" s="191"/>
      <c r="W16" s="191"/>
      <c r="X16" s="191"/>
      <c r="Y16" s="191"/>
      <c r="Z16" s="191"/>
      <c r="AA16" s="392"/>
      <c r="AB16" s="392"/>
      <c r="AC16" s="392"/>
      <c r="AD16" s="392"/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  <c r="AW16" s="392"/>
      <c r="AX16" s="392"/>
      <c r="AY16" s="392"/>
      <c r="AZ16" s="392"/>
      <c r="BA16" s="392"/>
      <c r="BB16" s="392"/>
      <c r="BC16" s="392"/>
      <c r="BD16" s="392"/>
      <c r="BE16" s="392"/>
      <c r="BF16" s="392"/>
      <c r="BG16" s="392"/>
      <c r="BH16" s="392"/>
      <c r="BI16" s="392"/>
      <c r="BJ16" s="392"/>
      <c r="BK16" s="392"/>
      <c r="BL16" s="392"/>
      <c r="BM16" s="392"/>
      <c r="BN16" s="392"/>
      <c r="BO16" s="392"/>
      <c r="BP16" s="392"/>
      <c r="BQ16" s="392"/>
      <c r="BR16" s="392"/>
      <c r="BS16" s="392"/>
      <c r="BT16" s="392"/>
      <c r="BU16" s="392"/>
      <c r="BV16" s="392"/>
      <c r="BW16" s="392"/>
      <c r="BX16" s="392"/>
      <c r="BY16" s="392"/>
      <c r="BZ16" s="392"/>
      <c r="CA16" s="392"/>
      <c r="CB16" s="392"/>
      <c r="CC16" s="392"/>
      <c r="CD16" s="392"/>
      <c r="CE16" s="392"/>
      <c r="CF16" s="392"/>
      <c r="CG16" s="392"/>
      <c r="CH16" s="392"/>
      <c r="CI16" s="392"/>
      <c r="CJ16" s="392"/>
      <c r="CK16" s="392"/>
      <c r="CL16" s="392"/>
      <c r="CM16" s="392"/>
      <c r="CN16" s="392"/>
      <c r="CO16" s="392"/>
      <c r="CP16" s="392"/>
      <c r="CQ16" s="392"/>
      <c r="CR16" s="392"/>
      <c r="CS16" s="392"/>
      <c r="CT16" s="392"/>
      <c r="CU16" s="392"/>
      <c r="CV16" s="392"/>
      <c r="CW16" s="392"/>
      <c r="CX16" s="392"/>
      <c r="CY16" s="392"/>
      <c r="CZ16" s="392"/>
      <c r="DA16" s="392"/>
      <c r="DB16" s="392"/>
      <c r="DC16" s="392"/>
      <c r="DD16" s="392"/>
      <c r="DE16" s="392"/>
      <c r="DF16" s="392"/>
      <c r="DG16" s="392"/>
      <c r="DH16" s="392"/>
      <c r="DI16" s="392"/>
      <c r="DJ16" s="392"/>
      <c r="DK16" s="392"/>
      <c r="DL16" s="392"/>
      <c r="DM16" s="392"/>
      <c r="DN16" s="392"/>
      <c r="DO16" s="392"/>
      <c r="DP16" s="392"/>
      <c r="DQ16" s="392"/>
      <c r="DR16" s="392"/>
      <c r="DS16" s="392"/>
      <c r="DT16" s="392"/>
      <c r="DU16" s="392"/>
      <c r="DV16" s="392"/>
      <c r="DW16" s="392"/>
      <c r="DX16" s="392"/>
      <c r="DY16" s="392"/>
      <c r="DZ16" s="392"/>
      <c r="EA16" s="392"/>
      <c r="EB16" s="392"/>
      <c r="EC16" s="392"/>
      <c r="ED16" s="392"/>
      <c r="EE16" s="392"/>
      <c r="EF16" s="392"/>
      <c r="EG16" s="392"/>
      <c r="EH16" s="392"/>
      <c r="EI16" s="392"/>
      <c r="EJ16" s="392"/>
      <c r="EK16" s="392"/>
      <c r="EL16" s="392"/>
      <c r="EM16" s="392"/>
      <c r="EN16" s="392"/>
      <c r="EO16" s="392"/>
      <c r="EP16" s="392"/>
      <c r="EQ16" s="392"/>
      <c r="ER16" s="392"/>
      <c r="ES16" s="392"/>
      <c r="ET16" s="392"/>
      <c r="EU16" s="392"/>
      <c r="EV16" s="392"/>
      <c r="EW16" s="392"/>
      <c r="EX16" s="392"/>
      <c r="EY16" s="392"/>
      <c r="EZ16" s="392"/>
      <c r="FA16" s="392"/>
      <c r="FB16" s="392"/>
      <c r="FC16" s="392"/>
      <c r="FD16" s="392"/>
      <c r="FE16" s="392"/>
      <c r="FF16" s="392"/>
      <c r="FG16" s="392"/>
      <c r="FH16" s="392"/>
      <c r="FI16" s="392"/>
      <c r="FJ16" s="392"/>
      <c r="FK16" s="392"/>
      <c r="FL16" s="392"/>
      <c r="FM16" s="392"/>
      <c r="FN16" s="392"/>
      <c r="FO16" s="392"/>
      <c r="FP16" s="392"/>
      <c r="FQ16" s="392"/>
      <c r="FR16" s="392"/>
      <c r="FS16" s="392"/>
      <c r="FT16" s="392"/>
      <c r="FU16" s="392"/>
      <c r="FV16" s="392"/>
      <c r="FW16" s="392"/>
      <c r="FX16" s="392"/>
      <c r="FY16" s="392"/>
      <c r="FZ16" s="392"/>
      <c r="GA16" s="392"/>
      <c r="GB16" s="392"/>
      <c r="GC16" s="392"/>
      <c r="GD16" s="392"/>
      <c r="GE16" s="392"/>
      <c r="GF16" s="392"/>
      <c r="GG16" s="392"/>
      <c r="GH16" s="392"/>
      <c r="GI16" s="392"/>
      <c r="GJ16" s="392"/>
      <c r="GK16" s="392"/>
      <c r="GL16" s="392"/>
      <c r="GM16" s="392"/>
      <c r="GN16" s="392"/>
      <c r="GO16" s="392"/>
      <c r="GP16" s="392"/>
      <c r="GQ16" s="392"/>
      <c r="GR16" s="392"/>
      <c r="GS16" s="392"/>
      <c r="GT16" s="392"/>
      <c r="GU16" s="392"/>
      <c r="GV16" s="392"/>
      <c r="GW16" s="392"/>
      <c r="GX16" s="392"/>
      <c r="GY16" s="392"/>
      <c r="GZ16" s="392"/>
      <c r="HA16" s="392"/>
      <c r="HB16" s="392"/>
      <c r="HC16" s="392"/>
      <c r="HD16" s="392"/>
      <c r="HE16" s="392"/>
      <c r="HF16" s="392"/>
      <c r="HG16" s="392"/>
      <c r="HH16" s="392"/>
      <c r="HI16" s="392"/>
      <c r="HJ16" s="392"/>
      <c r="HK16" s="392"/>
      <c r="HL16" s="392"/>
      <c r="HM16" s="392"/>
      <c r="HN16" s="392"/>
      <c r="HO16" s="392"/>
      <c r="HP16" s="392"/>
      <c r="HQ16" s="392"/>
      <c r="HR16" s="392"/>
      <c r="HS16" s="392"/>
      <c r="HT16" s="392"/>
      <c r="HU16" s="392"/>
      <c r="HV16" s="392"/>
      <c r="HW16" s="392"/>
      <c r="HX16" s="392"/>
      <c r="HY16" s="392"/>
      <c r="HZ16" s="392"/>
      <c r="IA16" s="392"/>
      <c r="IB16" s="392"/>
      <c r="IC16" s="392"/>
      <c r="ID16" s="392"/>
      <c r="IE16" s="392"/>
      <c r="IF16" s="392"/>
      <c r="IG16" s="392"/>
      <c r="IH16" s="392"/>
      <c r="II16" s="392"/>
      <c r="IJ16" s="392"/>
      <c r="IK16" s="392"/>
      <c r="IL16" s="392"/>
      <c r="IM16" s="392"/>
      <c r="IN16" s="392"/>
      <c r="IO16" s="392"/>
      <c r="IP16" s="392"/>
      <c r="IQ16" s="392"/>
      <c r="IR16" s="392"/>
      <c r="IS16" s="184"/>
      <c r="IT16" s="184"/>
      <c r="IU16" s="184"/>
      <c r="IV16" s="184"/>
      <c r="IW16" s="184"/>
    </row>
    <row r="17" customFormat="false" ht="12" hidden="false" customHeight="true" outlineLevel="0" collapsed="false">
      <c r="A17" s="387"/>
      <c r="B17" s="191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191"/>
      <c r="T17" s="191"/>
      <c r="U17" s="191"/>
      <c r="V17" s="191"/>
      <c r="W17" s="191"/>
      <c r="X17" s="191"/>
      <c r="Y17" s="191"/>
      <c r="Z17" s="191"/>
      <c r="AA17" s="392"/>
      <c r="AB17" s="392"/>
      <c r="AC17" s="392"/>
      <c r="AD17" s="392"/>
      <c r="AE17" s="392"/>
      <c r="AF17" s="392"/>
      <c r="AG17" s="392"/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/>
      <c r="AW17" s="392"/>
      <c r="AX17" s="392"/>
      <c r="AY17" s="392"/>
      <c r="AZ17" s="392"/>
      <c r="BA17" s="392"/>
      <c r="BB17" s="392"/>
      <c r="BC17" s="392"/>
      <c r="BD17" s="392"/>
      <c r="BE17" s="392"/>
      <c r="BF17" s="392"/>
      <c r="BG17" s="392"/>
      <c r="BH17" s="392"/>
      <c r="BI17" s="392"/>
      <c r="BJ17" s="392"/>
      <c r="BK17" s="392"/>
      <c r="BL17" s="392"/>
      <c r="BM17" s="392"/>
      <c r="BN17" s="392"/>
      <c r="BO17" s="392"/>
      <c r="BP17" s="392"/>
      <c r="BQ17" s="392"/>
      <c r="BR17" s="392"/>
      <c r="BS17" s="392"/>
      <c r="BT17" s="392"/>
      <c r="BU17" s="392"/>
      <c r="BV17" s="392"/>
      <c r="BW17" s="392"/>
      <c r="BX17" s="392"/>
      <c r="BY17" s="392"/>
      <c r="BZ17" s="392"/>
      <c r="CA17" s="392"/>
      <c r="CB17" s="392"/>
      <c r="CC17" s="392"/>
      <c r="CD17" s="392"/>
      <c r="CE17" s="392"/>
      <c r="CF17" s="392"/>
      <c r="CG17" s="392"/>
      <c r="CH17" s="392"/>
      <c r="CI17" s="392"/>
      <c r="CJ17" s="392"/>
      <c r="CK17" s="392"/>
      <c r="CL17" s="392"/>
      <c r="CM17" s="392"/>
      <c r="CN17" s="392"/>
      <c r="CO17" s="392"/>
      <c r="CP17" s="392"/>
      <c r="CQ17" s="392"/>
      <c r="CR17" s="392"/>
      <c r="CS17" s="392"/>
      <c r="CT17" s="392"/>
      <c r="CU17" s="392"/>
      <c r="CV17" s="392"/>
      <c r="CW17" s="392"/>
      <c r="CX17" s="392"/>
      <c r="CY17" s="392"/>
      <c r="CZ17" s="392"/>
      <c r="DA17" s="392"/>
      <c r="DB17" s="392"/>
      <c r="DC17" s="392"/>
      <c r="DD17" s="392"/>
      <c r="DE17" s="392"/>
      <c r="DF17" s="392"/>
      <c r="DG17" s="392"/>
      <c r="DH17" s="392"/>
      <c r="DI17" s="392"/>
      <c r="DJ17" s="392"/>
      <c r="DK17" s="392"/>
      <c r="DL17" s="392"/>
      <c r="DM17" s="392"/>
      <c r="DN17" s="392"/>
      <c r="DO17" s="392"/>
      <c r="DP17" s="392"/>
      <c r="DQ17" s="392"/>
      <c r="DR17" s="392"/>
      <c r="DS17" s="392"/>
      <c r="DT17" s="392"/>
      <c r="DU17" s="392"/>
      <c r="DV17" s="392"/>
      <c r="DW17" s="392"/>
      <c r="DX17" s="392"/>
      <c r="DY17" s="392"/>
      <c r="DZ17" s="392"/>
      <c r="EA17" s="392"/>
      <c r="EB17" s="392"/>
      <c r="EC17" s="392"/>
      <c r="ED17" s="392"/>
      <c r="EE17" s="392"/>
      <c r="EF17" s="392"/>
      <c r="EG17" s="392"/>
      <c r="EH17" s="392"/>
      <c r="EI17" s="392"/>
      <c r="EJ17" s="392"/>
      <c r="EK17" s="392"/>
      <c r="EL17" s="392"/>
      <c r="EM17" s="392"/>
      <c r="EN17" s="392"/>
      <c r="EO17" s="392"/>
      <c r="EP17" s="392"/>
      <c r="EQ17" s="392"/>
      <c r="ER17" s="392"/>
      <c r="ES17" s="392"/>
      <c r="ET17" s="392"/>
      <c r="EU17" s="392"/>
      <c r="EV17" s="392"/>
      <c r="EW17" s="392"/>
      <c r="EX17" s="392"/>
      <c r="EY17" s="392"/>
      <c r="EZ17" s="392"/>
      <c r="FA17" s="392"/>
      <c r="FB17" s="392"/>
      <c r="FC17" s="392"/>
      <c r="FD17" s="392"/>
      <c r="FE17" s="392"/>
      <c r="FF17" s="392"/>
      <c r="FG17" s="392"/>
      <c r="FH17" s="392"/>
      <c r="FI17" s="392"/>
      <c r="FJ17" s="392"/>
      <c r="FK17" s="392"/>
      <c r="FL17" s="392"/>
      <c r="FM17" s="392"/>
      <c r="FN17" s="392"/>
      <c r="FO17" s="392"/>
      <c r="FP17" s="392"/>
      <c r="FQ17" s="392"/>
      <c r="FR17" s="392"/>
      <c r="FS17" s="392"/>
      <c r="FT17" s="392"/>
      <c r="FU17" s="392"/>
      <c r="FV17" s="392"/>
      <c r="FW17" s="392"/>
      <c r="FX17" s="392"/>
      <c r="FY17" s="392"/>
      <c r="FZ17" s="392"/>
      <c r="GA17" s="392"/>
      <c r="GB17" s="392"/>
      <c r="GC17" s="392"/>
      <c r="GD17" s="392"/>
      <c r="GE17" s="392"/>
      <c r="GF17" s="392"/>
      <c r="GG17" s="392"/>
      <c r="GH17" s="392"/>
      <c r="GI17" s="392"/>
      <c r="GJ17" s="392"/>
      <c r="GK17" s="392"/>
      <c r="GL17" s="392"/>
      <c r="GM17" s="392"/>
      <c r="GN17" s="392"/>
      <c r="GO17" s="392"/>
      <c r="GP17" s="392"/>
      <c r="GQ17" s="392"/>
      <c r="GR17" s="392"/>
      <c r="GS17" s="392"/>
      <c r="GT17" s="392"/>
      <c r="GU17" s="392"/>
      <c r="GV17" s="392"/>
      <c r="GW17" s="392"/>
      <c r="GX17" s="392"/>
      <c r="GY17" s="392"/>
      <c r="GZ17" s="392"/>
      <c r="HA17" s="392"/>
      <c r="HB17" s="392"/>
      <c r="HC17" s="392"/>
      <c r="HD17" s="392"/>
      <c r="HE17" s="392"/>
      <c r="HF17" s="392"/>
      <c r="HG17" s="392"/>
      <c r="HH17" s="392"/>
      <c r="HI17" s="392"/>
      <c r="HJ17" s="392"/>
      <c r="HK17" s="392"/>
      <c r="HL17" s="392"/>
      <c r="HM17" s="392"/>
      <c r="HN17" s="392"/>
      <c r="HO17" s="392"/>
      <c r="HP17" s="392"/>
      <c r="HQ17" s="392"/>
      <c r="HR17" s="392"/>
      <c r="HS17" s="392"/>
      <c r="HT17" s="392"/>
      <c r="HU17" s="392"/>
      <c r="HV17" s="392"/>
      <c r="HW17" s="392"/>
      <c r="HX17" s="392"/>
      <c r="HY17" s="392"/>
      <c r="HZ17" s="392"/>
      <c r="IA17" s="392"/>
      <c r="IB17" s="392"/>
      <c r="IC17" s="392"/>
      <c r="ID17" s="392"/>
      <c r="IE17" s="392"/>
      <c r="IF17" s="392"/>
      <c r="IG17" s="392"/>
      <c r="IH17" s="392"/>
      <c r="II17" s="392"/>
      <c r="IJ17" s="392"/>
      <c r="IK17" s="392"/>
      <c r="IL17" s="392"/>
      <c r="IM17" s="392"/>
      <c r="IN17" s="392"/>
      <c r="IO17" s="392"/>
      <c r="IP17" s="392"/>
      <c r="IQ17" s="392"/>
      <c r="IR17" s="392"/>
      <c r="IS17" s="184"/>
      <c r="IT17" s="184"/>
      <c r="IU17" s="184"/>
      <c r="IV17" s="184"/>
      <c r="IW17" s="184"/>
    </row>
    <row r="18" customFormat="false" ht="12.75" hidden="false" customHeight="false" outlineLevel="0" collapsed="false">
      <c r="A18" s="387" t="s">
        <v>404</v>
      </c>
      <c r="B18" s="184"/>
      <c r="C18" s="297" t="n">
        <f aca="false">C16*'Project Assumptions'!$N$38</f>
        <v>-856.50417067997</v>
      </c>
      <c r="D18" s="297" t="n">
        <f aca="false">D16*'Project Assumptions'!$N$38</f>
        <v>-1946.07512540458</v>
      </c>
      <c r="E18" s="297" t="n">
        <f aca="false">E16*'Project Assumptions'!$N$38</f>
        <v>-1492.62744224456</v>
      </c>
      <c r="F18" s="297" t="n">
        <f aca="false">F16*'Project Assumptions'!$N$38</f>
        <v>-1070.04097124921</v>
      </c>
      <c r="G18" s="297" t="n">
        <f aca="false">G16*'Project Assumptions'!$N$38</f>
        <v>-671.248162609007</v>
      </c>
      <c r="H18" s="297" t="n">
        <f aca="false">H16*'Project Assumptions'!$N$38</f>
        <v>-191.52201570406</v>
      </c>
      <c r="I18" s="297" t="n">
        <f aca="false">I16*'Project Assumptions'!$N$38</f>
        <v>156.706255146909</v>
      </c>
      <c r="J18" s="297" t="n">
        <f aca="false">J16*'Project Assumptions'!$N$38</f>
        <v>289.504431810294</v>
      </c>
      <c r="K18" s="297" t="n">
        <f aca="false">K16*'Project Assumptions'!$N$38</f>
        <v>427.071430053412</v>
      </c>
      <c r="L18" s="297" t="n">
        <f aca="false">L16*'Project Assumptions'!$N$38</f>
        <v>580.329494211916</v>
      </c>
      <c r="M18" s="297" t="n">
        <f aca="false">M16*'Project Assumptions'!$N$38</f>
        <v>735.265956031687</v>
      </c>
      <c r="N18" s="297" t="n">
        <f aca="false">N16*'Project Assumptions'!$N$38</f>
        <v>907.161005205538</v>
      </c>
      <c r="O18" s="297" t="n">
        <f aca="false">O16*'Project Assumptions'!$N$38</f>
        <v>1082.06759493784</v>
      </c>
      <c r="P18" s="297" t="n">
        <f aca="false">P16*'Project Assumptions'!$N$38</f>
        <v>1275.33553172894</v>
      </c>
      <c r="Q18" s="297" t="n">
        <f aca="false">Q16*'Project Assumptions'!$N$38</f>
        <v>1472.52410170406</v>
      </c>
      <c r="R18" s="297" t="n">
        <f aca="false">R16*'Project Assumptions'!$N$38</f>
        <v>4803.75881912151</v>
      </c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customFormat="false" ht="12" hidden="false" customHeight="true" outlineLevel="0" collapsed="false">
      <c r="A19" s="387"/>
      <c r="B19" s="191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191"/>
      <c r="T19" s="191"/>
      <c r="U19" s="191"/>
      <c r="V19" s="191"/>
      <c r="W19" s="191"/>
      <c r="X19" s="191"/>
      <c r="Y19" s="191"/>
      <c r="Z19" s="191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  <c r="BD19" s="392"/>
      <c r="BE19" s="392"/>
      <c r="BF19" s="392"/>
      <c r="BG19" s="392"/>
      <c r="BH19" s="392"/>
      <c r="BI19" s="392"/>
      <c r="BJ19" s="392"/>
      <c r="BK19" s="392"/>
      <c r="BL19" s="392"/>
      <c r="BM19" s="392"/>
      <c r="BN19" s="392"/>
      <c r="BO19" s="392"/>
      <c r="BP19" s="392"/>
      <c r="BQ19" s="392"/>
      <c r="BR19" s="392"/>
      <c r="BS19" s="392"/>
      <c r="BT19" s="392"/>
      <c r="BU19" s="392"/>
      <c r="BV19" s="392"/>
      <c r="BW19" s="392"/>
      <c r="BX19" s="392"/>
      <c r="BY19" s="392"/>
      <c r="BZ19" s="392"/>
      <c r="CA19" s="392"/>
      <c r="CB19" s="392"/>
      <c r="CC19" s="392"/>
      <c r="CD19" s="392"/>
      <c r="CE19" s="392"/>
      <c r="CF19" s="392"/>
      <c r="CG19" s="392"/>
      <c r="CH19" s="392"/>
      <c r="CI19" s="392"/>
      <c r="CJ19" s="392"/>
      <c r="CK19" s="392"/>
      <c r="CL19" s="392"/>
      <c r="CM19" s="392"/>
      <c r="CN19" s="392"/>
      <c r="CO19" s="392"/>
      <c r="CP19" s="392"/>
      <c r="CQ19" s="392"/>
      <c r="CR19" s="392"/>
      <c r="CS19" s="392"/>
      <c r="CT19" s="392"/>
      <c r="CU19" s="392"/>
      <c r="CV19" s="392"/>
      <c r="CW19" s="392"/>
      <c r="CX19" s="392"/>
      <c r="CY19" s="392"/>
      <c r="CZ19" s="392"/>
      <c r="DA19" s="392"/>
      <c r="DB19" s="392"/>
      <c r="DC19" s="392"/>
      <c r="DD19" s="392"/>
      <c r="DE19" s="392"/>
      <c r="DF19" s="392"/>
      <c r="DG19" s="392"/>
      <c r="DH19" s="392"/>
      <c r="DI19" s="392"/>
      <c r="DJ19" s="392"/>
      <c r="DK19" s="392"/>
      <c r="DL19" s="392"/>
      <c r="DM19" s="392"/>
      <c r="DN19" s="392"/>
      <c r="DO19" s="392"/>
      <c r="DP19" s="392"/>
      <c r="DQ19" s="392"/>
      <c r="DR19" s="392"/>
      <c r="DS19" s="392"/>
      <c r="DT19" s="392"/>
      <c r="DU19" s="392"/>
      <c r="DV19" s="392"/>
      <c r="DW19" s="392"/>
      <c r="DX19" s="392"/>
      <c r="DY19" s="392"/>
      <c r="DZ19" s="392"/>
      <c r="EA19" s="392"/>
      <c r="EB19" s="392"/>
      <c r="EC19" s="392"/>
      <c r="ED19" s="392"/>
      <c r="EE19" s="392"/>
      <c r="EF19" s="392"/>
      <c r="EG19" s="392"/>
      <c r="EH19" s="392"/>
      <c r="EI19" s="392"/>
      <c r="EJ19" s="392"/>
      <c r="EK19" s="392"/>
      <c r="EL19" s="392"/>
      <c r="EM19" s="392"/>
      <c r="EN19" s="392"/>
      <c r="EO19" s="392"/>
      <c r="EP19" s="392"/>
      <c r="EQ19" s="392"/>
      <c r="ER19" s="392"/>
      <c r="ES19" s="392"/>
      <c r="ET19" s="392"/>
      <c r="EU19" s="392"/>
      <c r="EV19" s="392"/>
      <c r="EW19" s="392"/>
      <c r="EX19" s="392"/>
      <c r="EY19" s="392"/>
      <c r="EZ19" s="392"/>
      <c r="FA19" s="392"/>
      <c r="FB19" s="392"/>
      <c r="FC19" s="392"/>
      <c r="FD19" s="392"/>
      <c r="FE19" s="392"/>
      <c r="FF19" s="392"/>
      <c r="FG19" s="392"/>
      <c r="FH19" s="392"/>
      <c r="FI19" s="392"/>
      <c r="FJ19" s="392"/>
      <c r="FK19" s="392"/>
      <c r="FL19" s="392"/>
      <c r="FM19" s="392"/>
      <c r="FN19" s="392"/>
      <c r="FO19" s="392"/>
      <c r="FP19" s="392"/>
      <c r="FQ19" s="392"/>
      <c r="FR19" s="392"/>
      <c r="FS19" s="392"/>
      <c r="FT19" s="392"/>
      <c r="FU19" s="392"/>
      <c r="FV19" s="392"/>
      <c r="FW19" s="392"/>
      <c r="FX19" s="392"/>
      <c r="FY19" s="392"/>
      <c r="FZ19" s="392"/>
      <c r="GA19" s="392"/>
      <c r="GB19" s="392"/>
      <c r="GC19" s="392"/>
      <c r="GD19" s="392"/>
      <c r="GE19" s="392"/>
      <c r="GF19" s="392"/>
      <c r="GG19" s="392"/>
      <c r="GH19" s="392"/>
      <c r="GI19" s="392"/>
      <c r="GJ19" s="392"/>
      <c r="GK19" s="392"/>
      <c r="GL19" s="392"/>
      <c r="GM19" s="392"/>
      <c r="GN19" s="392"/>
      <c r="GO19" s="392"/>
      <c r="GP19" s="392"/>
      <c r="GQ19" s="392"/>
      <c r="GR19" s="392"/>
      <c r="GS19" s="392"/>
      <c r="GT19" s="392"/>
      <c r="GU19" s="392"/>
      <c r="GV19" s="392"/>
      <c r="GW19" s="392"/>
      <c r="GX19" s="392"/>
      <c r="GY19" s="392"/>
      <c r="GZ19" s="392"/>
      <c r="HA19" s="392"/>
      <c r="HB19" s="392"/>
      <c r="HC19" s="392"/>
      <c r="HD19" s="392"/>
      <c r="HE19" s="392"/>
      <c r="HF19" s="392"/>
      <c r="HG19" s="392"/>
      <c r="HH19" s="392"/>
      <c r="HI19" s="392"/>
      <c r="HJ19" s="392"/>
      <c r="HK19" s="392"/>
      <c r="HL19" s="392"/>
      <c r="HM19" s="392"/>
      <c r="HN19" s="392"/>
      <c r="HO19" s="392"/>
      <c r="HP19" s="392"/>
      <c r="HQ19" s="392"/>
      <c r="HR19" s="392"/>
      <c r="HS19" s="392"/>
      <c r="HT19" s="392"/>
      <c r="HU19" s="392"/>
      <c r="HV19" s="392"/>
      <c r="HW19" s="392"/>
      <c r="HX19" s="392"/>
      <c r="HY19" s="392"/>
      <c r="HZ19" s="392"/>
      <c r="IA19" s="392"/>
      <c r="IB19" s="392"/>
      <c r="IC19" s="392"/>
      <c r="ID19" s="392"/>
      <c r="IE19" s="392"/>
      <c r="IF19" s="392"/>
      <c r="IG19" s="392"/>
      <c r="IH19" s="392"/>
      <c r="II19" s="392"/>
      <c r="IJ19" s="392"/>
      <c r="IK19" s="392"/>
      <c r="IL19" s="392"/>
      <c r="IM19" s="392"/>
      <c r="IN19" s="392"/>
      <c r="IO19" s="392"/>
      <c r="IP19" s="392"/>
      <c r="IQ19" s="392"/>
      <c r="IR19" s="392"/>
      <c r="IS19" s="184"/>
      <c r="IT19" s="184"/>
      <c r="IU19" s="184"/>
      <c r="IV19" s="184"/>
      <c r="IW19" s="184"/>
    </row>
    <row r="20" customFormat="false" ht="12" hidden="false" customHeight="true" outlineLevel="0" collapsed="false">
      <c r="A20" s="387"/>
      <c r="B20" s="191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191"/>
      <c r="T20" s="191"/>
      <c r="U20" s="191"/>
      <c r="V20" s="191"/>
      <c r="W20" s="191"/>
      <c r="X20" s="191"/>
      <c r="Y20" s="191"/>
      <c r="Z20" s="191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  <c r="DO20" s="392"/>
      <c r="DP20" s="392"/>
      <c r="DQ20" s="392"/>
      <c r="DR20" s="392"/>
      <c r="DS20" s="392"/>
      <c r="DT20" s="392"/>
      <c r="DU20" s="392"/>
      <c r="DV20" s="392"/>
      <c r="DW20" s="392"/>
      <c r="DX20" s="392"/>
      <c r="DY20" s="392"/>
      <c r="DZ20" s="392"/>
      <c r="EA20" s="392"/>
      <c r="EB20" s="392"/>
      <c r="EC20" s="392"/>
      <c r="ED20" s="392"/>
      <c r="EE20" s="392"/>
      <c r="EF20" s="392"/>
      <c r="EG20" s="392"/>
      <c r="EH20" s="392"/>
      <c r="EI20" s="392"/>
      <c r="EJ20" s="392"/>
      <c r="EK20" s="392"/>
      <c r="EL20" s="392"/>
      <c r="EM20" s="392"/>
      <c r="EN20" s="392"/>
      <c r="EO20" s="392"/>
      <c r="EP20" s="392"/>
      <c r="EQ20" s="392"/>
      <c r="ER20" s="392"/>
      <c r="ES20" s="392"/>
      <c r="ET20" s="392"/>
      <c r="EU20" s="392"/>
      <c r="EV20" s="392"/>
      <c r="EW20" s="392"/>
      <c r="EX20" s="392"/>
      <c r="EY20" s="392"/>
      <c r="EZ20" s="392"/>
      <c r="FA20" s="392"/>
      <c r="FB20" s="392"/>
      <c r="FC20" s="392"/>
      <c r="FD20" s="392"/>
      <c r="FE20" s="392"/>
      <c r="FF20" s="392"/>
      <c r="FG20" s="392"/>
      <c r="FH20" s="392"/>
      <c r="FI20" s="392"/>
      <c r="FJ20" s="392"/>
      <c r="FK20" s="392"/>
      <c r="FL20" s="392"/>
      <c r="FM20" s="392"/>
      <c r="FN20" s="392"/>
      <c r="FO20" s="392"/>
      <c r="FP20" s="392"/>
      <c r="FQ20" s="392"/>
      <c r="FR20" s="392"/>
      <c r="FS20" s="392"/>
      <c r="FT20" s="392"/>
      <c r="FU20" s="392"/>
      <c r="FV20" s="392"/>
      <c r="FW20" s="392"/>
      <c r="FX20" s="392"/>
      <c r="FY20" s="392"/>
      <c r="FZ20" s="392"/>
      <c r="GA20" s="392"/>
      <c r="GB20" s="392"/>
      <c r="GC20" s="392"/>
      <c r="GD20" s="392"/>
      <c r="GE20" s="392"/>
      <c r="GF20" s="392"/>
      <c r="GG20" s="392"/>
      <c r="GH20" s="392"/>
      <c r="GI20" s="392"/>
      <c r="GJ20" s="392"/>
      <c r="GK20" s="392"/>
      <c r="GL20" s="392"/>
      <c r="GM20" s="392"/>
      <c r="GN20" s="392"/>
      <c r="GO20" s="392"/>
      <c r="GP20" s="392"/>
      <c r="GQ20" s="392"/>
      <c r="GR20" s="392"/>
      <c r="GS20" s="392"/>
      <c r="GT20" s="392"/>
      <c r="GU20" s="392"/>
      <c r="GV20" s="392"/>
      <c r="GW20" s="392"/>
      <c r="GX20" s="392"/>
      <c r="GY20" s="392"/>
      <c r="GZ20" s="392"/>
      <c r="HA20" s="392"/>
      <c r="HB20" s="392"/>
      <c r="HC20" s="392"/>
      <c r="HD20" s="392"/>
      <c r="HE20" s="392"/>
      <c r="HF20" s="392"/>
      <c r="HG20" s="392"/>
      <c r="HH20" s="392"/>
      <c r="HI20" s="392"/>
      <c r="HJ20" s="392"/>
      <c r="HK20" s="392"/>
      <c r="HL20" s="392"/>
      <c r="HM20" s="392"/>
      <c r="HN20" s="392"/>
      <c r="HO20" s="392"/>
      <c r="HP20" s="392"/>
      <c r="HQ20" s="392"/>
      <c r="HR20" s="392"/>
      <c r="HS20" s="392"/>
      <c r="HT20" s="392"/>
      <c r="HU20" s="392"/>
      <c r="HV20" s="392"/>
      <c r="HW20" s="392"/>
      <c r="HX20" s="392"/>
      <c r="HY20" s="392"/>
      <c r="HZ20" s="392"/>
      <c r="IA20" s="392"/>
      <c r="IB20" s="392"/>
      <c r="IC20" s="392"/>
      <c r="ID20" s="392"/>
      <c r="IE20" s="392"/>
      <c r="IF20" s="392"/>
      <c r="IG20" s="392"/>
      <c r="IH20" s="392"/>
      <c r="II20" s="392"/>
      <c r="IJ20" s="392"/>
      <c r="IK20" s="392"/>
      <c r="IL20" s="392"/>
      <c r="IM20" s="392"/>
      <c r="IN20" s="392"/>
      <c r="IO20" s="392"/>
      <c r="IP20" s="392"/>
      <c r="IQ20" s="392"/>
      <c r="IR20" s="392"/>
      <c r="IS20" s="184"/>
      <c r="IT20" s="184"/>
      <c r="IU20" s="184"/>
      <c r="IV20" s="184"/>
      <c r="IW20" s="184"/>
    </row>
    <row r="21" customFormat="false" ht="12" hidden="false" customHeight="true" outlineLevel="0" collapsed="false">
      <c r="A21" s="386" t="s">
        <v>405</v>
      </c>
      <c r="B21" s="191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191"/>
      <c r="T21" s="191"/>
      <c r="U21" s="191"/>
      <c r="V21" s="191"/>
      <c r="W21" s="191"/>
      <c r="X21" s="191"/>
      <c r="Y21" s="191"/>
      <c r="Z21" s="191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2"/>
      <c r="BL21" s="392"/>
      <c r="BM21" s="392"/>
      <c r="BN21" s="392"/>
      <c r="BO21" s="392"/>
      <c r="BP21" s="392"/>
      <c r="BQ21" s="392"/>
      <c r="BR21" s="392"/>
      <c r="BS21" s="392"/>
      <c r="BT21" s="392"/>
      <c r="BU21" s="392"/>
      <c r="BV21" s="392"/>
      <c r="BW21" s="392"/>
      <c r="BX21" s="392"/>
      <c r="BY21" s="392"/>
      <c r="BZ21" s="392"/>
      <c r="CA21" s="392"/>
      <c r="CB21" s="392"/>
      <c r="CC21" s="392"/>
      <c r="CD21" s="392"/>
      <c r="CE21" s="392"/>
      <c r="CF21" s="392"/>
      <c r="CG21" s="392"/>
      <c r="CH21" s="392"/>
      <c r="CI21" s="392"/>
      <c r="CJ21" s="392"/>
      <c r="CK21" s="392"/>
      <c r="CL21" s="392"/>
      <c r="CM21" s="392"/>
      <c r="CN21" s="392"/>
      <c r="CO21" s="392"/>
      <c r="CP21" s="392"/>
      <c r="CQ21" s="392"/>
      <c r="CR21" s="392"/>
      <c r="CS21" s="392"/>
      <c r="CT21" s="392"/>
      <c r="CU21" s="392"/>
      <c r="CV21" s="392"/>
      <c r="CW21" s="392"/>
      <c r="CX21" s="392"/>
      <c r="CY21" s="392"/>
      <c r="CZ21" s="392"/>
      <c r="DA21" s="392"/>
      <c r="DB21" s="392"/>
      <c r="DC21" s="392"/>
      <c r="DD21" s="392"/>
      <c r="DE21" s="392"/>
      <c r="DF21" s="392"/>
      <c r="DG21" s="392"/>
      <c r="DH21" s="392"/>
      <c r="DI21" s="392"/>
      <c r="DJ21" s="392"/>
      <c r="DK21" s="392"/>
      <c r="DL21" s="392"/>
      <c r="DM21" s="392"/>
      <c r="DN21" s="392"/>
      <c r="DO21" s="392"/>
      <c r="DP21" s="392"/>
      <c r="DQ21" s="392"/>
      <c r="DR21" s="392"/>
      <c r="DS21" s="392"/>
      <c r="DT21" s="392"/>
      <c r="DU21" s="392"/>
      <c r="DV21" s="392"/>
      <c r="DW21" s="392"/>
      <c r="DX21" s="392"/>
      <c r="DY21" s="392"/>
      <c r="DZ21" s="392"/>
      <c r="EA21" s="392"/>
      <c r="EB21" s="392"/>
      <c r="EC21" s="392"/>
      <c r="ED21" s="392"/>
      <c r="EE21" s="392"/>
      <c r="EF21" s="392"/>
      <c r="EG21" s="392"/>
      <c r="EH21" s="392"/>
      <c r="EI21" s="392"/>
      <c r="EJ21" s="392"/>
      <c r="EK21" s="392"/>
      <c r="EL21" s="392"/>
      <c r="EM21" s="392"/>
      <c r="EN21" s="392"/>
      <c r="EO21" s="392"/>
      <c r="EP21" s="392"/>
      <c r="EQ21" s="392"/>
      <c r="ER21" s="392"/>
      <c r="ES21" s="392"/>
      <c r="ET21" s="392"/>
      <c r="EU21" s="392"/>
      <c r="EV21" s="392"/>
      <c r="EW21" s="392"/>
      <c r="EX21" s="392"/>
      <c r="EY21" s="392"/>
      <c r="EZ21" s="392"/>
      <c r="FA21" s="392"/>
      <c r="FB21" s="392"/>
      <c r="FC21" s="392"/>
      <c r="FD21" s="392"/>
      <c r="FE21" s="392"/>
      <c r="FF21" s="392"/>
      <c r="FG21" s="392"/>
      <c r="FH21" s="392"/>
      <c r="FI21" s="392"/>
      <c r="FJ21" s="392"/>
      <c r="FK21" s="392"/>
      <c r="FL21" s="392"/>
      <c r="FM21" s="392"/>
      <c r="FN21" s="392"/>
      <c r="FO21" s="392"/>
      <c r="FP21" s="392"/>
      <c r="FQ21" s="392"/>
      <c r="FR21" s="392"/>
      <c r="FS21" s="392"/>
      <c r="FT21" s="392"/>
      <c r="FU21" s="392"/>
      <c r="FV21" s="392"/>
      <c r="FW21" s="392"/>
      <c r="FX21" s="392"/>
      <c r="FY21" s="392"/>
      <c r="FZ21" s="392"/>
      <c r="GA21" s="392"/>
      <c r="GB21" s="392"/>
      <c r="GC21" s="392"/>
      <c r="GD21" s="392"/>
      <c r="GE21" s="392"/>
      <c r="GF21" s="392"/>
      <c r="GG21" s="392"/>
      <c r="GH21" s="392"/>
      <c r="GI21" s="392"/>
      <c r="GJ21" s="392"/>
      <c r="GK21" s="392"/>
      <c r="GL21" s="392"/>
      <c r="GM21" s="392"/>
      <c r="GN21" s="392"/>
      <c r="GO21" s="392"/>
      <c r="GP21" s="392"/>
      <c r="GQ21" s="392"/>
      <c r="GR21" s="392"/>
      <c r="GS21" s="392"/>
      <c r="GT21" s="392"/>
      <c r="GU21" s="392"/>
      <c r="GV21" s="392"/>
      <c r="GW21" s="392"/>
      <c r="GX21" s="392"/>
      <c r="GY21" s="392"/>
      <c r="GZ21" s="392"/>
      <c r="HA21" s="392"/>
      <c r="HB21" s="392"/>
      <c r="HC21" s="392"/>
      <c r="HD21" s="392"/>
      <c r="HE21" s="392"/>
      <c r="HF21" s="392"/>
      <c r="HG21" s="392"/>
      <c r="HH21" s="392"/>
      <c r="HI21" s="392"/>
      <c r="HJ21" s="392"/>
      <c r="HK21" s="392"/>
      <c r="HL21" s="392"/>
      <c r="HM21" s="392"/>
      <c r="HN21" s="392"/>
      <c r="HO21" s="392"/>
      <c r="HP21" s="392"/>
      <c r="HQ21" s="392"/>
      <c r="HR21" s="392"/>
      <c r="HS21" s="392"/>
      <c r="HT21" s="392"/>
      <c r="HU21" s="392"/>
      <c r="HV21" s="392"/>
      <c r="HW21" s="392"/>
      <c r="HX21" s="392"/>
      <c r="HY21" s="392"/>
      <c r="HZ21" s="392"/>
      <c r="IA21" s="392"/>
      <c r="IB21" s="392"/>
      <c r="IC21" s="392"/>
      <c r="ID21" s="392"/>
      <c r="IE21" s="392"/>
      <c r="IF21" s="392"/>
      <c r="IG21" s="392"/>
      <c r="IH21" s="392"/>
      <c r="II21" s="392"/>
      <c r="IJ21" s="392"/>
      <c r="IK21" s="392"/>
      <c r="IL21" s="392"/>
      <c r="IM21" s="392"/>
      <c r="IN21" s="392"/>
      <c r="IO21" s="392"/>
      <c r="IP21" s="392"/>
      <c r="IQ21" s="392"/>
      <c r="IR21" s="392"/>
      <c r="IS21" s="184"/>
      <c r="IT21" s="184"/>
      <c r="IU21" s="184"/>
      <c r="IV21" s="184"/>
      <c r="IW21" s="184"/>
    </row>
    <row r="22" customFormat="false" ht="12.75" hidden="false" customHeight="false" outlineLevel="0" collapsed="false">
      <c r="A22" s="387" t="s">
        <v>404</v>
      </c>
      <c r="B22" s="184"/>
      <c r="C22" s="297" t="n">
        <f aca="false">C18</f>
        <v>-856.50417067997</v>
      </c>
      <c r="D22" s="297" t="n">
        <f aca="false">D18</f>
        <v>-1946.07512540458</v>
      </c>
      <c r="E22" s="297" t="n">
        <f aca="false">E18</f>
        <v>-1492.62744224456</v>
      </c>
      <c r="F22" s="297" t="n">
        <f aca="false">F18</f>
        <v>-1070.04097124921</v>
      </c>
      <c r="G22" s="297" t="n">
        <f aca="false">G18</f>
        <v>-671.248162609007</v>
      </c>
      <c r="H22" s="297" t="n">
        <f aca="false">H18</f>
        <v>-191.52201570406</v>
      </c>
      <c r="I22" s="297" t="n">
        <f aca="false">I18</f>
        <v>156.706255146909</v>
      </c>
      <c r="J22" s="297" t="n">
        <f aca="false">J18</f>
        <v>289.504431810294</v>
      </c>
      <c r="K22" s="297" t="n">
        <f aca="false">K18</f>
        <v>427.071430053412</v>
      </c>
      <c r="L22" s="297" t="n">
        <f aca="false">L18</f>
        <v>580.329494211916</v>
      </c>
      <c r="M22" s="297" t="n">
        <f aca="false">M18</f>
        <v>735.265956031687</v>
      </c>
      <c r="N22" s="297" t="n">
        <f aca="false">N18</f>
        <v>907.161005205538</v>
      </c>
      <c r="O22" s="297" t="n">
        <f aca="false">O18</f>
        <v>1082.06759493784</v>
      </c>
      <c r="P22" s="297" t="n">
        <f aca="false">P18</f>
        <v>1275.33553172894</v>
      </c>
      <c r="Q22" s="297" t="n">
        <f aca="false">Q18</f>
        <v>1472.52410170406</v>
      </c>
      <c r="R22" s="297" t="n">
        <f aca="false">R18</f>
        <v>4803.75881912151</v>
      </c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  <c r="CJ22" s="184"/>
      <c r="CK22" s="184"/>
      <c r="CL22" s="184"/>
      <c r="CM22" s="184"/>
      <c r="CN22" s="184"/>
      <c r="CO22" s="184"/>
      <c r="CP22" s="184"/>
      <c r="CQ22" s="184"/>
      <c r="CR22" s="184"/>
      <c r="CS22" s="184"/>
      <c r="CT22" s="184"/>
      <c r="CU22" s="184"/>
      <c r="CV22" s="184"/>
      <c r="CW22" s="184"/>
      <c r="CX22" s="184"/>
      <c r="CY22" s="184"/>
      <c r="CZ22" s="184"/>
      <c r="DA22" s="184"/>
      <c r="DB22" s="184"/>
      <c r="DC22" s="184"/>
      <c r="DD22" s="184"/>
      <c r="DE22" s="184"/>
      <c r="DF22" s="184"/>
      <c r="DG22" s="184"/>
      <c r="DH22" s="184"/>
      <c r="DI22" s="184"/>
      <c r="DJ22" s="184"/>
      <c r="DK22" s="184"/>
      <c r="DL22" s="184"/>
      <c r="DM22" s="184"/>
      <c r="DN22" s="184"/>
      <c r="DO22" s="184"/>
      <c r="DP22" s="184"/>
      <c r="DQ22" s="184"/>
      <c r="DR22" s="184"/>
      <c r="DS22" s="184"/>
      <c r="DT22" s="184"/>
      <c r="DU22" s="184"/>
      <c r="DV22" s="184"/>
      <c r="DW22" s="184"/>
      <c r="DX22" s="184"/>
      <c r="DY22" s="184"/>
      <c r="DZ22" s="184"/>
      <c r="EA22" s="184"/>
      <c r="EB22" s="184"/>
      <c r="EC22" s="184"/>
      <c r="ED22" s="184"/>
      <c r="EE22" s="184"/>
      <c r="EF22" s="184"/>
      <c r="EG22" s="184"/>
      <c r="EH22" s="184"/>
      <c r="EI22" s="184"/>
      <c r="EJ22" s="184"/>
      <c r="EK22" s="184"/>
      <c r="EL22" s="184"/>
      <c r="EM22" s="184"/>
      <c r="EN22" s="184"/>
      <c r="EO22" s="184"/>
      <c r="EP22" s="184"/>
      <c r="EQ22" s="184"/>
      <c r="ER22" s="184"/>
      <c r="ES22" s="184"/>
      <c r="ET22" s="184"/>
      <c r="EU22" s="184"/>
      <c r="EV22" s="184"/>
      <c r="EW22" s="184"/>
      <c r="EX22" s="184"/>
      <c r="EY22" s="184"/>
      <c r="EZ22" s="184"/>
      <c r="FA22" s="184"/>
      <c r="FB22" s="184"/>
      <c r="FC22" s="184"/>
      <c r="FD22" s="184"/>
      <c r="FE22" s="184"/>
      <c r="FF22" s="184"/>
      <c r="FG22" s="184"/>
      <c r="FH22" s="184"/>
      <c r="FI22" s="184"/>
      <c r="FJ22" s="184"/>
      <c r="FK22" s="184"/>
      <c r="FL22" s="184"/>
      <c r="FM22" s="184"/>
      <c r="FN22" s="184"/>
      <c r="FO22" s="184"/>
      <c r="FP22" s="184"/>
      <c r="FQ22" s="184"/>
      <c r="FR22" s="184"/>
      <c r="FS22" s="184"/>
      <c r="FT22" s="184"/>
      <c r="FU22" s="184"/>
      <c r="FV22" s="184"/>
      <c r="FW22" s="184"/>
      <c r="FX22" s="184"/>
      <c r="FY22" s="184"/>
      <c r="FZ22" s="184"/>
      <c r="GA22" s="184"/>
      <c r="GB22" s="184"/>
      <c r="GC22" s="184"/>
      <c r="GD22" s="184"/>
      <c r="GE22" s="184"/>
      <c r="GF22" s="184"/>
      <c r="GG22" s="184"/>
      <c r="GH22" s="184"/>
      <c r="GI22" s="184"/>
      <c r="GJ22" s="184"/>
      <c r="GK22" s="184"/>
      <c r="GL22" s="184"/>
      <c r="GM22" s="184"/>
      <c r="GN22" s="184"/>
      <c r="GO22" s="184"/>
      <c r="GP22" s="184"/>
      <c r="GQ22" s="184"/>
      <c r="GR22" s="184"/>
      <c r="GS22" s="184"/>
      <c r="GT22" s="184"/>
      <c r="GU22" s="184"/>
      <c r="GV22" s="184"/>
      <c r="GW22" s="184"/>
      <c r="GX22" s="184"/>
      <c r="GY22" s="184"/>
      <c r="GZ22" s="184"/>
      <c r="HA22" s="184"/>
      <c r="HB22" s="184"/>
      <c r="HC22" s="184"/>
      <c r="HD22" s="184"/>
      <c r="HE22" s="184"/>
      <c r="HF22" s="184"/>
      <c r="HG22" s="184"/>
      <c r="HH22" s="184"/>
      <c r="HI22" s="184"/>
      <c r="HJ22" s="184"/>
      <c r="HK22" s="184"/>
      <c r="HL22" s="184"/>
      <c r="HM22" s="184"/>
      <c r="HN22" s="184"/>
      <c r="HO22" s="184"/>
      <c r="HP22" s="184"/>
      <c r="HQ22" s="184"/>
      <c r="HR22" s="184"/>
      <c r="HS22" s="184"/>
      <c r="HT22" s="184"/>
      <c r="HU22" s="184"/>
      <c r="HV22" s="184"/>
      <c r="HW22" s="184"/>
      <c r="HX22" s="184"/>
      <c r="HY22" s="184"/>
      <c r="HZ22" s="184"/>
      <c r="IA22" s="184"/>
      <c r="IB22" s="184"/>
      <c r="IC22" s="184"/>
      <c r="ID22" s="184"/>
      <c r="IE22" s="184"/>
      <c r="IF22" s="184"/>
      <c r="IG22" s="184"/>
      <c r="IH22" s="184"/>
      <c r="II22" s="184"/>
      <c r="IJ22" s="184"/>
      <c r="IK22" s="184"/>
      <c r="IL22" s="184"/>
      <c r="IM22" s="184"/>
      <c r="IN22" s="184"/>
      <c r="IO22" s="184"/>
      <c r="IP22" s="184"/>
      <c r="IQ22" s="184"/>
      <c r="IR22" s="184"/>
      <c r="IS22" s="184"/>
      <c r="IT22" s="184"/>
      <c r="IU22" s="184"/>
      <c r="IV22" s="184"/>
      <c r="IW22" s="184"/>
    </row>
    <row r="23" customFormat="false" ht="15" hidden="false" customHeight="false" outlineLevel="0" collapsed="false">
      <c r="A23" s="387" t="s">
        <v>406</v>
      </c>
      <c r="B23" s="191"/>
      <c r="C23" s="391" t="n">
        <f aca="false">C15</f>
        <v>-156.201368513064</v>
      </c>
      <c r="D23" s="391" t="n">
        <f aca="false">D15</f>
        <v>-354.907317702963</v>
      </c>
      <c r="E23" s="391" t="n">
        <f aca="false">E15</f>
        <v>-272.211691594752</v>
      </c>
      <c r="F23" s="391" t="n">
        <f aca="false">F15</f>
        <v>-195.144250075843</v>
      </c>
      <c r="G23" s="391" t="n">
        <f aca="false">G15</f>
        <v>-122.416078287357</v>
      </c>
      <c r="H23" s="391" t="n">
        <f aca="false">H15</f>
        <v>-34.9280271800718</v>
      </c>
      <c r="I23" s="391" t="n">
        <f aca="false">I15</f>
        <v>28.5786483550594</v>
      </c>
      <c r="J23" s="391" t="n">
        <f aca="false">J15</f>
        <v>52.797160816467</v>
      </c>
      <c r="K23" s="391" t="n">
        <f aca="false">K15</f>
        <v>77.8853671829931</v>
      </c>
      <c r="L23" s="391" t="n">
        <f aca="false">L15</f>
        <v>105.835166117675</v>
      </c>
      <c r="M23" s="391" t="n">
        <f aca="false">M15</f>
        <v>134.09105581125</v>
      </c>
      <c r="N23" s="391" t="n">
        <f aca="false">N15</f>
        <v>165.43969699797</v>
      </c>
      <c r="O23" s="391" t="n">
        <f aca="false">O15</f>
        <v>197.337555307813</v>
      </c>
      <c r="P23" s="391" t="n">
        <f aca="false">P15</f>
        <v>232.58398754935</v>
      </c>
      <c r="Q23" s="391" t="n">
        <f aca="false">Q15</f>
        <v>268.545428882199</v>
      </c>
      <c r="R23" s="391" t="n">
        <f aca="false">R15</f>
        <v>876.065438137661</v>
      </c>
      <c r="S23" s="391"/>
      <c r="T23" s="391"/>
      <c r="U23" s="391"/>
      <c r="V23" s="391"/>
      <c r="W23" s="391"/>
      <c r="X23" s="391"/>
      <c r="Y23" s="391"/>
      <c r="Z23" s="391"/>
      <c r="AA23" s="391"/>
      <c r="AB23" s="191"/>
      <c r="AC23" s="191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  <c r="AX23" s="392"/>
      <c r="AY23" s="392"/>
      <c r="AZ23" s="392"/>
      <c r="BA23" s="392"/>
      <c r="BB23" s="392"/>
      <c r="BC23" s="392"/>
      <c r="BD23" s="392"/>
      <c r="BE23" s="392"/>
      <c r="BF23" s="392"/>
      <c r="BG23" s="392"/>
      <c r="BH23" s="392"/>
      <c r="BI23" s="392"/>
      <c r="BJ23" s="392"/>
      <c r="BK23" s="392"/>
      <c r="BL23" s="392"/>
      <c r="BM23" s="392"/>
      <c r="BN23" s="392"/>
      <c r="BO23" s="392"/>
      <c r="BP23" s="392"/>
      <c r="BQ23" s="392"/>
      <c r="BR23" s="392"/>
      <c r="BS23" s="392"/>
      <c r="BT23" s="392"/>
      <c r="BU23" s="392"/>
      <c r="BV23" s="392"/>
      <c r="BW23" s="392"/>
      <c r="BX23" s="392"/>
      <c r="BY23" s="392"/>
      <c r="BZ23" s="392"/>
      <c r="CA23" s="392"/>
      <c r="CB23" s="392"/>
      <c r="CC23" s="392"/>
      <c r="CD23" s="392"/>
      <c r="CE23" s="392"/>
      <c r="CF23" s="392"/>
      <c r="CG23" s="392"/>
      <c r="CH23" s="392"/>
      <c r="CI23" s="392"/>
      <c r="CJ23" s="392"/>
      <c r="CK23" s="392"/>
      <c r="CL23" s="392"/>
      <c r="CM23" s="392"/>
      <c r="CN23" s="392"/>
      <c r="CO23" s="392"/>
      <c r="CP23" s="392"/>
      <c r="CQ23" s="392"/>
      <c r="CR23" s="392"/>
      <c r="CS23" s="392"/>
      <c r="CT23" s="392"/>
      <c r="CU23" s="392"/>
      <c r="CV23" s="392"/>
      <c r="CW23" s="392"/>
      <c r="CX23" s="392"/>
      <c r="CY23" s="392"/>
      <c r="CZ23" s="392"/>
      <c r="DA23" s="392"/>
      <c r="DB23" s="392"/>
      <c r="DC23" s="392"/>
      <c r="DD23" s="392"/>
      <c r="DE23" s="392"/>
      <c r="DF23" s="392"/>
      <c r="DG23" s="392"/>
      <c r="DH23" s="392"/>
      <c r="DI23" s="392"/>
      <c r="DJ23" s="392"/>
      <c r="DK23" s="392"/>
      <c r="DL23" s="392"/>
      <c r="DM23" s="392"/>
      <c r="DN23" s="392"/>
      <c r="DO23" s="392"/>
      <c r="DP23" s="392"/>
      <c r="DQ23" s="392"/>
      <c r="DR23" s="392"/>
      <c r="DS23" s="392"/>
      <c r="DT23" s="392"/>
      <c r="DU23" s="392"/>
      <c r="DV23" s="392"/>
      <c r="DW23" s="392"/>
      <c r="DX23" s="392"/>
      <c r="DY23" s="392"/>
      <c r="DZ23" s="392"/>
      <c r="EA23" s="392"/>
      <c r="EB23" s="392"/>
      <c r="EC23" s="392"/>
      <c r="ED23" s="392"/>
      <c r="EE23" s="392"/>
      <c r="EF23" s="392"/>
      <c r="EG23" s="392"/>
      <c r="EH23" s="392"/>
      <c r="EI23" s="392"/>
      <c r="EJ23" s="392"/>
      <c r="EK23" s="392"/>
      <c r="EL23" s="392"/>
      <c r="EM23" s="392"/>
      <c r="EN23" s="392"/>
      <c r="EO23" s="392"/>
      <c r="EP23" s="392"/>
      <c r="EQ23" s="392"/>
      <c r="ER23" s="392"/>
      <c r="ES23" s="392"/>
      <c r="ET23" s="392"/>
      <c r="EU23" s="392"/>
      <c r="EV23" s="392"/>
      <c r="EW23" s="392"/>
      <c r="EX23" s="392"/>
      <c r="EY23" s="392"/>
      <c r="EZ23" s="392"/>
      <c r="FA23" s="392"/>
      <c r="FB23" s="392"/>
      <c r="FC23" s="392"/>
      <c r="FD23" s="392"/>
      <c r="FE23" s="392"/>
      <c r="FF23" s="392"/>
      <c r="FG23" s="392"/>
      <c r="FH23" s="392"/>
      <c r="FI23" s="392"/>
      <c r="FJ23" s="392"/>
      <c r="FK23" s="392"/>
      <c r="FL23" s="392"/>
      <c r="FM23" s="392"/>
      <c r="FN23" s="392"/>
      <c r="FO23" s="392"/>
      <c r="FP23" s="392"/>
      <c r="FQ23" s="392"/>
      <c r="FR23" s="392"/>
      <c r="FS23" s="392"/>
      <c r="FT23" s="392"/>
      <c r="FU23" s="392"/>
      <c r="FV23" s="392"/>
      <c r="FW23" s="392"/>
      <c r="FX23" s="392"/>
      <c r="FY23" s="392"/>
      <c r="FZ23" s="392"/>
      <c r="GA23" s="392"/>
      <c r="GB23" s="392"/>
      <c r="GC23" s="392"/>
      <c r="GD23" s="392"/>
      <c r="GE23" s="392"/>
      <c r="GF23" s="392"/>
      <c r="GG23" s="392"/>
      <c r="GH23" s="392"/>
      <c r="GI23" s="392"/>
      <c r="GJ23" s="392"/>
      <c r="GK23" s="392"/>
      <c r="GL23" s="392"/>
      <c r="GM23" s="392"/>
      <c r="GN23" s="392"/>
      <c r="GO23" s="392"/>
      <c r="GP23" s="392"/>
      <c r="GQ23" s="392"/>
      <c r="GR23" s="392"/>
      <c r="GS23" s="392"/>
      <c r="GT23" s="392"/>
      <c r="GU23" s="392"/>
      <c r="GV23" s="392"/>
      <c r="GW23" s="392"/>
      <c r="GX23" s="392"/>
      <c r="GY23" s="392"/>
      <c r="GZ23" s="392"/>
      <c r="HA23" s="392"/>
      <c r="HB23" s="392"/>
      <c r="HC23" s="392"/>
      <c r="HD23" s="392"/>
      <c r="HE23" s="392"/>
      <c r="HF23" s="392"/>
      <c r="HG23" s="392"/>
      <c r="HH23" s="392"/>
      <c r="HI23" s="392"/>
      <c r="HJ23" s="392"/>
      <c r="HK23" s="392"/>
      <c r="HL23" s="392"/>
      <c r="HM23" s="392"/>
      <c r="HN23" s="392"/>
      <c r="HO23" s="392"/>
      <c r="HP23" s="392"/>
      <c r="HQ23" s="392"/>
      <c r="HR23" s="392"/>
      <c r="HS23" s="392"/>
      <c r="HT23" s="392"/>
      <c r="HU23" s="392"/>
      <c r="HV23" s="392"/>
      <c r="HW23" s="392"/>
      <c r="HX23" s="392"/>
      <c r="HY23" s="392"/>
      <c r="HZ23" s="392"/>
      <c r="IA23" s="392"/>
      <c r="IB23" s="392"/>
      <c r="IC23" s="392"/>
      <c r="ID23" s="392"/>
      <c r="IE23" s="392"/>
      <c r="IF23" s="392"/>
      <c r="IG23" s="392"/>
      <c r="IH23" s="392"/>
      <c r="II23" s="392"/>
      <c r="IJ23" s="392"/>
      <c r="IK23" s="392"/>
      <c r="IL23" s="392"/>
      <c r="IM23" s="392"/>
      <c r="IN23" s="392"/>
      <c r="IO23" s="392"/>
      <c r="IP23" s="392"/>
      <c r="IQ23" s="392"/>
      <c r="IR23" s="392"/>
      <c r="IS23" s="392"/>
      <c r="IT23" s="392"/>
      <c r="IU23" s="392"/>
      <c r="IV23" s="297"/>
      <c r="IW23" s="297"/>
    </row>
    <row r="24" customFormat="false" ht="12.75" hidden="false" customHeight="false" outlineLevel="0" collapsed="false">
      <c r="A24" s="387" t="s">
        <v>407</v>
      </c>
      <c r="B24" s="297"/>
      <c r="C24" s="297" t="n">
        <f aca="false">C15+C22</f>
        <v>-1012.70553919303</v>
      </c>
      <c r="D24" s="297" t="n">
        <f aca="false">D15+D22</f>
        <v>-2300.98244310755</v>
      </c>
      <c r="E24" s="297" t="n">
        <f aca="false">E15+E22</f>
        <v>-1764.83913383931</v>
      </c>
      <c r="F24" s="297" t="n">
        <f aca="false">F15+F22</f>
        <v>-1265.18522132505</v>
      </c>
      <c r="G24" s="297" t="n">
        <f aca="false">G15+G22</f>
        <v>-793.664240896364</v>
      </c>
      <c r="H24" s="297" t="n">
        <f aca="false">H15+H22</f>
        <v>-226.450042884132</v>
      </c>
      <c r="I24" s="297" t="n">
        <f aca="false">I15+I22</f>
        <v>185.284903501968</v>
      </c>
      <c r="J24" s="297" t="n">
        <f aca="false">J15+J22</f>
        <v>342.301592626761</v>
      </c>
      <c r="K24" s="297" t="n">
        <f aca="false">K15+K22</f>
        <v>504.956797236405</v>
      </c>
      <c r="L24" s="297" t="n">
        <f aca="false">L15+L22</f>
        <v>686.164660329591</v>
      </c>
      <c r="M24" s="297" t="n">
        <f aca="false">M15+M22</f>
        <v>869.357011842938</v>
      </c>
      <c r="N24" s="297" t="n">
        <f aca="false">N15+N22</f>
        <v>1072.60070220351</v>
      </c>
      <c r="O24" s="297" t="n">
        <f aca="false">O15+O22</f>
        <v>1279.40515024566</v>
      </c>
      <c r="P24" s="297" t="n">
        <f aca="false">P15+P22</f>
        <v>1507.91951927829</v>
      </c>
      <c r="Q24" s="297" t="n">
        <f aca="false">Q15+Q22</f>
        <v>1741.06953058626</v>
      </c>
      <c r="R24" s="297" t="n">
        <f aca="false">R15+R22</f>
        <v>5679.82425725917</v>
      </c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7"/>
      <c r="CI24" s="29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X24" s="297"/>
      <c r="CY24" s="297"/>
      <c r="CZ24" s="297"/>
      <c r="DA24" s="297"/>
      <c r="DB24" s="297"/>
      <c r="DC24" s="297"/>
      <c r="DD24" s="297"/>
      <c r="DE24" s="297"/>
      <c r="DF24" s="297"/>
      <c r="DG24" s="297"/>
      <c r="DH24" s="297"/>
      <c r="DI24" s="297"/>
      <c r="DJ24" s="297"/>
      <c r="DK24" s="297"/>
      <c r="DL24" s="297"/>
      <c r="DM24" s="297"/>
      <c r="DN24" s="297"/>
      <c r="DO24" s="297"/>
      <c r="DP24" s="297"/>
      <c r="DQ24" s="297"/>
      <c r="DR24" s="297"/>
      <c r="DS24" s="297"/>
      <c r="DT24" s="297"/>
      <c r="DU24" s="297"/>
      <c r="DV24" s="297"/>
      <c r="DW24" s="297"/>
      <c r="DX24" s="297"/>
      <c r="DY24" s="297"/>
      <c r="DZ24" s="297"/>
      <c r="EA24" s="297"/>
      <c r="EB24" s="297"/>
      <c r="EC24" s="297"/>
      <c r="ED24" s="297"/>
      <c r="EE24" s="297"/>
      <c r="EF24" s="297"/>
      <c r="EG24" s="297"/>
      <c r="EH24" s="297"/>
      <c r="EI24" s="297"/>
      <c r="EJ24" s="297"/>
      <c r="EK24" s="297"/>
      <c r="EL24" s="297"/>
      <c r="EM24" s="297"/>
      <c r="EN24" s="297"/>
      <c r="EO24" s="297"/>
      <c r="EP24" s="297"/>
      <c r="EQ24" s="297"/>
      <c r="ER24" s="297"/>
      <c r="ES24" s="297"/>
      <c r="ET24" s="297"/>
      <c r="EU24" s="297"/>
      <c r="EV24" s="297"/>
      <c r="EW24" s="297"/>
      <c r="EX24" s="297"/>
      <c r="EY24" s="297"/>
      <c r="EZ24" s="297"/>
      <c r="FA24" s="297"/>
      <c r="FB24" s="297"/>
      <c r="FC24" s="297"/>
      <c r="FD24" s="297"/>
      <c r="FE24" s="297"/>
      <c r="FF24" s="297"/>
      <c r="FG24" s="297"/>
      <c r="FH24" s="297"/>
      <c r="FI24" s="297"/>
      <c r="FJ24" s="297"/>
      <c r="FK24" s="297"/>
      <c r="FL24" s="297"/>
      <c r="FM24" s="297"/>
      <c r="FN24" s="297"/>
      <c r="FO24" s="297"/>
      <c r="FP24" s="297"/>
      <c r="FQ24" s="297"/>
      <c r="FR24" s="297"/>
      <c r="FS24" s="297"/>
      <c r="FT24" s="297"/>
      <c r="FU24" s="297"/>
      <c r="FV24" s="297"/>
      <c r="FW24" s="297"/>
      <c r="FX24" s="297"/>
      <c r="FY24" s="297"/>
      <c r="FZ24" s="297"/>
      <c r="GA24" s="297"/>
      <c r="GB24" s="297"/>
      <c r="GC24" s="297"/>
      <c r="GD24" s="297"/>
      <c r="GE24" s="297"/>
      <c r="GF24" s="297"/>
      <c r="GG24" s="297"/>
      <c r="GH24" s="297"/>
      <c r="GI24" s="297"/>
      <c r="GJ24" s="297"/>
      <c r="GK24" s="297"/>
      <c r="GL24" s="297"/>
      <c r="GM24" s="297"/>
      <c r="GN24" s="297"/>
      <c r="GO24" s="297"/>
      <c r="GP24" s="297"/>
      <c r="GQ24" s="297"/>
      <c r="GR24" s="297"/>
      <c r="GS24" s="297"/>
      <c r="GT24" s="297"/>
      <c r="GU24" s="297"/>
      <c r="GV24" s="297"/>
      <c r="GW24" s="297"/>
      <c r="GX24" s="297"/>
      <c r="GY24" s="297"/>
      <c r="GZ24" s="297"/>
      <c r="HA24" s="297"/>
      <c r="HB24" s="297"/>
      <c r="HC24" s="297"/>
      <c r="HD24" s="297"/>
      <c r="HE24" s="297"/>
      <c r="HF24" s="297"/>
      <c r="HG24" s="297"/>
      <c r="HH24" s="297"/>
      <c r="HI24" s="297"/>
      <c r="HJ24" s="297"/>
      <c r="HK24" s="297"/>
      <c r="HL24" s="297"/>
      <c r="HM24" s="297"/>
      <c r="HN24" s="297"/>
      <c r="HO24" s="297"/>
      <c r="HP24" s="297"/>
      <c r="HQ24" s="297"/>
      <c r="HR24" s="297"/>
      <c r="HS24" s="297"/>
      <c r="HT24" s="297"/>
      <c r="HU24" s="297"/>
      <c r="HV24" s="297"/>
      <c r="HW24" s="297"/>
      <c r="HX24" s="297"/>
      <c r="HY24" s="297"/>
      <c r="HZ24" s="297"/>
      <c r="IA24" s="297"/>
      <c r="IB24" s="297"/>
      <c r="IC24" s="297"/>
      <c r="ID24" s="297"/>
      <c r="IE24" s="297"/>
      <c r="IF24" s="297"/>
      <c r="IG24" s="297"/>
      <c r="IH24" s="297"/>
      <c r="II24" s="297"/>
      <c r="IJ24" s="297"/>
      <c r="IK24" s="297"/>
      <c r="IL24" s="297"/>
      <c r="IM24" s="297"/>
      <c r="IN24" s="297"/>
      <c r="IO24" s="297"/>
      <c r="IP24" s="297"/>
      <c r="IQ24" s="297"/>
      <c r="IR24" s="297"/>
      <c r="IS24" s="297"/>
      <c r="IT24" s="297"/>
      <c r="IU24" s="297"/>
      <c r="IV24" s="297"/>
      <c r="IW24" s="297"/>
    </row>
    <row r="25" customFormat="false" ht="12.75" hidden="false" customHeight="false" outlineLevel="0" collapsed="false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  <c r="BJ25" s="297"/>
      <c r="BK25" s="297"/>
      <c r="BL25" s="297"/>
      <c r="BM25" s="297"/>
      <c r="BN25" s="297"/>
      <c r="BO25" s="297"/>
      <c r="BP25" s="297"/>
      <c r="BQ25" s="297"/>
      <c r="BR25" s="297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7"/>
      <c r="CH25" s="297"/>
      <c r="CI25" s="297"/>
      <c r="CJ25" s="297"/>
      <c r="CK25" s="297"/>
      <c r="CL25" s="297"/>
      <c r="CM25" s="297"/>
      <c r="CN25" s="297"/>
      <c r="CO25" s="297"/>
      <c r="CP25" s="297"/>
      <c r="CQ25" s="297"/>
      <c r="CR25" s="297"/>
      <c r="CS25" s="297"/>
      <c r="CT25" s="297"/>
      <c r="CU25" s="297"/>
      <c r="CV25" s="297"/>
      <c r="CW25" s="297"/>
      <c r="CX25" s="297"/>
      <c r="CY25" s="297"/>
      <c r="CZ25" s="297"/>
      <c r="DA25" s="297"/>
      <c r="DB25" s="297"/>
      <c r="DC25" s="297"/>
      <c r="DD25" s="297"/>
      <c r="DE25" s="297"/>
      <c r="DF25" s="297"/>
      <c r="DG25" s="297"/>
      <c r="DH25" s="297"/>
      <c r="DI25" s="297"/>
      <c r="DJ25" s="297"/>
      <c r="DK25" s="297"/>
      <c r="DL25" s="297"/>
      <c r="DM25" s="297"/>
      <c r="DN25" s="297"/>
      <c r="DO25" s="297"/>
      <c r="DP25" s="297"/>
      <c r="DQ25" s="297"/>
      <c r="DR25" s="297"/>
      <c r="DS25" s="297"/>
      <c r="DT25" s="297"/>
      <c r="DU25" s="297"/>
      <c r="DV25" s="297"/>
      <c r="DW25" s="297"/>
      <c r="DX25" s="297"/>
      <c r="DY25" s="297"/>
      <c r="DZ25" s="297"/>
      <c r="EA25" s="297"/>
      <c r="EB25" s="297"/>
      <c r="EC25" s="297"/>
      <c r="ED25" s="297"/>
      <c r="EE25" s="297"/>
      <c r="EF25" s="297"/>
      <c r="EG25" s="297"/>
      <c r="EH25" s="297"/>
      <c r="EI25" s="297"/>
      <c r="EJ25" s="297"/>
      <c r="EK25" s="297"/>
      <c r="EL25" s="297"/>
      <c r="EM25" s="297"/>
      <c r="EN25" s="297"/>
      <c r="EO25" s="297"/>
      <c r="EP25" s="297"/>
      <c r="EQ25" s="297"/>
      <c r="ER25" s="297"/>
      <c r="ES25" s="297"/>
      <c r="ET25" s="297"/>
      <c r="EU25" s="297"/>
      <c r="EV25" s="297"/>
      <c r="EW25" s="297"/>
      <c r="EX25" s="297"/>
      <c r="EY25" s="297"/>
      <c r="EZ25" s="297"/>
      <c r="FA25" s="297"/>
      <c r="FB25" s="297"/>
      <c r="FC25" s="297"/>
      <c r="FD25" s="297"/>
      <c r="FE25" s="297"/>
      <c r="FF25" s="297"/>
      <c r="FG25" s="297"/>
      <c r="FH25" s="297"/>
      <c r="FI25" s="297"/>
      <c r="FJ25" s="297"/>
      <c r="FK25" s="297"/>
      <c r="FL25" s="297"/>
      <c r="FM25" s="297"/>
      <c r="FN25" s="297"/>
      <c r="FO25" s="297"/>
      <c r="FP25" s="297"/>
      <c r="FQ25" s="297"/>
      <c r="FR25" s="297"/>
      <c r="FS25" s="297"/>
      <c r="FT25" s="297"/>
      <c r="FU25" s="297"/>
      <c r="FV25" s="297"/>
      <c r="FW25" s="297"/>
      <c r="FX25" s="297"/>
      <c r="FY25" s="297"/>
      <c r="FZ25" s="297"/>
      <c r="GA25" s="297"/>
      <c r="GB25" s="297"/>
      <c r="GC25" s="297"/>
      <c r="GD25" s="297"/>
      <c r="GE25" s="297"/>
      <c r="GF25" s="297"/>
      <c r="GG25" s="297"/>
      <c r="GH25" s="297"/>
      <c r="GI25" s="297"/>
      <c r="GJ25" s="297"/>
      <c r="GK25" s="297"/>
      <c r="GL25" s="297"/>
      <c r="GM25" s="297"/>
      <c r="GN25" s="297"/>
      <c r="GO25" s="297"/>
      <c r="GP25" s="297"/>
      <c r="GQ25" s="297"/>
      <c r="GR25" s="297"/>
      <c r="GS25" s="297"/>
      <c r="GT25" s="297"/>
      <c r="GU25" s="297"/>
      <c r="GV25" s="297"/>
      <c r="GW25" s="297"/>
      <c r="GX25" s="297"/>
      <c r="GY25" s="297"/>
      <c r="GZ25" s="297"/>
      <c r="HA25" s="297"/>
      <c r="HB25" s="297"/>
      <c r="HC25" s="297"/>
      <c r="HD25" s="297"/>
      <c r="HE25" s="297"/>
      <c r="HF25" s="297"/>
      <c r="HG25" s="297"/>
      <c r="HH25" s="297"/>
      <c r="HI25" s="297"/>
      <c r="HJ25" s="297"/>
      <c r="HK25" s="297"/>
      <c r="HL25" s="297"/>
      <c r="HM25" s="297"/>
      <c r="HN25" s="297"/>
      <c r="HO25" s="297"/>
      <c r="HP25" s="297"/>
      <c r="HQ25" s="297"/>
      <c r="HR25" s="297"/>
      <c r="HS25" s="297"/>
      <c r="HT25" s="297"/>
      <c r="HU25" s="297"/>
      <c r="HV25" s="297"/>
      <c r="HW25" s="297"/>
      <c r="HX25" s="297"/>
      <c r="HY25" s="297"/>
      <c r="HZ25" s="297"/>
      <c r="IA25" s="297"/>
      <c r="IB25" s="297"/>
      <c r="IC25" s="297"/>
      <c r="ID25" s="297"/>
      <c r="IE25" s="297"/>
      <c r="IF25" s="297"/>
      <c r="IG25" s="297"/>
      <c r="IH25" s="297"/>
      <c r="II25" s="297"/>
      <c r="IJ25" s="297"/>
      <c r="IK25" s="297"/>
      <c r="IL25" s="297"/>
      <c r="IM25" s="297"/>
      <c r="IN25" s="297"/>
      <c r="IO25" s="297"/>
      <c r="IP25" s="297"/>
      <c r="IQ25" s="297"/>
      <c r="IR25" s="297"/>
      <c r="IS25" s="297"/>
      <c r="IT25" s="297"/>
      <c r="IU25" s="297"/>
      <c r="IV25" s="297"/>
      <c r="IW25" s="297"/>
    </row>
    <row r="26" customFormat="false" ht="12.75" hidden="false" customHeight="false" outlineLevel="0" collapsed="false">
      <c r="A26" s="387" t="s">
        <v>408</v>
      </c>
      <c r="B26" s="297"/>
      <c r="C26" s="297" t="n">
        <f aca="false">IF(C3&gt;'Project Assumptions'!$I$15,0,IF(B26-B27+IF(C24&lt;0,-1*C24,0)&gt;0,B26-B27+IF(C24&lt;0,-1*C24,0),0))</f>
        <v>1012.70553919303</v>
      </c>
      <c r="D26" s="297" t="n">
        <f aca="false">IF(D3&gt;'Project Assumptions'!$I$15,0,IF(C26-C27+IF(D24&lt;0,-1*D24,0)&gt;0,C26-C27+IF(D24&lt;0,-1*D24,0),0))</f>
        <v>3313.68798230058</v>
      </c>
      <c r="E26" s="297" t="n">
        <f aca="false">IF(E3&gt;'Project Assumptions'!$I$15,0,IF(D26-D27+IF(E24&lt;0,-1*E24,0)&gt;0,D26-D27+IF(E24&lt;0,-1*E24,0),0))</f>
        <v>5078.52711613989</v>
      </c>
      <c r="F26" s="297" t="n">
        <f aca="false">IF(F3&gt;'Project Assumptions'!$I$15,0,IF(E26-E27+IF(F24&lt;0,-1*F24,0)&gt;0,E26-E27+IF(F24&lt;0,-1*F24,0),0))</f>
        <v>6343.71233746494</v>
      </c>
      <c r="G26" s="297" t="n">
        <f aca="false">IF(G3&gt;'Project Assumptions'!$I$15,0,IF(F26-F27+IF(G24&lt;0,-1*G24,0)&gt;0,F26-F27+IF(G24&lt;0,-1*G24,0),0))</f>
        <v>7137.3765783613</v>
      </c>
      <c r="H26" s="297" t="n">
        <f aca="false">IF(H3&gt;'Project Assumptions'!$I$15,0,IF(G26-G27+IF(H24&lt;0,-1*H24,0)&gt;0,G26-G27+IF(H24&lt;0,-1*H24,0),0))</f>
        <v>7363.82662124543</v>
      </c>
      <c r="I26" s="297" t="n">
        <f aca="false">IF(I3&gt;'Project Assumptions'!$I$15,0,IF(H26-H27+IF(I24&lt;0,-1*I24,0)&gt;0,H26-H27+IF(I24&lt;0,-1*I24,0),0))</f>
        <v>7363.82662124543</v>
      </c>
      <c r="J26" s="297" t="n">
        <f aca="false">IF(J3&gt;'Project Assumptions'!$I$15,0,IF(I26-I27+IF(J24&lt;0,-1*J24,0)&gt;0,I26-I27+IF(J24&lt;0,-1*J24,0),0))</f>
        <v>7178.54171774347</v>
      </c>
      <c r="K26" s="297" t="n">
        <f aca="false">IF(K3&gt;'Project Assumptions'!$I$15,0,IF(J26-J27+IF(K24&lt;0,-1*K24,0)&gt;0,J26-J27+IF(K24&lt;0,-1*K24,0),0))</f>
        <v>6836.24012511671</v>
      </c>
      <c r="L26" s="297" t="n">
        <f aca="false">IF(L3&gt;'Project Assumptions'!$I$15,0,IF(K26-K27+IF(L24&lt;0,-1*L24,0)&gt;0,K26-K27+IF(L24&lt;0,-1*L24,0),0))</f>
        <v>6331.2833278803</v>
      </c>
      <c r="M26" s="297" t="n">
        <f aca="false">IF(M3&gt;'Project Assumptions'!$I$15,0,IF(L26-L27+IF(M24&lt;0,-1*M24,0)&gt;0,L26-L27+IF(M24&lt;0,-1*M24,0),0))</f>
        <v>5645.11866755071</v>
      </c>
      <c r="N26" s="297" t="n">
        <f aca="false">IF(N3&gt;'Project Assumptions'!$I$15,0,IF(M26-M27+IF(N24&lt;0,-1*N24,0)&gt;0,M26-M27+IF(N24&lt;0,-1*N24,0),0))</f>
        <v>4775.76165570777</v>
      </c>
      <c r="O26" s="297" t="n">
        <f aca="false">IF(O3&gt;'Project Assumptions'!$I$15,0,IF(N26-N27+IF(O24&lt;0,-1*O24,0)&gt;0,N26-N27+IF(O24&lt;0,-1*O24,0),0))</f>
        <v>3703.16095350426</v>
      </c>
      <c r="P26" s="297" t="n">
        <f aca="false">IF(P3&gt;'Project Assumptions'!$I$15,0,IF(O26-O27+IF(P24&lt;0,-1*P24,0)&gt;0,O26-O27+IF(P24&lt;0,-1*P24,0),0))</f>
        <v>2423.75580325861</v>
      </c>
      <c r="Q26" s="297" t="n">
        <f aca="false">IF(Q3&gt;'Project Assumptions'!$I$15,0,IF(P26-P27+IF(Q24&lt;0,-1*Q24,0)&gt;0,P26-P27+IF(Q24&lt;0,-1*Q24,0),0))</f>
        <v>915.836283980319</v>
      </c>
      <c r="R26" s="297" t="n">
        <f aca="false">IF(R3&gt;'Project Assumptions'!$I$15,0,IF(Q26-Q27+IF(R24&lt;0,-1*R24,0)&gt;0,Q26-Q27+IF(R24&lt;0,-1*R24,0),0))</f>
        <v>0</v>
      </c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7"/>
      <c r="BL26" s="297"/>
      <c r="BM26" s="297"/>
      <c r="BN26" s="297"/>
      <c r="BO26" s="297"/>
      <c r="BP26" s="297"/>
      <c r="BQ26" s="297"/>
      <c r="BR26" s="297"/>
      <c r="BS26" s="297"/>
      <c r="BT26" s="297"/>
      <c r="BU26" s="297"/>
      <c r="BV26" s="297"/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7"/>
      <c r="CH26" s="297"/>
      <c r="CI26" s="297"/>
      <c r="CJ26" s="297"/>
      <c r="CK26" s="297"/>
      <c r="CL26" s="297"/>
      <c r="CM26" s="297"/>
      <c r="CN26" s="297"/>
      <c r="CO26" s="297"/>
      <c r="CP26" s="297"/>
      <c r="CQ26" s="297"/>
      <c r="CR26" s="297"/>
      <c r="CS26" s="297"/>
      <c r="CT26" s="297"/>
      <c r="CU26" s="297"/>
      <c r="CV26" s="297"/>
      <c r="CW26" s="297"/>
      <c r="CX26" s="297"/>
      <c r="CY26" s="297"/>
      <c r="CZ26" s="297"/>
      <c r="DA26" s="297"/>
      <c r="DB26" s="297"/>
      <c r="DC26" s="297"/>
      <c r="DD26" s="297"/>
      <c r="DE26" s="297"/>
      <c r="DF26" s="297"/>
      <c r="DG26" s="297"/>
      <c r="DH26" s="297"/>
      <c r="DI26" s="297"/>
      <c r="DJ26" s="297"/>
      <c r="DK26" s="297"/>
      <c r="DL26" s="297"/>
      <c r="DM26" s="297"/>
      <c r="DN26" s="297"/>
      <c r="DO26" s="297"/>
      <c r="DP26" s="297"/>
      <c r="DQ26" s="297"/>
      <c r="DR26" s="297"/>
      <c r="DS26" s="297"/>
      <c r="DT26" s="297"/>
      <c r="DU26" s="297"/>
      <c r="DV26" s="297"/>
      <c r="DW26" s="297"/>
      <c r="DX26" s="297"/>
      <c r="DY26" s="297"/>
      <c r="DZ26" s="297"/>
      <c r="EA26" s="297"/>
      <c r="EB26" s="297"/>
      <c r="EC26" s="297"/>
      <c r="ED26" s="297"/>
      <c r="EE26" s="297"/>
      <c r="EF26" s="297"/>
      <c r="EG26" s="297"/>
      <c r="EH26" s="297"/>
      <c r="EI26" s="297"/>
      <c r="EJ26" s="297"/>
      <c r="EK26" s="297"/>
      <c r="EL26" s="297"/>
      <c r="EM26" s="297"/>
      <c r="EN26" s="297"/>
      <c r="EO26" s="297"/>
      <c r="EP26" s="297"/>
      <c r="EQ26" s="297"/>
      <c r="ER26" s="297"/>
      <c r="ES26" s="297"/>
      <c r="ET26" s="297"/>
      <c r="EU26" s="297"/>
      <c r="EV26" s="297"/>
      <c r="EW26" s="297"/>
      <c r="EX26" s="297"/>
      <c r="EY26" s="297"/>
      <c r="EZ26" s="297"/>
      <c r="FA26" s="297"/>
      <c r="FB26" s="297"/>
      <c r="FC26" s="297"/>
      <c r="FD26" s="297"/>
      <c r="FE26" s="297"/>
      <c r="FF26" s="297"/>
      <c r="FG26" s="297"/>
      <c r="FH26" s="297"/>
      <c r="FI26" s="297"/>
      <c r="FJ26" s="297"/>
      <c r="FK26" s="297"/>
      <c r="FL26" s="297"/>
      <c r="FM26" s="297"/>
      <c r="FN26" s="297"/>
      <c r="FO26" s="297"/>
      <c r="FP26" s="297"/>
      <c r="FQ26" s="297"/>
      <c r="FR26" s="297"/>
      <c r="FS26" s="297"/>
      <c r="FT26" s="297"/>
      <c r="FU26" s="297"/>
      <c r="FV26" s="297"/>
      <c r="FW26" s="297"/>
      <c r="FX26" s="297"/>
      <c r="FY26" s="297"/>
      <c r="FZ26" s="297"/>
      <c r="GA26" s="297"/>
      <c r="GB26" s="297"/>
      <c r="GC26" s="297"/>
      <c r="GD26" s="297"/>
      <c r="GE26" s="297"/>
      <c r="GF26" s="297"/>
      <c r="GG26" s="297"/>
      <c r="GH26" s="297"/>
      <c r="GI26" s="297"/>
      <c r="GJ26" s="297"/>
      <c r="GK26" s="297"/>
      <c r="GL26" s="297"/>
      <c r="GM26" s="297"/>
      <c r="GN26" s="297"/>
      <c r="GO26" s="297"/>
      <c r="GP26" s="297"/>
      <c r="GQ26" s="297"/>
      <c r="GR26" s="297"/>
      <c r="GS26" s="297"/>
      <c r="GT26" s="297"/>
      <c r="GU26" s="297"/>
      <c r="GV26" s="297"/>
      <c r="GW26" s="297"/>
      <c r="GX26" s="297"/>
      <c r="GY26" s="297"/>
      <c r="GZ26" s="297"/>
      <c r="HA26" s="297"/>
      <c r="HB26" s="297"/>
      <c r="HC26" s="297"/>
      <c r="HD26" s="297"/>
      <c r="HE26" s="297"/>
      <c r="HF26" s="297"/>
      <c r="HG26" s="297"/>
      <c r="HH26" s="297"/>
      <c r="HI26" s="297"/>
      <c r="HJ26" s="297"/>
      <c r="HK26" s="297"/>
      <c r="HL26" s="297"/>
      <c r="HM26" s="297"/>
      <c r="HN26" s="297"/>
      <c r="HO26" s="297"/>
      <c r="HP26" s="297"/>
      <c r="HQ26" s="297"/>
      <c r="HR26" s="297"/>
      <c r="HS26" s="297"/>
      <c r="HT26" s="297"/>
      <c r="HU26" s="297"/>
      <c r="HV26" s="297"/>
      <c r="HW26" s="297"/>
      <c r="HX26" s="297"/>
      <c r="HY26" s="297"/>
      <c r="HZ26" s="297"/>
      <c r="IA26" s="297"/>
      <c r="IB26" s="297"/>
      <c r="IC26" s="297"/>
      <c r="ID26" s="297"/>
      <c r="IE26" s="297"/>
      <c r="IF26" s="297"/>
      <c r="IG26" s="297"/>
      <c r="IH26" s="297"/>
      <c r="II26" s="297"/>
      <c r="IJ26" s="297"/>
      <c r="IK26" s="297"/>
      <c r="IL26" s="297"/>
      <c r="IM26" s="297"/>
      <c r="IN26" s="297"/>
      <c r="IO26" s="297"/>
      <c r="IP26" s="297"/>
      <c r="IQ26" s="297"/>
      <c r="IR26" s="297"/>
      <c r="IS26" s="297"/>
      <c r="IT26" s="297"/>
      <c r="IU26" s="297"/>
      <c r="IV26" s="297"/>
      <c r="IW26" s="297"/>
    </row>
    <row r="27" customFormat="false" ht="12.75" hidden="false" customHeight="false" outlineLevel="0" collapsed="false">
      <c r="A27" s="387" t="s">
        <v>409</v>
      </c>
      <c r="B27" s="297"/>
      <c r="C27" s="297" t="n">
        <f aca="false">IF('Project Assumptions'!$C$75="No",0,IF(C3&lt;='Project Assumptions'!$C$76,IF(C24&lt;0,0,IF(C26&gt;C24,C24,C26)),0))</f>
        <v>0</v>
      </c>
      <c r="D27" s="297" t="n">
        <f aca="false">IF('Project Assumptions'!$C$75="No",0,IF(D3&lt;='Project Assumptions'!$C$76,IF(D24&lt;0,0,IF(D26&gt;D24,D24,D26)),0))</f>
        <v>0</v>
      </c>
      <c r="E27" s="297" t="n">
        <f aca="false">IF('Project Assumptions'!$C$75="No",0,IF(E3&lt;='Project Assumptions'!$C$76,IF(E24&lt;0,0,IF(E26&gt;E24,E24,E26)),0))</f>
        <v>0</v>
      </c>
      <c r="F27" s="297" t="n">
        <f aca="false">IF('Project Assumptions'!$C$75="No",0,IF(F3&lt;='Project Assumptions'!$C$76,IF(F24&lt;0,0,IF(F26&gt;F24,F24,F26)),0))</f>
        <v>0</v>
      </c>
      <c r="G27" s="297" t="n">
        <f aca="false">IF('Project Assumptions'!$C$75="No",0,IF(G3&lt;='Project Assumptions'!$C$76,IF(G24&lt;0,0,IF(G26&gt;G24,G24,G26)),0))</f>
        <v>0</v>
      </c>
      <c r="H27" s="297" t="n">
        <f aca="false">IF('Project Assumptions'!$C$75="No",0,IF(H3&lt;='Project Assumptions'!$C$76,IF(H24&lt;0,0,IF(H26&gt;H24,H24,H26)),0))</f>
        <v>0</v>
      </c>
      <c r="I27" s="297" t="n">
        <f aca="false">IF('Project Assumptions'!$C$75="No",0,IF(I3&lt;='Project Assumptions'!$C$76,IF(I24&lt;0,0,IF(I26&gt;I24,I24,I26)),0))</f>
        <v>185.284903501968</v>
      </c>
      <c r="J27" s="297" t="n">
        <f aca="false">IF('Project Assumptions'!$C$75="No",0,IF(J3&lt;='Project Assumptions'!$C$76,IF(J24&lt;0,0,IF(J26&gt;J24,J24,J26)),0))</f>
        <v>342.301592626761</v>
      </c>
      <c r="K27" s="297" t="n">
        <f aca="false">IF('Project Assumptions'!$C$75="No",0,IF(K3&lt;='Project Assumptions'!$C$76,IF(K24&lt;0,0,IF(K26&gt;K24,K24,K26)),0))</f>
        <v>504.956797236405</v>
      </c>
      <c r="L27" s="297" t="n">
        <f aca="false">IF('Project Assumptions'!$C$75="No",0,IF(L3&lt;='Project Assumptions'!$C$76,IF(L24&lt;0,0,IF(L26&gt;L24,L24,L26)),0))</f>
        <v>686.164660329591</v>
      </c>
      <c r="M27" s="297" t="n">
        <f aca="false">IF('Project Assumptions'!$C$75="No",0,IF(M3&lt;='Project Assumptions'!$C$76,IF(M24&lt;0,0,IF(M26&gt;M24,M24,M26)),0))</f>
        <v>869.357011842938</v>
      </c>
      <c r="N27" s="297" t="n">
        <f aca="false">IF('Project Assumptions'!$C$75="No",0,IF(N3&lt;='Project Assumptions'!$C$76,IF(N24&lt;0,0,IF(N26&gt;N24,N24,N26)),0))</f>
        <v>1072.60070220351</v>
      </c>
      <c r="O27" s="297" t="n">
        <f aca="false">IF('Project Assumptions'!$C$75="No",0,IF(O3&lt;='Project Assumptions'!$C$76,IF(O24&lt;0,0,IF(O26&gt;O24,O24,O26)),0))</f>
        <v>1279.40515024566</v>
      </c>
      <c r="P27" s="297" t="n">
        <f aca="false">IF('Project Assumptions'!$C$75="No",0,IF(P3&lt;='Project Assumptions'!$C$76,IF(P24&lt;0,0,IF(P26&gt;P24,P24,P26)),0))</f>
        <v>1507.91951927829</v>
      </c>
      <c r="Q27" s="297" t="n">
        <f aca="false">IF('Project Assumptions'!$C$75="No",0,IF(Q3&lt;='Project Assumptions'!$C$76,IF(Q24&lt;0,0,IF(Q26&gt;Q24,Q24,Q26)),0))</f>
        <v>915.836283980319</v>
      </c>
      <c r="R27" s="297" t="n">
        <f aca="false">IF('Project Assumptions'!$C$75="No",0,IF(R3&lt;='Project Assumptions'!$C$76,IF(R24&lt;0,0,IF(R26&gt;R24,R24,R26)),0))</f>
        <v>0</v>
      </c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  <c r="FV27" s="297"/>
      <c r="FW27" s="297"/>
      <c r="FX27" s="297"/>
      <c r="FY27" s="297"/>
      <c r="FZ27" s="297"/>
      <c r="GA27" s="297"/>
      <c r="GB27" s="297"/>
      <c r="GC27" s="297"/>
      <c r="GD27" s="297"/>
      <c r="GE27" s="297"/>
      <c r="GF27" s="297"/>
      <c r="GG27" s="297"/>
      <c r="GH27" s="297"/>
      <c r="GI27" s="297"/>
      <c r="GJ27" s="297"/>
      <c r="GK27" s="297"/>
      <c r="GL27" s="297"/>
      <c r="GM27" s="297"/>
      <c r="GN27" s="297"/>
      <c r="GO27" s="297"/>
      <c r="GP27" s="297"/>
      <c r="GQ27" s="297"/>
      <c r="GR27" s="297"/>
      <c r="GS27" s="297"/>
      <c r="GT27" s="297"/>
      <c r="GU27" s="297"/>
      <c r="GV27" s="297"/>
      <c r="GW27" s="297"/>
      <c r="GX27" s="297"/>
      <c r="GY27" s="297"/>
      <c r="GZ27" s="297"/>
      <c r="HA27" s="297"/>
      <c r="HB27" s="297"/>
      <c r="HC27" s="297"/>
      <c r="HD27" s="297"/>
      <c r="HE27" s="297"/>
      <c r="HF27" s="297"/>
      <c r="HG27" s="297"/>
      <c r="HH27" s="297"/>
      <c r="HI27" s="297"/>
      <c r="HJ27" s="297"/>
      <c r="HK27" s="297"/>
      <c r="HL27" s="297"/>
      <c r="HM27" s="297"/>
      <c r="HN27" s="297"/>
      <c r="HO27" s="297"/>
      <c r="HP27" s="297"/>
      <c r="HQ27" s="297"/>
      <c r="HR27" s="297"/>
      <c r="HS27" s="297"/>
      <c r="HT27" s="297"/>
      <c r="HU27" s="297"/>
      <c r="HV27" s="297"/>
      <c r="HW27" s="297"/>
      <c r="HX27" s="297"/>
      <c r="HY27" s="297"/>
      <c r="HZ27" s="297"/>
      <c r="IA27" s="297"/>
      <c r="IB27" s="297"/>
      <c r="IC27" s="297"/>
      <c r="ID27" s="297"/>
      <c r="IE27" s="297"/>
      <c r="IF27" s="297"/>
      <c r="IG27" s="297"/>
      <c r="IH27" s="297"/>
      <c r="II27" s="297"/>
      <c r="IJ27" s="297"/>
      <c r="IK27" s="297"/>
      <c r="IL27" s="297"/>
      <c r="IM27" s="297"/>
      <c r="IN27" s="297"/>
      <c r="IO27" s="297"/>
      <c r="IP27" s="297"/>
      <c r="IQ27" s="297"/>
      <c r="IR27" s="297"/>
      <c r="IS27" s="297"/>
      <c r="IT27" s="297"/>
      <c r="IU27" s="297"/>
      <c r="IV27" s="297"/>
      <c r="IW27" s="297"/>
    </row>
    <row r="28" customFormat="false" ht="12.75" hidden="false" customHeight="false" outlineLevel="0" collapsed="false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7"/>
      <c r="CH28" s="297"/>
      <c r="CI28" s="29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297"/>
      <c r="DH28" s="297"/>
      <c r="DI28" s="297"/>
      <c r="DJ28" s="297"/>
      <c r="DK28" s="297"/>
      <c r="DL28" s="297"/>
      <c r="DM28" s="297"/>
      <c r="DN28" s="297"/>
      <c r="DO28" s="297"/>
      <c r="DP28" s="297"/>
      <c r="DQ28" s="297"/>
      <c r="DR28" s="297"/>
      <c r="DS28" s="297"/>
      <c r="DT28" s="297"/>
      <c r="DU28" s="297"/>
      <c r="DV28" s="297"/>
      <c r="DW28" s="297"/>
      <c r="DX28" s="297"/>
      <c r="DY28" s="297"/>
      <c r="DZ28" s="297"/>
      <c r="EA28" s="297"/>
      <c r="EB28" s="297"/>
      <c r="EC28" s="297"/>
      <c r="ED28" s="297"/>
      <c r="EE28" s="297"/>
      <c r="EF28" s="297"/>
      <c r="EG28" s="297"/>
      <c r="EH28" s="297"/>
      <c r="EI28" s="297"/>
      <c r="EJ28" s="297"/>
      <c r="EK28" s="297"/>
      <c r="EL28" s="297"/>
      <c r="EM28" s="297"/>
      <c r="EN28" s="297"/>
      <c r="EO28" s="297"/>
      <c r="EP28" s="297"/>
      <c r="EQ28" s="297"/>
      <c r="ER28" s="297"/>
      <c r="ES28" s="297"/>
      <c r="ET28" s="297"/>
      <c r="EU28" s="297"/>
      <c r="EV28" s="297"/>
      <c r="EW28" s="297"/>
      <c r="EX28" s="297"/>
      <c r="EY28" s="297"/>
      <c r="EZ28" s="297"/>
      <c r="FA28" s="297"/>
      <c r="FB28" s="297"/>
      <c r="FC28" s="297"/>
      <c r="FD28" s="297"/>
      <c r="FE28" s="297"/>
      <c r="FF28" s="297"/>
      <c r="FG28" s="297"/>
      <c r="FH28" s="297"/>
      <c r="FI28" s="297"/>
      <c r="FJ28" s="297"/>
      <c r="FK28" s="297"/>
      <c r="FL28" s="297"/>
      <c r="FM28" s="297"/>
      <c r="FN28" s="297"/>
      <c r="FO28" s="297"/>
      <c r="FP28" s="297"/>
      <c r="FQ28" s="297"/>
      <c r="FR28" s="297"/>
      <c r="FS28" s="297"/>
      <c r="FT28" s="297"/>
      <c r="FU28" s="297"/>
      <c r="FV28" s="297"/>
      <c r="FW28" s="297"/>
      <c r="FX28" s="297"/>
      <c r="FY28" s="297"/>
      <c r="FZ28" s="297"/>
      <c r="GA28" s="297"/>
      <c r="GB28" s="297"/>
      <c r="GC28" s="297"/>
      <c r="GD28" s="297"/>
      <c r="GE28" s="297"/>
      <c r="GF28" s="297"/>
      <c r="GG28" s="297"/>
      <c r="GH28" s="297"/>
      <c r="GI28" s="297"/>
      <c r="GJ28" s="297"/>
      <c r="GK28" s="297"/>
      <c r="GL28" s="297"/>
      <c r="GM28" s="297"/>
      <c r="GN28" s="297"/>
      <c r="GO28" s="297"/>
      <c r="GP28" s="297"/>
      <c r="GQ28" s="297"/>
      <c r="GR28" s="297"/>
      <c r="GS28" s="297"/>
      <c r="GT28" s="297"/>
      <c r="GU28" s="297"/>
      <c r="GV28" s="297"/>
      <c r="GW28" s="297"/>
      <c r="GX28" s="297"/>
      <c r="GY28" s="297"/>
      <c r="GZ28" s="297"/>
      <c r="HA28" s="297"/>
      <c r="HB28" s="297"/>
      <c r="HC28" s="297"/>
      <c r="HD28" s="297"/>
      <c r="HE28" s="297"/>
      <c r="HF28" s="297"/>
      <c r="HG28" s="297"/>
      <c r="HH28" s="297"/>
      <c r="HI28" s="297"/>
      <c r="HJ28" s="297"/>
      <c r="HK28" s="297"/>
      <c r="HL28" s="297"/>
      <c r="HM28" s="297"/>
      <c r="HN28" s="297"/>
      <c r="HO28" s="297"/>
      <c r="HP28" s="297"/>
      <c r="HQ28" s="297"/>
      <c r="HR28" s="297"/>
      <c r="HS28" s="297"/>
      <c r="HT28" s="297"/>
      <c r="HU28" s="297"/>
      <c r="HV28" s="297"/>
      <c r="HW28" s="297"/>
      <c r="HX28" s="297"/>
      <c r="HY28" s="297"/>
      <c r="HZ28" s="297"/>
      <c r="IA28" s="297"/>
      <c r="IB28" s="297"/>
      <c r="IC28" s="297"/>
      <c r="ID28" s="297"/>
      <c r="IE28" s="297"/>
      <c r="IF28" s="297"/>
      <c r="IG28" s="297"/>
      <c r="IH28" s="297"/>
      <c r="II28" s="297"/>
      <c r="IJ28" s="297"/>
      <c r="IK28" s="297"/>
      <c r="IL28" s="297"/>
      <c r="IM28" s="297"/>
      <c r="IN28" s="297"/>
      <c r="IO28" s="297"/>
      <c r="IP28" s="297"/>
      <c r="IQ28" s="297"/>
      <c r="IR28" s="297"/>
      <c r="IS28" s="297"/>
      <c r="IT28" s="297"/>
      <c r="IU28" s="297"/>
      <c r="IV28" s="297"/>
      <c r="IW28" s="297"/>
    </row>
    <row r="29" customFormat="false" ht="12.75" hidden="false" customHeight="false" outlineLevel="0" collapsed="false">
      <c r="A29" s="387" t="s">
        <v>410</v>
      </c>
      <c r="B29" s="297"/>
      <c r="C29" s="297" t="n">
        <f aca="false">IF(AND('Project Assumptions'!$C$75="No",C24&lt;0),C24,IF(AND('Project Assumptions'!$C$75="No",C24&gt;0),C24,IF(C24&lt;0,0,(C24-C27))))</f>
        <v>0</v>
      </c>
      <c r="D29" s="297" t="n">
        <f aca="false">IF(AND('Project Assumptions'!$C$75="No",D24&lt;0),D24,IF(AND('Project Assumptions'!$C$75="No",D24&gt;0),D24,IF(D24&lt;0,0,(D24-D27))))</f>
        <v>0</v>
      </c>
      <c r="E29" s="297" t="n">
        <f aca="false">IF(AND('Project Assumptions'!$C$75="No",E24&lt;0),E24,IF(AND('Project Assumptions'!$C$75="No",E24&gt;0),E24,IF(E24&lt;0,0,(E24-E27))))</f>
        <v>0</v>
      </c>
      <c r="F29" s="297" t="n">
        <f aca="false">IF(AND('Project Assumptions'!$C$75="No",F24&lt;0),F24,IF(AND('Project Assumptions'!$C$75="No",F24&gt;0),F24,IF(F24&lt;0,0,(F24-F27))))</f>
        <v>0</v>
      </c>
      <c r="G29" s="297" t="n">
        <f aca="false">IF(AND('Project Assumptions'!$C$75="No",G24&lt;0),G24,IF(AND('Project Assumptions'!$C$75="No",G24&gt;0),G24,IF(G24&lt;0,0,(G24-G27))))</f>
        <v>0</v>
      </c>
      <c r="H29" s="297" t="n">
        <f aca="false">IF(AND('Project Assumptions'!$C$75="No",H24&lt;0),H24,IF(AND('Project Assumptions'!$C$75="No",H24&gt;0),H24,IF(H24&lt;0,0,(H24-H27))))</f>
        <v>0</v>
      </c>
      <c r="I29" s="297" t="n">
        <f aca="false">IF(AND('Project Assumptions'!$C$75="No",I24&lt;0),I24,IF(AND('Project Assumptions'!$C$75="No",I24&gt;0),I24,IF(I24&lt;0,0,(I24-I27))))</f>
        <v>0</v>
      </c>
      <c r="J29" s="297" t="n">
        <f aca="false">IF(AND('Project Assumptions'!$C$75="No",J24&lt;0),J24,IF(AND('Project Assumptions'!$C$75="No",J24&gt;0),J24,IF(J24&lt;0,0,(J24-J27))))</f>
        <v>0</v>
      </c>
      <c r="K29" s="297" t="n">
        <f aca="false">IF(AND('Project Assumptions'!$C$75="No",K24&lt;0),K24,IF(AND('Project Assumptions'!$C$75="No",K24&gt;0),K24,IF(K24&lt;0,0,(K24-K27))))</f>
        <v>0</v>
      </c>
      <c r="L29" s="297" t="n">
        <f aca="false">IF(AND('Project Assumptions'!$C$75="No",L24&lt;0),L24,IF(AND('Project Assumptions'!$C$75="No",L24&gt;0),L24,IF(L24&lt;0,0,(L24-L27))))</f>
        <v>0</v>
      </c>
      <c r="M29" s="297" t="n">
        <f aca="false">IF(AND('Project Assumptions'!$C$75="No",M24&lt;0),M24,IF(AND('Project Assumptions'!$C$75="No",M24&gt;0),M24,IF(M24&lt;0,0,(M24-M27))))</f>
        <v>0</v>
      </c>
      <c r="N29" s="297" t="n">
        <f aca="false">IF(AND('Project Assumptions'!$C$75="No",N24&lt;0),N24,IF(AND('Project Assumptions'!$C$75="No",N24&gt;0),N24,IF(N24&lt;0,0,(N24-N27))))</f>
        <v>0</v>
      </c>
      <c r="O29" s="297" t="n">
        <f aca="false">IF(AND('Project Assumptions'!$C$75="No",O24&lt;0),O24,IF(AND('Project Assumptions'!$C$75="No",O24&gt;0),O24,IF(O24&lt;0,0,(O24-O27))))</f>
        <v>0</v>
      </c>
      <c r="P29" s="297" t="n">
        <f aca="false">IF(AND('Project Assumptions'!$C$75="No",P24&lt;0),P24,IF(AND('Project Assumptions'!$C$75="No",P24&gt;0),P24,IF(P24&lt;0,0,(P24-P27))))</f>
        <v>0</v>
      </c>
      <c r="Q29" s="297" t="n">
        <f aca="false">IF(AND('Project Assumptions'!$C$75="No",Q24&lt;0),Q24,IF(AND('Project Assumptions'!$C$75="No",Q24&gt;0),Q24,IF(Q24&lt;0,0,(Q24-Q27))))</f>
        <v>825.233246605939</v>
      </c>
      <c r="R29" s="297" t="n">
        <f aca="false">IF(AND('Project Assumptions'!$C$75="No",R24&lt;0),R24,IF(AND('Project Assumptions'!$C$75="No",R24&gt;0),R24,IF(R24&lt;0,0,(R24-R27))))</f>
        <v>5679.82425725917</v>
      </c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G29" s="297"/>
      <c r="DH29" s="297"/>
      <c r="DI29" s="297"/>
      <c r="DJ29" s="297"/>
      <c r="DK29" s="297"/>
      <c r="DL29" s="297"/>
      <c r="DM29" s="297"/>
      <c r="DN29" s="297"/>
      <c r="DO29" s="297"/>
      <c r="DP29" s="297"/>
      <c r="DQ29" s="297"/>
      <c r="DR29" s="297"/>
      <c r="DS29" s="297"/>
      <c r="DT29" s="297"/>
      <c r="DU29" s="297"/>
      <c r="DV29" s="297"/>
      <c r="DW29" s="297"/>
      <c r="DX29" s="297"/>
      <c r="DY29" s="297"/>
      <c r="DZ29" s="297"/>
      <c r="EA29" s="297"/>
      <c r="EB29" s="297"/>
      <c r="EC29" s="297"/>
      <c r="ED29" s="297"/>
      <c r="EE29" s="297"/>
      <c r="EF29" s="297"/>
      <c r="EG29" s="297"/>
      <c r="EH29" s="297"/>
      <c r="EI29" s="297"/>
      <c r="EJ29" s="297"/>
      <c r="EK29" s="297"/>
      <c r="EL29" s="297"/>
      <c r="EM29" s="297"/>
      <c r="EN29" s="297"/>
      <c r="EO29" s="297"/>
      <c r="EP29" s="297"/>
      <c r="EQ29" s="297"/>
      <c r="ER29" s="297"/>
      <c r="ES29" s="297"/>
      <c r="ET29" s="297"/>
      <c r="EU29" s="297"/>
      <c r="EV29" s="297"/>
      <c r="EW29" s="297"/>
      <c r="EX29" s="297"/>
      <c r="EY29" s="297"/>
      <c r="EZ29" s="297"/>
      <c r="FA29" s="297"/>
      <c r="FB29" s="297"/>
      <c r="FC29" s="297"/>
      <c r="FD29" s="297"/>
      <c r="FE29" s="297"/>
      <c r="FF29" s="297"/>
      <c r="FG29" s="297"/>
      <c r="FH29" s="297"/>
      <c r="FI29" s="297"/>
      <c r="FJ29" s="297"/>
      <c r="FK29" s="297"/>
      <c r="FL29" s="297"/>
      <c r="FM29" s="297"/>
      <c r="FN29" s="297"/>
      <c r="FO29" s="297"/>
      <c r="FP29" s="297"/>
      <c r="FQ29" s="297"/>
      <c r="FR29" s="297"/>
      <c r="FS29" s="297"/>
      <c r="FT29" s="297"/>
      <c r="FU29" s="297"/>
      <c r="FV29" s="297"/>
      <c r="FW29" s="297"/>
      <c r="FX29" s="297"/>
      <c r="FY29" s="297"/>
      <c r="FZ29" s="297"/>
      <c r="GA29" s="297"/>
      <c r="GB29" s="297"/>
      <c r="GC29" s="297"/>
      <c r="GD29" s="297"/>
      <c r="GE29" s="297"/>
      <c r="GF29" s="297"/>
      <c r="GG29" s="297"/>
      <c r="GH29" s="297"/>
      <c r="GI29" s="297"/>
      <c r="GJ29" s="297"/>
      <c r="GK29" s="297"/>
      <c r="GL29" s="297"/>
      <c r="GM29" s="297"/>
      <c r="GN29" s="297"/>
      <c r="GO29" s="297"/>
      <c r="GP29" s="297"/>
      <c r="GQ29" s="297"/>
      <c r="GR29" s="297"/>
      <c r="GS29" s="297"/>
      <c r="GT29" s="297"/>
      <c r="GU29" s="297"/>
      <c r="GV29" s="297"/>
      <c r="GW29" s="297"/>
      <c r="GX29" s="297"/>
      <c r="GY29" s="297"/>
      <c r="GZ29" s="297"/>
      <c r="HA29" s="297"/>
      <c r="HB29" s="297"/>
      <c r="HC29" s="297"/>
      <c r="HD29" s="297"/>
      <c r="HE29" s="297"/>
      <c r="HF29" s="297"/>
      <c r="HG29" s="297"/>
      <c r="HH29" s="297"/>
      <c r="HI29" s="297"/>
      <c r="HJ29" s="297"/>
      <c r="HK29" s="297"/>
      <c r="HL29" s="297"/>
      <c r="HM29" s="297"/>
      <c r="HN29" s="297"/>
      <c r="HO29" s="297"/>
      <c r="HP29" s="297"/>
      <c r="HQ29" s="297"/>
      <c r="HR29" s="297"/>
      <c r="HS29" s="297"/>
      <c r="HT29" s="297"/>
      <c r="HU29" s="297"/>
      <c r="HV29" s="297"/>
      <c r="HW29" s="297"/>
      <c r="HX29" s="297"/>
      <c r="HY29" s="297"/>
      <c r="HZ29" s="297"/>
      <c r="IA29" s="297"/>
      <c r="IB29" s="297"/>
      <c r="IC29" s="297"/>
      <c r="ID29" s="297"/>
      <c r="IE29" s="297"/>
      <c r="IF29" s="297"/>
      <c r="IG29" s="297"/>
      <c r="IH29" s="297"/>
      <c r="II29" s="297"/>
      <c r="IJ29" s="297"/>
      <c r="IK29" s="297"/>
      <c r="IL29" s="297"/>
      <c r="IM29" s="297"/>
      <c r="IN29" s="297"/>
      <c r="IO29" s="297"/>
      <c r="IP29" s="297"/>
      <c r="IQ29" s="297"/>
      <c r="IR29" s="297"/>
      <c r="IS29" s="297"/>
      <c r="IT29" s="297"/>
      <c r="IU29" s="297"/>
      <c r="IV29" s="297"/>
      <c r="IW29" s="297"/>
    </row>
    <row r="30" customFormat="false" ht="12.75" hidden="false" customHeight="false" outlineLevel="0" collapsed="false">
      <c r="A30" s="38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/>
      <c r="BX30" s="297"/>
      <c r="BY30" s="297"/>
      <c r="BZ30" s="297"/>
      <c r="CA30" s="297"/>
      <c r="CB30" s="297"/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297"/>
      <c r="DG30" s="297"/>
      <c r="DH30" s="297"/>
      <c r="DI30" s="297"/>
      <c r="DJ30" s="297"/>
      <c r="DK30" s="297"/>
      <c r="DL30" s="297"/>
      <c r="DM30" s="297"/>
      <c r="DN30" s="297"/>
      <c r="DO30" s="297"/>
      <c r="DP30" s="297"/>
      <c r="DQ30" s="297"/>
      <c r="DR30" s="297"/>
      <c r="DS30" s="297"/>
      <c r="DT30" s="297"/>
      <c r="DU30" s="297"/>
      <c r="DV30" s="297"/>
      <c r="DW30" s="297"/>
      <c r="DX30" s="297"/>
      <c r="DY30" s="297"/>
      <c r="DZ30" s="297"/>
      <c r="EA30" s="297"/>
      <c r="EB30" s="297"/>
      <c r="EC30" s="297"/>
      <c r="ED30" s="297"/>
      <c r="EE30" s="297"/>
      <c r="EF30" s="297"/>
      <c r="EG30" s="297"/>
      <c r="EH30" s="297"/>
      <c r="EI30" s="297"/>
      <c r="EJ30" s="297"/>
      <c r="EK30" s="297"/>
      <c r="EL30" s="297"/>
      <c r="EM30" s="297"/>
      <c r="EN30" s="297"/>
      <c r="EO30" s="297"/>
      <c r="EP30" s="297"/>
      <c r="EQ30" s="297"/>
      <c r="ER30" s="297"/>
      <c r="ES30" s="297"/>
      <c r="ET30" s="297"/>
      <c r="EU30" s="297"/>
      <c r="EV30" s="297"/>
      <c r="EW30" s="297"/>
      <c r="EX30" s="297"/>
      <c r="EY30" s="297"/>
      <c r="EZ30" s="297"/>
      <c r="FA30" s="297"/>
      <c r="FB30" s="297"/>
      <c r="FC30" s="297"/>
      <c r="FD30" s="297"/>
      <c r="FE30" s="297"/>
      <c r="FF30" s="297"/>
      <c r="FG30" s="297"/>
      <c r="FH30" s="297"/>
      <c r="FI30" s="297"/>
      <c r="FJ30" s="297"/>
      <c r="FK30" s="297"/>
      <c r="FL30" s="297"/>
      <c r="FM30" s="297"/>
      <c r="FN30" s="297"/>
      <c r="FO30" s="297"/>
      <c r="FP30" s="297"/>
      <c r="FQ30" s="297"/>
      <c r="FR30" s="297"/>
      <c r="FS30" s="297"/>
      <c r="FT30" s="297"/>
      <c r="FU30" s="297"/>
      <c r="FV30" s="297"/>
      <c r="FW30" s="297"/>
      <c r="FX30" s="297"/>
      <c r="FY30" s="297"/>
      <c r="FZ30" s="297"/>
      <c r="GA30" s="297"/>
      <c r="GB30" s="297"/>
      <c r="GC30" s="297"/>
      <c r="GD30" s="297"/>
      <c r="GE30" s="297"/>
      <c r="GF30" s="297"/>
      <c r="GG30" s="297"/>
      <c r="GH30" s="297"/>
      <c r="GI30" s="297"/>
      <c r="GJ30" s="297"/>
      <c r="GK30" s="297"/>
      <c r="GL30" s="297"/>
      <c r="GM30" s="297"/>
      <c r="GN30" s="297"/>
      <c r="GO30" s="297"/>
      <c r="GP30" s="297"/>
      <c r="GQ30" s="297"/>
      <c r="GR30" s="297"/>
      <c r="GS30" s="297"/>
      <c r="GT30" s="297"/>
      <c r="GU30" s="297"/>
      <c r="GV30" s="297"/>
      <c r="GW30" s="297"/>
      <c r="GX30" s="297"/>
      <c r="GY30" s="297"/>
      <c r="GZ30" s="297"/>
      <c r="HA30" s="297"/>
      <c r="HB30" s="297"/>
      <c r="HC30" s="297"/>
      <c r="HD30" s="297"/>
      <c r="HE30" s="297"/>
      <c r="HF30" s="297"/>
      <c r="HG30" s="297"/>
      <c r="HH30" s="297"/>
      <c r="HI30" s="297"/>
      <c r="HJ30" s="297"/>
      <c r="HK30" s="297"/>
      <c r="HL30" s="297"/>
      <c r="HM30" s="297"/>
      <c r="HN30" s="297"/>
      <c r="HO30" s="297"/>
      <c r="HP30" s="297"/>
      <c r="HQ30" s="297"/>
      <c r="HR30" s="297"/>
      <c r="HS30" s="297"/>
      <c r="HT30" s="297"/>
      <c r="HU30" s="297"/>
      <c r="HV30" s="297"/>
      <c r="HW30" s="297"/>
      <c r="HX30" s="297"/>
      <c r="HY30" s="297"/>
      <c r="HZ30" s="297"/>
      <c r="IA30" s="297"/>
      <c r="IB30" s="297"/>
      <c r="IC30" s="297"/>
      <c r="ID30" s="297"/>
      <c r="IE30" s="297"/>
      <c r="IF30" s="297"/>
      <c r="IG30" s="297"/>
      <c r="IH30" s="297"/>
      <c r="II30" s="297"/>
      <c r="IJ30" s="297"/>
      <c r="IK30" s="297"/>
      <c r="IL30" s="297"/>
      <c r="IM30" s="297"/>
      <c r="IN30" s="297"/>
      <c r="IO30" s="297"/>
      <c r="IP30" s="297"/>
      <c r="IQ30" s="297"/>
      <c r="IR30" s="297"/>
      <c r="IS30" s="297"/>
      <c r="IT30" s="297"/>
      <c r="IU30" s="297"/>
      <c r="IV30" s="297"/>
      <c r="IW30" s="297"/>
    </row>
    <row r="31" customFormat="false" ht="12" hidden="false" customHeight="true" outlineLevel="0" collapsed="false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  <c r="BJ31" s="297"/>
      <c r="BK31" s="297"/>
      <c r="BL31" s="297"/>
      <c r="BM31" s="297"/>
      <c r="BN31" s="297"/>
      <c r="BO31" s="297"/>
      <c r="BP31" s="297"/>
      <c r="BQ31" s="297"/>
      <c r="BR31" s="297"/>
      <c r="BS31" s="297"/>
      <c r="BT31" s="297"/>
      <c r="BU31" s="297"/>
      <c r="BV31" s="297"/>
      <c r="BW31" s="297"/>
      <c r="BX31" s="297"/>
      <c r="BY31" s="297"/>
      <c r="BZ31" s="297"/>
      <c r="CA31" s="297"/>
      <c r="CB31" s="297"/>
      <c r="CC31" s="297"/>
      <c r="CD31" s="297"/>
      <c r="CE31" s="297"/>
      <c r="CF31" s="297"/>
      <c r="CG31" s="297"/>
      <c r="CH31" s="297"/>
      <c r="CI31" s="297"/>
      <c r="CJ31" s="297"/>
      <c r="CK31" s="297"/>
      <c r="CL31" s="297"/>
      <c r="CM31" s="297"/>
      <c r="CN31" s="297"/>
      <c r="CO31" s="297"/>
      <c r="CP31" s="297"/>
      <c r="CQ31" s="297"/>
      <c r="CR31" s="297"/>
      <c r="CS31" s="297"/>
      <c r="CT31" s="297"/>
      <c r="CU31" s="297"/>
      <c r="CV31" s="297"/>
      <c r="CW31" s="297"/>
      <c r="CX31" s="297"/>
      <c r="CY31" s="297"/>
      <c r="CZ31" s="297"/>
      <c r="DA31" s="297"/>
      <c r="DB31" s="297"/>
      <c r="DC31" s="297"/>
      <c r="DD31" s="297"/>
      <c r="DE31" s="297"/>
      <c r="DF31" s="297"/>
      <c r="DG31" s="297"/>
      <c r="DH31" s="297"/>
      <c r="DI31" s="297"/>
      <c r="DJ31" s="297"/>
      <c r="DK31" s="297"/>
      <c r="DL31" s="297"/>
      <c r="DM31" s="297"/>
      <c r="DN31" s="297"/>
      <c r="DO31" s="297"/>
      <c r="DP31" s="297"/>
      <c r="DQ31" s="297"/>
      <c r="DR31" s="297"/>
      <c r="DS31" s="297"/>
      <c r="DT31" s="297"/>
      <c r="DU31" s="297"/>
      <c r="DV31" s="297"/>
      <c r="DW31" s="297"/>
      <c r="DX31" s="297"/>
      <c r="DY31" s="297"/>
      <c r="DZ31" s="297"/>
      <c r="EA31" s="297"/>
      <c r="EB31" s="297"/>
      <c r="EC31" s="297"/>
      <c r="ED31" s="297"/>
      <c r="EE31" s="297"/>
      <c r="EF31" s="297"/>
      <c r="EG31" s="297"/>
      <c r="EH31" s="297"/>
      <c r="EI31" s="297"/>
      <c r="EJ31" s="297"/>
      <c r="EK31" s="297"/>
      <c r="EL31" s="297"/>
      <c r="EM31" s="297"/>
      <c r="EN31" s="297"/>
      <c r="EO31" s="297"/>
      <c r="EP31" s="297"/>
      <c r="EQ31" s="297"/>
      <c r="ER31" s="297"/>
      <c r="ES31" s="297"/>
      <c r="ET31" s="297"/>
      <c r="EU31" s="297"/>
      <c r="EV31" s="297"/>
      <c r="EW31" s="297"/>
      <c r="EX31" s="297"/>
      <c r="EY31" s="297"/>
      <c r="EZ31" s="297"/>
      <c r="FA31" s="297"/>
      <c r="FB31" s="297"/>
      <c r="FC31" s="297"/>
      <c r="FD31" s="297"/>
      <c r="FE31" s="297"/>
      <c r="FF31" s="297"/>
      <c r="FG31" s="297"/>
      <c r="FH31" s="297"/>
      <c r="FI31" s="297"/>
      <c r="FJ31" s="297"/>
      <c r="FK31" s="297"/>
      <c r="FL31" s="297"/>
      <c r="FM31" s="297"/>
      <c r="FN31" s="297"/>
      <c r="FO31" s="297"/>
      <c r="FP31" s="297"/>
      <c r="FQ31" s="297"/>
      <c r="FR31" s="297"/>
      <c r="FS31" s="297"/>
      <c r="FT31" s="297"/>
      <c r="FU31" s="297"/>
      <c r="FV31" s="297"/>
      <c r="FW31" s="297"/>
      <c r="FX31" s="297"/>
      <c r="FY31" s="297"/>
      <c r="FZ31" s="297"/>
      <c r="GA31" s="297"/>
      <c r="GB31" s="297"/>
      <c r="GC31" s="297"/>
      <c r="GD31" s="297"/>
      <c r="GE31" s="297"/>
      <c r="GF31" s="297"/>
      <c r="GG31" s="297"/>
      <c r="GH31" s="297"/>
      <c r="GI31" s="297"/>
      <c r="GJ31" s="297"/>
      <c r="GK31" s="297"/>
      <c r="GL31" s="297"/>
      <c r="GM31" s="297"/>
      <c r="GN31" s="297"/>
      <c r="GO31" s="297"/>
      <c r="GP31" s="297"/>
      <c r="GQ31" s="297"/>
      <c r="GR31" s="297"/>
      <c r="GS31" s="297"/>
      <c r="GT31" s="297"/>
      <c r="GU31" s="297"/>
      <c r="GV31" s="297"/>
      <c r="GW31" s="297"/>
      <c r="GX31" s="297"/>
      <c r="GY31" s="297"/>
      <c r="GZ31" s="297"/>
      <c r="HA31" s="297"/>
      <c r="HB31" s="297"/>
      <c r="HC31" s="297"/>
      <c r="HD31" s="297"/>
      <c r="HE31" s="297"/>
      <c r="HF31" s="297"/>
      <c r="HG31" s="297"/>
      <c r="HH31" s="297"/>
      <c r="HI31" s="297"/>
      <c r="HJ31" s="297"/>
      <c r="HK31" s="297"/>
      <c r="HL31" s="297"/>
      <c r="HM31" s="297"/>
      <c r="HN31" s="297"/>
      <c r="HO31" s="297"/>
      <c r="HP31" s="297"/>
      <c r="HQ31" s="297"/>
      <c r="HR31" s="297"/>
      <c r="HS31" s="297"/>
      <c r="HT31" s="297"/>
      <c r="HU31" s="297"/>
      <c r="HV31" s="297"/>
      <c r="HW31" s="297"/>
      <c r="HX31" s="297"/>
      <c r="HY31" s="297"/>
      <c r="HZ31" s="297"/>
      <c r="IA31" s="297"/>
      <c r="IB31" s="297"/>
      <c r="IC31" s="297"/>
      <c r="ID31" s="297"/>
      <c r="IE31" s="297"/>
      <c r="IF31" s="297"/>
      <c r="IG31" s="297"/>
      <c r="IH31" s="297"/>
      <c r="II31" s="297"/>
      <c r="IJ31" s="297"/>
      <c r="IK31" s="297"/>
      <c r="IL31" s="297"/>
      <c r="IM31" s="297"/>
      <c r="IN31" s="297"/>
      <c r="IO31" s="297"/>
      <c r="IP31" s="297"/>
      <c r="IQ31" s="297"/>
      <c r="IR31" s="297"/>
      <c r="IS31" s="297"/>
      <c r="IT31" s="297"/>
      <c r="IU31" s="297"/>
      <c r="IV31" s="297"/>
      <c r="IW31" s="297"/>
    </row>
    <row r="32" customFormat="false" ht="12" hidden="false" customHeight="true" outlineLevel="0" collapsed="false">
      <c r="A32" s="386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97"/>
      <c r="DG32" s="297"/>
      <c r="DH32" s="297"/>
      <c r="DI32" s="297"/>
      <c r="DJ32" s="297"/>
      <c r="DK32" s="297"/>
      <c r="DL32" s="297"/>
      <c r="DM32" s="297"/>
      <c r="DN32" s="297"/>
      <c r="DO32" s="297"/>
      <c r="DP32" s="297"/>
      <c r="DQ32" s="297"/>
      <c r="DR32" s="297"/>
      <c r="DS32" s="297"/>
      <c r="DT32" s="297"/>
      <c r="DU32" s="297"/>
      <c r="DV32" s="297"/>
      <c r="DW32" s="297"/>
      <c r="DX32" s="297"/>
      <c r="DY32" s="297"/>
      <c r="DZ32" s="297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7"/>
      <c r="ES32" s="297"/>
      <c r="ET32" s="297"/>
      <c r="EU32" s="297"/>
      <c r="EV32" s="297"/>
      <c r="EW32" s="297"/>
      <c r="EX32" s="297"/>
      <c r="EY32" s="297"/>
      <c r="EZ32" s="297"/>
      <c r="FA32" s="297"/>
      <c r="FB32" s="297"/>
      <c r="FC32" s="297"/>
      <c r="FD32" s="297"/>
      <c r="FE32" s="297"/>
      <c r="FF32" s="297"/>
      <c r="FG32" s="297"/>
      <c r="FH32" s="297"/>
      <c r="FI32" s="297"/>
      <c r="FJ32" s="297"/>
      <c r="FK32" s="297"/>
      <c r="FL32" s="297"/>
      <c r="FM32" s="297"/>
      <c r="FN32" s="297"/>
      <c r="FO32" s="297"/>
      <c r="FP32" s="297"/>
      <c r="FQ32" s="297"/>
      <c r="FR32" s="297"/>
      <c r="FS32" s="297"/>
      <c r="FT32" s="297"/>
      <c r="FU32" s="297"/>
      <c r="FV32" s="297"/>
      <c r="FW32" s="297"/>
      <c r="FX32" s="297"/>
      <c r="FY32" s="297"/>
      <c r="FZ32" s="297"/>
      <c r="GA32" s="297"/>
      <c r="GB32" s="297"/>
      <c r="GC32" s="297"/>
      <c r="GD32" s="297"/>
      <c r="GE32" s="297"/>
      <c r="GF32" s="297"/>
      <c r="GG32" s="297"/>
      <c r="GH32" s="297"/>
      <c r="GI32" s="297"/>
      <c r="GJ32" s="297"/>
      <c r="GK32" s="297"/>
      <c r="GL32" s="297"/>
      <c r="GM32" s="297"/>
      <c r="GN32" s="297"/>
      <c r="GO32" s="297"/>
      <c r="GP32" s="297"/>
      <c r="GQ32" s="297"/>
      <c r="GR32" s="297"/>
      <c r="GS32" s="297"/>
      <c r="GT32" s="297"/>
      <c r="GU32" s="297"/>
      <c r="GV32" s="297"/>
      <c r="GW32" s="297"/>
      <c r="GX32" s="297"/>
      <c r="GY32" s="297"/>
      <c r="GZ32" s="297"/>
      <c r="HA32" s="297"/>
      <c r="HB32" s="297"/>
      <c r="HC32" s="297"/>
      <c r="HD32" s="297"/>
      <c r="HE32" s="297"/>
      <c r="HF32" s="297"/>
      <c r="HG32" s="297"/>
      <c r="HH32" s="297"/>
      <c r="HI32" s="297"/>
      <c r="HJ32" s="297"/>
      <c r="HK32" s="297"/>
      <c r="HL32" s="297"/>
      <c r="HM32" s="297"/>
      <c r="HN32" s="297"/>
      <c r="HO32" s="297"/>
      <c r="HP32" s="297"/>
      <c r="HQ32" s="297"/>
      <c r="HR32" s="297"/>
      <c r="HS32" s="297"/>
      <c r="HT32" s="297"/>
      <c r="HU32" s="297"/>
      <c r="HV32" s="297"/>
      <c r="HW32" s="297"/>
      <c r="HX32" s="297"/>
      <c r="HY32" s="297"/>
      <c r="HZ32" s="297"/>
      <c r="IA32" s="297"/>
      <c r="IB32" s="297"/>
      <c r="IC32" s="297"/>
      <c r="ID32" s="297"/>
      <c r="IE32" s="297"/>
      <c r="IF32" s="297"/>
      <c r="IG32" s="297"/>
      <c r="IH32" s="297"/>
      <c r="II32" s="297"/>
      <c r="IJ32" s="297"/>
      <c r="IK32" s="297"/>
      <c r="IL32" s="297"/>
      <c r="IM32" s="297"/>
      <c r="IN32" s="297"/>
      <c r="IO32" s="297"/>
      <c r="IP32" s="297"/>
      <c r="IQ32" s="297"/>
      <c r="IR32" s="297"/>
      <c r="IS32" s="297"/>
      <c r="IT32" s="297"/>
      <c r="IU32" s="297"/>
      <c r="IV32" s="297"/>
      <c r="IW32" s="297"/>
    </row>
    <row r="33" customFormat="false" ht="12.75" hidden="false" customHeight="false" outlineLevel="0" collapsed="false">
      <c r="A33" s="387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97"/>
      <c r="DF33" s="297"/>
      <c r="DG33" s="297"/>
      <c r="DH33" s="297"/>
      <c r="DI33" s="297"/>
      <c r="DJ33" s="297"/>
      <c r="DK33" s="297"/>
      <c r="DL33" s="297"/>
      <c r="DM33" s="297"/>
      <c r="DN33" s="297"/>
      <c r="DO33" s="297"/>
      <c r="DP33" s="297"/>
      <c r="DQ33" s="297"/>
      <c r="DR33" s="297"/>
      <c r="DS33" s="297"/>
      <c r="DT33" s="297"/>
      <c r="DU33" s="297"/>
      <c r="DV33" s="297"/>
      <c r="DW33" s="297"/>
      <c r="DX33" s="297"/>
      <c r="DY33" s="297"/>
      <c r="DZ33" s="297"/>
      <c r="EA33" s="297"/>
      <c r="EB33" s="297"/>
      <c r="EC33" s="297"/>
      <c r="ED33" s="297"/>
      <c r="EE33" s="297"/>
      <c r="EF33" s="297"/>
      <c r="EG33" s="297"/>
      <c r="EH33" s="297"/>
      <c r="EI33" s="297"/>
      <c r="EJ33" s="297"/>
      <c r="EK33" s="297"/>
      <c r="EL33" s="297"/>
      <c r="EM33" s="297"/>
      <c r="EN33" s="297"/>
      <c r="EO33" s="297"/>
      <c r="EP33" s="297"/>
      <c r="EQ33" s="297"/>
      <c r="ER33" s="297"/>
      <c r="ES33" s="297"/>
      <c r="ET33" s="297"/>
      <c r="EU33" s="297"/>
      <c r="EV33" s="297"/>
      <c r="EW33" s="297"/>
      <c r="EX33" s="297"/>
      <c r="EY33" s="297"/>
      <c r="EZ33" s="297"/>
      <c r="FA33" s="297"/>
      <c r="FB33" s="297"/>
      <c r="FC33" s="297"/>
      <c r="FD33" s="297"/>
      <c r="FE33" s="297"/>
      <c r="FF33" s="297"/>
      <c r="FG33" s="297"/>
      <c r="FH33" s="297"/>
      <c r="FI33" s="297"/>
      <c r="FJ33" s="297"/>
      <c r="FK33" s="297"/>
      <c r="FL33" s="297"/>
      <c r="FM33" s="297"/>
      <c r="FN33" s="297"/>
      <c r="FO33" s="297"/>
      <c r="FP33" s="297"/>
      <c r="FQ33" s="297"/>
      <c r="FR33" s="297"/>
      <c r="FS33" s="297"/>
      <c r="FT33" s="297"/>
      <c r="FU33" s="297"/>
      <c r="FV33" s="297"/>
      <c r="FW33" s="297"/>
      <c r="FX33" s="297"/>
      <c r="FY33" s="297"/>
      <c r="FZ33" s="297"/>
      <c r="GA33" s="297"/>
      <c r="GB33" s="297"/>
      <c r="GC33" s="297"/>
      <c r="GD33" s="297"/>
      <c r="GE33" s="297"/>
      <c r="GF33" s="297"/>
      <c r="GG33" s="297"/>
      <c r="GH33" s="297"/>
      <c r="GI33" s="297"/>
      <c r="GJ33" s="297"/>
      <c r="GK33" s="297"/>
      <c r="GL33" s="297"/>
      <c r="GM33" s="297"/>
      <c r="GN33" s="297"/>
      <c r="GO33" s="297"/>
      <c r="GP33" s="297"/>
      <c r="GQ33" s="297"/>
      <c r="GR33" s="297"/>
      <c r="GS33" s="297"/>
      <c r="GT33" s="297"/>
      <c r="GU33" s="297"/>
      <c r="GV33" s="297"/>
      <c r="GW33" s="297"/>
      <c r="GX33" s="297"/>
      <c r="GY33" s="297"/>
      <c r="GZ33" s="297"/>
      <c r="HA33" s="297"/>
      <c r="HB33" s="297"/>
      <c r="HC33" s="297"/>
      <c r="HD33" s="297"/>
      <c r="HE33" s="297"/>
      <c r="HF33" s="297"/>
      <c r="HG33" s="297"/>
      <c r="HH33" s="297"/>
      <c r="HI33" s="297"/>
      <c r="HJ33" s="297"/>
      <c r="HK33" s="297"/>
      <c r="HL33" s="297"/>
      <c r="HM33" s="297"/>
      <c r="HN33" s="297"/>
      <c r="HO33" s="297"/>
      <c r="HP33" s="297"/>
      <c r="HQ33" s="297"/>
      <c r="HR33" s="297"/>
      <c r="HS33" s="297"/>
      <c r="HT33" s="297"/>
      <c r="HU33" s="297"/>
      <c r="HV33" s="297"/>
      <c r="HW33" s="297"/>
      <c r="HX33" s="297"/>
      <c r="HY33" s="297"/>
      <c r="HZ33" s="297"/>
      <c r="IA33" s="297"/>
      <c r="IB33" s="297"/>
      <c r="IC33" s="297"/>
      <c r="ID33" s="297"/>
      <c r="IE33" s="297"/>
      <c r="IF33" s="297"/>
      <c r="IG33" s="297"/>
      <c r="IH33" s="297"/>
      <c r="II33" s="297"/>
      <c r="IJ33" s="297"/>
      <c r="IK33" s="297"/>
      <c r="IL33" s="297"/>
      <c r="IM33" s="297"/>
      <c r="IN33" s="297"/>
      <c r="IO33" s="297"/>
      <c r="IP33" s="297"/>
      <c r="IQ33" s="297"/>
      <c r="IR33" s="297"/>
      <c r="IS33" s="297"/>
      <c r="IT33" s="297"/>
      <c r="IU33" s="297"/>
      <c r="IV33" s="297"/>
      <c r="IW33" s="297"/>
    </row>
    <row r="34" customFormat="false" ht="12" hidden="false" customHeight="true" outlineLevel="0" collapsed="false">
      <c r="A34" s="387"/>
      <c r="B34" s="1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191"/>
      <c r="AC34" s="191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2"/>
      <c r="DG34" s="392"/>
      <c r="DH34" s="392"/>
      <c r="DI34" s="392"/>
      <c r="DJ34" s="392"/>
      <c r="DK34" s="392"/>
      <c r="DL34" s="392"/>
      <c r="DM34" s="392"/>
      <c r="DN34" s="392"/>
      <c r="DO34" s="392"/>
      <c r="DP34" s="392"/>
      <c r="DQ34" s="392"/>
      <c r="DR34" s="392"/>
      <c r="DS34" s="392"/>
      <c r="DT34" s="392"/>
      <c r="DU34" s="392"/>
      <c r="DV34" s="392"/>
      <c r="DW34" s="392"/>
      <c r="DX34" s="392"/>
      <c r="DY34" s="392"/>
      <c r="DZ34" s="392"/>
      <c r="EA34" s="392"/>
      <c r="EB34" s="392"/>
      <c r="EC34" s="392"/>
      <c r="ED34" s="392"/>
      <c r="EE34" s="392"/>
      <c r="EF34" s="392"/>
      <c r="EG34" s="392"/>
      <c r="EH34" s="392"/>
      <c r="EI34" s="392"/>
      <c r="EJ34" s="392"/>
      <c r="EK34" s="392"/>
      <c r="EL34" s="392"/>
      <c r="EM34" s="392"/>
      <c r="EN34" s="392"/>
      <c r="EO34" s="392"/>
      <c r="EP34" s="392"/>
      <c r="EQ34" s="392"/>
      <c r="ER34" s="392"/>
      <c r="ES34" s="392"/>
      <c r="ET34" s="392"/>
      <c r="EU34" s="392"/>
      <c r="EV34" s="392"/>
      <c r="EW34" s="392"/>
      <c r="EX34" s="392"/>
      <c r="EY34" s="392"/>
      <c r="EZ34" s="392"/>
      <c r="FA34" s="392"/>
      <c r="FB34" s="392"/>
      <c r="FC34" s="392"/>
      <c r="FD34" s="392"/>
      <c r="FE34" s="392"/>
      <c r="FF34" s="392"/>
      <c r="FG34" s="392"/>
      <c r="FH34" s="392"/>
      <c r="FI34" s="392"/>
      <c r="FJ34" s="392"/>
      <c r="FK34" s="392"/>
      <c r="FL34" s="392"/>
      <c r="FM34" s="392"/>
      <c r="FN34" s="392"/>
      <c r="FO34" s="392"/>
      <c r="FP34" s="392"/>
      <c r="FQ34" s="392"/>
      <c r="FR34" s="392"/>
      <c r="FS34" s="392"/>
      <c r="FT34" s="392"/>
      <c r="FU34" s="392"/>
      <c r="FV34" s="392"/>
      <c r="FW34" s="392"/>
      <c r="FX34" s="392"/>
      <c r="FY34" s="392"/>
      <c r="FZ34" s="392"/>
      <c r="GA34" s="392"/>
      <c r="GB34" s="392"/>
      <c r="GC34" s="392"/>
      <c r="GD34" s="392"/>
      <c r="GE34" s="392"/>
      <c r="GF34" s="392"/>
      <c r="GG34" s="392"/>
      <c r="GH34" s="392"/>
      <c r="GI34" s="392"/>
      <c r="GJ34" s="392"/>
      <c r="GK34" s="392"/>
      <c r="GL34" s="392"/>
      <c r="GM34" s="392"/>
      <c r="GN34" s="392"/>
      <c r="GO34" s="392"/>
      <c r="GP34" s="392"/>
      <c r="GQ34" s="392"/>
      <c r="GR34" s="392"/>
      <c r="GS34" s="392"/>
      <c r="GT34" s="392"/>
      <c r="GU34" s="392"/>
      <c r="GV34" s="392"/>
      <c r="GW34" s="392"/>
      <c r="GX34" s="392"/>
      <c r="GY34" s="392"/>
      <c r="GZ34" s="392"/>
      <c r="HA34" s="392"/>
      <c r="HB34" s="392"/>
      <c r="HC34" s="392"/>
      <c r="HD34" s="392"/>
      <c r="HE34" s="392"/>
      <c r="HF34" s="392"/>
      <c r="HG34" s="392"/>
      <c r="HH34" s="392"/>
      <c r="HI34" s="392"/>
      <c r="HJ34" s="392"/>
      <c r="HK34" s="392"/>
      <c r="HL34" s="392"/>
      <c r="HM34" s="392"/>
      <c r="HN34" s="392"/>
      <c r="HO34" s="392"/>
      <c r="HP34" s="392"/>
      <c r="HQ34" s="392"/>
      <c r="HR34" s="392"/>
      <c r="HS34" s="392"/>
      <c r="HT34" s="392"/>
      <c r="HU34" s="392"/>
      <c r="HV34" s="392"/>
      <c r="HW34" s="392"/>
      <c r="HX34" s="392"/>
      <c r="HY34" s="392"/>
      <c r="HZ34" s="392"/>
      <c r="IA34" s="392"/>
      <c r="IB34" s="392"/>
      <c r="IC34" s="392"/>
      <c r="ID34" s="392"/>
      <c r="IE34" s="392"/>
      <c r="IF34" s="392"/>
      <c r="IG34" s="392"/>
      <c r="IH34" s="392"/>
      <c r="II34" s="392"/>
      <c r="IJ34" s="392"/>
      <c r="IK34" s="392"/>
      <c r="IL34" s="392"/>
      <c r="IM34" s="392"/>
      <c r="IN34" s="392"/>
      <c r="IO34" s="392"/>
      <c r="IP34" s="392"/>
      <c r="IQ34" s="392"/>
      <c r="IR34" s="392"/>
      <c r="IS34" s="392"/>
      <c r="IT34" s="392"/>
      <c r="IU34" s="392"/>
      <c r="IV34" s="297"/>
      <c r="IW34" s="297"/>
    </row>
    <row r="35" customFormat="false" ht="12" hidden="false" customHeight="true" outlineLevel="0" collapsed="false">
      <c r="A35" s="387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G35" s="297"/>
      <c r="DH35" s="297"/>
      <c r="DI35" s="297"/>
      <c r="DJ35" s="297"/>
      <c r="DK35" s="297"/>
      <c r="DL35" s="297"/>
      <c r="DM35" s="29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7"/>
      <c r="ES35" s="297"/>
      <c r="ET35" s="297"/>
      <c r="EU35" s="297"/>
      <c r="EV35" s="297"/>
      <c r="EW35" s="297"/>
      <c r="EX35" s="297"/>
      <c r="EY35" s="297"/>
      <c r="EZ35" s="297"/>
      <c r="FA35" s="297"/>
      <c r="FB35" s="297"/>
      <c r="FC35" s="297"/>
      <c r="FD35" s="297"/>
      <c r="FE35" s="297"/>
      <c r="FF35" s="297"/>
      <c r="FG35" s="297"/>
      <c r="FH35" s="297"/>
      <c r="FI35" s="297"/>
      <c r="FJ35" s="297"/>
      <c r="FK35" s="297"/>
      <c r="FL35" s="297"/>
      <c r="FM35" s="297"/>
      <c r="FN35" s="297"/>
      <c r="FO35" s="297"/>
      <c r="FP35" s="297"/>
      <c r="FQ35" s="297"/>
      <c r="FR35" s="297"/>
      <c r="FS35" s="297"/>
      <c r="FT35" s="297"/>
      <c r="FU35" s="297"/>
      <c r="FV35" s="297"/>
      <c r="FW35" s="297"/>
      <c r="FX35" s="297"/>
      <c r="FY35" s="297"/>
      <c r="FZ35" s="297"/>
      <c r="GA35" s="297"/>
      <c r="GB35" s="297"/>
      <c r="GC35" s="297"/>
      <c r="GD35" s="297"/>
      <c r="GE35" s="297"/>
      <c r="GF35" s="297"/>
      <c r="GG35" s="297"/>
      <c r="GH35" s="297"/>
      <c r="GI35" s="297"/>
      <c r="GJ35" s="297"/>
      <c r="GK35" s="297"/>
      <c r="GL35" s="297"/>
      <c r="GM35" s="297"/>
      <c r="GN35" s="297"/>
      <c r="GO35" s="297"/>
      <c r="GP35" s="297"/>
      <c r="GQ35" s="297"/>
      <c r="GR35" s="297"/>
      <c r="GS35" s="297"/>
      <c r="GT35" s="297"/>
      <c r="GU35" s="297"/>
      <c r="GV35" s="297"/>
      <c r="GW35" s="297"/>
      <c r="GX35" s="297"/>
      <c r="GY35" s="297"/>
      <c r="GZ35" s="297"/>
      <c r="HA35" s="297"/>
      <c r="HB35" s="297"/>
      <c r="HC35" s="297"/>
      <c r="HD35" s="297"/>
      <c r="HE35" s="297"/>
      <c r="HF35" s="297"/>
      <c r="HG35" s="297"/>
      <c r="HH35" s="297"/>
      <c r="HI35" s="297"/>
      <c r="HJ35" s="297"/>
      <c r="HK35" s="297"/>
      <c r="HL35" s="297"/>
      <c r="HM35" s="297"/>
      <c r="HN35" s="297"/>
      <c r="HO35" s="297"/>
      <c r="HP35" s="297"/>
      <c r="HQ35" s="297"/>
      <c r="HR35" s="297"/>
      <c r="HS35" s="297"/>
      <c r="HT35" s="297"/>
      <c r="HU35" s="297"/>
      <c r="HV35" s="297"/>
      <c r="HW35" s="297"/>
      <c r="HX35" s="297"/>
      <c r="HY35" s="297"/>
      <c r="HZ35" s="297"/>
      <c r="IA35" s="297"/>
      <c r="IB35" s="297"/>
      <c r="IC35" s="297"/>
      <c r="ID35" s="297"/>
      <c r="IE35" s="297"/>
      <c r="IF35" s="297"/>
      <c r="IG35" s="297"/>
      <c r="IH35" s="297"/>
      <c r="II35" s="297"/>
      <c r="IJ35" s="297"/>
      <c r="IK35" s="297"/>
      <c r="IL35" s="297"/>
      <c r="IM35" s="297"/>
      <c r="IN35" s="297"/>
      <c r="IO35" s="297"/>
      <c r="IP35" s="297"/>
      <c r="IQ35" s="297"/>
      <c r="IR35" s="297"/>
      <c r="IS35" s="297"/>
      <c r="IT35" s="297"/>
      <c r="IU35" s="297"/>
      <c r="IV35" s="297"/>
      <c r="IW35" s="297"/>
    </row>
    <row r="37" customFormat="false" ht="11.25" hidden="false" customHeight="false" outlineLevel="0" collapsed="false">
      <c r="C37" s="394"/>
    </row>
    <row r="44" customFormat="false" ht="12" hidden="false" customHeight="true" outlineLevel="0" collapsed="false">
      <c r="A44" s="354"/>
      <c r="B44" s="342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42"/>
      <c r="AC44" s="342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395"/>
      <c r="CX44" s="395"/>
      <c r="CY44" s="395"/>
      <c r="CZ44" s="395"/>
      <c r="DA44" s="395"/>
      <c r="DB44" s="395"/>
      <c r="DC44" s="395"/>
      <c r="DD44" s="395"/>
      <c r="DE44" s="395"/>
      <c r="DF44" s="395"/>
      <c r="DG44" s="395"/>
      <c r="DH44" s="395"/>
      <c r="DI44" s="395"/>
      <c r="DJ44" s="395"/>
      <c r="DK44" s="395"/>
      <c r="DL44" s="395"/>
      <c r="DM44" s="395"/>
      <c r="DN44" s="395"/>
      <c r="DO44" s="395"/>
      <c r="DP44" s="395"/>
      <c r="DQ44" s="395"/>
      <c r="DR44" s="395"/>
      <c r="DS44" s="395"/>
      <c r="DT44" s="395"/>
      <c r="DU44" s="395"/>
      <c r="DV44" s="395"/>
      <c r="DW44" s="395"/>
      <c r="DX44" s="395"/>
      <c r="DY44" s="395"/>
      <c r="DZ44" s="395"/>
      <c r="EA44" s="395"/>
      <c r="EB44" s="395"/>
      <c r="EC44" s="395"/>
      <c r="ED44" s="395"/>
      <c r="EE44" s="395"/>
      <c r="EF44" s="395"/>
      <c r="EG44" s="395"/>
      <c r="EH44" s="395"/>
      <c r="EI44" s="395"/>
      <c r="EJ44" s="395"/>
      <c r="EK44" s="395"/>
      <c r="EL44" s="395"/>
      <c r="EM44" s="395"/>
      <c r="EN44" s="395"/>
      <c r="EO44" s="395"/>
      <c r="EP44" s="395"/>
      <c r="EQ44" s="395"/>
      <c r="ER44" s="395"/>
      <c r="ES44" s="395"/>
      <c r="ET44" s="395"/>
      <c r="EU44" s="395"/>
      <c r="EV44" s="395"/>
      <c r="EW44" s="395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395"/>
      <c r="FM44" s="395"/>
      <c r="FN44" s="395"/>
      <c r="FO44" s="395"/>
      <c r="FP44" s="395"/>
      <c r="FQ44" s="395"/>
      <c r="FR44" s="395"/>
      <c r="FS44" s="395"/>
      <c r="FT44" s="395"/>
      <c r="FU44" s="395"/>
      <c r="FV44" s="395"/>
      <c r="FW44" s="395"/>
      <c r="FX44" s="395"/>
      <c r="FY44" s="395"/>
      <c r="FZ44" s="395"/>
      <c r="GA44" s="395"/>
      <c r="GB44" s="395"/>
      <c r="GC44" s="395"/>
      <c r="GD44" s="395"/>
      <c r="GE44" s="395"/>
      <c r="GF44" s="395"/>
      <c r="GG44" s="395"/>
      <c r="GH44" s="395"/>
      <c r="GI44" s="395"/>
      <c r="GJ44" s="395"/>
      <c r="GK44" s="395"/>
      <c r="GL44" s="395"/>
      <c r="GM44" s="395"/>
      <c r="GN44" s="395"/>
      <c r="GO44" s="395"/>
      <c r="GP44" s="395"/>
      <c r="GQ44" s="395"/>
      <c r="GR44" s="395"/>
      <c r="GS44" s="395"/>
      <c r="GT44" s="395"/>
      <c r="GU44" s="395"/>
      <c r="GV44" s="395"/>
      <c r="GW44" s="395"/>
      <c r="GX44" s="395"/>
      <c r="GY44" s="395"/>
      <c r="GZ44" s="395"/>
      <c r="HA44" s="395"/>
      <c r="HB44" s="395"/>
      <c r="HC44" s="395"/>
      <c r="HD44" s="395"/>
      <c r="HE44" s="395"/>
      <c r="HF44" s="395"/>
      <c r="HG44" s="395"/>
      <c r="HH44" s="395"/>
      <c r="HI44" s="395"/>
      <c r="HJ44" s="395"/>
      <c r="HK44" s="395"/>
      <c r="HL44" s="395"/>
      <c r="HM44" s="395"/>
      <c r="HN44" s="395"/>
      <c r="HO44" s="395"/>
      <c r="HP44" s="395"/>
      <c r="HQ44" s="395"/>
      <c r="HR44" s="395"/>
      <c r="HS44" s="395"/>
      <c r="HT44" s="395"/>
      <c r="HU44" s="395"/>
      <c r="HV44" s="395"/>
      <c r="HW44" s="395"/>
      <c r="HX44" s="395"/>
      <c r="HY44" s="395"/>
      <c r="HZ44" s="395"/>
      <c r="IA44" s="395"/>
      <c r="IB44" s="395"/>
      <c r="IC44" s="395"/>
      <c r="ID44" s="395"/>
      <c r="IE44" s="395"/>
      <c r="IF44" s="395"/>
      <c r="IG44" s="395"/>
      <c r="IH44" s="395"/>
      <c r="II44" s="395"/>
      <c r="IJ44" s="395"/>
      <c r="IK44" s="395"/>
      <c r="IL44" s="395"/>
      <c r="IM44" s="395"/>
      <c r="IN44" s="395"/>
      <c r="IO44" s="395"/>
      <c r="IP44" s="395"/>
      <c r="IQ44" s="395"/>
      <c r="IR44" s="395"/>
      <c r="IS44" s="395"/>
      <c r="IT44" s="395"/>
      <c r="IU44" s="395"/>
      <c r="IV44" s="357"/>
      <c r="IW44" s="357"/>
    </row>
    <row r="45" customFormat="false" ht="12" hidden="false" customHeight="true" outlineLevel="0" collapsed="false">
      <c r="A45" s="354"/>
      <c r="B45" s="342"/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42"/>
      <c r="AC45" s="342"/>
      <c r="AD45" s="395"/>
      <c r="AE45" s="395"/>
      <c r="AF45" s="395"/>
      <c r="AG45" s="395"/>
      <c r="AH45" s="395"/>
      <c r="AI45" s="395"/>
      <c r="AJ45" s="395"/>
      <c r="AK45" s="395"/>
      <c r="AL45" s="395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395"/>
      <c r="CX45" s="395"/>
      <c r="CY45" s="395"/>
      <c r="CZ45" s="395"/>
      <c r="DA45" s="395"/>
      <c r="DB45" s="395"/>
      <c r="DC45" s="395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T45" s="395"/>
      <c r="DU45" s="395"/>
      <c r="DV45" s="395"/>
      <c r="DW45" s="395"/>
      <c r="DX45" s="395"/>
      <c r="DY45" s="395"/>
      <c r="DZ45" s="395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395"/>
      <c r="ER45" s="395"/>
      <c r="ES45" s="395"/>
      <c r="ET45" s="395"/>
      <c r="EU45" s="395"/>
      <c r="EV45" s="395"/>
      <c r="EW45" s="395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395"/>
      <c r="FM45" s="395"/>
      <c r="FN45" s="395"/>
      <c r="FO45" s="395"/>
      <c r="FP45" s="395"/>
      <c r="FQ45" s="395"/>
      <c r="FR45" s="395"/>
      <c r="FS45" s="395"/>
      <c r="FT45" s="395"/>
      <c r="FU45" s="395"/>
      <c r="FV45" s="395"/>
      <c r="FW45" s="395"/>
      <c r="FX45" s="395"/>
      <c r="FY45" s="395"/>
      <c r="FZ45" s="395"/>
      <c r="GA45" s="395"/>
      <c r="GB45" s="395"/>
      <c r="GC45" s="395"/>
      <c r="GD45" s="395"/>
      <c r="GE45" s="395"/>
      <c r="GF45" s="395"/>
      <c r="GG45" s="395"/>
      <c r="GH45" s="395"/>
      <c r="GI45" s="395"/>
      <c r="GJ45" s="395"/>
      <c r="GK45" s="395"/>
      <c r="GL45" s="395"/>
      <c r="GM45" s="395"/>
      <c r="GN45" s="395"/>
      <c r="GO45" s="395"/>
      <c r="GP45" s="395"/>
      <c r="GQ45" s="395"/>
      <c r="GR45" s="395"/>
      <c r="GS45" s="395"/>
      <c r="GT45" s="395"/>
      <c r="GU45" s="395"/>
      <c r="GV45" s="395"/>
      <c r="GW45" s="395"/>
      <c r="GX45" s="395"/>
      <c r="GY45" s="395"/>
      <c r="GZ45" s="395"/>
      <c r="HA45" s="395"/>
      <c r="HB45" s="395"/>
      <c r="HC45" s="395"/>
      <c r="HD45" s="395"/>
      <c r="HE45" s="395"/>
      <c r="HF45" s="395"/>
      <c r="HG45" s="395"/>
      <c r="HH45" s="395"/>
      <c r="HI45" s="395"/>
      <c r="HJ45" s="395"/>
      <c r="HK45" s="395"/>
      <c r="HL45" s="395"/>
      <c r="HM45" s="395"/>
      <c r="HN45" s="395"/>
      <c r="HO45" s="395"/>
      <c r="HP45" s="395"/>
      <c r="HQ45" s="395"/>
      <c r="HR45" s="395"/>
      <c r="HS45" s="395"/>
      <c r="HT45" s="395"/>
      <c r="HU45" s="395"/>
      <c r="HV45" s="395"/>
      <c r="HW45" s="395"/>
      <c r="HX45" s="395"/>
      <c r="HY45" s="395"/>
      <c r="HZ45" s="395"/>
      <c r="IA45" s="395"/>
      <c r="IB45" s="395"/>
      <c r="IC45" s="395"/>
      <c r="ID45" s="395"/>
      <c r="IE45" s="395"/>
      <c r="IF45" s="395"/>
      <c r="IG45" s="395"/>
      <c r="IH45" s="395"/>
      <c r="II45" s="395"/>
      <c r="IJ45" s="395"/>
      <c r="IK45" s="395"/>
      <c r="IL45" s="395"/>
      <c r="IM45" s="395"/>
      <c r="IN45" s="395"/>
      <c r="IO45" s="395"/>
      <c r="IP45" s="395"/>
      <c r="IQ45" s="395"/>
      <c r="IR45" s="395"/>
      <c r="IS45" s="395"/>
      <c r="IT45" s="395"/>
      <c r="IU45" s="395"/>
      <c r="IV45" s="357"/>
      <c r="IW45" s="357"/>
    </row>
    <row r="46" customFormat="false" ht="12" hidden="false" customHeight="true" outlineLevel="0" collapsed="false">
      <c r="A46" s="396"/>
      <c r="B46" s="342"/>
      <c r="AB46" s="342"/>
      <c r="AC46" s="342"/>
    </row>
    <row r="47" customFormat="false" ht="12" hidden="false" customHeight="true" outlineLevel="0" collapsed="false">
      <c r="A47" s="354"/>
      <c r="B47" s="353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  <c r="AA47" s="397"/>
      <c r="AB47" s="398"/>
      <c r="AC47" s="398"/>
    </row>
    <row r="48" customFormat="false" ht="12" hidden="false" customHeight="true" outlineLevel="0" collapsed="false">
      <c r="A48" s="354"/>
      <c r="B48" s="353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400"/>
      <c r="AC48" s="400"/>
    </row>
    <row r="49" customFormat="false" ht="12" hidden="false" customHeight="true" outlineLevel="0" collapsed="false">
      <c r="A49" s="357"/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  <c r="BH49" s="357"/>
      <c r="BI49" s="357"/>
      <c r="BJ49" s="357"/>
      <c r="BK49" s="357"/>
      <c r="BL49" s="357"/>
      <c r="BM49" s="357"/>
      <c r="BN49" s="357"/>
      <c r="BO49" s="357"/>
      <c r="BP49" s="357"/>
      <c r="BQ49" s="357"/>
      <c r="BR49" s="357"/>
      <c r="BS49" s="357"/>
      <c r="BT49" s="357"/>
      <c r="BU49" s="357"/>
      <c r="BV49" s="357"/>
      <c r="BW49" s="357"/>
      <c r="BX49" s="357"/>
      <c r="BY49" s="357"/>
      <c r="BZ49" s="357"/>
      <c r="CA49" s="357"/>
      <c r="CB49" s="357"/>
      <c r="CC49" s="357"/>
      <c r="CD49" s="357"/>
      <c r="CE49" s="357"/>
      <c r="CF49" s="357"/>
      <c r="CG49" s="357"/>
      <c r="CH49" s="357"/>
      <c r="CI49" s="357"/>
      <c r="CJ49" s="357"/>
      <c r="CK49" s="357"/>
      <c r="CL49" s="357"/>
      <c r="CM49" s="357"/>
      <c r="CN49" s="357"/>
      <c r="CO49" s="357"/>
      <c r="CP49" s="357"/>
      <c r="CQ49" s="357"/>
      <c r="CR49" s="357"/>
      <c r="CS49" s="357"/>
      <c r="CT49" s="357"/>
      <c r="CU49" s="357"/>
      <c r="CV49" s="357"/>
      <c r="CW49" s="357"/>
      <c r="CX49" s="357"/>
      <c r="CY49" s="357"/>
      <c r="CZ49" s="357"/>
      <c r="DA49" s="357"/>
      <c r="DB49" s="357"/>
      <c r="DC49" s="357"/>
      <c r="DD49" s="357"/>
      <c r="DE49" s="357"/>
      <c r="DF49" s="357"/>
      <c r="DG49" s="357"/>
      <c r="DH49" s="357"/>
      <c r="DI49" s="357"/>
      <c r="DJ49" s="357"/>
      <c r="DK49" s="357"/>
      <c r="DL49" s="357"/>
      <c r="DM49" s="357"/>
      <c r="DN49" s="357"/>
      <c r="DO49" s="357"/>
      <c r="DP49" s="357"/>
      <c r="DQ49" s="357"/>
      <c r="DR49" s="357"/>
      <c r="DS49" s="357"/>
      <c r="DT49" s="357"/>
      <c r="DU49" s="357"/>
      <c r="DV49" s="357"/>
      <c r="DW49" s="357"/>
      <c r="DX49" s="357"/>
      <c r="DY49" s="357"/>
      <c r="DZ49" s="357"/>
      <c r="EA49" s="357"/>
      <c r="EB49" s="357"/>
      <c r="EC49" s="357"/>
      <c r="ED49" s="357"/>
      <c r="EE49" s="357"/>
      <c r="EF49" s="357"/>
      <c r="EG49" s="357"/>
      <c r="EH49" s="357"/>
      <c r="EI49" s="357"/>
      <c r="EJ49" s="357"/>
      <c r="EK49" s="357"/>
      <c r="EL49" s="357"/>
      <c r="EM49" s="357"/>
      <c r="EN49" s="357"/>
      <c r="EO49" s="357"/>
      <c r="EP49" s="357"/>
      <c r="EQ49" s="357"/>
      <c r="ER49" s="357"/>
      <c r="ES49" s="357"/>
      <c r="ET49" s="357"/>
      <c r="EU49" s="357"/>
      <c r="EV49" s="357"/>
      <c r="EW49" s="357"/>
      <c r="EX49" s="357"/>
      <c r="EY49" s="357"/>
      <c r="EZ49" s="357"/>
      <c r="FA49" s="357"/>
      <c r="FB49" s="357"/>
      <c r="FC49" s="357"/>
      <c r="FD49" s="357"/>
      <c r="FE49" s="357"/>
      <c r="FF49" s="357"/>
      <c r="FG49" s="357"/>
      <c r="FH49" s="357"/>
      <c r="FI49" s="357"/>
      <c r="FJ49" s="357"/>
      <c r="FK49" s="357"/>
      <c r="FL49" s="357"/>
      <c r="FM49" s="357"/>
      <c r="FN49" s="357"/>
      <c r="FO49" s="357"/>
      <c r="FP49" s="357"/>
      <c r="FQ49" s="357"/>
      <c r="FR49" s="357"/>
      <c r="FS49" s="357"/>
      <c r="FT49" s="357"/>
      <c r="FU49" s="357"/>
      <c r="FV49" s="357"/>
      <c r="FW49" s="357"/>
      <c r="FX49" s="357"/>
      <c r="FY49" s="357"/>
      <c r="FZ49" s="357"/>
      <c r="GA49" s="357"/>
      <c r="GB49" s="357"/>
      <c r="GC49" s="357"/>
      <c r="GD49" s="357"/>
      <c r="GE49" s="357"/>
      <c r="GF49" s="357"/>
      <c r="GG49" s="357"/>
      <c r="GH49" s="357"/>
      <c r="GI49" s="357"/>
      <c r="GJ49" s="357"/>
      <c r="GK49" s="357"/>
      <c r="GL49" s="357"/>
      <c r="GM49" s="357"/>
      <c r="GN49" s="357"/>
      <c r="GO49" s="357"/>
      <c r="GP49" s="357"/>
      <c r="GQ49" s="357"/>
      <c r="GR49" s="357"/>
      <c r="GS49" s="357"/>
      <c r="GT49" s="357"/>
      <c r="GU49" s="357"/>
      <c r="GV49" s="357"/>
      <c r="GW49" s="357"/>
      <c r="GX49" s="357"/>
      <c r="GY49" s="357"/>
      <c r="GZ49" s="357"/>
      <c r="HA49" s="357"/>
      <c r="HB49" s="357"/>
      <c r="HC49" s="357"/>
      <c r="HD49" s="357"/>
      <c r="HE49" s="357"/>
      <c r="HF49" s="357"/>
      <c r="HG49" s="357"/>
      <c r="HH49" s="357"/>
      <c r="HI49" s="357"/>
      <c r="HJ49" s="357"/>
      <c r="HK49" s="357"/>
      <c r="HL49" s="357"/>
      <c r="HM49" s="357"/>
      <c r="HN49" s="357"/>
      <c r="HO49" s="357"/>
      <c r="HP49" s="357"/>
      <c r="HQ49" s="357"/>
      <c r="HR49" s="357"/>
      <c r="HS49" s="357"/>
      <c r="HT49" s="357"/>
      <c r="HU49" s="357"/>
      <c r="HV49" s="357"/>
      <c r="HW49" s="357"/>
      <c r="HX49" s="357"/>
      <c r="HY49" s="357"/>
      <c r="HZ49" s="357"/>
      <c r="IA49" s="357"/>
      <c r="IB49" s="357"/>
      <c r="IC49" s="357"/>
      <c r="ID49" s="357"/>
      <c r="IE49" s="357"/>
      <c r="IF49" s="357"/>
      <c r="IG49" s="357"/>
      <c r="IH49" s="357"/>
      <c r="II49" s="357"/>
      <c r="IJ49" s="357"/>
      <c r="IK49" s="357"/>
      <c r="IL49" s="357"/>
      <c r="IM49" s="357"/>
      <c r="IN49" s="357"/>
      <c r="IO49" s="357"/>
      <c r="IP49" s="357"/>
      <c r="IQ49" s="357"/>
      <c r="IR49" s="357"/>
      <c r="IS49" s="357"/>
      <c r="IT49" s="357"/>
      <c r="IU49" s="357"/>
      <c r="IV49" s="357"/>
      <c r="IW49" s="357"/>
    </row>
    <row r="50" customFormat="false" ht="12" hidden="false" customHeight="true" outlineLevel="0" collapsed="false">
      <c r="A50" s="354"/>
      <c r="B50" s="342"/>
      <c r="AB50" s="342"/>
      <c r="AC50" s="342"/>
    </row>
    <row r="51" customFormat="false" ht="12" hidden="false" customHeight="true" outlineLevel="0" collapsed="false">
      <c r="A51" s="354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  <c r="AT51" s="357"/>
      <c r="AU51" s="357"/>
      <c r="AV51" s="357"/>
      <c r="AW51" s="357"/>
      <c r="AX51" s="357"/>
      <c r="AY51" s="357"/>
      <c r="AZ51" s="357"/>
      <c r="BA51" s="357"/>
      <c r="BB51" s="357"/>
      <c r="BC51" s="357"/>
      <c r="BD51" s="357"/>
      <c r="BE51" s="357"/>
      <c r="BF51" s="357"/>
      <c r="BG51" s="357"/>
      <c r="BH51" s="357"/>
      <c r="BI51" s="357"/>
      <c r="BJ51" s="357"/>
      <c r="BK51" s="357"/>
      <c r="BL51" s="357"/>
      <c r="BM51" s="357"/>
      <c r="BN51" s="357"/>
      <c r="BO51" s="357"/>
      <c r="BP51" s="357"/>
      <c r="BQ51" s="357"/>
      <c r="BR51" s="357"/>
      <c r="BS51" s="357"/>
      <c r="BT51" s="357"/>
      <c r="BU51" s="357"/>
      <c r="BV51" s="357"/>
      <c r="BW51" s="357"/>
      <c r="BX51" s="357"/>
      <c r="BY51" s="357"/>
      <c r="BZ51" s="357"/>
      <c r="CA51" s="357"/>
      <c r="CB51" s="357"/>
      <c r="CC51" s="357"/>
      <c r="CD51" s="357"/>
      <c r="CE51" s="357"/>
      <c r="CF51" s="357"/>
      <c r="CG51" s="357"/>
      <c r="CH51" s="357"/>
      <c r="CI51" s="357"/>
      <c r="CJ51" s="357"/>
      <c r="CK51" s="357"/>
      <c r="CL51" s="357"/>
      <c r="CM51" s="357"/>
      <c r="CN51" s="357"/>
      <c r="CO51" s="357"/>
      <c r="CP51" s="357"/>
      <c r="CQ51" s="357"/>
      <c r="CR51" s="357"/>
      <c r="CS51" s="357"/>
      <c r="CT51" s="357"/>
      <c r="CU51" s="357"/>
      <c r="CV51" s="357"/>
      <c r="CW51" s="357"/>
      <c r="CX51" s="357"/>
      <c r="CY51" s="357"/>
      <c r="CZ51" s="357"/>
      <c r="DA51" s="357"/>
      <c r="DB51" s="357"/>
      <c r="DC51" s="357"/>
      <c r="DD51" s="357"/>
      <c r="DE51" s="357"/>
      <c r="DF51" s="357"/>
      <c r="DG51" s="357"/>
      <c r="DH51" s="357"/>
      <c r="DI51" s="357"/>
      <c r="DJ51" s="357"/>
      <c r="DK51" s="357"/>
      <c r="DL51" s="357"/>
      <c r="DM51" s="357"/>
      <c r="DN51" s="357"/>
      <c r="DO51" s="357"/>
      <c r="DP51" s="357"/>
      <c r="DQ51" s="357"/>
      <c r="DR51" s="357"/>
      <c r="DS51" s="357"/>
      <c r="DT51" s="357"/>
      <c r="DU51" s="357"/>
      <c r="DV51" s="357"/>
      <c r="DW51" s="357"/>
      <c r="DX51" s="357"/>
      <c r="DY51" s="357"/>
      <c r="DZ51" s="357"/>
      <c r="EA51" s="357"/>
      <c r="EB51" s="357"/>
      <c r="EC51" s="357"/>
      <c r="ED51" s="357"/>
      <c r="EE51" s="357"/>
      <c r="EF51" s="357"/>
      <c r="EG51" s="357"/>
      <c r="EH51" s="357"/>
      <c r="EI51" s="357"/>
      <c r="EJ51" s="357"/>
      <c r="EK51" s="357"/>
      <c r="EL51" s="357"/>
      <c r="EM51" s="357"/>
      <c r="EN51" s="357"/>
      <c r="EO51" s="357"/>
      <c r="EP51" s="357"/>
      <c r="EQ51" s="357"/>
      <c r="ER51" s="357"/>
      <c r="ES51" s="357"/>
      <c r="ET51" s="357"/>
      <c r="EU51" s="357"/>
      <c r="EV51" s="357"/>
      <c r="EW51" s="357"/>
      <c r="EX51" s="357"/>
      <c r="EY51" s="357"/>
      <c r="EZ51" s="357"/>
      <c r="FA51" s="357"/>
      <c r="FB51" s="357"/>
      <c r="FC51" s="357"/>
      <c r="FD51" s="357"/>
      <c r="FE51" s="357"/>
      <c r="FF51" s="357"/>
      <c r="FG51" s="357"/>
      <c r="FH51" s="357"/>
      <c r="FI51" s="357"/>
      <c r="FJ51" s="357"/>
      <c r="FK51" s="357"/>
      <c r="FL51" s="357"/>
      <c r="FM51" s="357"/>
      <c r="FN51" s="357"/>
      <c r="FO51" s="357"/>
      <c r="FP51" s="357"/>
      <c r="FQ51" s="357"/>
      <c r="FR51" s="357"/>
      <c r="FS51" s="357"/>
      <c r="FT51" s="357"/>
      <c r="FU51" s="357"/>
      <c r="FV51" s="357"/>
      <c r="FW51" s="357"/>
      <c r="FX51" s="357"/>
      <c r="FY51" s="357"/>
      <c r="FZ51" s="357"/>
      <c r="GA51" s="357"/>
      <c r="GB51" s="357"/>
      <c r="GC51" s="357"/>
      <c r="GD51" s="357"/>
      <c r="GE51" s="357"/>
      <c r="GF51" s="357"/>
      <c r="GG51" s="357"/>
      <c r="GH51" s="357"/>
      <c r="GI51" s="357"/>
      <c r="GJ51" s="357"/>
      <c r="GK51" s="357"/>
      <c r="GL51" s="357"/>
      <c r="GM51" s="357"/>
      <c r="GN51" s="357"/>
      <c r="GO51" s="357"/>
      <c r="GP51" s="357"/>
      <c r="GQ51" s="357"/>
      <c r="GR51" s="357"/>
      <c r="GS51" s="357"/>
      <c r="GT51" s="357"/>
      <c r="GU51" s="357"/>
      <c r="GV51" s="357"/>
      <c r="GW51" s="357"/>
      <c r="GX51" s="357"/>
      <c r="GY51" s="357"/>
      <c r="GZ51" s="357"/>
      <c r="HA51" s="357"/>
      <c r="HB51" s="357"/>
      <c r="HC51" s="357"/>
      <c r="HD51" s="357"/>
      <c r="HE51" s="357"/>
      <c r="HF51" s="357"/>
      <c r="HG51" s="357"/>
      <c r="HH51" s="357"/>
      <c r="HI51" s="357"/>
      <c r="HJ51" s="357"/>
      <c r="HK51" s="357"/>
      <c r="HL51" s="357"/>
      <c r="HM51" s="357"/>
      <c r="HN51" s="357"/>
      <c r="HO51" s="357"/>
      <c r="HP51" s="357"/>
      <c r="HQ51" s="357"/>
      <c r="HR51" s="357"/>
      <c r="HS51" s="357"/>
      <c r="HT51" s="357"/>
      <c r="HU51" s="357"/>
      <c r="HV51" s="357"/>
      <c r="HW51" s="357"/>
      <c r="HX51" s="357"/>
      <c r="HY51" s="357"/>
      <c r="HZ51" s="357"/>
      <c r="IA51" s="357"/>
      <c r="IB51" s="357"/>
      <c r="IC51" s="357"/>
      <c r="ID51" s="357"/>
      <c r="IE51" s="357"/>
      <c r="IF51" s="357"/>
      <c r="IG51" s="357"/>
      <c r="IH51" s="357"/>
      <c r="II51" s="357"/>
      <c r="IJ51" s="357"/>
      <c r="IK51" s="357"/>
      <c r="IL51" s="357"/>
      <c r="IM51" s="357"/>
      <c r="IN51" s="357"/>
      <c r="IO51" s="357"/>
      <c r="IP51" s="357"/>
      <c r="IQ51" s="357"/>
      <c r="IR51" s="357"/>
      <c r="IS51" s="357"/>
      <c r="IT51" s="357"/>
      <c r="IU51" s="357"/>
      <c r="IV51" s="357"/>
      <c r="IW51" s="357"/>
    </row>
    <row r="52" customFormat="false" ht="12" hidden="false" customHeight="true" outlineLevel="0" collapsed="false">
      <c r="A52" s="354"/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</row>
    <row r="53" customFormat="false" ht="12" hidden="false" customHeight="true" outlineLevel="0" collapsed="false">
      <c r="A53" s="354"/>
      <c r="B53" s="357"/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357"/>
      <c r="BC53" s="357"/>
      <c r="BD53" s="357"/>
      <c r="BE53" s="357"/>
      <c r="BF53" s="357"/>
      <c r="BG53" s="357"/>
      <c r="BH53" s="357"/>
      <c r="BI53" s="357"/>
      <c r="BJ53" s="357"/>
      <c r="BK53" s="357"/>
      <c r="BL53" s="357"/>
      <c r="BM53" s="357"/>
      <c r="BN53" s="357"/>
      <c r="BO53" s="357"/>
      <c r="BP53" s="357"/>
      <c r="BQ53" s="357"/>
      <c r="BR53" s="357"/>
      <c r="BS53" s="357"/>
      <c r="BT53" s="357"/>
      <c r="BU53" s="357"/>
      <c r="BV53" s="357"/>
      <c r="BW53" s="357"/>
      <c r="BX53" s="357"/>
      <c r="BY53" s="357"/>
      <c r="BZ53" s="357"/>
      <c r="CA53" s="357"/>
      <c r="CB53" s="357"/>
      <c r="CC53" s="357"/>
      <c r="CD53" s="357"/>
      <c r="CE53" s="357"/>
      <c r="CF53" s="357"/>
      <c r="CG53" s="357"/>
      <c r="CH53" s="357"/>
      <c r="CI53" s="357"/>
      <c r="CJ53" s="357"/>
      <c r="CK53" s="357"/>
      <c r="CL53" s="357"/>
      <c r="CM53" s="357"/>
      <c r="CN53" s="357"/>
      <c r="CO53" s="357"/>
      <c r="CP53" s="357"/>
      <c r="CQ53" s="357"/>
      <c r="CR53" s="357"/>
      <c r="CS53" s="357"/>
      <c r="CT53" s="357"/>
      <c r="CU53" s="357"/>
      <c r="CV53" s="357"/>
      <c r="CW53" s="357"/>
      <c r="CX53" s="357"/>
      <c r="CY53" s="357"/>
      <c r="CZ53" s="357"/>
      <c r="DA53" s="357"/>
      <c r="DB53" s="357"/>
      <c r="DC53" s="357"/>
      <c r="DD53" s="357"/>
      <c r="DE53" s="357"/>
      <c r="DF53" s="357"/>
      <c r="DG53" s="357"/>
      <c r="DH53" s="357"/>
      <c r="DI53" s="357"/>
      <c r="DJ53" s="357"/>
      <c r="DK53" s="357"/>
      <c r="DL53" s="357"/>
      <c r="DM53" s="357"/>
      <c r="DN53" s="357"/>
      <c r="DO53" s="357"/>
      <c r="DP53" s="357"/>
      <c r="DQ53" s="357"/>
      <c r="DR53" s="357"/>
      <c r="DS53" s="357"/>
      <c r="DT53" s="357"/>
      <c r="DU53" s="357"/>
      <c r="DV53" s="357"/>
      <c r="DW53" s="357"/>
      <c r="DX53" s="357"/>
      <c r="DY53" s="357"/>
      <c r="DZ53" s="357"/>
      <c r="EA53" s="357"/>
      <c r="EB53" s="357"/>
      <c r="EC53" s="357"/>
      <c r="ED53" s="357"/>
      <c r="EE53" s="357"/>
      <c r="EF53" s="357"/>
      <c r="EG53" s="357"/>
      <c r="EH53" s="357"/>
      <c r="EI53" s="357"/>
      <c r="EJ53" s="357"/>
      <c r="EK53" s="357"/>
      <c r="EL53" s="357"/>
      <c r="EM53" s="357"/>
      <c r="EN53" s="357"/>
      <c r="EO53" s="357"/>
      <c r="EP53" s="357"/>
      <c r="EQ53" s="357"/>
      <c r="ER53" s="357"/>
      <c r="ES53" s="357"/>
      <c r="ET53" s="357"/>
      <c r="EU53" s="357"/>
      <c r="EV53" s="357"/>
      <c r="EW53" s="357"/>
      <c r="EX53" s="357"/>
      <c r="EY53" s="357"/>
      <c r="EZ53" s="357"/>
      <c r="FA53" s="357"/>
      <c r="FB53" s="357"/>
      <c r="FC53" s="357"/>
      <c r="FD53" s="357"/>
      <c r="FE53" s="357"/>
      <c r="FF53" s="357"/>
      <c r="FG53" s="357"/>
      <c r="FH53" s="357"/>
      <c r="FI53" s="357"/>
      <c r="FJ53" s="357"/>
      <c r="FK53" s="357"/>
      <c r="FL53" s="357"/>
      <c r="FM53" s="357"/>
      <c r="FN53" s="357"/>
      <c r="FO53" s="357"/>
      <c r="FP53" s="357"/>
      <c r="FQ53" s="357"/>
      <c r="FR53" s="357"/>
      <c r="FS53" s="357"/>
      <c r="FT53" s="357"/>
      <c r="FU53" s="357"/>
      <c r="FV53" s="357"/>
      <c r="FW53" s="357"/>
      <c r="FX53" s="357"/>
      <c r="FY53" s="357"/>
      <c r="FZ53" s="357"/>
      <c r="GA53" s="357"/>
      <c r="GB53" s="357"/>
      <c r="GC53" s="357"/>
      <c r="GD53" s="357"/>
      <c r="GE53" s="357"/>
      <c r="GF53" s="357"/>
      <c r="GG53" s="357"/>
      <c r="GH53" s="357"/>
      <c r="GI53" s="357"/>
      <c r="GJ53" s="357"/>
      <c r="GK53" s="357"/>
      <c r="GL53" s="357"/>
      <c r="GM53" s="357"/>
      <c r="GN53" s="357"/>
      <c r="GO53" s="357"/>
      <c r="GP53" s="357"/>
      <c r="GQ53" s="357"/>
      <c r="GR53" s="357"/>
      <c r="GS53" s="357"/>
      <c r="GT53" s="357"/>
      <c r="GU53" s="357"/>
      <c r="GV53" s="357"/>
      <c r="GW53" s="357"/>
      <c r="GX53" s="357"/>
      <c r="GY53" s="357"/>
      <c r="GZ53" s="357"/>
      <c r="HA53" s="357"/>
      <c r="HB53" s="357"/>
      <c r="HC53" s="357"/>
      <c r="HD53" s="357"/>
      <c r="HE53" s="357"/>
      <c r="HF53" s="357"/>
      <c r="HG53" s="357"/>
      <c r="HH53" s="357"/>
      <c r="HI53" s="357"/>
      <c r="HJ53" s="357"/>
      <c r="HK53" s="357"/>
      <c r="HL53" s="357"/>
      <c r="HM53" s="357"/>
      <c r="HN53" s="357"/>
      <c r="HO53" s="357"/>
      <c r="HP53" s="357"/>
      <c r="HQ53" s="357"/>
      <c r="HR53" s="357"/>
      <c r="HS53" s="357"/>
      <c r="HT53" s="357"/>
      <c r="HU53" s="357"/>
      <c r="HV53" s="357"/>
      <c r="HW53" s="357"/>
      <c r="HX53" s="357"/>
      <c r="HY53" s="357"/>
      <c r="HZ53" s="357"/>
      <c r="IA53" s="357"/>
      <c r="IB53" s="357"/>
      <c r="IC53" s="357"/>
      <c r="ID53" s="357"/>
      <c r="IE53" s="357"/>
      <c r="IF53" s="357"/>
      <c r="IG53" s="357"/>
      <c r="IH53" s="357"/>
      <c r="II53" s="357"/>
      <c r="IJ53" s="357"/>
      <c r="IK53" s="357"/>
      <c r="IL53" s="357"/>
      <c r="IM53" s="357"/>
      <c r="IN53" s="357"/>
      <c r="IO53" s="357"/>
      <c r="IP53" s="357"/>
      <c r="IQ53" s="357"/>
      <c r="IR53" s="357"/>
      <c r="IS53" s="357"/>
      <c r="IT53" s="357"/>
      <c r="IU53" s="357"/>
      <c r="IV53" s="357"/>
      <c r="IW53" s="357"/>
    </row>
    <row r="54" customFormat="false" ht="12" hidden="false" customHeight="true" outlineLevel="0" collapsed="false">
      <c r="A54" s="354"/>
      <c r="B54" s="401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401"/>
      <c r="AC54" s="401"/>
    </row>
    <row r="55" customFormat="false" ht="12" hidden="false" customHeight="true" outlineLevel="0" collapsed="false">
      <c r="A55" s="354"/>
      <c r="B55" s="357"/>
      <c r="C55" s="399"/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  <c r="AN55" s="357"/>
      <c r="AO55" s="357"/>
      <c r="AP55" s="357"/>
      <c r="AQ55" s="357"/>
      <c r="AR55" s="357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7"/>
      <c r="BH55" s="357"/>
      <c r="BI55" s="357"/>
      <c r="BJ55" s="357"/>
      <c r="BK55" s="357"/>
      <c r="BL55" s="357"/>
      <c r="BM55" s="357"/>
      <c r="BN55" s="357"/>
      <c r="BO55" s="357"/>
      <c r="BP55" s="357"/>
      <c r="BQ55" s="357"/>
      <c r="BR55" s="357"/>
      <c r="BS55" s="357"/>
      <c r="BT55" s="357"/>
      <c r="BU55" s="357"/>
      <c r="BV55" s="357"/>
      <c r="BW55" s="357"/>
      <c r="BX55" s="357"/>
      <c r="BY55" s="357"/>
      <c r="BZ55" s="357"/>
      <c r="CA55" s="357"/>
      <c r="CB55" s="357"/>
      <c r="CC55" s="357"/>
      <c r="CD55" s="357"/>
      <c r="CE55" s="357"/>
      <c r="CF55" s="357"/>
      <c r="CG55" s="357"/>
      <c r="CH55" s="357"/>
      <c r="CI55" s="357"/>
      <c r="CJ55" s="357"/>
      <c r="CK55" s="357"/>
      <c r="CL55" s="357"/>
      <c r="CM55" s="357"/>
      <c r="CN55" s="357"/>
      <c r="CO55" s="357"/>
      <c r="CP55" s="357"/>
      <c r="CQ55" s="357"/>
      <c r="CR55" s="357"/>
      <c r="CS55" s="357"/>
      <c r="CT55" s="357"/>
      <c r="CU55" s="357"/>
      <c r="CV55" s="357"/>
      <c r="CW55" s="357"/>
      <c r="CX55" s="357"/>
      <c r="CY55" s="357"/>
      <c r="CZ55" s="357"/>
      <c r="DA55" s="357"/>
      <c r="DB55" s="357"/>
      <c r="DC55" s="357"/>
      <c r="DD55" s="357"/>
      <c r="DE55" s="357"/>
      <c r="DF55" s="357"/>
      <c r="DG55" s="357"/>
      <c r="DH55" s="357"/>
      <c r="DI55" s="357"/>
      <c r="DJ55" s="357"/>
      <c r="DK55" s="357"/>
      <c r="DL55" s="357"/>
      <c r="DM55" s="357"/>
      <c r="DN55" s="357"/>
      <c r="DO55" s="357"/>
      <c r="DP55" s="357"/>
      <c r="DQ55" s="357"/>
      <c r="DR55" s="357"/>
      <c r="DS55" s="357"/>
      <c r="DT55" s="357"/>
      <c r="DU55" s="357"/>
      <c r="DV55" s="357"/>
      <c r="DW55" s="357"/>
      <c r="DX55" s="357"/>
      <c r="DY55" s="357"/>
      <c r="DZ55" s="357"/>
      <c r="EA55" s="357"/>
      <c r="EB55" s="357"/>
      <c r="EC55" s="357"/>
      <c r="ED55" s="357"/>
      <c r="EE55" s="357"/>
      <c r="EF55" s="357"/>
      <c r="EG55" s="357"/>
      <c r="EH55" s="357"/>
      <c r="EI55" s="357"/>
      <c r="EJ55" s="357"/>
      <c r="EK55" s="357"/>
      <c r="EL55" s="357"/>
      <c r="EM55" s="357"/>
      <c r="EN55" s="357"/>
      <c r="EO55" s="357"/>
      <c r="EP55" s="357"/>
      <c r="EQ55" s="357"/>
      <c r="ER55" s="357"/>
      <c r="ES55" s="357"/>
      <c r="ET55" s="357"/>
      <c r="EU55" s="357"/>
      <c r="EV55" s="357"/>
      <c r="EW55" s="357"/>
      <c r="EX55" s="357"/>
      <c r="EY55" s="357"/>
      <c r="EZ55" s="357"/>
      <c r="FA55" s="357"/>
      <c r="FB55" s="357"/>
      <c r="FC55" s="357"/>
      <c r="FD55" s="357"/>
      <c r="FE55" s="357"/>
      <c r="FF55" s="357"/>
      <c r="FG55" s="357"/>
      <c r="FH55" s="357"/>
      <c r="FI55" s="357"/>
      <c r="FJ55" s="357"/>
      <c r="FK55" s="357"/>
      <c r="FL55" s="357"/>
      <c r="FM55" s="357"/>
      <c r="FN55" s="357"/>
      <c r="FO55" s="357"/>
      <c r="FP55" s="357"/>
      <c r="FQ55" s="357"/>
      <c r="FR55" s="357"/>
      <c r="FS55" s="357"/>
      <c r="FT55" s="357"/>
      <c r="FU55" s="357"/>
      <c r="FV55" s="357"/>
      <c r="FW55" s="357"/>
      <c r="FX55" s="357"/>
      <c r="FY55" s="357"/>
      <c r="FZ55" s="357"/>
      <c r="GA55" s="357"/>
      <c r="GB55" s="357"/>
      <c r="GC55" s="357"/>
      <c r="GD55" s="357"/>
      <c r="GE55" s="357"/>
      <c r="GF55" s="357"/>
      <c r="GG55" s="357"/>
      <c r="GH55" s="357"/>
      <c r="GI55" s="357"/>
      <c r="GJ55" s="357"/>
      <c r="GK55" s="357"/>
      <c r="GL55" s="357"/>
      <c r="GM55" s="357"/>
      <c r="GN55" s="357"/>
      <c r="GO55" s="357"/>
      <c r="GP55" s="357"/>
      <c r="GQ55" s="357"/>
      <c r="GR55" s="357"/>
      <c r="GS55" s="357"/>
      <c r="GT55" s="357"/>
      <c r="GU55" s="357"/>
      <c r="GV55" s="357"/>
      <c r="GW55" s="357"/>
      <c r="GX55" s="357"/>
      <c r="GY55" s="357"/>
      <c r="GZ55" s="357"/>
      <c r="HA55" s="357"/>
      <c r="HB55" s="357"/>
      <c r="HC55" s="357"/>
      <c r="HD55" s="357"/>
      <c r="HE55" s="357"/>
      <c r="HF55" s="357"/>
      <c r="HG55" s="357"/>
      <c r="HH55" s="357"/>
      <c r="HI55" s="357"/>
      <c r="HJ55" s="357"/>
      <c r="HK55" s="357"/>
      <c r="HL55" s="357"/>
      <c r="HM55" s="357"/>
      <c r="HN55" s="357"/>
      <c r="HO55" s="357"/>
      <c r="HP55" s="357"/>
      <c r="HQ55" s="357"/>
      <c r="HR55" s="357"/>
      <c r="HS55" s="357"/>
      <c r="HT55" s="357"/>
      <c r="HU55" s="357"/>
      <c r="HV55" s="357"/>
      <c r="HW55" s="357"/>
      <c r="HX55" s="357"/>
      <c r="HY55" s="357"/>
      <c r="HZ55" s="357"/>
      <c r="IA55" s="357"/>
      <c r="IB55" s="357"/>
      <c r="IC55" s="357"/>
      <c r="ID55" s="357"/>
      <c r="IE55" s="357"/>
      <c r="IF55" s="357"/>
      <c r="IG55" s="357"/>
      <c r="IH55" s="357"/>
      <c r="II55" s="357"/>
      <c r="IJ55" s="357"/>
      <c r="IK55" s="357"/>
      <c r="IL55" s="357"/>
      <c r="IM55" s="357"/>
      <c r="IN55" s="357"/>
      <c r="IO55" s="357"/>
      <c r="IP55" s="357"/>
      <c r="IQ55" s="357"/>
      <c r="IR55" s="357"/>
      <c r="IS55" s="357"/>
      <c r="IT55" s="357"/>
      <c r="IU55" s="357"/>
      <c r="IV55" s="357"/>
      <c r="IW55" s="357"/>
    </row>
    <row r="56" customFormat="false" ht="12" hidden="false" customHeight="true" outlineLevel="0" collapsed="false">
      <c r="A56" s="354"/>
      <c r="B56" s="402"/>
      <c r="AB56" s="342"/>
      <c r="AC56" s="342"/>
    </row>
    <row r="57" customFormat="false" ht="12" hidden="false" customHeight="true" outlineLevel="0" collapsed="false">
      <c r="A57" s="354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7"/>
      <c r="AY57" s="357"/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7"/>
      <c r="BK57" s="357"/>
      <c r="BL57" s="357"/>
      <c r="BM57" s="357"/>
      <c r="BN57" s="357"/>
      <c r="BO57" s="357"/>
      <c r="BP57" s="357"/>
      <c r="BQ57" s="357"/>
      <c r="BR57" s="357"/>
      <c r="BS57" s="357"/>
      <c r="BT57" s="357"/>
      <c r="BU57" s="357"/>
      <c r="BV57" s="357"/>
      <c r="BW57" s="357"/>
      <c r="BX57" s="357"/>
      <c r="BY57" s="357"/>
      <c r="BZ57" s="357"/>
      <c r="CA57" s="357"/>
      <c r="CB57" s="357"/>
      <c r="CC57" s="357"/>
      <c r="CD57" s="357"/>
      <c r="CE57" s="357"/>
      <c r="CF57" s="357"/>
      <c r="CG57" s="357"/>
      <c r="CH57" s="357"/>
      <c r="CI57" s="357"/>
      <c r="CJ57" s="357"/>
      <c r="CK57" s="357"/>
      <c r="CL57" s="357"/>
      <c r="CM57" s="357"/>
      <c r="CN57" s="357"/>
      <c r="CO57" s="357"/>
      <c r="CP57" s="357"/>
      <c r="CQ57" s="357"/>
      <c r="CR57" s="357"/>
      <c r="CS57" s="357"/>
      <c r="CT57" s="357"/>
      <c r="CU57" s="357"/>
      <c r="CV57" s="357"/>
      <c r="CW57" s="357"/>
      <c r="CX57" s="357"/>
      <c r="CY57" s="357"/>
      <c r="CZ57" s="357"/>
      <c r="DA57" s="357"/>
      <c r="DB57" s="357"/>
      <c r="DC57" s="357"/>
      <c r="DD57" s="357"/>
      <c r="DE57" s="357"/>
      <c r="DF57" s="357"/>
      <c r="DG57" s="357"/>
      <c r="DH57" s="357"/>
      <c r="DI57" s="357"/>
      <c r="DJ57" s="357"/>
      <c r="DK57" s="357"/>
      <c r="DL57" s="357"/>
      <c r="DM57" s="357"/>
      <c r="DN57" s="357"/>
      <c r="DO57" s="357"/>
      <c r="DP57" s="357"/>
      <c r="DQ57" s="357"/>
      <c r="DR57" s="357"/>
      <c r="DS57" s="357"/>
      <c r="DT57" s="357"/>
      <c r="DU57" s="357"/>
      <c r="DV57" s="357"/>
      <c r="DW57" s="357"/>
      <c r="DX57" s="357"/>
      <c r="DY57" s="357"/>
      <c r="DZ57" s="357"/>
      <c r="EA57" s="357"/>
      <c r="EB57" s="357"/>
      <c r="EC57" s="357"/>
      <c r="ED57" s="357"/>
      <c r="EE57" s="357"/>
      <c r="EF57" s="357"/>
      <c r="EG57" s="357"/>
      <c r="EH57" s="357"/>
      <c r="EI57" s="357"/>
      <c r="EJ57" s="357"/>
      <c r="EK57" s="357"/>
      <c r="EL57" s="357"/>
      <c r="EM57" s="357"/>
      <c r="EN57" s="357"/>
      <c r="EO57" s="357"/>
      <c r="EP57" s="357"/>
      <c r="EQ57" s="357"/>
      <c r="ER57" s="357"/>
      <c r="ES57" s="357"/>
      <c r="ET57" s="357"/>
      <c r="EU57" s="357"/>
      <c r="EV57" s="357"/>
      <c r="EW57" s="357"/>
      <c r="EX57" s="357"/>
      <c r="EY57" s="357"/>
      <c r="EZ57" s="357"/>
      <c r="FA57" s="357"/>
      <c r="FB57" s="357"/>
      <c r="FC57" s="357"/>
      <c r="FD57" s="357"/>
      <c r="FE57" s="357"/>
      <c r="FF57" s="357"/>
      <c r="FG57" s="357"/>
      <c r="FH57" s="357"/>
      <c r="FI57" s="357"/>
      <c r="FJ57" s="357"/>
      <c r="FK57" s="357"/>
      <c r="FL57" s="357"/>
      <c r="FM57" s="357"/>
      <c r="FN57" s="357"/>
      <c r="FO57" s="357"/>
      <c r="FP57" s="357"/>
      <c r="FQ57" s="357"/>
      <c r="FR57" s="357"/>
      <c r="FS57" s="357"/>
      <c r="FT57" s="357"/>
      <c r="FU57" s="357"/>
      <c r="FV57" s="357"/>
      <c r="FW57" s="357"/>
      <c r="FX57" s="357"/>
      <c r="FY57" s="357"/>
      <c r="FZ57" s="357"/>
      <c r="GA57" s="357"/>
      <c r="GB57" s="357"/>
      <c r="GC57" s="357"/>
      <c r="GD57" s="357"/>
      <c r="GE57" s="357"/>
      <c r="GF57" s="357"/>
      <c r="GG57" s="357"/>
      <c r="GH57" s="357"/>
      <c r="GI57" s="357"/>
      <c r="GJ57" s="357"/>
      <c r="GK57" s="357"/>
      <c r="GL57" s="357"/>
      <c r="GM57" s="357"/>
      <c r="GN57" s="357"/>
      <c r="GO57" s="357"/>
      <c r="GP57" s="357"/>
      <c r="GQ57" s="357"/>
      <c r="GR57" s="357"/>
      <c r="GS57" s="357"/>
      <c r="GT57" s="357"/>
      <c r="GU57" s="357"/>
      <c r="GV57" s="357"/>
      <c r="GW57" s="357"/>
      <c r="GX57" s="357"/>
      <c r="GY57" s="357"/>
      <c r="GZ57" s="357"/>
      <c r="HA57" s="357"/>
      <c r="HB57" s="357"/>
      <c r="HC57" s="357"/>
      <c r="HD57" s="357"/>
      <c r="HE57" s="357"/>
      <c r="HF57" s="357"/>
      <c r="HG57" s="357"/>
      <c r="HH57" s="357"/>
      <c r="HI57" s="357"/>
      <c r="HJ57" s="357"/>
      <c r="HK57" s="357"/>
      <c r="HL57" s="357"/>
      <c r="HM57" s="357"/>
      <c r="HN57" s="357"/>
      <c r="HO57" s="357"/>
      <c r="HP57" s="357"/>
      <c r="HQ57" s="357"/>
      <c r="HR57" s="357"/>
      <c r="HS57" s="357"/>
      <c r="HT57" s="357"/>
      <c r="HU57" s="357"/>
      <c r="HV57" s="357"/>
      <c r="HW57" s="357"/>
      <c r="HX57" s="357"/>
      <c r="HY57" s="357"/>
      <c r="HZ57" s="357"/>
      <c r="IA57" s="357"/>
      <c r="IB57" s="357"/>
      <c r="IC57" s="357"/>
      <c r="ID57" s="357"/>
      <c r="IE57" s="357"/>
      <c r="IF57" s="357"/>
      <c r="IG57" s="357"/>
      <c r="IH57" s="357"/>
      <c r="II57" s="357"/>
      <c r="IJ57" s="357"/>
      <c r="IK57" s="357"/>
      <c r="IL57" s="357"/>
      <c r="IM57" s="357"/>
      <c r="IN57" s="357"/>
      <c r="IO57" s="357"/>
      <c r="IP57" s="357"/>
      <c r="IQ57" s="357"/>
      <c r="IR57" s="357"/>
      <c r="IS57" s="357"/>
      <c r="IT57" s="357"/>
      <c r="IU57" s="357"/>
      <c r="IV57" s="357"/>
      <c r="IW57" s="357"/>
    </row>
    <row r="58" customFormat="false" ht="12" hidden="false" customHeight="true" outlineLevel="0" collapsed="false">
      <c r="A58" s="354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95"/>
      <c r="AE58" s="395"/>
      <c r="AF58" s="395"/>
      <c r="AG58" s="395"/>
      <c r="AH58" s="395"/>
      <c r="AI58" s="395"/>
      <c r="AJ58" s="395"/>
      <c r="AK58" s="395"/>
      <c r="AL58" s="395"/>
      <c r="AM58" s="395"/>
      <c r="AN58" s="395"/>
      <c r="AO58" s="395"/>
      <c r="AP58" s="395"/>
      <c r="AQ58" s="395"/>
      <c r="AR58" s="395"/>
      <c r="AS58" s="395"/>
      <c r="AT58" s="395"/>
      <c r="AU58" s="395"/>
      <c r="AV58" s="395"/>
      <c r="AW58" s="395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5"/>
      <c r="BS58" s="395"/>
      <c r="BT58" s="395"/>
      <c r="BU58" s="395"/>
      <c r="BV58" s="395"/>
      <c r="BW58" s="395"/>
      <c r="BX58" s="395"/>
      <c r="BY58" s="395"/>
      <c r="BZ58" s="395"/>
      <c r="CA58" s="395"/>
      <c r="CB58" s="395"/>
      <c r="CC58" s="395"/>
      <c r="CD58" s="395"/>
      <c r="CE58" s="395"/>
      <c r="CF58" s="395"/>
      <c r="CG58" s="395"/>
      <c r="CH58" s="395"/>
      <c r="CI58" s="395"/>
      <c r="CJ58" s="395"/>
      <c r="CK58" s="395"/>
      <c r="CL58" s="395"/>
      <c r="CM58" s="395"/>
      <c r="CN58" s="395"/>
      <c r="CO58" s="395"/>
      <c r="CP58" s="395"/>
      <c r="CQ58" s="395"/>
      <c r="CR58" s="395"/>
      <c r="CS58" s="395"/>
      <c r="CT58" s="395"/>
      <c r="CU58" s="395"/>
      <c r="CV58" s="395"/>
      <c r="CW58" s="395"/>
      <c r="CX58" s="395"/>
      <c r="CY58" s="395"/>
      <c r="CZ58" s="395"/>
      <c r="DA58" s="395"/>
      <c r="DB58" s="395"/>
      <c r="DC58" s="395"/>
      <c r="DD58" s="395"/>
      <c r="DE58" s="395"/>
      <c r="DF58" s="395"/>
      <c r="DG58" s="395"/>
      <c r="DH58" s="395"/>
      <c r="DI58" s="395"/>
      <c r="DJ58" s="395"/>
      <c r="DK58" s="395"/>
      <c r="DL58" s="395"/>
      <c r="DM58" s="395"/>
      <c r="DN58" s="395"/>
      <c r="DO58" s="395"/>
      <c r="DP58" s="395"/>
      <c r="DQ58" s="395"/>
      <c r="DR58" s="395"/>
      <c r="DS58" s="395"/>
      <c r="DT58" s="395"/>
      <c r="DU58" s="395"/>
      <c r="DV58" s="395"/>
      <c r="DW58" s="395"/>
      <c r="DX58" s="395"/>
      <c r="DY58" s="395"/>
      <c r="DZ58" s="395"/>
      <c r="EA58" s="395"/>
      <c r="EB58" s="395"/>
      <c r="EC58" s="395"/>
      <c r="ED58" s="395"/>
      <c r="EE58" s="395"/>
      <c r="EF58" s="395"/>
      <c r="EG58" s="395"/>
      <c r="EH58" s="395"/>
      <c r="EI58" s="395"/>
      <c r="EJ58" s="395"/>
      <c r="EK58" s="395"/>
      <c r="EL58" s="395"/>
      <c r="EM58" s="395"/>
      <c r="EN58" s="395"/>
      <c r="EO58" s="395"/>
      <c r="EP58" s="395"/>
      <c r="EQ58" s="395"/>
      <c r="ER58" s="395"/>
      <c r="ES58" s="395"/>
      <c r="ET58" s="395"/>
      <c r="EU58" s="395"/>
      <c r="EV58" s="395"/>
      <c r="EW58" s="395"/>
      <c r="EX58" s="395"/>
      <c r="EY58" s="395"/>
      <c r="EZ58" s="395"/>
      <c r="FA58" s="395"/>
      <c r="FB58" s="395"/>
      <c r="FC58" s="395"/>
      <c r="FD58" s="395"/>
      <c r="FE58" s="395"/>
      <c r="FF58" s="395"/>
      <c r="FG58" s="395"/>
      <c r="FH58" s="395"/>
      <c r="FI58" s="395"/>
      <c r="FJ58" s="395"/>
      <c r="FK58" s="395"/>
      <c r="FL58" s="395"/>
      <c r="FM58" s="395"/>
      <c r="FN58" s="395"/>
      <c r="FO58" s="395"/>
      <c r="FP58" s="395"/>
      <c r="FQ58" s="395"/>
      <c r="FR58" s="395"/>
      <c r="FS58" s="395"/>
      <c r="FT58" s="395"/>
      <c r="FU58" s="395"/>
      <c r="FV58" s="395"/>
      <c r="FW58" s="395"/>
      <c r="FX58" s="395"/>
      <c r="FY58" s="395"/>
      <c r="FZ58" s="395"/>
      <c r="GA58" s="395"/>
      <c r="GB58" s="395"/>
      <c r="GC58" s="395"/>
      <c r="GD58" s="395"/>
      <c r="GE58" s="395"/>
      <c r="GF58" s="395"/>
      <c r="GG58" s="395"/>
      <c r="GH58" s="395"/>
      <c r="GI58" s="395"/>
      <c r="GJ58" s="395"/>
      <c r="GK58" s="395"/>
      <c r="GL58" s="395"/>
      <c r="GM58" s="395"/>
      <c r="GN58" s="395"/>
      <c r="GO58" s="395"/>
      <c r="GP58" s="395"/>
      <c r="GQ58" s="395"/>
      <c r="GR58" s="395"/>
      <c r="GS58" s="395"/>
      <c r="GT58" s="395"/>
      <c r="GU58" s="395"/>
      <c r="GV58" s="395"/>
      <c r="GW58" s="395"/>
      <c r="GX58" s="395"/>
      <c r="GY58" s="395"/>
      <c r="GZ58" s="395"/>
      <c r="HA58" s="395"/>
      <c r="HB58" s="395"/>
      <c r="HC58" s="395"/>
      <c r="HD58" s="395"/>
      <c r="HE58" s="395"/>
      <c r="HF58" s="395"/>
      <c r="HG58" s="395"/>
      <c r="HH58" s="395"/>
      <c r="HI58" s="395"/>
      <c r="HJ58" s="395"/>
      <c r="HK58" s="395"/>
      <c r="HL58" s="395"/>
      <c r="HM58" s="395"/>
      <c r="HN58" s="395"/>
      <c r="HO58" s="395"/>
      <c r="HP58" s="395"/>
      <c r="HQ58" s="395"/>
      <c r="HR58" s="395"/>
      <c r="HS58" s="395"/>
      <c r="HT58" s="395"/>
      <c r="HU58" s="395"/>
      <c r="HV58" s="395"/>
      <c r="HW58" s="395"/>
      <c r="HX58" s="395"/>
      <c r="HY58" s="395"/>
      <c r="HZ58" s="395"/>
      <c r="IA58" s="395"/>
      <c r="IB58" s="395"/>
      <c r="IC58" s="395"/>
      <c r="ID58" s="395"/>
      <c r="IE58" s="395"/>
      <c r="IF58" s="395"/>
      <c r="IG58" s="395"/>
      <c r="IH58" s="395"/>
      <c r="II58" s="395"/>
      <c r="IJ58" s="395"/>
      <c r="IK58" s="395"/>
      <c r="IL58" s="395"/>
      <c r="IM58" s="395"/>
      <c r="IN58" s="395"/>
      <c r="IO58" s="395"/>
      <c r="IP58" s="395"/>
      <c r="IQ58" s="395"/>
      <c r="IR58" s="395"/>
      <c r="IS58" s="395"/>
      <c r="IT58" s="395"/>
      <c r="IU58" s="395"/>
      <c r="IV58" s="395"/>
      <c r="IW58" s="395"/>
    </row>
    <row r="59" customFormat="false" ht="12" hidden="false" customHeight="true" outlineLevel="0" collapsed="false">
      <c r="B59" s="401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401"/>
      <c r="AC59" s="401"/>
    </row>
    <row r="60" customFormat="false" ht="12" hidden="false" customHeight="true" outlineLevel="0" collapsed="false">
      <c r="A60" s="403"/>
      <c r="B60" s="353"/>
      <c r="C60" s="404"/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398"/>
      <c r="AC60" s="398"/>
    </row>
    <row r="61" customFormat="false" ht="11.25" hidden="false" customHeight="false" outlineLevel="0" collapsed="false">
      <c r="AB61" s="342"/>
      <c r="AC61" s="342"/>
    </row>
    <row r="62" customFormat="false" ht="12.75" hidden="false" customHeight="false" outlineLevel="0" collapsed="false">
      <c r="A62" s="191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</row>
    <row r="63" customFormat="false" ht="12.75" hidden="false" customHeight="false" outlineLevel="0" collapsed="false">
      <c r="A63" s="191"/>
      <c r="B63" s="405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</row>
    <row r="67" customFormat="false" ht="12" hidden="false" customHeight="true" outlineLevel="0" collapsed="false">
      <c r="A67" s="354"/>
      <c r="B67" s="342"/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342"/>
      <c r="AC67" s="342"/>
      <c r="AD67" s="395"/>
      <c r="AE67" s="395"/>
      <c r="AF67" s="395"/>
      <c r="AG67" s="395"/>
      <c r="AH67" s="395"/>
      <c r="AI67" s="395"/>
      <c r="AJ67" s="395"/>
      <c r="AK67" s="395"/>
      <c r="AL67" s="395"/>
      <c r="AM67" s="395"/>
      <c r="AN67" s="395"/>
      <c r="AO67" s="395"/>
      <c r="AP67" s="395"/>
      <c r="AQ67" s="395"/>
      <c r="AR67" s="395"/>
      <c r="AS67" s="395"/>
      <c r="AT67" s="395"/>
      <c r="AU67" s="395"/>
      <c r="AV67" s="395"/>
      <c r="AW67" s="395"/>
      <c r="AX67" s="395"/>
      <c r="AY67" s="395"/>
      <c r="AZ67" s="395"/>
      <c r="BA67" s="395"/>
      <c r="BB67" s="395"/>
      <c r="BC67" s="395"/>
      <c r="BD67" s="395"/>
      <c r="BE67" s="395"/>
      <c r="BF67" s="395"/>
      <c r="BG67" s="395"/>
      <c r="BH67" s="395"/>
      <c r="BI67" s="395"/>
      <c r="BJ67" s="395"/>
      <c r="BK67" s="395"/>
      <c r="BL67" s="395"/>
      <c r="BM67" s="395"/>
      <c r="BN67" s="395"/>
      <c r="BO67" s="395"/>
      <c r="BP67" s="395"/>
      <c r="BQ67" s="395"/>
      <c r="BR67" s="395"/>
      <c r="BS67" s="395"/>
      <c r="BT67" s="395"/>
      <c r="BU67" s="395"/>
      <c r="BV67" s="395"/>
      <c r="BW67" s="395"/>
      <c r="BX67" s="395"/>
      <c r="BY67" s="395"/>
      <c r="BZ67" s="395"/>
      <c r="CA67" s="395"/>
      <c r="CB67" s="395"/>
      <c r="CC67" s="395"/>
      <c r="CD67" s="395"/>
      <c r="CE67" s="395"/>
      <c r="CF67" s="395"/>
      <c r="CG67" s="395"/>
      <c r="CH67" s="395"/>
      <c r="CI67" s="395"/>
      <c r="CJ67" s="395"/>
      <c r="CK67" s="395"/>
      <c r="CL67" s="395"/>
      <c r="CM67" s="395"/>
      <c r="CN67" s="395"/>
      <c r="CO67" s="395"/>
      <c r="CP67" s="395"/>
      <c r="CQ67" s="395"/>
      <c r="CR67" s="395"/>
      <c r="CS67" s="395"/>
      <c r="CT67" s="395"/>
      <c r="CU67" s="395"/>
      <c r="CV67" s="395"/>
      <c r="CW67" s="395"/>
      <c r="CX67" s="395"/>
      <c r="CY67" s="395"/>
      <c r="CZ67" s="395"/>
      <c r="DA67" s="395"/>
      <c r="DB67" s="395"/>
      <c r="DC67" s="395"/>
      <c r="DD67" s="395"/>
      <c r="DE67" s="395"/>
      <c r="DF67" s="395"/>
      <c r="DG67" s="395"/>
      <c r="DH67" s="395"/>
      <c r="DI67" s="395"/>
      <c r="DJ67" s="395"/>
      <c r="DK67" s="395"/>
      <c r="DL67" s="395"/>
      <c r="DM67" s="395"/>
      <c r="DN67" s="395"/>
      <c r="DO67" s="395"/>
      <c r="DP67" s="395"/>
      <c r="DQ67" s="395"/>
      <c r="DR67" s="395"/>
      <c r="DS67" s="395"/>
      <c r="DT67" s="395"/>
      <c r="DU67" s="395"/>
      <c r="DV67" s="395"/>
      <c r="DW67" s="395"/>
      <c r="DX67" s="395"/>
      <c r="DY67" s="395"/>
      <c r="DZ67" s="395"/>
      <c r="EA67" s="395"/>
      <c r="EB67" s="395"/>
      <c r="EC67" s="395"/>
      <c r="ED67" s="395"/>
      <c r="EE67" s="395"/>
      <c r="EF67" s="395"/>
      <c r="EG67" s="395"/>
      <c r="EH67" s="395"/>
      <c r="EI67" s="395"/>
      <c r="EJ67" s="395"/>
      <c r="EK67" s="395"/>
      <c r="EL67" s="395"/>
      <c r="EM67" s="395"/>
      <c r="EN67" s="395"/>
      <c r="EO67" s="395"/>
      <c r="EP67" s="395"/>
      <c r="EQ67" s="395"/>
      <c r="ER67" s="395"/>
      <c r="ES67" s="395"/>
      <c r="ET67" s="395"/>
      <c r="EU67" s="395"/>
      <c r="EV67" s="395"/>
      <c r="EW67" s="395"/>
      <c r="EX67" s="395"/>
      <c r="EY67" s="395"/>
      <c r="EZ67" s="395"/>
      <c r="FA67" s="395"/>
      <c r="FB67" s="395"/>
      <c r="FC67" s="395"/>
      <c r="FD67" s="395"/>
      <c r="FE67" s="395"/>
      <c r="FF67" s="395"/>
      <c r="FG67" s="395"/>
      <c r="FH67" s="395"/>
      <c r="FI67" s="395"/>
      <c r="FJ67" s="395"/>
      <c r="FK67" s="395"/>
      <c r="FL67" s="395"/>
      <c r="FM67" s="395"/>
      <c r="FN67" s="395"/>
      <c r="FO67" s="395"/>
      <c r="FP67" s="395"/>
      <c r="FQ67" s="395"/>
      <c r="FR67" s="395"/>
      <c r="FS67" s="395"/>
      <c r="FT67" s="395"/>
      <c r="FU67" s="395"/>
      <c r="FV67" s="395"/>
      <c r="FW67" s="395"/>
      <c r="FX67" s="395"/>
      <c r="FY67" s="395"/>
      <c r="FZ67" s="395"/>
      <c r="GA67" s="395"/>
      <c r="GB67" s="395"/>
      <c r="GC67" s="395"/>
      <c r="GD67" s="395"/>
      <c r="GE67" s="395"/>
      <c r="GF67" s="395"/>
      <c r="GG67" s="395"/>
      <c r="GH67" s="395"/>
      <c r="GI67" s="395"/>
      <c r="GJ67" s="395"/>
      <c r="GK67" s="395"/>
      <c r="GL67" s="395"/>
      <c r="GM67" s="395"/>
      <c r="GN67" s="395"/>
      <c r="GO67" s="395"/>
      <c r="GP67" s="395"/>
      <c r="GQ67" s="395"/>
      <c r="GR67" s="395"/>
      <c r="GS67" s="395"/>
      <c r="GT67" s="395"/>
      <c r="GU67" s="395"/>
      <c r="GV67" s="395"/>
      <c r="GW67" s="395"/>
      <c r="GX67" s="395"/>
      <c r="GY67" s="395"/>
      <c r="GZ67" s="395"/>
      <c r="HA67" s="395"/>
      <c r="HB67" s="395"/>
      <c r="HC67" s="395"/>
      <c r="HD67" s="395"/>
      <c r="HE67" s="395"/>
      <c r="HF67" s="395"/>
      <c r="HG67" s="395"/>
      <c r="HH67" s="395"/>
      <c r="HI67" s="395"/>
      <c r="HJ67" s="395"/>
      <c r="HK67" s="395"/>
      <c r="HL67" s="395"/>
      <c r="HM67" s="395"/>
      <c r="HN67" s="395"/>
      <c r="HO67" s="395"/>
      <c r="HP67" s="395"/>
      <c r="HQ67" s="395"/>
      <c r="HR67" s="395"/>
      <c r="HS67" s="395"/>
      <c r="HT67" s="395"/>
      <c r="HU67" s="395"/>
      <c r="HV67" s="395"/>
      <c r="HW67" s="395"/>
      <c r="HX67" s="395"/>
      <c r="HY67" s="395"/>
      <c r="HZ67" s="395"/>
      <c r="IA67" s="395"/>
      <c r="IB67" s="395"/>
      <c r="IC67" s="395"/>
      <c r="ID67" s="395"/>
      <c r="IE67" s="395"/>
      <c r="IF67" s="395"/>
      <c r="IG67" s="395"/>
      <c r="IH67" s="395"/>
      <c r="II67" s="395"/>
      <c r="IJ67" s="395"/>
      <c r="IK67" s="395"/>
      <c r="IL67" s="395"/>
      <c r="IM67" s="395"/>
      <c r="IN67" s="395"/>
      <c r="IO67" s="395"/>
      <c r="IP67" s="395"/>
      <c r="IQ67" s="395"/>
      <c r="IR67" s="395"/>
      <c r="IS67" s="395"/>
      <c r="IT67" s="395"/>
      <c r="IU67" s="395"/>
      <c r="IV67" s="357"/>
      <c r="IW67" s="357"/>
    </row>
  </sheetData>
  <printOptions headings="false" gridLines="false" gridLinesSet="true" horizontalCentered="true" verticalCentered="true"/>
  <pageMargins left="0.259722222222222" right="0.309722222222222" top="0.984027777777778" bottom="0.984027777777778" header="0.511811023622047" footer="0.5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341" width="31.56"/>
    <col collapsed="false" customWidth="false" hidden="false" outlineLevel="0" max="19" min="2" style="341" width="9.28"/>
    <col collapsed="false" customWidth="false" hidden="false" outlineLevel="0" max="257" min="29" style="341" width="9.28"/>
  </cols>
  <sheetData>
    <row r="1" customFormat="false" ht="26.25" hidden="false" customHeight="false" outlineLevel="0" collapsed="false">
      <c r="A1" s="160" t="str">
        <f aca="false">'Project Assumptions'!$A$2</f>
        <v>PROJECT DOYLE</v>
      </c>
      <c r="B1" s="406"/>
      <c r="C1" s="407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406"/>
      <c r="CC1" s="406"/>
      <c r="CD1" s="406"/>
      <c r="CE1" s="406"/>
      <c r="CF1" s="406"/>
      <c r="CG1" s="406"/>
      <c r="CH1" s="406"/>
      <c r="CI1" s="406"/>
      <c r="CJ1" s="406"/>
      <c r="CK1" s="406"/>
      <c r="CL1" s="406"/>
      <c r="CM1" s="406"/>
      <c r="CN1" s="406"/>
      <c r="CO1" s="406"/>
      <c r="CP1" s="406"/>
      <c r="CQ1" s="406"/>
      <c r="CR1" s="406"/>
      <c r="CS1" s="406"/>
      <c r="CT1" s="406"/>
      <c r="CU1" s="406"/>
      <c r="CV1" s="406"/>
      <c r="CW1" s="406"/>
      <c r="CX1" s="406"/>
      <c r="CY1" s="406"/>
      <c r="CZ1" s="406"/>
      <c r="DA1" s="406"/>
      <c r="DB1" s="406"/>
      <c r="DC1" s="406"/>
      <c r="DD1" s="406"/>
      <c r="DE1" s="406"/>
      <c r="DF1" s="406"/>
      <c r="DG1" s="406"/>
      <c r="DH1" s="406"/>
      <c r="DI1" s="406"/>
      <c r="DJ1" s="406"/>
      <c r="DK1" s="406"/>
      <c r="DL1" s="406"/>
      <c r="DM1" s="406"/>
      <c r="DN1" s="406"/>
      <c r="DO1" s="406"/>
      <c r="DP1" s="406"/>
      <c r="DQ1" s="406"/>
      <c r="DR1" s="406"/>
      <c r="DS1" s="406"/>
      <c r="DT1" s="406"/>
      <c r="DU1" s="406"/>
      <c r="DV1" s="406"/>
      <c r="DW1" s="406"/>
      <c r="DX1" s="406"/>
      <c r="DY1" s="406"/>
      <c r="DZ1" s="406"/>
      <c r="EA1" s="406"/>
      <c r="EB1" s="406"/>
      <c r="EC1" s="406"/>
      <c r="ED1" s="406"/>
      <c r="EE1" s="406"/>
      <c r="EF1" s="406"/>
      <c r="EG1" s="406"/>
      <c r="EH1" s="406"/>
      <c r="EI1" s="406"/>
      <c r="EJ1" s="406"/>
      <c r="EK1" s="406"/>
      <c r="EL1" s="406"/>
      <c r="EM1" s="406"/>
      <c r="EN1" s="406"/>
      <c r="EO1" s="406"/>
      <c r="EP1" s="406"/>
      <c r="EQ1" s="406"/>
      <c r="ER1" s="406"/>
      <c r="ES1" s="406"/>
      <c r="ET1" s="406"/>
      <c r="EU1" s="406"/>
      <c r="EV1" s="406"/>
      <c r="EW1" s="406"/>
      <c r="EX1" s="406"/>
      <c r="EY1" s="406"/>
      <c r="EZ1" s="406"/>
      <c r="FA1" s="406"/>
      <c r="FB1" s="406"/>
      <c r="FC1" s="406"/>
      <c r="FD1" s="406"/>
      <c r="FE1" s="406"/>
      <c r="FF1" s="406"/>
      <c r="FG1" s="406"/>
      <c r="FH1" s="406"/>
      <c r="FI1" s="406"/>
      <c r="FJ1" s="406"/>
      <c r="FK1" s="406"/>
      <c r="FL1" s="406"/>
      <c r="FM1" s="406"/>
      <c r="FN1" s="406"/>
      <c r="FO1" s="406"/>
      <c r="FP1" s="406"/>
      <c r="FQ1" s="406"/>
      <c r="FR1" s="406"/>
      <c r="FS1" s="406"/>
      <c r="FT1" s="406"/>
      <c r="FU1" s="406"/>
      <c r="FV1" s="406"/>
      <c r="FW1" s="406"/>
      <c r="FX1" s="406"/>
      <c r="FY1" s="406"/>
      <c r="FZ1" s="406"/>
      <c r="GA1" s="406"/>
      <c r="GB1" s="406"/>
      <c r="GC1" s="406"/>
      <c r="GD1" s="406"/>
      <c r="GE1" s="406"/>
      <c r="GF1" s="406"/>
      <c r="GG1" s="406"/>
      <c r="GH1" s="406"/>
      <c r="GI1" s="406"/>
      <c r="GJ1" s="406"/>
      <c r="GK1" s="406"/>
      <c r="GL1" s="406"/>
      <c r="GM1" s="406"/>
      <c r="GN1" s="406"/>
      <c r="GO1" s="406"/>
      <c r="GP1" s="406"/>
      <c r="GQ1" s="406"/>
      <c r="GR1" s="406"/>
      <c r="GS1" s="406"/>
      <c r="GT1" s="406"/>
      <c r="GU1" s="406"/>
      <c r="GV1" s="406"/>
      <c r="GW1" s="406"/>
      <c r="GX1" s="406"/>
      <c r="GY1" s="406"/>
      <c r="GZ1" s="406"/>
      <c r="HA1" s="406"/>
      <c r="HB1" s="406"/>
      <c r="HC1" s="406"/>
      <c r="HD1" s="406"/>
      <c r="HE1" s="406"/>
      <c r="HF1" s="406"/>
      <c r="HG1" s="406"/>
      <c r="HH1" s="406"/>
      <c r="HI1" s="406"/>
      <c r="HJ1" s="406"/>
      <c r="HK1" s="406"/>
      <c r="HL1" s="406"/>
      <c r="HM1" s="406"/>
      <c r="HN1" s="406"/>
      <c r="HO1" s="406"/>
      <c r="HP1" s="406"/>
      <c r="HQ1" s="406"/>
      <c r="HR1" s="406"/>
      <c r="HS1" s="406"/>
      <c r="HT1" s="406"/>
      <c r="HU1" s="406"/>
      <c r="HV1" s="406"/>
      <c r="HW1" s="406"/>
      <c r="HX1" s="406"/>
      <c r="HY1" s="406"/>
      <c r="HZ1" s="406"/>
      <c r="IA1" s="406"/>
      <c r="IB1" s="406"/>
      <c r="IC1" s="406"/>
      <c r="ID1" s="406"/>
      <c r="IE1" s="406"/>
      <c r="IF1" s="406"/>
      <c r="IG1" s="406"/>
      <c r="IH1" s="406"/>
      <c r="II1" s="406"/>
      <c r="IJ1" s="406"/>
      <c r="IK1" s="406"/>
      <c r="IL1" s="406"/>
      <c r="IM1" s="406"/>
      <c r="IN1" s="406"/>
      <c r="IO1" s="406"/>
      <c r="IP1" s="406"/>
      <c r="IQ1" s="406"/>
      <c r="IR1" s="406"/>
      <c r="IS1" s="406"/>
      <c r="IT1" s="406"/>
      <c r="IU1" s="406"/>
      <c r="IV1" s="406"/>
      <c r="IW1" s="406"/>
    </row>
    <row r="2" customFormat="false" ht="18" hidden="false" customHeight="false" outlineLevel="0" collapsed="false">
      <c r="A2" s="162" t="s">
        <v>411</v>
      </c>
      <c r="B2" s="406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  <c r="BW2" s="406"/>
      <c r="BX2" s="406"/>
      <c r="BY2" s="406"/>
      <c r="BZ2" s="406"/>
      <c r="CA2" s="406"/>
      <c r="CB2" s="406"/>
      <c r="CC2" s="406"/>
      <c r="CD2" s="406"/>
      <c r="CE2" s="406"/>
      <c r="CF2" s="406"/>
      <c r="CG2" s="406"/>
      <c r="CH2" s="406"/>
      <c r="CI2" s="406"/>
      <c r="CJ2" s="406"/>
      <c r="CK2" s="406"/>
      <c r="CL2" s="406"/>
      <c r="CM2" s="406"/>
      <c r="CN2" s="406"/>
      <c r="CO2" s="406"/>
      <c r="CP2" s="406"/>
      <c r="CQ2" s="406"/>
      <c r="CR2" s="406"/>
      <c r="CS2" s="406"/>
      <c r="CT2" s="406"/>
      <c r="CU2" s="406"/>
      <c r="CV2" s="406"/>
      <c r="CW2" s="406"/>
      <c r="CX2" s="406"/>
      <c r="CY2" s="406"/>
      <c r="CZ2" s="406"/>
      <c r="DA2" s="406"/>
      <c r="DB2" s="406"/>
      <c r="DC2" s="406"/>
      <c r="DD2" s="406"/>
      <c r="DE2" s="406"/>
      <c r="DF2" s="406"/>
      <c r="DG2" s="406"/>
      <c r="DH2" s="406"/>
      <c r="DI2" s="406"/>
      <c r="DJ2" s="406"/>
      <c r="DK2" s="406"/>
      <c r="DL2" s="406"/>
      <c r="DM2" s="406"/>
      <c r="DN2" s="406"/>
      <c r="DO2" s="406"/>
      <c r="DP2" s="406"/>
      <c r="DQ2" s="406"/>
      <c r="DR2" s="406"/>
      <c r="DS2" s="406"/>
      <c r="DT2" s="406"/>
      <c r="DU2" s="406"/>
      <c r="DV2" s="406"/>
      <c r="DW2" s="406"/>
      <c r="DX2" s="406"/>
      <c r="DY2" s="406"/>
      <c r="DZ2" s="406"/>
      <c r="EA2" s="406"/>
      <c r="EB2" s="406"/>
      <c r="EC2" s="406"/>
      <c r="ED2" s="406"/>
      <c r="EE2" s="406"/>
      <c r="EF2" s="406"/>
      <c r="EG2" s="406"/>
      <c r="EH2" s="406"/>
      <c r="EI2" s="406"/>
      <c r="EJ2" s="406"/>
      <c r="EK2" s="406"/>
      <c r="EL2" s="406"/>
      <c r="EM2" s="406"/>
      <c r="EN2" s="406"/>
      <c r="EO2" s="406"/>
      <c r="EP2" s="406"/>
      <c r="EQ2" s="406"/>
      <c r="ER2" s="406"/>
      <c r="ES2" s="406"/>
      <c r="ET2" s="406"/>
      <c r="EU2" s="406"/>
      <c r="EV2" s="406"/>
      <c r="EW2" s="406"/>
      <c r="EX2" s="406"/>
      <c r="EY2" s="406"/>
      <c r="EZ2" s="406"/>
      <c r="FA2" s="406"/>
      <c r="FB2" s="406"/>
      <c r="FC2" s="406"/>
      <c r="FD2" s="406"/>
      <c r="FE2" s="406"/>
      <c r="FF2" s="406"/>
      <c r="FG2" s="406"/>
      <c r="FH2" s="406"/>
      <c r="FI2" s="406"/>
      <c r="FJ2" s="406"/>
      <c r="FK2" s="406"/>
      <c r="FL2" s="406"/>
      <c r="FM2" s="406"/>
      <c r="FN2" s="406"/>
      <c r="FO2" s="406"/>
      <c r="FP2" s="406"/>
      <c r="FQ2" s="406"/>
      <c r="FR2" s="406"/>
      <c r="FS2" s="406"/>
      <c r="FT2" s="406"/>
      <c r="FU2" s="406"/>
      <c r="FV2" s="406"/>
      <c r="FW2" s="406"/>
      <c r="FX2" s="406"/>
      <c r="FY2" s="406"/>
      <c r="FZ2" s="406"/>
      <c r="GA2" s="406"/>
      <c r="GB2" s="406"/>
      <c r="GC2" s="406"/>
      <c r="GD2" s="406"/>
      <c r="GE2" s="406"/>
      <c r="GF2" s="406"/>
      <c r="GG2" s="406"/>
      <c r="GH2" s="406"/>
      <c r="GI2" s="406"/>
      <c r="GJ2" s="406"/>
      <c r="GK2" s="406"/>
      <c r="GL2" s="406"/>
      <c r="GM2" s="406"/>
      <c r="GN2" s="406"/>
      <c r="GO2" s="406"/>
      <c r="GP2" s="406"/>
      <c r="GQ2" s="406"/>
      <c r="GR2" s="406"/>
      <c r="GS2" s="406"/>
      <c r="GT2" s="406"/>
      <c r="GU2" s="406"/>
      <c r="GV2" s="406"/>
      <c r="GW2" s="406"/>
      <c r="GX2" s="406"/>
      <c r="GY2" s="406"/>
      <c r="GZ2" s="406"/>
      <c r="HA2" s="406"/>
      <c r="HB2" s="406"/>
      <c r="HC2" s="406"/>
      <c r="HD2" s="406"/>
      <c r="HE2" s="406"/>
      <c r="HF2" s="406"/>
      <c r="HG2" s="406"/>
      <c r="HH2" s="406"/>
      <c r="HI2" s="406"/>
      <c r="HJ2" s="406"/>
      <c r="HK2" s="406"/>
      <c r="HL2" s="406"/>
      <c r="HM2" s="406"/>
      <c r="HN2" s="406"/>
      <c r="HO2" s="406"/>
      <c r="HP2" s="406"/>
      <c r="HQ2" s="406"/>
      <c r="HR2" s="406"/>
      <c r="HS2" s="406"/>
      <c r="HT2" s="406"/>
      <c r="HU2" s="406"/>
      <c r="HV2" s="406"/>
      <c r="HW2" s="406"/>
      <c r="HX2" s="406"/>
      <c r="HY2" s="406"/>
      <c r="HZ2" s="406"/>
      <c r="IA2" s="406"/>
      <c r="IB2" s="406"/>
      <c r="IC2" s="406"/>
      <c r="ID2" s="406"/>
      <c r="IE2" s="406"/>
      <c r="IF2" s="406"/>
      <c r="IG2" s="406"/>
      <c r="IH2" s="406"/>
      <c r="II2" s="406"/>
      <c r="IJ2" s="406"/>
      <c r="IK2" s="406"/>
      <c r="IL2" s="406"/>
      <c r="IM2" s="406"/>
      <c r="IN2" s="406"/>
      <c r="IO2" s="406"/>
      <c r="IP2" s="406"/>
      <c r="IQ2" s="406"/>
      <c r="IR2" s="406"/>
      <c r="IS2" s="406"/>
      <c r="IT2" s="406"/>
      <c r="IU2" s="406"/>
      <c r="IV2" s="406"/>
      <c r="IW2" s="406"/>
    </row>
    <row r="3" customFormat="false" ht="15.6" hidden="false" customHeight="true" outlineLevel="0" collapsed="false"/>
    <row r="4" customFormat="false" ht="12.75" hidden="false" customHeight="false" outlineLevel="0" collapsed="false">
      <c r="D4" s="236" t="n">
        <v>1</v>
      </c>
      <c r="E4" s="236" t="n">
        <f aca="false">D4+1</f>
        <v>2</v>
      </c>
      <c r="F4" s="237" t="n">
        <f aca="false">E4+1</f>
        <v>3</v>
      </c>
      <c r="G4" s="237" t="n">
        <f aca="false">F4+1</f>
        <v>4</v>
      </c>
      <c r="H4" s="237" t="n">
        <f aca="false">G4+1</f>
        <v>5</v>
      </c>
      <c r="I4" s="410" t="n">
        <f aca="false">H4+1</f>
        <v>6</v>
      </c>
      <c r="J4" s="237" t="n">
        <f aca="false">I4+1</f>
        <v>7</v>
      </c>
      <c r="K4" s="344" t="n">
        <f aca="false">J4+1</f>
        <v>8</v>
      </c>
      <c r="L4" s="237" t="n">
        <f aca="false">K4+1</f>
        <v>9</v>
      </c>
      <c r="M4" s="237" t="n">
        <f aca="false">L4+1</f>
        <v>10</v>
      </c>
      <c r="N4" s="237" t="n">
        <f aca="false">M4+1</f>
        <v>11</v>
      </c>
      <c r="O4" s="237" t="n">
        <f aca="false">N4+1</f>
        <v>12</v>
      </c>
      <c r="P4" s="237" t="n">
        <f aca="false">O4+1</f>
        <v>13</v>
      </c>
      <c r="Q4" s="344" t="n">
        <f aca="false">P4+1</f>
        <v>14</v>
      </c>
      <c r="R4" s="237" t="n">
        <f aca="false">Q4+1</f>
        <v>15</v>
      </c>
      <c r="S4" s="237" t="n">
        <f aca="false">R4+1</f>
        <v>16</v>
      </c>
    </row>
    <row r="5" customFormat="false" ht="12" hidden="false" customHeight="true" outlineLevel="0" collapsed="false">
      <c r="A5" s="411" t="s">
        <v>412</v>
      </c>
      <c r="C5" s="412"/>
      <c r="D5" s="346" t="n">
        <f aca="false">YEAR('Project Assumptions'!I16)</f>
        <v>2000</v>
      </c>
      <c r="E5" s="346" t="n">
        <f aca="false">D5+1</f>
        <v>2001</v>
      </c>
      <c r="F5" s="346" t="n">
        <f aca="false">E5+1</f>
        <v>2002</v>
      </c>
      <c r="G5" s="346" t="n">
        <f aca="false">F5+1</f>
        <v>2003</v>
      </c>
      <c r="H5" s="346" t="n">
        <f aca="false">G5+1</f>
        <v>2004</v>
      </c>
      <c r="I5" s="346" t="n">
        <f aca="false">H5+1</f>
        <v>2005</v>
      </c>
      <c r="J5" s="346" t="n">
        <f aca="false">I5+1</f>
        <v>2006</v>
      </c>
      <c r="K5" s="346" t="n">
        <f aca="false">J5+1</f>
        <v>2007</v>
      </c>
      <c r="L5" s="346" t="n">
        <f aca="false">K5+1</f>
        <v>2008</v>
      </c>
      <c r="M5" s="346" t="n">
        <f aca="false">L5+1</f>
        <v>2009</v>
      </c>
      <c r="N5" s="346" t="n">
        <f aca="false">M5+1</f>
        <v>2010</v>
      </c>
      <c r="O5" s="346" t="n">
        <f aca="false">N5+1</f>
        <v>2011</v>
      </c>
      <c r="P5" s="346" t="n">
        <f aca="false">O5+1</f>
        <v>2012</v>
      </c>
      <c r="Q5" s="346" t="n">
        <f aca="false">P5+1</f>
        <v>2013</v>
      </c>
      <c r="R5" s="346" t="n">
        <f aca="false">Q5+1</f>
        <v>2014</v>
      </c>
      <c r="S5" s="346" t="n">
        <f aca="false">R5+1</f>
        <v>2015</v>
      </c>
      <c r="AC5" s="412"/>
      <c r="AD5" s="412"/>
    </row>
    <row r="6" customFormat="false" ht="12" hidden="false" customHeight="true" outlineLevel="0" collapsed="false">
      <c r="B6" s="347" t="s">
        <v>413</v>
      </c>
      <c r="D6" s="413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AE6" s="415"/>
    </row>
    <row r="7" customFormat="false" ht="12" hidden="false" customHeight="true" outlineLevel="0" collapsed="false">
      <c r="A7" s="354" t="s">
        <v>414</v>
      </c>
      <c r="B7" s="416" t="n">
        <v>15</v>
      </c>
      <c r="C7" s="417"/>
      <c r="D7" s="378" t="n">
        <f aca="false">IF(D4&gt;$B$7+1,0,IF($B$7=15,VLOOKUP(D4,$A$69:$B$84,2),VLOOKUP(D4,$A$89:$B$109,2)))</f>
        <v>0.05</v>
      </c>
      <c r="E7" s="378" t="n">
        <f aca="false">IF(E4&gt;$B$7+1,0,IF($B$7=15,VLOOKUP(E4,$A$69:$B$84,2),VLOOKUP(E4,$A$89:$B$109,2)))</f>
        <v>0.095</v>
      </c>
      <c r="F7" s="378" t="n">
        <f aca="false">IF(F4&gt;$B$7+1,0,IF($B$7=15,VLOOKUP(F4,$A$69:$B$84,2),VLOOKUP(F4,$A$89:$B$109,2)))</f>
        <v>0.0855</v>
      </c>
      <c r="G7" s="378" t="n">
        <f aca="false">IF(G4&gt;$B$7+1,0,IF($B$7=15,VLOOKUP(G4,$A$69:$B$84,2),VLOOKUP(G4,$A$89:$B$109,2)))</f>
        <v>0.077</v>
      </c>
      <c r="H7" s="378" t="n">
        <f aca="false">IF(H4&gt;$B$7+1,0,IF($B$7=15,VLOOKUP(H4,$A$69:$B$84,2),VLOOKUP(H4,$A$89:$B$109,2)))</f>
        <v>0.0693</v>
      </c>
      <c r="I7" s="378" t="n">
        <f aca="false">IF(I4&gt;$B$7+1,0,IF($B$7=15,VLOOKUP(I4,$A$69:$B$84,2),VLOOKUP(I4,$A$89:$B$109,2)))</f>
        <v>0.0623</v>
      </c>
      <c r="J7" s="378" t="n">
        <f aca="false">IF(J4&gt;$B$7+1,0,IF($B$7=15,VLOOKUP(J4,$A$69:$B$84,2),VLOOKUP(J4,$A$89:$B$109,2)))</f>
        <v>0.059</v>
      </c>
      <c r="K7" s="378" t="n">
        <f aca="false">IF(K4&gt;$B$7+1,0,IF($B$7=15,VLOOKUP(K4,$A$69:$B$84,2),VLOOKUP(K4,$A$89:$B$109,2)))</f>
        <v>0.059</v>
      </c>
      <c r="L7" s="378" t="n">
        <f aca="false">IF(L4&gt;$B$7+1,0,IF($B$7=15,VLOOKUP(L4,$A$69:$B$84,2),VLOOKUP(L4,$A$89:$B$109,2)))</f>
        <v>0.0591</v>
      </c>
      <c r="M7" s="378" t="n">
        <f aca="false">IF(M4&gt;$B$7+1,0,IF($B$7=15,VLOOKUP(M4,$A$69:$B$84,2),VLOOKUP(M4,$A$89:$B$109,2)))</f>
        <v>0.059</v>
      </c>
      <c r="N7" s="378" t="n">
        <f aca="false">IF(N4&gt;$B$7+1,0,IF($B$7=15,VLOOKUP(N4,$A$69:$B$84,2),VLOOKUP(N4,$A$89:$B$109,2)))</f>
        <v>0.0591</v>
      </c>
      <c r="O7" s="378" t="n">
        <f aca="false">IF(O4&gt;$B$7+1,0,IF($B$7=15,VLOOKUP(O4,$A$69:$B$84,2),VLOOKUP(O4,$A$89:$B$109,2)))</f>
        <v>0.059</v>
      </c>
      <c r="P7" s="378" t="n">
        <f aca="false">IF(P4&gt;$B$7+1,0,IF($B$7=15,VLOOKUP(P4,$A$69:$B$84,2),VLOOKUP(P4,$A$89:$B$109,2)))</f>
        <v>0.0591</v>
      </c>
      <c r="Q7" s="378" t="n">
        <f aca="false">IF(Q4&gt;$B$7+1,0,IF($B$7=15,VLOOKUP(Q4,$A$69:$B$84,2),VLOOKUP(Q4,$A$89:$B$109,2)))</f>
        <v>0.059</v>
      </c>
      <c r="R7" s="378" t="n">
        <f aca="false">IF(R4&gt;$B$7+1,0,IF($B$7=15,VLOOKUP(R4,$A$69:$B$84,2),VLOOKUP(R4,$A$89:$B$109,2)))</f>
        <v>0.0591</v>
      </c>
      <c r="S7" s="378" t="n">
        <f aca="false">IF(S4&gt;$B$7+1,0,IF($B$7=15,VLOOKUP(S4,$A$69:$B$84,2),VLOOKUP(S4,$A$89:$B$109,2)))</f>
        <v>0.0295</v>
      </c>
      <c r="AC7" s="418"/>
      <c r="AD7" s="418"/>
      <c r="AE7" s="419"/>
    </row>
    <row r="8" customFormat="false" ht="12" hidden="false" customHeight="true" outlineLevel="0" collapsed="false">
      <c r="A8" s="354" t="s">
        <v>415</v>
      </c>
      <c r="B8" s="416" t="n">
        <v>5</v>
      </c>
      <c r="C8" s="420"/>
      <c r="D8" s="378" t="n">
        <v>0.1</v>
      </c>
      <c r="E8" s="378" t="n">
        <f aca="false">IF(E$4&lt;=$B8,(1/$B8),IF(E$4=$B8+1,(1/$B8)-$D8,0))</f>
        <v>0.2</v>
      </c>
      <c r="F8" s="378" t="n">
        <f aca="false">IF(F4&lt;=$B$8,(1/$B$8),IF(F4=$B$8+1,(1/$B$8)-$D$8,0))</f>
        <v>0.2</v>
      </c>
      <c r="G8" s="378" t="n">
        <f aca="false">IF(G4&lt;=$B$8,(1/$B$8),IF(G4=$B$8+1,(1/$B$8)-$D$8,0))</f>
        <v>0.2</v>
      </c>
      <c r="H8" s="378" t="n">
        <f aca="false">IF(H4&lt;=$B$8,(1/$B$8),IF(H4=$B$8+1,(1/$B$8)-$D$8,0))</f>
        <v>0.2</v>
      </c>
      <c r="I8" s="378" t="n">
        <f aca="false">IF(I4&lt;=$B$8,(1/$B$8),IF(I4=$B$8+1,(1/$B$8)-$D$8,0))</f>
        <v>0.1</v>
      </c>
      <c r="J8" s="378" t="n">
        <f aca="false">IF(J4&lt;=$B$8,(1/$B$8),IF(J4=$B$8+1,(1/$B$8)-$D$8,0))</f>
        <v>0</v>
      </c>
      <c r="K8" s="378" t="n">
        <f aca="false">IF(K4&lt;=$B$8,(1/$B$8),IF(K4=$B$8+1,(1/$B$8)-$D$8,0))</f>
        <v>0</v>
      </c>
      <c r="L8" s="378" t="n">
        <f aca="false">IF(L4&lt;=$B$8,(1/$B$8),IF(L4=$B$8+1,(1/$B$8)-$D$8,0))</f>
        <v>0</v>
      </c>
      <c r="M8" s="378" t="n">
        <f aca="false">IF(M4&lt;=$B$8,(1/$B$8),IF(M4=$B$8+1,(1/$B$8)-$D$8,0))</f>
        <v>0</v>
      </c>
      <c r="N8" s="378" t="n">
        <f aca="false">IF(N4&lt;=$B$8,(1/$B$8),IF(N4=$B$8+1,(1/$B$8)-$D$8,0))</f>
        <v>0</v>
      </c>
      <c r="O8" s="378" t="n">
        <f aca="false">IF(O4&lt;=$B$8,(1/$B$8),IF(O4=$B$8+1,(1/$B$8)-$D$8,0))</f>
        <v>0</v>
      </c>
      <c r="P8" s="378" t="n">
        <f aca="false">IF(P4&lt;=$B$8,(1/$B$8),IF(P4=$B$8+1,(1/$B$8)-$D$8,0))</f>
        <v>0</v>
      </c>
      <c r="Q8" s="378" t="n">
        <f aca="false">IF(Q4&lt;=$B$8,(1/$B$8),IF(Q4=$B$8+1,(1/$B$8)-$D$8,0))</f>
        <v>0</v>
      </c>
      <c r="R8" s="378" t="n">
        <f aca="false">IF(R4&lt;=$B$8,(1/$B$8),IF(R4=$B$8+1,(1/$B$8)-$D$8,0))</f>
        <v>0</v>
      </c>
      <c r="S8" s="378" t="n">
        <f aca="false">IF(S4&lt;=$B$8,(1/$B$8),IF(S4=$B$8+1,(1/$B$8)-$D$8,0))</f>
        <v>0</v>
      </c>
      <c r="AC8" s="418"/>
      <c r="AD8" s="418"/>
      <c r="AE8" s="419"/>
    </row>
    <row r="9" customFormat="false" ht="12" hidden="false" customHeight="true" outlineLevel="0" collapsed="false">
      <c r="A9" s="354" t="s">
        <v>416</v>
      </c>
      <c r="B9" s="420" t="n">
        <f aca="false">MAX('Project Assumptions'!$I$42,'Project Assumptions'!$F$42,'Project Assumptions'!$G$42)</f>
        <v>15</v>
      </c>
      <c r="C9" s="421"/>
      <c r="D9" s="378" t="n">
        <v>0.0333</v>
      </c>
      <c r="E9" s="378" t="n">
        <f aca="false">IF(E$4&lt;=$B$9,(1/$B$9),IF(E$4=$B$9+1,(1/$B$9)-$D$9,0))</f>
        <v>0.0666666666666667</v>
      </c>
      <c r="F9" s="378" t="n">
        <f aca="false">IF(F$4&lt;=$B$9,(1/$B$9),IF(F$4=$B$9+1,(1/$B$9)-$D$9,0))</f>
        <v>0.0666666666666667</v>
      </c>
      <c r="G9" s="378" t="n">
        <f aca="false">IF(G$4&lt;=$B$9,(1/$B$9),IF(G$4=$B$9+1,(1/$B$9)-$D$9,0))</f>
        <v>0.0666666666666667</v>
      </c>
      <c r="H9" s="378" t="n">
        <f aca="false">IF(H$4&lt;=$B$9,(1/$B$9),IF(H$4=$B$9+1,(1/$B$9)-$D$9,0))</f>
        <v>0.0666666666666667</v>
      </c>
      <c r="I9" s="378" t="n">
        <f aca="false">IF(I$4&lt;=$B$9,(1/$B$9),IF(I$4=$B$9+1,(1/$B$9)-$D$9,0))</f>
        <v>0.0666666666666667</v>
      </c>
      <c r="J9" s="378" t="n">
        <f aca="false">IF(J$4&lt;=$B$9,(1/$B$9),IF(J$4=$B$9+1,(1/$B$9)-$D$9,0))</f>
        <v>0.0666666666666667</v>
      </c>
      <c r="K9" s="378" t="n">
        <f aca="false">IF(K$4&lt;=$B$9,(1/$B$9),IF(K$4=$B$9+1,(1/$B$9)-$D$9,0))</f>
        <v>0.0666666666666667</v>
      </c>
      <c r="L9" s="378" t="n">
        <f aca="false">IF(L$4&lt;=$B$9,(1/$B$9),IF(L$4=$B$9+1,(1/$B$9)-$D$9,0))</f>
        <v>0.0666666666666667</v>
      </c>
      <c r="M9" s="378" t="n">
        <f aca="false">IF(M$4&lt;=$B$9,(1/$B$9),IF(M$4=$B$9+1,(1/$B$9)-$D$9,0))</f>
        <v>0.0666666666666667</v>
      </c>
      <c r="N9" s="378" t="n">
        <f aca="false">IF(N$4&lt;=$B$9,(1/$B$9),IF(N$4=$B$9+1,(1/$B$9)-$D$9,0))</f>
        <v>0.0666666666666667</v>
      </c>
      <c r="O9" s="378" t="n">
        <f aca="false">IF(O$4&lt;=$B$9,(1/$B$9),IF(O$4=$B$9+1,(1/$B$9)-$D$9,0))</f>
        <v>0.0666666666666667</v>
      </c>
      <c r="P9" s="378" t="n">
        <f aca="false">IF(P$4&lt;=$B$9,(1/$B$9),IF(P$4=$B$9+1,(1/$B$9)-$D$9,0))</f>
        <v>0.0666666666666667</v>
      </c>
      <c r="Q9" s="378" t="n">
        <f aca="false">IF(Q$4&lt;=$B$9,(1/$B$9),IF(Q$4=$B$9+1,(1/$B$9)-$D$9,0))</f>
        <v>0.0666666666666667</v>
      </c>
      <c r="R9" s="378" t="n">
        <f aca="false">IF(R$4&lt;=$B$9,(1/$B$9),IF(R$4=$B$9+1,(1/$B$9)-$D$9,0))</f>
        <v>0.0666666666666667</v>
      </c>
      <c r="S9" s="378" t="n">
        <f aca="false">IF(S$4&lt;=$B$9,(1/$B$9),IF(S$4=$B$9+1,(1/$B$9)-$D$9,0))</f>
        <v>0.0333666666666667</v>
      </c>
      <c r="AC9" s="418"/>
      <c r="AD9" s="418"/>
      <c r="AE9" s="419"/>
    </row>
    <row r="10" customFormat="false" ht="12" hidden="false" customHeight="true" outlineLevel="0" collapsed="false">
      <c r="B10" s="420"/>
      <c r="D10" s="414"/>
    </row>
    <row r="11" customFormat="false" ht="12" hidden="false" customHeight="true" outlineLevel="0" collapsed="false">
      <c r="A11" s="354" t="s">
        <v>417</v>
      </c>
      <c r="B11" s="370" t="n">
        <f aca="false">SUM('Project Assumptions'!C18:C20)+'Project Assumptions'!C42</f>
        <v>113330.315630715</v>
      </c>
      <c r="C11" s="417"/>
      <c r="D11" s="370" t="n">
        <f aca="false">$B$11*D7</f>
        <v>5666.51578153576</v>
      </c>
      <c r="E11" s="370" t="n">
        <f aca="false">$B$11*E7</f>
        <v>10766.3799849179</v>
      </c>
      <c r="F11" s="370" t="n">
        <f aca="false">$B$11*F7</f>
        <v>9689.74198642615</v>
      </c>
      <c r="G11" s="370" t="n">
        <f aca="false">$B$11*G7</f>
        <v>8726.43430356507</v>
      </c>
      <c r="H11" s="370" t="n">
        <f aca="false">$B$11*H7</f>
        <v>7853.79087320856</v>
      </c>
      <c r="I11" s="370" t="n">
        <f aca="false">$B$11*I7</f>
        <v>7060.47866379355</v>
      </c>
      <c r="J11" s="370" t="n">
        <f aca="false">$B$11*J7</f>
        <v>6686.48862221219</v>
      </c>
      <c r="K11" s="370" t="n">
        <f aca="false">$B$11*K7</f>
        <v>6686.48862221219</v>
      </c>
      <c r="L11" s="370" t="n">
        <f aca="false">$B$11*L7</f>
        <v>6697.82165377527</v>
      </c>
      <c r="M11" s="370" t="n">
        <f aca="false">$B$11*M7</f>
        <v>6686.48862221219</v>
      </c>
      <c r="N11" s="370" t="n">
        <f aca="false">$B$11*N7</f>
        <v>6697.82165377527</v>
      </c>
      <c r="O11" s="370" t="n">
        <f aca="false">$B$11*O7</f>
        <v>6686.48862221219</v>
      </c>
      <c r="P11" s="370" t="n">
        <f aca="false">$B$11*P7</f>
        <v>6697.82165377527</v>
      </c>
      <c r="Q11" s="370" t="n">
        <f aca="false">$B$11*Q7</f>
        <v>6686.48862221219</v>
      </c>
      <c r="R11" s="370" t="n">
        <f aca="false">$B$11*R7</f>
        <v>6697.82165377527</v>
      </c>
      <c r="S11" s="370" t="n">
        <f aca="false">$B$11*S7</f>
        <v>3343.2443111061</v>
      </c>
      <c r="AC11" s="417"/>
      <c r="AD11" s="417"/>
      <c r="AE11" s="417"/>
    </row>
    <row r="12" customFormat="false" ht="12" hidden="false" customHeight="true" outlineLevel="0" collapsed="false">
      <c r="A12" s="354" t="s">
        <v>418</v>
      </c>
      <c r="B12" s="357" t="n">
        <f aca="false">SUM('Project Assumptions'!C27:C33)</f>
        <v>3035.024</v>
      </c>
      <c r="C12" s="417"/>
      <c r="D12" s="357" t="n">
        <f aca="false">$B$12*D8</f>
        <v>303.5024</v>
      </c>
      <c r="E12" s="357" t="n">
        <f aca="false">$B$12*E8</f>
        <v>607.0048</v>
      </c>
      <c r="F12" s="357" t="n">
        <f aca="false">$B$12*F8</f>
        <v>607.0048</v>
      </c>
      <c r="G12" s="357" t="n">
        <f aca="false">$B$12*G8</f>
        <v>607.0048</v>
      </c>
      <c r="H12" s="357" t="n">
        <f aca="false">$B$12*H8</f>
        <v>607.0048</v>
      </c>
      <c r="I12" s="357" t="n">
        <f aca="false">$B$12*I8</f>
        <v>303.5024</v>
      </c>
      <c r="J12" s="357" t="n">
        <f aca="false">$B$12*J8</f>
        <v>0</v>
      </c>
      <c r="K12" s="357" t="n">
        <f aca="false">$B$12*K8</f>
        <v>0</v>
      </c>
      <c r="L12" s="357" t="n">
        <f aca="false">$B$12*L8</f>
        <v>0</v>
      </c>
      <c r="M12" s="357" t="n">
        <f aca="false">$B$12*M8</f>
        <v>0</v>
      </c>
      <c r="N12" s="357" t="n">
        <f aca="false">$B$12*N8</f>
        <v>0</v>
      </c>
      <c r="O12" s="357" t="n">
        <f aca="false">$B$12*O8</f>
        <v>0</v>
      </c>
      <c r="P12" s="357" t="n">
        <f aca="false">$B$12*P8</f>
        <v>0</v>
      </c>
      <c r="Q12" s="357" t="n">
        <f aca="false">$B$12*Q8</f>
        <v>0</v>
      </c>
      <c r="R12" s="357" t="n">
        <f aca="false">$B$12*R8</f>
        <v>0</v>
      </c>
      <c r="S12" s="357" t="n">
        <f aca="false">$B$12*S8</f>
        <v>0</v>
      </c>
      <c r="AC12" s="417"/>
      <c r="AD12" s="417"/>
      <c r="AE12" s="359"/>
    </row>
    <row r="13" customFormat="false" ht="12" hidden="false" customHeight="true" outlineLevel="0" collapsed="false">
      <c r="A13" s="354" t="s">
        <v>419</v>
      </c>
      <c r="B13" s="422" t="n">
        <f aca="false">'Project Assumptions'!C38</f>
        <v>0</v>
      </c>
      <c r="C13" s="417"/>
      <c r="D13" s="422" t="n">
        <f aca="false">$B$13*D9</f>
        <v>0</v>
      </c>
      <c r="E13" s="422" t="n">
        <f aca="false">$B$13*E9</f>
        <v>0</v>
      </c>
      <c r="F13" s="422" t="n">
        <f aca="false">$B$13*F9</f>
        <v>0</v>
      </c>
      <c r="G13" s="422" t="n">
        <f aca="false">$B$13*G9</f>
        <v>0</v>
      </c>
      <c r="H13" s="422" t="n">
        <f aca="false">$B$13*H9</f>
        <v>0</v>
      </c>
      <c r="I13" s="422" t="n">
        <f aca="false">$B$13*I9</f>
        <v>0</v>
      </c>
      <c r="J13" s="422" t="n">
        <f aca="false">$B$13*J9</f>
        <v>0</v>
      </c>
      <c r="K13" s="422" t="n">
        <f aca="false">$B$13*K9</f>
        <v>0</v>
      </c>
      <c r="L13" s="422" t="n">
        <f aca="false">$B$13*L9</f>
        <v>0</v>
      </c>
      <c r="M13" s="422" t="n">
        <f aca="false">$B$13*M9</f>
        <v>0</v>
      </c>
      <c r="N13" s="422" t="n">
        <f aca="false">$B$13*N9</f>
        <v>0</v>
      </c>
      <c r="O13" s="422" t="n">
        <f aca="false">$B$13*O9</f>
        <v>0</v>
      </c>
      <c r="P13" s="422" t="n">
        <f aca="false">$B$13*P9</f>
        <v>0</v>
      </c>
      <c r="Q13" s="422" t="n">
        <f aca="false">$B$13*Q9</f>
        <v>0</v>
      </c>
      <c r="R13" s="422" t="n">
        <f aca="false">$B$13*R9</f>
        <v>0</v>
      </c>
      <c r="S13" s="422" t="n">
        <f aca="false">$B$13*S9</f>
        <v>0</v>
      </c>
      <c r="AC13" s="417"/>
      <c r="AD13" s="417"/>
      <c r="AE13" s="359"/>
    </row>
    <row r="14" customFormat="false" ht="12" hidden="false" customHeight="true" outlineLevel="0" collapsed="false">
      <c r="A14" s="354" t="s">
        <v>420</v>
      </c>
      <c r="B14" s="370" t="n">
        <f aca="false">SUM(B11:B13)</f>
        <v>116365.339630715</v>
      </c>
      <c r="C14" s="417"/>
      <c r="D14" s="370" t="n">
        <f aca="false">SUM(D11:D13)</f>
        <v>5970.01818153576</v>
      </c>
      <c r="E14" s="370" t="n">
        <f aca="false">SUM(E11:E13)</f>
        <v>11373.3847849179</v>
      </c>
      <c r="F14" s="370" t="n">
        <f aca="false">SUM(F11:F13)</f>
        <v>10296.7467864261</v>
      </c>
      <c r="G14" s="370" t="n">
        <f aca="false">SUM(G11:G13)</f>
        <v>9333.43910356507</v>
      </c>
      <c r="H14" s="370" t="n">
        <f aca="false">SUM(H11:H13)</f>
        <v>8460.79567320856</v>
      </c>
      <c r="I14" s="370" t="n">
        <f aca="false">SUM(I11:I13)</f>
        <v>7363.98106379355</v>
      </c>
      <c r="J14" s="370" t="n">
        <f aca="false">SUM(J11:J13)</f>
        <v>6686.48862221219</v>
      </c>
      <c r="K14" s="370" t="n">
        <f aca="false">SUM(K11:K13)</f>
        <v>6686.48862221219</v>
      </c>
      <c r="L14" s="370" t="n">
        <f aca="false">SUM(L11:L13)</f>
        <v>6697.82165377527</v>
      </c>
      <c r="M14" s="370" t="n">
        <f aca="false">SUM(M11:M13)</f>
        <v>6686.48862221219</v>
      </c>
      <c r="N14" s="370" t="n">
        <f aca="false">SUM(N11:N13)</f>
        <v>6697.82165377527</v>
      </c>
      <c r="O14" s="370" t="n">
        <f aca="false">SUM(O11:O13)</f>
        <v>6686.48862221219</v>
      </c>
      <c r="P14" s="370" t="n">
        <f aca="false">SUM(P11:P13)</f>
        <v>6697.82165377527</v>
      </c>
      <c r="Q14" s="370" t="n">
        <f aca="false">SUM(Q11:Q13)</f>
        <v>6686.48862221219</v>
      </c>
      <c r="R14" s="370" t="n">
        <f aca="false">SUM(R11:R13)</f>
        <v>6697.82165377527</v>
      </c>
      <c r="S14" s="370" t="n">
        <f aca="false">SUM(S11:S13)</f>
        <v>3343.2443111061</v>
      </c>
      <c r="AC14" s="417"/>
      <c r="AD14" s="417"/>
      <c r="AE14" s="417"/>
    </row>
    <row r="15" customFormat="false" ht="12" hidden="false" customHeight="true" outlineLevel="0" collapsed="false">
      <c r="A15" s="354"/>
      <c r="B15" s="417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AC15" s="417"/>
      <c r="AD15" s="417"/>
      <c r="AE15" s="359"/>
    </row>
    <row r="16" customFormat="false" ht="12" hidden="false" customHeight="true" outlineLevel="0" collapsed="false">
      <c r="A16" s="411" t="s">
        <v>421</v>
      </c>
      <c r="AE16" s="415"/>
    </row>
    <row r="17" customFormat="false" ht="12" hidden="false" customHeight="true" outlineLevel="0" collapsed="false">
      <c r="A17" s="411"/>
      <c r="B17" s="347" t="s">
        <v>413</v>
      </c>
      <c r="AE17" s="415"/>
    </row>
    <row r="18" customFormat="false" ht="12" hidden="false" customHeight="true" outlineLevel="0" collapsed="false">
      <c r="A18" s="354" t="s">
        <v>414</v>
      </c>
      <c r="B18" s="416" t="n">
        <f aca="false">B7</f>
        <v>15</v>
      </c>
      <c r="C18" s="418"/>
      <c r="D18" s="378" t="n">
        <f aca="false">IF(D4&gt;$B$18+1,0,IF($B$18=15,VLOOKUP(D4,$A$69:$B$84,2),VLOOKUP(D4,$A$89:$B$109,2)))</f>
        <v>0.05</v>
      </c>
      <c r="E18" s="378" t="n">
        <f aca="false">IF(E4&gt;$B$18+1,0,IF($B$18=15,VLOOKUP(E4,$A$69:$B$84,2),VLOOKUP(E4,$A$89:$B$109,2)))</f>
        <v>0.095</v>
      </c>
      <c r="F18" s="378" t="n">
        <f aca="false">IF(F4&gt;$B$18+1,0,IF($B$18=15,VLOOKUP(F4,$A$69:$B$84,2),VLOOKUP(F4,$A$89:$B$109,2)))</f>
        <v>0.0855</v>
      </c>
      <c r="G18" s="378" t="n">
        <f aca="false">IF(G4&gt;$B$18+1,0,IF($B$18=15,VLOOKUP(G4,$A$69:$B$84,2),VLOOKUP(G4,$A$89:$B$109,2)))</f>
        <v>0.077</v>
      </c>
      <c r="H18" s="378" t="n">
        <f aca="false">IF(H4&gt;$B$18+1,0,IF($B$18=15,VLOOKUP(H4,$A$69:$B$84,2),VLOOKUP(H4,$A$89:$B$109,2)))</f>
        <v>0.0693</v>
      </c>
      <c r="I18" s="378" t="n">
        <f aca="false">IF(I4&gt;$B$18+1,0,IF($B$18=15,VLOOKUP(I4,$A$69:$B$84,2),VLOOKUP(I4,$A$89:$B$109,2)))</f>
        <v>0.0623</v>
      </c>
      <c r="J18" s="378" t="n">
        <f aca="false">IF(J4&gt;$B$18+1,0,IF($B$18=15,VLOOKUP(J4,$A$69:$B$84,2),VLOOKUP(J4,$A$89:$B$109,2)))</f>
        <v>0.059</v>
      </c>
      <c r="K18" s="378" t="n">
        <f aca="false">IF(K4&gt;$B$18+1,0,IF($B$18=15,VLOOKUP(K4,$A$69:$B$84,2),VLOOKUP(K4,$A$89:$B$109,2)))</f>
        <v>0.059</v>
      </c>
      <c r="L18" s="378" t="n">
        <f aca="false">IF(L4&gt;$B$18+1,0,IF($B$18=15,VLOOKUP(L4,$A$69:$B$84,2),VLOOKUP(L4,$A$89:$B$109,2)))</f>
        <v>0.0591</v>
      </c>
      <c r="M18" s="378" t="n">
        <f aca="false">IF(M4&gt;$B$18+1,0,IF($B$18=15,VLOOKUP(M4,$A$69:$B$84,2),VLOOKUP(M4,$A$89:$B$109,2)))</f>
        <v>0.059</v>
      </c>
      <c r="N18" s="378" t="n">
        <f aca="false">IF(N4&gt;$B$18+1,0,IF($B$18=15,VLOOKUP(N4,$A$69:$B$84,2),VLOOKUP(N4,$A$89:$B$109,2)))</f>
        <v>0.0591</v>
      </c>
      <c r="O18" s="378" t="n">
        <f aca="false">IF(O4&gt;$B$18+1,0,IF($B$18=15,VLOOKUP(O4,$A$69:$B$84,2),VLOOKUP(O4,$A$89:$B$109,2)))</f>
        <v>0.059</v>
      </c>
      <c r="P18" s="378" t="n">
        <f aca="false">IF(P4&gt;$B$18+1,0,IF($B$18=15,VLOOKUP(P4,$A$69:$B$84,2),VLOOKUP(P4,$A$89:$B$109,2)))</f>
        <v>0.0591</v>
      </c>
      <c r="Q18" s="378" t="n">
        <f aca="false">IF(Q4&gt;$B$18+1,0,IF($B$18=15,VLOOKUP(Q4,$A$69:$B$84,2),VLOOKUP(Q4,$A$89:$B$109,2)))</f>
        <v>0.059</v>
      </c>
      <c r="R18" s="378" t="n">
        <f aca="false">IF(R4&gt;$B$18+1,0,IF($B$18=15,VLOOKUP(R4,$A$69:$B$84,2),VLOOKUP(R4,$A$89:$B$109,2)))</f>
        <v>0.0591</v>
      </c>
      <c r="S18" s="378" t="n">
        <f aca="false">IF(S4&gt;$B$18+1,0,IF($B$18=15,VLOOKUP(S4,$A$69:$B$84,2),VLOOKUP(S4,$A$89:$B$109,2)))</f>
        <v>0.0295</v>
      </c>
      <c r="AC18" s="418"/>
      <c r="AD18" s="418"/>
      <c r="AE18" s="419"/>
    </row>
    <row r="19" customFormat="false" ht="12" hidden="false" customHeight="true" outlineLevel="0" collapsed="false">
      <c r="A19" s="354" t="s">
        <v>415</v>
      </c>
      <c r="B19" s="416" t="n">
        <v>5</v>
      </c>
      <c r="D19" s="378" t="n">
        <v>0.1</v>
      </c>
      <c r="E19" s="378" t="n">
        <f aca="false">IF(E$4&lt;=$B19,(1/$B19),IF(E$4=$B19+1,(1/$B19)-$D19,0))</f>
        <v>0.2</v>
      </c>
      <c r="F19" s="378" t="n">
        <f aca="false">IF(F$4&lt;=$B19,(1/$B19),IF(F$4=$B19+1,(1/$B19)-$D19,0))</f>
        <v>0.2</v>
      </c>
      <c r="G19" s="378" t="n">
        <f aca="false">IF(G$4&lt;=$B19,(1/$B19),IF(G$4=$B19+1,(1/$B19)-$D19,0))</f>
        <v>0.2</v>
      </c>
      <c r="H19" s="378" t="n">
        <f aca="false">IF(H$4&lt;=$B19,(1/$B19),IF(H$4=$B19+1,(1/$B19)-$D19,0))</f>
        <v>0.2</v>
      </c>
      <c r="I19" s="378" t="n">
        <f aca="false">IF(I$4&lt;=$B19,(1/$B19),IF(I$4=$B19+1,(1/$B19)-$D19,0))</f>
        <v>0.1</v>
      </c>
      <c r="J19" s="378" t="n">
        <f aca="false">IF(J$4&lt;=$B19,(1/$B19),IF(J$4=$B19+1,(1/$B19)-$D19,0))</f>
        <v>0</v>
      </c>
      <c r="K19" s="378" t="n">
        <f aca="false">IF(K$4&lt;=$B19,(1/$B19),IF(K$4=$B19+1,(1/$B19)-$D19,0))</f>
        <v>0</v>
      </c>
      <c r="L19" s="378" t="n">
        <f aca="false">IF(L$4&lt;=$B19,(1/$B19),IF(L$4=$B19+1,(1/$B19)-$D19,0))</f>
        <v>0</v>
      </c>
      <c r="M19" s="378" t="n">
        <f aca="false">IF(M$4&lt;=$B19,(1/$B19),IF(M$4=$B19+1,(1/$B19)-$D19,0))</f>
        <v>0</v>
      </c>
      <c r="N19" s="378" t="n">
        <f aca="false">IF(N$4&lt;=$B19,(1/$B19),IF(N$4=$B19+1,(1/$B19)-$D19,0))</f>
        <v>0</v>
      </c>
      <c r="O19" s="378" t="n">
        <f aca="false">IF(O$4&lt;=$B19,(1/$B19),IF(O$4=$B19+1,(1/$B19)-$D19,0))</f>
        <v>0</v>
      </c>
      <c r="P19" s="378" t="n">
        <f aca="false">IF(P$4&lt;=$B19,(1/$B19),IF(P$4=$B19+1,(1/$B19)-$D19,0))</f>
        <v>0</v>
      </c>
      <c r="Q19" s="378" t="n">
        <f aca="false">IF(Q$4&lt;=$B19,(1/$B19),IF(Q$4=$B19+1,(1/$B19)-$D19,0))</f>
        <v>0</v>
      </c>
      <c r="R19" s="378" t="n">
        <f aca="false">IF(R$4&lt;=$B19,(1/$B19),IF(R$4=$B19+1,(1/$B19)-$D19,0))</f>
        <v>0</v>
      </c>
      <c r="S19" s="378" t="n">
        <f aca="false">IF(S$4&lt;=$B19,(1/$B19),IF(S$4=$B19+1,(1/$B19)-$D19,0))</f>
        <v>0</v>
      </c>
      <c r="AC19" s="418"/>
      <c r="AD19" s="418"/>
      <c r="AE19" s="419"/>
    </row>
    <row r="20" customFormat="false" ht="12" hidden="false" customHeight="true" outlineLevel="0" collapsed="false">
      <c r="A20" s="354" t="s">
        <v>416</v>
      </c>
      <c r="B20" s="420" t="n">
        <f aca="false">MAX('Project Assumptions'!$I$42,'Project Assumptions'!$F$42,'Project Assumptions'!$G$42)</f>
        <v>15</v>
      </c>
      <c r="D20" s="378" t="n">
        <v>0.0333</v>
      </c>
      <c r="E20" s="378" t="n">
        <f aca="false">IF(E$4&lt;=$B$20,(1/$B$20),IF(E$4=$B$20+1,(1/$B$20)-$D$20,0))</f>
        <v>0.0666666666666667</v>
      </c>
      <c r="F20" s="378" t="n">
        <f aca="false">IF(F$4&lt;=$B$20,(1/$B$20),IF(F$4=$B$20+1,(1/$B$20)-$D$20,0))</f>
        <v>0.0666666666666667</v>
      </c>
      <c r="G20" s="378" t="n">
        <f aca="false">IF(G$4&lt;=$B$20,(1/$B$20),IF(G$4=$B$20+1,(1/$B$20)-$D$20,0))</f>
        <v>0.0666666666666667</v>
      </c>
      <c r="H20" s="378" t="n">
        <f aca="false">IF(H$4&lt;=$B$20,(1/$B$20),IF(H$4=$B$20+1,(1/$B$20)-$D$20,0))</f>
        <v>0.0666666666666667</v>
      </c>
      <c r="I20" s="378" t="n">
        <f aca="false">IF(I$4&lt;=$B$20,(1/$B$20),IF(I$4=$B$20+1,(1/$B$20)-$D$20,0))</f>
        <v>0.0666666666666667</v>
      </c>
      <c r="J20" s="378" t="n">
        <f aca="false">IF(J$4&lt;=$B$20,(1/$B$20),IF(J$4=$B$20+1,(1/$B$20)-$D$20,0))</f>
        <v>0.0666666666666667</v>
      </c>
      <c r="K20" s="378" t="n">
        <f aca="false">IF(K$4&lt;=$B$20,(1/$B$20),IF(K$4=$B$20+1,(1/$B$20)-$D$20,0))</f>
        <v>0.0666666666666667</v>
      </c>
      <c r="L20" s="378" t="n">
        <f aca="false">IF(L$4&lt;=$B$20,(1/$B$20),IF(L$4=$B$20+1,(1/$B$20)-$D$20,0))</f>
        <v>0.0666666666666667</v>
      </c>
      <c r="M20" s="378" t="n">
        <f aca="false">IF(M$4&lt;=$B$20,(1/$B$20),IF(M$4=$B$20+1,(1/$B$20)-$D$20,0))</f>
        <v>0.0666666666666667</v>
      </c>
      <c r="N20" s="378" t="n">
        <f aca="false">IF(N$4&lt;=$B$20,(1/$B$20),IF(N$4=$B$20+1,(1/$B$20)-$D$20,0))</f>
        <v>0.0666666666666667</v>
      </c>
      <c r="O20" s="378" t="n">
        <f aca="false">IF(O$4&lt;=$B$20,(1/$B$20),IF(O$4=$B$20+1,(1/$B$20)-$D$20,0))</f>
        <v>0.0666666666666667</v>
      </c>
      <c r="P20" s="378" t="n">
        <f aca="false">IF(P$4&lt;=$B$20,(1/$B$20),IF(P$4=$B$20+1,(1/$B$20)-$D$20,0))</f>
        <v>0.0666666666666667</v>
      </c>
      <c r="Q20" s="378" t="n">
        <f aca="false">IF(Q$4&lt;=$B$20,(1/$B$20),IF(Q$4=$B$20+1,(1/$B$20)-$D$20,0))</f>
        <v>0.0666666666666667</v>
      </c>
      <c r="R20" s="378" t="n">
        <f aca="false">IF(R$4&lt;=$B$20,(1/$B$20),IF(R$4=$B$20+1,(1/$B$20)-$D$20,0))</f>
        <v>0.0666666666666667</v>
      </c>
      <c r="S20" s="378" t="n">
        <f aca="false">IF(S$4&lt;=$B$20,(1/$B$20),IF(S$4=$B$20+1,(1/$B$20)-$D$20,0))</f>
        <v>0.0333666666666667</v>
      </c>
      <c r="AC20" s="418"/>
      <c r="AD20" s="418"/>
      <c r="AE20" s="419"/>
    </row>
    <row r="21" customFormat="false" ht="12" hidden="false" customHeight="true" outlineLevel="0" collapsed="false">
      <c r="A21" s="354"/>
      <c r="B21" s="416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423"/>
      <c r="R21" s="423"/>
      <c r="S21" s="423"/>
      <c r="AC21" s="418"/>
      <c r="AD21" s="418"/>
      <c r="AE21" s="419"/>
    </row>
    <row r="22" customFormat="false" ht="12" hidden="false" customHeight="true" outlineLevel="0" collapsed="false">
      <c r="B22" s="347"/>
    </row>
    <row r="23" customFormat="false" ht="12" hidden="false" customHeight="true" outlineLevel="0" collapsed="false">
      <c r="A23" s="354" t="s">
        <v>417</v>
      </c>
      <c r="B23" s="370" t="n">
        <f aca="false">B11</f>
        <v>113330.315630715</v>
      </c>
      <c r="C23" s="357"/>
      <c r="D23" s="370" t="n">
        <f aca="false">$B$23*D18</f>
        <v>5666.51578153576</v>
      </c>
      <c r="E23" s="370" t="n">
        <f aca="false">$B$23*E18</f>
        <v>10766.3799849179</v>
      </c>
      <c r="F23" s="370" t="n">
        <f aca="false">$B$23*F18</f>
        <v>9689.74198642615</v>
      </c>
      <c r="G23" s="370" t="n">
        <f aca="false">$B$23*G18</f>
        <v>8726.43430356507</v>
      </c>
      <c r="H23" s="370" t="n">
        <f aca="false">$B$23*H18</f>
        <v>7853.79087320856</v>
      </c>
      <c r="I23" s="370" t="n">
        <f aca="false">$B$23*I18</f>
        <v>7060.47866379355</v>
      </c>
      <c r="J23" s="370" t="n">
        <f aca="false">$B$23*J18</f>
        <v>6686.48862221219</v>
      </c>
      <c r="K23" s="370" t="n">
        <f aca="false">$B$23*K18</f>
        <v>6686.48862221219</v>
      </c>
      <c r="L23" s="370" t="n">
        <f aca="false">$B$23*L18</f>
        <v>6697.82165377527</v>
      </c>
      <c r="M23" s="370" t="n">
        <f aca="false">$B$23*M18</f>
        <v>6686.48862221219</v>
      </c>
      <c r="N23" s="370" t="n">
        <f aca="false">$B$23*N18</f>
        <v>6697.82165377527</v>
      </c>
      <c r="O23" s="370" t="n">
        <f aca="false">$B$23*O18</f>
        <v>6686.48862221219</v>
      </c>
      <c r="P23" s="370" t="n">
        <f aca="false">$B$23*P18</f>
        <v>6697.82165377527</v>
      </c>
      <c r="Q23" s="370" t="n">
        <f aca="false">$B$23*Q18</f>
        <v>6686.48862221219</v>
      </c>
      <c r="R23" s="370" t="n">
        <f aca="false">$B$23*R18</f>
        <v>6697.82165377527</v>
      </c>
      <c r="S23" s="370" t="n">
        <f aca="false">$B$23*S18</f>
        <v>3343.2443111061</v>
      </c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7"/>
      <c r="BF23" s="357"/>
      <c r="BG23" s="357"/>
      <c r="BH23" s="357"/>
      <c r="BI23" s="357"/>
      <c r="BJ23" s="357"/>
      <c r="BK23" s="357"/>
      <c r="BL23" s="357"/>
      <c r="BM23" s="357"/>
      <c r="BN23" s="357"/>
      <c r="BO23" s="357"/>
      <c r="BP23" s="357"/>
      <c r="BQ23" s="357"/>
      <c r="BR23" s="357"/>
      <c r="BS23" s="357"/>
      <c r="BT23" s="357"/>
      <c r="BU23" s="357"/>
      <c r="BV23" s="357"/>
      <c r="BW23" s="357"/>
      <c r="BX23" s="357"/>
      <c r="BY23" s="357"/>
      <c r="BZ23" s="357"/>
      <c r="CA23" s="357"/>
      <c r="CB23" s="357"/>
      <c r="CC23" s="357"/>
      <c r="CD23" s="357"/>
      <c r="CE23" s="357"/>
      <c r="CF23" s="357"/>
      <c r="CG23" s="357"/>
      <c r="CH23" s="357"/>
      <c r="CI23" s="357"/>
      <c r="CJ23" s="357"/>
      <c r="CK23" s="357"/>
      <c r="CL23" s="357"/>
      <c r="CM23" s="357"/>
      <c r="CN23" s="357"/>
      <c r="CO23" s="357"/>
      <c r="CP23" s="357"/>
      <c r="CQ23" s="357"/>
      <c r="CR23" s="357"/>
      <c r="CS23" s="357"/>
      <c r="CT23" s="357"/>
      <c r="CU23" s="357"/>
      <c r="CV23" s="357"/>
      <c r="CW23" s="357"/>
      <c r="CX23" s="357"/>
      <c r="CY23" s="357"/>
      <c r="CZ23" s="357"/>
      <c r="DA23" s="357"/>
      <c r="DB23" s="357"/>
      <c r="DC23" s="357"/>
      <c r="DD23" s="357"/>
      <c r="DE23" s="357"/>
      <c r="DF23" s="357"/>
      <c r="DG23" s="357"/>
      <c r="DH23" s="357"/>
      <c r="DI23" s="357"/>
      <c r="DJ23" s="357"/>
      <c r="DK23" s="357"/>
      <c r="DL23" s="357"/>
      <c r="DM23" s="357"/>
      <c r="DN23" s="357"/>
      <c r="DO23" s="357"/>
      <c r="DP23" s="357"/>
      <c r="DQ23" s="357"/>
      <c r="DR23" s="357"/>
      <c r="DS23" s="357"/>
      <c r="DT23" s="357"/>
      <c r="DU23" s="357"/>
      <c r="DV23" s="357"/>
      <c r="DW23" s="357"/>
      <c r="DX23" s="357"/>
      <c r="DY23" s="357"/>
      <c r="DZ23" s="357"/>
      <c r="EA23" s="357"/>
      <c r="EB23" s="357"/>
      <c r="EC23" s="357"/>
      <c r="ED23" s="357"/>
      <c r="EE23" s="357"/>
      <c r="EF23" s="357"/>
      <c r="EG23" s="357"/>
      <c r="EH23" s="357"/>
      <c r="EI23" s="357"/>
      <c r="EJ23" s="357"/>
      <c r="EK23" s="357"/>
      <c r="EL23" s="357"/>
      <c r="EM23" s="357"/>
      <c r="EN23" s="357"/>
      <c r="EO23" s="357"/>
      <c r="EP23" s="357"/>
      <c r="EQ23" s="357"/>
      <c r="ER23" s="357"/>
      <c r="ES23" s="357"/>
      <c r="ET23" s="357"/>
      <c r="EU23" s="357"/>
      <c r="EV23" s="357"/>
      <c r="EW23" s="357"/>
      <c r="EX23" s="357"/>
      <c r="EY23" s="357"/>
      <c r="EZ23" s="357"/>
      <c r="FA23" s="357"/>
      <c r="FB23" s="357"/>
      <c r="FC23" s="357"/>
      <c r="FD23" s="357"/>
      <c r="FE23" s="357"/>
      <c r="FF23" s="357"/>
      <c r="FG23" s="357"/>
      <c r="FH23" s="357"/>
      <c r="FI23" s="357"/>
      <c r="FJ23" s="357"/>
      <c r="FK23" s="357"/>
      <c r="FL23" s="357"/>
      <c r="FM23" s="357"/>
      <c r="FN23" s="357"/>
      <c r="FO23" s="357"/>
      <c r="FP23" s="357"/>
      <c r="FQ23" s="357"/>
      <c r="FR23" s="357"/>
      <c r="FS23" s="357"/>
      <c r="FT23" s="357"/>
      <c r="FU23" s="357"/>
      <c r="FV23" s="357"/>
      <c r="FW23" s="357"/>
      <c r="FX23" s="357"/>
      <c r="FY23" s="357"/>
      <c r="FZ23" s="357"/>
      <c r="GA23" s="357"/>
      <c r="GB23" s="357"/>
      <c r="GC23" s="357"/>
      <c r="GD23" s="357"/>
      <c r="GE23" s="357"/>
      <c r="GF23" s="357"/>
      <c r="GG23" s="357"/>
      <c r="GH23" s="357"/>
      <c r="GI23" s="357"/>
      <c r="GJ23" s="357"/>
      <c r="GK23" s="357"/>
      <c r="GL23" s="357"/>
      <c r="GM23" s="357"/>
      <c r="GN23" s="357"/>
      <c r="GO23" s="357"/>
      <c r="GP23" s="357"/>
      <c r="GQ23" s="357"/>
      <c r="GR23" s="357"/>
      <c r="GS23" s="357"/>
      <c r="GT23" s="357"/>
      <c r="GU23" s="357"/>
      <c r="GV23" s="357"/>
      <c r="GW23" s="357"/>
      <c r="GX23" s="357"/>
      <c r="GY23" s="357"/>
      <c r="GZ23" s="357"/>
      <c r="HA23" s="357"/>
      <c r="HB23" s="357"/>
      <c r="HC23" s="357"/>
      <c r="HD23" s="357"/>
      <c r="HE23" s="357"/>
      <c r="HF23" s="357"/>
      <c r="HG23" s="357"/>
      <c r="HH23" s="357"/>
      <c r="HI23" s="357"/>
      <c r="HJ23" s="357"/>
      <c r="HK23" s="357"/>
      <c r="HL23" s="357"/>
      <c r="HM23" s="357"/>
      <c r="HN23" s="357"/>
      <c r="HO23" s="357"/>
      <c r="HP23" s="357"/>
      <c r="HQ23" s="357"/>
      <c r="HR23" s="357"/>
      <c r="HS23" s="357"/>
      <c r="HT23" s="357"/>
      <c r="HU23" s="357"/>
      <c r="HV23" s="357"/>
      <c r="HW23" s="357"/>
      <c r="HX23" s="357"/>
      <c r="HY23" s="357"/>
      <c r="HZ23" s="357"/>
      <c r="IA23" s="357"/>
      <c r="IB23" s="357"/>
      <c r="IC23" s="357"/>
      <c r="ID23" s="357"/>
      <c r="IE23" s="357"/>
      <c r="IF23" s="357"/>
      <c r="IG23" s="357"/>
      <c r="IH23" s="357"/>
      <c r="II23" s="357"/>
      <c r="IJ23" s="357"/>
      <c r="IK23" s="357"/>
      <c r="IL23" s="357"/>
      <c r="IM23" s="357"/>
      <c r="IN23" s="357"/>
      <c r="IO23" s="357"/>
      <c r="IP23" s="357"/>
      <c r="IQ23" s="357"/>
      <c r="IR23" s="357"/>
      <c r="IS23" s="357"/>
      <c r="IT23" s="357"/>
      <c r="IU23" s="357"/>
      <c r="IV23" s="357"/>
      <c r="IW23" s="357"/>
    </row>
    <row r="24" customFormat="false" ht="12" hidden="false" customHeight="true" outlineLevel="0" collapsed="false">
      <c r="A24" s="354" t="s">
        <v>418</v>
      </c>
      <c r="B24" s="357" t="n">
        <f aca="false">B12</f>
        <v>3035.024</v>
      </c>
      <c r="D24" s="357" t="n">
        <f aca="false">$B24*D19</f>
        <v>303.5024</v>
      </c>
      <c r="E24" s="357" t="n">
        <f aca="false">$B24*E19</f>
        <v>607.0048</v>
      </c>
      <c r="F24" s="357" t="n">
        <f aca="false">$B24*F19</f>
        <v>607.0048</v>
      </c>
      <c r="G24" s="357" t="n">
        <f aca="false">$B24*G19</f>
        <v>607.0048</v>
      </c>
      <c r="H24" s="357" t="n">
        <f aca="false">$B24*H19</f>
        <v>607.0048</v>
      </c>
      <c r="I24" s="357" t="n">
        <f aca="false">$B24*I19</f>
        <v>303.5024</v>
      </c>
      <c r="J24" s="357" t="n">
        <f aca="false">$B24*J19</f>
        <v>0</v>
      </c>
      <c r="K24" s="357" t="n">
        <f aca="false">$B24*K19</f>
        <v>0</v>
      </c>
      <c r="L24" s="357" t="n">
        <f aca="false">$B24*L19</f>
        <v>0</v>
      </c>
      <c r="M24" s="357" t="n">
        <f aca="false">$B24*M19</f>
        <v>0</v>
      </c>
      <c r="N24" s="357" t="n">
        <f aca="false">$B24*N19</f>
        <v>0</v>
      </c>
      <c r="O24" s="357" t="n">
        <f aca="false">$B24*O19</f>
        <v>0</v>
      </c>
      <c r="P24" s="357" t="n">
        <f aca="false">$B24*P19</f>
        <v>0</v>
      </c>
      <c r="Q24" s="357" t="n">
        <f aca="false">$B24*Q19</f>
        <v>0</v>
      </c>
      <c r="R24" s="357" t="n">
        <f aca="false">$B24*R19</f>
        <v>0</v>
      </c>
      <c r="S24" s="357" t="n">
        <f aca="false">$B24*S19</f>
        <v>0</v>
      </c>
      <c r="AC24" s="417"/>
      <c r="AD24" s="417"/>
      <c r="AE24" s="359"/>
    </row>
    <row r="25" customFormat="false" ht="12" hidden="false" customHeight="true" outlineLevel="0" collapsed="false">
      <c r="A25" s="354" t="s">
        <v>419</v>
      </c>
      <c r="B25" s="366" t="n">
        <f aca="false">B13</f>
        <v>0</v>
      </c>
      <c r="D25" s="366" t="n">
        <f aca="false">$B25*D20</f>
        <v>0</v>
      </c>
      <c r="E25" s="366" t="n">
        <f aca="false">$B25*E20</f>
        <v>0</v>
      </c>
      <c r="F25" s="366" t="n">
        <f aca="false">$B25*F20</f>
        <v>0</v>
      </c>
      <c r="G25" s="366" t="n">
        <f aca="false">$B25*G20</f>
        <v>0</v>
      </c>
      <c r="H25" s="366" t="n">
        <f aca="false">$B25*H20</f>
        <v>0</v>
      </c>
      <c r="I25" s="366" t="n">
        <f aca="false">$B25*I20</f>
        <v>0</v>
      </c>
      <c r="J25" s="366" t="n">
        <f aca="false">$B25*J20</f>
        <v>0</v>
      </c>
      <c r="K25" s="366" t="n">
        <f aca="false">$B25*K20</f>
        <v>0</v>
      </c>
      <c r="L25" s="366" t="n">
        <f aca="false">$B25*L20</f>
        <v>0</v>
      </c>
      <c r="M25" s="366" t="n">
        <f aca="false">$B25*M20</f>
        <v>0</v>
      </c>
      <c r="N25" s="366" t="n">
        <f aca="false">$B25*N20</f>
        <v>0</v>
      </c>
      <c r="O25" s="366" t="n">
        <f aca="false">$B25*O20</f>
        <v>0</v>
      </c>
      <c r="P25" s="366" t="n">
        <f aca="false">$B25*P20</f>
        <v>0</v>
      </c>
      <c r="Q25" s="366" t="n">
        <f aca="false">$B25*Q20</f>
        <v>0</v>
      </c>
      <c r="R25" s="366" t="n">
        <f aca="false">$B25*R20</f>
        <v>0</v>
      </c>
      <c r="S25" s="366" t="n">
        <f aca="false">$B25*S20</f>
        <v>0</v>
      </c>
      <c r="AC25" s="417"/>
      <c r="AD25" s="417"/>
      <c r="AE25" s="359"/>
    </row>
    <row r="26" customFormat="false" ht="12" hidden="false" customHeight="true" outlineLevel="0" collapsed="false">
      <c r="A26" s="354" t="s">
        <v>420</v>
      </c>
      <c r="B26" s="370"/>
      <c r="D26" s="370" t="n">
        <f aca="false">SUM(D23:D25)</f>
        <v>5970.01818153576</v>
      </c>
      <c r="E26" s="370" t="n">
        <f aca="false">SUM(E23:E25)</f>
        <v>11373.3847849179</v>
      </c>
      <c r="F26" s="370" t="n">
        <f aca="false">SUM(F23:F25)</f>
        <v>10296.7467864261</v>
      </c>
      <c r="G26" s="370" t="n">
        <f aca="false">SUM(G23:G25)</f>
        <v>9333.43910356507</v>
      </c>
      <c r="H26" s="370" t="n">
        <f aca="false">SUM(H23:H25)</f>
        <v>8460.79567320856</v>
      </c>
      <c r="I26" s="370" t="n">
        <f aca="false">SUM(I23:I25)</f>
        <v>7363.98106379355</v>
      </c>
      <c r="J26" s="370" t="n">
        <f aca="false">SUM(J23:J25)</f>
        <v>6686.48862221219</v>
      </c>
      <c r="K26" s="370" t="n">
        <f aca="false">SUM(K23:K25)</f>
        <v>6686.48862221219</v>
      </c>
      <c r="L26" s="370" t="n">
        <f aca="false">SUM(L23:L25)</f>
        <v>6697.82165377527</v>
      </c>
      <c r="M26" s="370" t="n">
        <f aca="false">SUM(M23:M25)</f>
        <v>6686.48862221219</v>
      </c>
      <c r="N26" s="370" t="n">
        <f aca="false">SUM(N23:N25)</f>
        <v>6697.82165377527</v>
      </c>
      <c r="O26" s="370" t="n">
        <f aca="false">SUM(O23:O25)</f>
        <v>6686.48862221219</v>
      </c>
      <c r="P26" s="370" t="n">
        <f aca="false">SUM(P23:P25)</f>
        <v>6697.82165377527</v>
      </c>
      <c r="Q26" s="370" t="n">
        <f aca="false">SUM(Q23:Q25)</f>
        <v>6686.48862221219</v>
      </c>
      <c r="R26" s="370" t="n">
        <f aca="false">SUM(R23:R25)</f>
        <v>6697.82165377527</v>
      </c>
      <c r="S26" s="370" t="n">
        <f aca="false">SUM(S23:S25)</f>
        <v>3343.2443111061</v>
      </c>
      <c r="AC26" s="417"/>
      <c r="AD26" s="417"/>
      <c r="AE26" s="359"/>
    </row>
    <row r="27" customFormat="false" ht="12" hidden="false" customHeight="true" outlineLevel="0" collapsed="false"/>
    <row r="28" customFormat="false" ht="12" hidden="false" customHeight="true" outlineLevel="0" collapsed="false">
      <c r="A28" s="411" t="s">
        <v>422</v>
      </c>
      <c r="AE28" s="415"/>
    </row>
    <row r="29" customFormat="false" ht="12" hidden="false" customHeight="true" outlineLevel="0" collapsed="false">
      <c r="A29" s="411"/>
      <c r="B29" s="347" t="s">
        <v>413</v>
      </c>
      <c r="C29" s="424" t="s">
        <v>423</v>
      </c>
      <c r="D29" s="341" t="n">
        <v>1</v>
      </c>
      <c r="E29" s="341" t="n">
        <f aca="false">D29+1</f>
        <v>2</v>
      </c>
      <c r="F29" s="341" t="n">
        <f aca="false">E29+1</f>
        <v>3</v>
      </c>
      <c r="G29" s="341" t="n">
        <f aca="false">F29+1</f>
        <v>4</v>
      </c>
      <c r="H29" s="341" t="n">
        <f aca="false">G29+1</f>
        <v>5</v>
      </c>
      <c r="I29" s="341" t="n">
        <f aca="false">H29+1</f>
        <v>6</v>
      </c>
      <c r="J29" s="341" t="n">
        <f aca="false">I29+1</f>
        <v>7</v>
      </c>
      <c r="K29" s="341" t="n">
        <f aca="false">J29+1</f>
        <v>8</v>
      </c>
      <c r="L29" s="341" t="n">
        <f aca="false">K29+1</f>
        <v>9</v>
      </c>
      <c r="M29" s="341" t="n">
        <f aca="false">L29+1</f>
        <v>10</v>
      </c>
      <c r="N29" s="341" t="n">
        <f aca="false">M29+1</f>
        <v>11</v>
      </c>
      <c r="O29" s="341" t="n">
        <f aca="false">N29+1</f>
        <v>12</v>
      </c>
      <c r="P29" s="341" t="n">
        <f aca="false">O29+1</f>
        <v>13</v>
      </c>
      <c r="Q29" s="341" t="n">
        <f aca="false">P29+1</f>
        <v>14</v>
      </c>
      <c r="R29" s="341" t="n">
        <f aca="false">Q29+1</f>
        <v>15</v>
      </c>
      <c r="S29" s="341" t="n">
        <f aca="false">R29+1</f>
        <v>16</v>
      </c>
      <c r="AE29" s="415"/>
    </row>
    <row r="30" customFormat="false" ht="12" hidden="false" customHeight="true" outlineLevel="0" collapsed="false">
      <c r="A30" s="354" t="s">
        <v>424</v>
      </c>
      <c r="B30" s="416" t="n">
        <f aca="false">'Project Assumptions'!$N$56</f>
        <v>15</v>
      </c>
      <c r="C30" s="425"/>
      <c r="D30" s="378" t="n">
        <f aca="false">1/$B$30*0.5</f>
        <v>0.0333333333333333</v>
      </c>
      <c r="E30" s="378" t="n">
        <f aca="false">IF(E29&lt;=$B$30,1/$B$30,IF(E29=$B$30+1,1/$B$30*0.5,0))</f>
        <v>0.0666666666666667</v>
      </c>
      <c r="F30" s="378" t="n">
        <f aca="false">IF(F29&lt;=$B$30,1/$B$30,IF(F29=$B$30+1,1/$B$30*0.5,0))</f>
        <v>0.0666666666666667</v>
      </c>
      <c r="G30" s="378" t="n">
        <f aca="false">IF(G29&lt;=$B$30,1/$B$30,IF(G29=$B$30+1,1/$B$30*0.5,0))</f>
        <v>0.0666666666666667</v>
      </c>
      <c r="H30" s="378" t="n">
        <f aca="false">IF(H29&lt;=$B$30,1/$B$30,IF(H29=$B$30+1,1/$B$30*0.5,0))</f>
        <v>0.0666666666666667</v>
      </c>
      <c r="I30" s="378" t="n">
        <f aca="false">IF(I29&lt;=$B$30,1/$B$30,IF(I29=$B$30+1,1/$B$30*0.5,0))</f>
        <v>0.0666666666666667</v>
      </c>
      <c r="J30" s="378" t="n">
        <f aca="false">IF(J29&lt;=$B$30,1/$B$30,IF(J29=$B$30+1,1/$B$30*0.5,0))</f>
        <v>0.0666666666666667</v>
      </c>
      <c r="K30" s="378" t="n">
        <f aca="false">IF(K29&lt;=$B$30,1/$B$30,IF(K29=$B$30+1,1/$B$30*0.5,0))</f>
        <v>0.0666666666666667</v>
      </c>
      <c r="L30" s="378" t="n">
        <f aca="false">IF(L29&lt;=$B$30,1/$B$30,IF(L29=$B$30+1,1/$B$30*0.5,0))</f>
        <v>0.0666666666666667</v>
      </c>
      <c r="M30" s="378" t="n">
        <f aca="false">IF(M29&lt;=$B$30,1/$B$30,IF(M29=$B$30+1,1/$B$30*0.5,0))</f>
        <v>0.0666666666666667</v>
      </c>
      <c r="N30" s="378" t="n">
        <f aca="false">IF(N29&lt;=$B$30,1/$B$30,IF(N29=$B$30+1,1/$B$30*0.5,0))</f>
        <v>0.0666666666666667</v>
      </c>
      <c r="O30" s="378" t="n">
        <f aca="false">IF(O29&lt;=$B$30,1/$B$30,IF(O29=$B$30+1,1/$B$30*0.5,0))</f>
        <v>0.0666666666666667</v>
      </c>
      <c r="P30" s="378" t="n">
        <f aca="false">IF(P29&lt;=$B$30,1/$B$30,IF(P29=$B$30+1,1/$B$30*0.5,0))</f>
        <v>0.0666666666666667</v>
      </c>
      <c r="Q30" s="378" t="n">
        <f aca="false">IF(Q29&lt;=$B$30,1/$B$30,IF(Q29=$B$30+1,1/$B$30*0.5,0))</f>
        <v>0.0666666666666667</v>
      </c>
      <c r="R30" s="378" t="n">
        <f aca="false">IF(R29&lt;=$B$30,1/$B$30,IF(R29=$B$30+1,1/$B$30*0.5,0))</f>
        <v>0.0666666666666667</v>
      </c>
      <c r="S30" s="378" t="n">
        <f aca="false">IF(S29&lt;=$B$30,1/$B$30,IF(S29=$B$30+1,1/$B$30*0.5,0))</f>
        <v>0.0333333333333333</v>
      </c>
      <c r="AC30" s="423"/>
      <c r="AD30" s="418"/>
      <c r="AE30" s="419"/>
    </row>
    <row r="31" customFormat="false" ht="12" hidden="false" customHeight="true" outlineLevel="0" collapsed="false">
      <c r="A31" s="354" t="s">
        <v>415</v>
      </c>
      <c r="B31" s="416" t="n">
        <v>5</v>
      </c>
      <c r="D31" s="378" t="n">
        <v>0.1</v>
      </c>
      <c r="E31" s="378" t="n">
        <f aca="false">IF(E29&lt;=$B$31,(1/$B31),IF(E29=$B$31+1,(1/$B31)-$D$31,0))</f>
        <v>0.2</v>
      </c>
      <c r="F31" s="378" t="n">
        <f aca="false">IF(F29&lt;=$B$31,(1/$B31),IF(F29=$B$31+1,(1/$B31)-$D$31,0))</f>
        <v>0.2</v>
      </c>
      <c r="G31" s="378" t="n">
        <f aca="false">IF(G29&lt;=$B$31,(1/$B31),IF(G29=$B$31+1,(1/$B31)-$D$31,0))</f>
        <v>0.2</v>
      </c>
      <c r="H31" s="378" t="n">
        <f aca="false">IF(H29&lt;=$B$31,(1/$B31),IF(H29=$B$31+1,(1/$B31)-$D$31,0))</f>
        <v>0.2</v>
      </c>
      <c r="I31" s="378" t="n">
        <f aca="false">IF(I29&lt;=$B$31,(1/$B31),IF(I29=$B$31+1,(1/$B31)-$D$31,0))</f>
        <v>0.1</v>
      </c>
      <c r="J31" s="378" t="n">
        <f aca="false">IF(J29&lt;=$B$31,(1/$B31),IF(J29=$B$31+1,(1/$B31)-$D$31,0))</f>
        <v>0</v>
      </c>
      <c r="K31" s="378" t="n">
        <f aca="false">IF(K29&lt;=$B$31,(1/$B31),IF(K29=$B$31+1,(1/$B31)-$D$31,0))</f>
        <v>0</v>
      </c>
      <c r="L31" s="378" t="n">
        <f aca="false">IF(L29&lt;=$B$31,(1/$B31),IF(L29=$B$31+1,(1/$B31)-$D$31,0))</f>
        <v>0</v>
      </c>
      <c r="M31" s="378" t="n">
        <f aca="false">IF(M29&lt;=$B$31,(1/$B31),IF(M29=$B$31+1,(1/$B31)-$D$31,0))</f>
        <v>0</v>
      </c>
      <c r="N31" s="378" t="n">
        <f aca="false">IF(N29&lt;=$B$31,(1/$B31),IF(N29=$B$31+1,(1/$B31)-$D$31,0))</f>
        <v>0</v>
      </c>
      <c r="O31" s="378" t="n">
        <f aca="false">IF(O29&lt;=$B$31,(1/$B31),IF(O29=$B$31+1,(1/$B31)-$D$31,0))</f>
        <v>0</v>
      </c>
      <c r="P31" s="378" t="n">
        <f aca="false">IF(P29&lt;=$B$31,(1/$B31),IF(P29=$B$31+1,(1/$B31)-$D$31,0))</f>
        <v>0</v>
      </c>
      <c r="Q31" s="378" t="n">
        <f aca="false">IF(Q29&lt;=$B$31,(1/$B31),IF(Q29=$B$31+1,(1/$B31)-$D$31,0))</f>
        <v>0</v>
      </c>
      <c r="R31" s="378" t="n">
        <f aca="false">IF(R29&lt;=$B$31,(1/$B31),IF(R29=$B$31+1,(1/$B31)-$D$31,0))</f>
        <v>0</v>
      </c>
      <c r="S31" s="378" t="n">
        <f aca="false">IF(S29&lt;=$B$31,(1/$B31),IF(S29=$B$31+1,(1/$B31)-$D$31,0))</f>
        <v>0</v>
      </c>
      <c r="AD31" s="418"/>
      <c r="AE31" s="419"/>
    </row>
    <row r="32" customFormat="false" ht="12" hidden="false" customHeight="true" outlineLevel="0" collapsed="false">
      <c r="A32" s="354" t="s">
        <v>416</v>
      </c>
      <c r="B32" s="420" t="n">
        <f aca="false">+B9</f>
        <v>15</v>
      </c>
      <c r="D32" s="378" t="n">
        <f aca="false">((1-$C$30)/$B$32)*0.5</f>
        <v>0.0333333333333333</v>
      </c>
      <c r="E32" s="378" t="n">
        <f aca="false">IF(E29&lt;=$B$32,(1/$B32),IF(E29=$B$32+1,(1/$B32)-$D$32,0))</f>
        <v>0.0666666666666667</v>
      </c>
      <c r="F32" s="378" t="n">
        <f aca="false">IF(F29&lt;=$B$32,(1/$B32),IF(F29=$B$32+1,(1/$B32)-$D$32,0))</f>
        <v>0.0666666666666667</v>
      </c>
      <c r="G32" s="378" t="n">
        <f aca="false">IF(G29&lt;=$B$32,(1/$B32),IF(G29=$B$32+1,(1/$B32)-$D$32,0))</f>
        <v>0.0666666666666667</v>
      </c>
      <c r="H32" s="378" t="n">
        <f aca="false">IF(H29&lt;=$B$32,(1/$B32),IF(H29=$B$32+1,(1/$B32)-$D$32,0))</f>
        <v>0.0666666666666667</v>
      </c>
      <c r="I32" s="378" t="n">
        <f aca="false">IF(I29&lt;=$B$32,(1/$B32),IF(I29=$B$32+1,(1/$B32)-$D$32,0))</f>
        <v>0.0666666666666667</v>
      </c>
      <c r="J32" s="378" t="n">
        <f aca="false">IF(J29&lt;=$B$32,(1/$B32),IF(J29=$B$32+1,(1/$B32)-$D$32,0))</f>
        <v>0.0666666666666667</v>
      </c>
      <c r="K32" s="378" t="n">
        <f aca="false">IF(K29&lt;=$B$32,(1/$B32),IF(K29=$B$32+1,(1/$B32)-$D$32,0))</f>
        <v>0.0666666666666667</v>
      </c>
      <c r="L32" s="378" t="n">
        <f aca="false">IF(L29&lt;=$B$32,(1/$B32),IF(L29=$B$32+1,(1/$B32)-$D$32,0))</f>
        <v>0.0666666666666667</v>
      </c>
      <c r="M32" s="378" t="n">
        <f aca="false">IF(M29&lt;=$B$32,(1/$B32),IF(M29=$B$32+1,(1/$B32)-$D$32,0))</f>
        <v>0.0666666666666667</v>
      </c>
      <c r="N32" s="378" t="n">
        <f aca="false">IF(N29&lt;=$B$32,(1/$B32),IF(N29=$B$32+1,(1/$B32)-$D$32,0))</f>
        <v>0.0666666666666667</v>
      </c>
      <c r="O32" s="378" t="n">
        <f aca="false">IF(O29&lt;=$B$32,(1/$B32),IF(O29=$B$32+1,(1/$B32)-$D$32,0))</f>
        <v>0.0666666666666667</v>
      </c>
      <c r="P32" s="378" t="n">
        <f aca="false">IF(P29&lt;=$B$32,(1/$B32),IF(P29=$B$32+1,(1/$B32)-$D$32,0))</f>
        <v>0.0666666666666667</v>
      </c>
      <c r="Q32" s="378" t="n">
        <f aca="false">IF(Q29&lt;=$B$32,(1/$B32),IF(Q29=$B$32+1,(1/$B32)-$D$32,0))</f>
        <v>0.0666666666666667</v>
      </c>
      <c r="R32" s="378" t="n">
        <f aca="false">IF(R29&lt;=$B$32,(1/$B32),IF(R29=$B$32+1,(1/$B32)-$D$32,0))</f>
        <v>0.0666666666666667</v>
      </c>
      <c r="S32" s="378" t="n">
        <f aca="false">IF(S29&lt;=$B$32,(1/$B32),IF(S29=$B$32+1,(1/$B32)-$D$32,0))</f>
        <v>0.0333333333333333</v>
      </c>
      <c r="AD32" s="418"/>
      <c r="AE32" s="419"/>
    </row>
    <row r="33" customFormat="false" ht="12" hidden="false" customHeight="true" outlineLevel="0" collapsed="false">
      <c r="B33" s="347"/>
    </row>
    <row r="34" customFormat="false" ht="12" hidden="false" customHeight="true" outlineLevel="0" collapsed="false">
      <c r="A34" s="354" t="s">
        <v>425</v>
      </c>
      <c r="B34" s="370" t="n">
        <f aca="false">B11</f>
        <v>113330.315630715</v>
      </c>
      <c r="D34" s="370" t="n">
        <f aca="false">D30*($B34-(($B$34/$B$37)*'Project Assumptions'!$N$57))</f>
        <v>3453.03780626654</v>
      </c>
      <c r="E34" s="370" t="n">
        <f aca="false">E30*($B34-(($B$34/$B$37)*'Project Assumptions'!$N$57))</f>
        <v>6906.07561253308</v>
      </c>
      <c r="F34" s="370" t="n">
        <f aca="false">F30*($B34-(($B$34/$B$37)*'Project Assumptions'!$N$57))</f>
        <v>6906.07561253308</v>
      </c>
      <c r="G34" s="370" t="n">
        <f aca="false">G30*($B34-(($B$34/$B$37)*'Project Assumptions'!$N$57))</f>
        <v>6906.07561253308</v>
      </c>
      <c r="H34" s="370" t="n">
        <f aca="false">H30*($B34-(($B$34/$B$37)*'Project Assumptions'!$N$57))</f>
        <v>6906.07561253308</v>
      </c>
      <c r="I34" s="370" t="n">
        <f aca="false">I30*($B34-(($B$34/$B$37)*'Project Assumptions'!$N$57))</f>
        <v>6906.07561253308</v>
      </c>
      <c r="J34" s="370" t="n">
        <f aca="false">J30*($B34-(($B$34/$B$37)*'Project Assumptions'!$N$57))</f>
        <v>6906.07561253308</v>
      </c>
      <c r="K34" s="370" t="n">
        <f aca="false">K30*($B34-(($B$34/$B$37)*'Project Assumptions'!$N$57))</f>
        <v>6906.07561253308</v>
      </c>
      <c r="L34" s="370" t="n">
        <f aca="false">L30*($B34-(($B$34/$B$37)*'Project Assumptions'!$N$57))</f>
        <v>6906.07561253308</v>
      </c>
      <c r="M34" s="370" t="n">
        <f aca="false">M30*($B34-(($B$34/$B$37)*'Project Assumptions'!$N$57))</f>
        <v>6906.07561253308</v>
      </c>
      <c r="N34" s="370" t="n">
        <f aca="false">N30*($B34-(($B$34/$B$37)*'Project Assumptions'!$N$57))</f>
        <v>6906.07561253308</v>
      </c>
      <c r="O34" s="370" t="n">
        <f aca="false">O30*($B34-(($B$34/$B$37)*'Project Assumptions'!$N$57))</f>
        <v>6906.07561253308</v>
      </c>
      <c r="P34" s="370" t="n">
        <f aca="false">P30*($B34-(($B$34/$B$37)*'Project Assumptions'!$N$57))</f>
        <v>6906.07561253308</v>
      </c>
      <c r="Q34" s="370" t="n">
        <f aca="false">Q30*($B34-(($B$34/$B$37)*'Project Assumptions'!$N$57))</f>
        <v>6906.07561253308</v>
      </c>
      <c r="R34" s="370" t="n">
        <f aca="false">R30*($B34-(($B$34/$B$37)*'Project Assumptions'!$N$57))</f>
        <v>6906.07561253308</v>
      </c>
      <c r="S34" s="370" t="n">
        <f aca="false">S30*($B34-(($B$34/$B$37)*'Project Assumptions'!$N$57))</f>
        <v>3453.03780626654</v>
      </c>
      <c r="AC34" s="417"/>
      <c r="AD34" s="417"/>
      <c r="AE34" s="417"/>
    </row>
    <row r="35" customFormat="false" ht="12" hidden="false" customHeight="true" outlineLevel="0" collapsed="false">
      <c r="A35" s="354" t="s">
        <v>418</v>
      </c>
      <c r="B35" s="357" t="n">
        <f aca="false">B12</f>
        <v>3035.024</v>
      </c>
      <c r="D35" s="357" t="n">
        <f aca="false">D31*($B35-(($B$35/$B$37)*'Project Assumptions'!$N$57))</f>
        <v>277.420544271897</v>
      </c>
      <c r="E35" s="357" t="n">
        <f aca="false">E31*($B35-(($B$35/$B$37)*'Project Assumptions'!$N$57))</f>
        <v>554.841088543794</v>
      </c>
      <c r="F35" s="357" t="n">
        <f aca="false">F31*($B35-(($B$35/$B$37)*'Project Assumptions'!$N$57))</f>
        <v>554.841088543794</v>
      </c>
      <c r="G35" s="357" t="n">
        <f aca="false">G31*($B35-(($B$35/$B$37)*'Project Assumptions'!$N$57))</f>
        <v>554.841088543794</v>
      </c>
      <c r="H35" s="357" t="n">
        <f aca="false">H31*($B35-(($B$35/$B$37)*'Project Assumptions'!$N$57))</f>
        <v>554.841088543794</v>
      </c>
      <c r="I35" s="357" t="n">
        <f aca="false">I31*($B35-(($B$35/$B$37)*'Project Assumptions'!$N$57))</f>
        <v>277.420544271897</v>
      </c>
      <c r="J35" s="357" t="n">
        <f aca="false">J31*($B35-(($B$35/$B$37)*'Project Assumptions'!$N$57))</f>
        <v>0</v>
      </c>
      <c r="K35" s="357" t="n">
        <f aca="false">K31*($B35-(($B$35/$B$37)*'Project Assumptions'!$N$57))</f>
        <v>0</v>
      </c>
      <c r="L35" s="357" t="n">
        <f aca="false">L31*($B35-(($B$35/$B$37)*'Project Assumptions'!$N$57))</f>
        <v>0</v>
      </c>
      <c r="M35" s="357" t="n">
        <f aca="false">M31*($B35-(($B$35/$B$37)*'Project Assumptions'!$N$57))</f>
        <v>0</v>
      </c>
      <c r="N35" s="357" t="n">
        <f aca="false">N31*($B35-(($B$35/$B$37)*'Project Assumptions'!$N$57))</f>
        <v>0</v>
      </c>
      <c r="O35" s="357" t="n">
        <f aca="false">O31*($B35-(($B$35/$B$37)*'Project Assumptions'!$N$57))</f>
        <v>0</v>
      </c>
      <c r="P35" s="357" t="n">
        <f aca="false">P31*($B35-(($B$35/$B$37)*'Project Assumptions'!$N$57))</f>
        <v>0</v>
      </c>
      <c r="Q35" s="357" t="n">
        <f aca="false">Q31*($B35-(($B$35/$B$37)*'Project Assumptions'!$N$57))</f>
        <v>0</v>
      </c>
      <c r="R35" s="357" t="n">
        <f aca="false">R31*($B35-(($B$35/$B$37)*'Project Assumptions'!$N$57))</f>
        <v>0</v>
      </c>
      <c r="S35" s="357" t="n">
        <f aca="false">S31*($B35-(($B$35/$B$37)*'Project Assumptions'!$N$57))</f>
        <v>0</v>
      </c>
      <c r="AC35" s="417"/>
      <c r="AD35" s="417"/>
      <c r="AE35" s="359"/>
    </row>
    <row r="36" customFormat="false" ht="12" hidden="false" customHeight="true" outlineLevel="0" collapsed="false">
      <c r="A36" s="354" t="s">
        <v>419</v>
      </c>
      <c r="B36" s="366" t="n">
        <f aca="false">B13</f>
        <v>0</v>
      </c>
      <c r="D36" s="366" t="n">
        <f aca="false">D32*($B36-(($B$36/$B$37)*'Project Assumptions'!$N$57))</f>
        <v>0</v>
      </c>
      <c r="E36" s="366" t="n">
        <f aca="false">E32*($B36-(($B$36/$B$37)*'Project Assumptions'!$N$57))</f>
        <v>0</v>
      </c>
      <c r="F36" s="366" t="n">
        <f aca="false">F32*($B36-(($B$36/$B$37)*'Project Assumptions'!$N$57))</f>
        <v>0</v>
      </c>
      <c r="G36" s="366" t="n">
        <f aca="false">G32*($B36-(($B$36/$B$37)*'Project Assumptions'!$N$57))</f>
        <v>0</v>
      </c>
      <c r="H36" s="366" t="n">
        <f aca="false">H32*($B36-(($B$36/$B$37)*'Project Assumptions'!$N$57))</f>
        <v>0</v>
      </c>
      <c r="I36" s="366" t="n">
        <f aca="false">I32*($B36-(($B$36/$B$37)*'Project Assumptions'!$N$57))</f>
        <v>0</v>
      </c>
      <c r="J36" s="366" t="n">
        <f aca="false">J32*($B36-(($B$36/$B$37)*'Project Assumptions'!$N$57))</f>
        <v>0</v>
      </c>
      <c r="K36" s="366" t="n">
        <f aca="false">K32*($B36-(($B$36/$B$37)*'Project Assumptions'!$N$57))</f>
        <v>0</v>
      </c>
      <c r="L36" s="366" t="n">
        <f aca="false">L32*($B36-(($B$36/$B$37)*'Project Assumptions'!$N$57))</f>
        <v>0</v>
      </c>
      <c r="M36" s="366" t="n">
        <f aca="false">M32*($B36-(($B$36/$B$37)*'Project Assumptions'!$N$57))</f>
        <v>0</v>
      </c>
      <c r="N36" s="366" t="n">
        <f aca="false">N32*($B36-(($B$36/$B$37)*'Project Assumptions'!$N$57))</f>
        <v>0</v>
      </c>
      <c r="O36" s="366" t="n">
        <f aca="false">O32*($B36-(($B$36/$B$37)*'Project Assumptions'!$N$57))</f>
        <v>0</v>
      </c>
      <c r="P36" s="366" t="n">
        <f aca="false">P32*($B36-(($B$36/$B$37)*'Project Assumptions'!$N$57))</f>
        <v>0</v>
      </c>
      <c r="Q36" s="366" t="n">
        <f aca="false">Q32*($B36-(($B$36/$B$37)*'Project Assumptions'!$N$57))</f>
        <v>0</v>
      </c>
      <c r="R36" s="366" t="n">
        <f aca="false">R32*($B36-(($B$36/$B$37)*'Project Assumptions'!$N$57))</f>
        <v>0</v>
      </c>
      <c r="S36" s="366" t="n">
        <f aca="false">S32*($B36-(($B$36/$B$37)*'Project Assumptions'!$N$57))</f>
        <v>0</v>
      </c>
      <c r="AC36" s="417"/>
      <c r="AD36" s="417"/>
      <c r="AE36" s="359"/>
    </row>
    <row r="37" customFormat="false" ht="12" hidden="false" customHeight="true" outlineLevel="0" collapsed="false">
      <c r="A37" s="354" t="s">
        <v>426</v>
      </c>
      <c r="B37" s="370" t="n">
        <f aca="false">SUM(B34:B36)</f>
        <v>116365.339630715</v>
      </c>
      <c r="D37" s="370" t="n">
        <f aca="false">SUM(D34:D36)</f>
        <v>3730.45835053844</v>
      </c>
      <c r="E37" s="370" t="n">
        <f aca="false">SUM(E34:E36)</f>
        <v>7460.91670107687</v>
      </c>
      <c r="F37" s="370" t="n">
        <f aca="false">SUM(F34:F36)</f>
        <v>7460.91670107687</v>
      </c>
      <c r="G37" s="370" t="n">
        <f aca="false">SUM(G34:G36)</f>
        <v>7460.91670107687</v>
      </c>
      <c r="H37" s="370" t="n">
        <f aca="false">SUM(H34:H36)</f>
        <v>7460.91670107687</v>
      </c>
      <c r="I37" s="370" t="n">
        <f aca="false">SUM(I34:I36)</f>
        <v>7183.49615680498</v>
      </c>
      <c r="J37" s="370" t="n">
        <f aca="false">SUM(J34:J36)</f>
        <v>6906.07561253308</v>
      </c>
      <c r="K37" s="370" t="n">
        <f aca="false">SUM(K34:K36)</f>
        <v>6906.07561253308</v>
      </c>
      <c r="L37" s="370" t="n">
        <f aca="false">SUM(L34:L36)</f>
        <v>6906.07561253308</v>
      </c>
      <c r="M37" s="370" t="n">
        <f aca="false">SUM(M34:M36)</f>
        <v>6906.07561253308</v>
      </c>
      <c r="N37" s="370" t="n">
        <f aca="false">SUM(N34:N36)</f>
        <v>6906.07561253308</v>
      </c>
      <c r="O37" s="370" t="n">
        <f aca="false">SUM(O34:O36)</f>
        <v>6906.07561253308</v>
      </c>
      <c r="P37" s="370" t="n">
        <f aca="false">SUM(P34:P36)</f>
        <v>6906.07561253308</v>
      </c>
      <c r="Q37" s="370" t="n">
        <f aca="false">SUM(Q34:Q36)</f>
        <v>6906.07561253308</v>
      </c>
      <c r="R37" s="370" t="n">
        <f aca="false">SUM(R34:R36)</f>
        <v>6906.07561253308</v>
      </c>
      <c r="S37" s="370" t="n">
        <f aca="false">SUM(S34:S36)</f>
        <v>3453.03780626654</v>
      </c>
      <c r="AC37" s="417"/>
      <c r="AD37" s="417"/>
      <c r="AE37" s="359"/>
    </row>
    <row r="38" customFormat="false" ht="12" hidden="false" customHeight="true" outlineLevel="0" collapsed="false">
      <c r="A38" s="354"/>
      <c r="B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AC38" s="417"/>
      <c r="AD38" s="417"/>
      <c r="AE38" s="359"/>
    </row>
    <row r="39" customFormat="false" ht="12" hidden="false" customHeight="true" outlineLevel="0" collapsed="false">
      <c r="A39" s="354" t="s">
        <v>427</v>
      </c>
      <c r="B39" s="370"/>
      <c r="D39" s="370" t="n">
        <f aca="false">B37-D37</f>
        <v>112634.881280177</v>
      </c>
      <c r="E39" s="370" t="n">
        <f aca="false">D39-E37</f>
        <v>105173.9645791</v>
      </c>
      <c r="F39" s="370" t="n">
        <f aca="false">E39-F37</f>
        <v>97713.047878023</v>
      </c>
      <c r="G39" s="370" t="n">
        <f aca="false">F39-G37</f>
        <v>90252.1311769461</v>
      </c>
      <c r="H39" s="370" t="n">
        <f aca="false">G39-H37</f>
        <v>82791.2144758692</v>
      </c>
      <c r="I39" s="370" t="n">
        <f aca="false">H39-I37</f>
        <v>75607.7183190643</v>
      </c>
      <c r="J39" s="370" t="n">
        <f aca="false">I39-J37</f>
        <v>68701.6427065312</v>
      </c>
      <c r="K39" s="370" t="n">
        <f aca="false">J39-K37</f>
        <v>61795.5670939981</v>
      </c>
      <c r="L39" s="370" t="n">
        <f aca="false">K39-L37</f>
        <v>54889.491481465</v>
      </c>
      <c r="M39" s="370" t="n">
        <f aca="false">L39-M37</f>
        <v>47983.4158689319</v>
      </c>
      <c r="N39" s="370" t="n">
        <f aca="false">M39-N37</f>
        <v>41077.3402563989</v>
      </c>
      <c r="O39" s="370" t="n">
        <f aca="false">N39-O37</f>
        <v>34171.2646438658</v>
      </c>
      <c r="P39" s="370" t="n">
        <f aca="false">O39-P37</f>
        <v>27265.1890313327</v>
      </c>
      <c r="Q39" s="370" t="n">
        <f aca="false">P39-Q37</f>
        <v>20359.1134187996</v>
      </c>
      <c r="R39" s="370" t="n">
        <f aca="false">Q39-R37</f>
        <v>13453.0378062665</v>
      </c>
      <c r="S39" s="370" t="n">
        <f aca="false">R39-S37</f>
        <v>9999.99999999999</v>
      </c>
      <c r="AC39" s="417"/>
      <c r="AD39" s="417"/>
      <c r="AE39" s="359"/>
    </row>
    <row r="40" customFormat="false" ht="12" hidden="false" customHeight="true" outlineLevel="0" collapsed="false"/>
    <row r="41" customFormat="false" ht="12" hidden="false" customHeight="true" outlineLevel="0" collapsed="false">
      <c r="A41" s="411" t="s">
        <v>428</v>
      </c>
      <c r="B41" s="347" t="s">
        <v>413</v>
      </c>
      <c r="D41" s="236" t="n">
        <v>1</v>
      </c>
      <c r="E41" s="236" t="n">
        <f aca="false">D41+1</f>
        <v>2</v>
      </c>
      <c r="F41" s="237" t="n">
        <f aca="false">E41+1</f>
        <v>3</v>
      </c>
      <c r="G41" s="237" t="n">
        <f aca="false">F41+1</f>
        <v>4</v>
      </c>
      <c r="H41" s="237" t="n">
        <f aca="false">G41+1</f>
        <v>5</v>
      </c>
      <c r="I41" s="237" t="n">
        <f aca="false">H41+1</f>
        <v>6</v>
      </c>
      <c r="J41" s="237" t="n">
        <f aca="false">I41+1</f>
        <v>7</v>
      </c>
      <c r="K41" s="344" t="n">
        <f aca="false">J41+1</f>
        <v>8</v>
      </c>
      <c r="L41" s="237" t="n">
        <f aca="false">K41+1</f>
        <v>9</v>
      </c>
      <c r="M41" s="237" t="n">
        <f aca="false">L41+1</f>
        <v>10</v>
      </c>
      <c r="N41" s="237" t="n">
        <f aca="false">M41+1</f>
        <v>11</v>
      </c>
      <c r="O41" s="237" t="n">
        <f aca="false">N41+1</f>
        <v>12</v>
      </c>
      <c r="P41" s="237" t="n">
        <f aca="false">O41+1</f>
        <v>13</v>
      </c>
      <c r="Q41" s="344" t="n">
        <f aca="false">P41+1</f>
        <v>14</v>
      </c>
      <c r="R41" s="237" t="n">
        <f aca="false">Q41+1</f>
        <v>15</v>
      </c>
      <c r="S41" s="237" t="n">
        <f aca="false">R41+1</f>
        <v>16</v>
      </c>
      <c r="AC41" s="344"/>
      <c r="AE41" s="415"/>
    </row>
    <row r="42" customFormat="false" ht="12" hidden="false" customHeight="true" outlineLevel="0" collapsed="false">
      <c r="A42" s="354" t="s">
        <v>429</v>
      </c>
      <c r="B42" s="370" t="n">
        <f aca="false">'Project Assumptions'!$C$18*'Project Assumptions'!$N$49</f>
        <v>31647.204</v>
      </c>
      <c r="C42" s="418"/>
      <c r="D42" s="426"/>
      <c r="E42" s="426" t="n">
        <v>0.96</v>
      </c>
      <c r="F42" s="426" t="n">
        <v>0.92</v>
      </c>
      <c r="G42" s="426" t="n">
        <v>0.88</v>
      </c>
      <c r="H42" s="426" t="n">
        <v>0.84</v>
      </c>
      <c r="I42" s="426" t="n">
        <v>0.8</v>
      </c>
      <c r="J42" s="426" t="n">
        <v>0.76</v>
      </c>
      <c r="K42" s="426" t="n">
        <v>0.72</v>
      </c>
      <c r="L42" s="426" t="n">
        <v>0.68</v>
      </c>
      <c r="M42" s="426" t="n">
        <v>0.64</v>
      </c>
      <c r="N42" s="426" t="n">
        <v>0.6</v>
      </c>
      <c r="O42" s="426" t="n">
        <v>0.56</v>
      </c>
      <c r="P42" s="426" t="n">
        <v>0.52</v>
      </c>
      <c r="Q42" s="426" t="n">
        <v>0.48</v>
      </c>
      <c r="R42" s="426" t="n">
        <v>0.44</v>
      </c>
      <c r="S42" s="426" t="n">
        <v>0.4</v>
      </c>
      <c r="AC42" s="378"/>
      <c r="AD42" s="418"/>
      <c r="AE42" s="419"/>
    </row>
    <row r="43" customFormat="false" ht="11.25" hidden="false" customHeight="true" outlineLevel="0" collapsed="false">
      <c r="A43" s="354" t="s">
        <v>430</v>
      </c>
      <c r="B43" s="347"/>
      <c r="D43" s="370" t="n">
        <v>0</v>
      </c>
      <c r="E43" s="370" t="n">
        <f aca="false">$B$42*E42</f>
        <v>30381.31584</v>
      </c>
      <c r="F43" s="370" t="n">
        <f aca="false">$B$42*F42</f>
        <v>29115.42768</v>
      </c>
      <c r="G43" s="370" t="n">
        <f aca="false">$B$42*G42</f>
        <v>27849.53952</v>
      </c>
      <c r="H43" s="370" t="n">
        <f aca="false">$B$42*H42</f>
        <v>26583.65136</v>
      </c>
      <c r="I43" s="370" t="n">
        <f aca="false">$B$42*I42</f>
        <v>25317.7632</v>
      </c>
      <c r="J43" s="370" t="n">
        <f aca="false">$B$42*J42</f>
        <v>24051.87504</v>
      </c>
      <c r="K43" s="370" t="n">
        <f aca="false">$B$42*K42</f>
        <v>22785.98688</v>
      </c>
      <c r="L43" s="370" t="n">
        <f aca="false">$B$42*L42</f>
        <v>21520.09872</v>
      </c>
      <c r="M43" s="370" t="n">
        <f aca="false">$B$42*M42</f>
        <v>20254.21056</v>
      </c>
      <c r="N43" s="370" t="n">
        <f aca="false">$B$42*N42</f>
        <v>18988.3224</v>
      </c>
      <c r="O43" s="370" t="n">
        <f aca="false">$B$42*O42</f>
        <v>17722.43424</v>
      </c>
      <c r="P43" s="370" t="n">
        <f aca="false">$B$42*P42</f>
        <v>16456.54608</v>
      </c>
      <c r="Q43" s="370" t="n">
        <f aca="false">$B$42*Q42</f>
        <v>15190.65792</v>
      </c>
      <c r="R43" s="370" t="n">
        <f aca="false">$B$42*R42</f>
        <v>13924.76976</v>
      </c>
      <c r="S43" s="370" t="n">
        <f aca="false">$B$42*S42</f>
        <v>12658.8816</v>
      </c>
      <c r="AC43" s="359"/>
    </row>
    <row r="44" customFormat="false" ht="11.25" hidden="false" customHeight="true" outlineLevel="0" collapsed="false">
      <c r="A44" s="354"/>
      <c r="B44" s="417"/>
      <c r="D44" s="359"/>
      <c r="E44" s="427" t="n">
        <v>0.65</v>
      </c>
      <c r="F44" s="427" t="n">
        <f aca="false">IF(E41&lt;='Project Assumptions'!$N$51,MIN(E44+0.1,1),1)</f>
        <v>0.75</v>
      </c>
      <c r="G44" s="427" t="n">
        <f aca="false">IF(F41&lt;='Project Assumptions'!$N$51,MIN(F44+0.1,1),1)</f>
        <v>0.85</v>
      </c>
      <c r="H44" s="427" t="n">
        <f aca="false">IF(G41&lt;='Project Assumptions'!$N$51,MIN(G44+0.05,1),1)</f>
        <v>0.9</v>
      </c>
      <c r="I44" s="427" t="n">
        <f aca="false">IF(H41&lt;='Project Assumptions'!$N$51,MIN(H44+0.05,1),1)</f>
        <v>0.95</v>
      </c>
      <c r="J44" s="427" t="n">
        <f aca="false">IF(I41&lt;='Project Assumptions'!$N$51,MIN(I44+0.1,1),1)</f>
        <v>1</v>
      </c>
      <c r="K44" s="427" t="n">
        <f aca="false">IF(J41&lt;='Project Assumptions'!$N$51,MIN(J44+0.1,1),1)</f>
        <v>1</v>
      </c>
      <c r="L44" s="427" t="n">
        <f aca="false">IF(K41&lt;='Project Assumptions'!$N$51,MIN(K44+0.1,1),1)</f>
        <v>1</v>
      </c>
      <c r="M44" s="427" t="n">
        <f aca="false">IF(L41&lt;='Project Assumptions'!$N$51,MIN(L44+0.1,1),1)</f>
        <v>1</v>
      </c>
      <c r="N44" s="427" t="n">
        <f aca="false">IF(M41&lt;='Project Assumptions'!$N$51,MIN(M44+0.1,1),1)</f>
        <v>1</v>
      </c>
      <c r="O44" s="427" t="n">
        <f aca="false">IF(N41&lt;='Project Assumptions'!$N$51,MIN(N44+0.1,1),1)</f>
        <v>1</v>
      </c>
      <c r="P44" s="427" t="n">
        <f aca="false">IF(O41&lt;='Project Assumptions'!$N$51,MIN(O44+0.1,1),1)</f>
        <v>1</v>
      </c>
      <c r="Q44" s="427" t="n">
        <f aca="false">IF(P41&lt;='Project Assumptions'!$N$51,MIN(P44+0.1,1),1)</f>
        <v>1</v>
      </c>
      <c r="R44" s="427" t="n">
        <f aca="false">IF(Q41&lt;='Project Assumptions'!$N$51,MIN(Q44+0.1,1),1)</f>
        <v>1</v>
      </c>
      <c r="S44" s="427" t="n">
        <f aca="false">IF(R41&lt;='Project Assumptions'!$N$51,MIN(R44+0.1,1),1)</f>
        <v>1</v>
      </c>
      <c r="AC44" s="359"/>
      <c r="AD44" s="417"/>
      <c r="AE44" s="417"/>
    </row>
    <row r="45" customFormat="false" ht="12" hidden="false" customHeight="true" outlineLevel="0" collapsed="false">
      <c r="A45" s="354" t="s">
        <v>431</v>
      </c>
      <c r="B45" s="416"/>
      <c r="D45" s="370" t="n">
        <v>0</v>
      </c>
      <c r="E45" s="370" t="n">
        <f aca="false">IF(ISNUMBER('Project Assumptions'!$N$51),IF(Depreciation!D$41&lt;='Project Assumptions'!$N$51,Depreciation!E$43*'Project Assumptions'!$N$50*E44,Depreciation!E$43*'Project Assumptions'!$N$50),Depreciation!E$43*'Project Assumptions'!$N$50)</f>
        <v>276.469974144</v>
      </c>
      <c r="F45" s="370" t="n">
        <f aca="false">IF(ISNUMBER('Project Assumptions'!$N$51),IF(Depreciation!E$41&lt;='Project Assumptions'!$N$51,Depreciation!F$43*'Project Assumptions'!$N$50*F44,Depreciation!F$43*'Project Assumptions'!$N$50),Depreciation!F$43*'Project Assumptions'!$N$50)</f>
        <v>305.71199064</v>
      </c>
      <c r="G45" s="370" t="n">
        <f aca="false">IF(ISNUMBER('Project Assumptions'!$N$51),IF(Depreciation!F$41&lt;='Project Assumptions'!$N$51,Depreciation!G$43*'Project Assumptions'!$N$50*G44,Depreciation!G$43*'Project Assumptions'!$N$50),Depreciation!G$43*'Project Assumptions'!$N$50)</f>
        <v>331.409520288</v>
      </c>
      <c r="H45" s="370" t="n">
        <f aca="false">IF(ISNUMBER('Project Assumptions'!$N$51),IF(Depreciation!G$41&lt;='Project Assumptions'!$N$51,Depreciation!H$43*'Project Assumptions'!$N$50*H44,Depreciation!H$43*'Project Assumptions'!$N$50),Depreciation!H$43*'Project Assumptions'!$N$50)</f>
        <v>334.954007136</v>
      </c>
      <c r="I45" s="370" t="n">
        <f aca="false">IF(ISNUMBER('Project Assumptions'!$N$51),IF(Depreciation!H$41&lt;='Project Assumptions'!$N$51,Depreciation!I$43*'Project Assumptions'!$N$50*I44,Depreciation!I$43*'Project Assumptions'!$N$50),Depreciation!I$43*'Project Assumptions'!$N$50)</f>
        <v>336.72625056</v>
      </c>
      <c r="J45" s="370" t="n">
        <f aca="false">IF(ISNUMBER('Project Assumptions'!$N$51),IF(Depreciation!I$41&lt;='Project Assumptions'!$N$51,Depreciation!J$43*'Project Assumptions'!$N$50*J44,Depreciation!J$43*'Project Assumptions'!$N$50),Depreciation!J$43*'Project Assumptions'!$N$50)</f>
        <v>336.72625056</v>
      </c>
      <c r="K45" s="370" t="n">
        <f aca="false">IF(ISNUMBER('Project Assumptions'!$N$51),IF(Depreciation!J$41&lt;='Project Assumptions'!$N$51,Depreciation!K$43*'Project Assumptions'!$N$50*K44,Depreciation!K$43*'Project Assumptions'!$N$50),Depreciation!K$43*'Project Assumptions'!$N$50)</f>
        <v>319.00381632</v>
      </c>
      <c r="L45" s="370" t="n">
        <f aca="false">IF(ISNUMBER('Project Assumptions'!$N$51),IF(Depreciation!K$41&lt;='Project Assumptions'!$N$51,Depreciation!L$43*'Project Assumptions'!$N$50*L44,Depreciation!L$43*'Project Assumptions'!$N$50),Depreciation!L$43*'Project Assumptions'!$N$50)</f>
        <v>301.28138208</v>
      </c>
      <c r="M45" s="370" t="n">
        <f aca="false">IF(ISNUMBER('Project Assumptions'!$N$51),IF(Depreciation!L$41&lt;='Project Assumptions'!$N$51,Depreciation!M$43*'Project Assumptions'!$N$50*M44,Depreciation!M$43*'Project Assumptions'!$N$50),Depreciation!M$43*'Project Assumptions'!$N$50)</f>
        <v>283.55894784</v>
      </c>
      <c r="N45" s="370" t="n">
        <f aca="false">IF(ISNUMBER('Project Assumptions'!$N$51),IF(Depreciation!M$41&lt;='Project Assumptions'!$N$51,Depreciation!N$43*'Project Assumptions'!$N$50*N44,Depreciation!N$43*'Project Assumptions'!$N$50),Depreciation!N$43*'Project Assumptions'!$N$50)</f>
        <v>265.8365136</v>
      </c>
      <c r="O45" s="370" t="n">
        <f aca="false">IF(ISNUMBER('Project Assumptions'!$N$51),IF(Depreciation!N$41&lt;='Project Assumptions'!$N$51,Depreciation!O$43*'Project Assumptions'!$N$50*O44,Depreciation!O$43*'Project Assumptions'!$N$50),Depreciation!O$43*'Project Assumptions'!$N$50)</f>
        <v>248.11407936</v>
      </c>
      <c r="P45" s="370" t="n">
        <f aca="false">IF(ISNUMBER('Project Assumptions'!$N$51),IF(Depreciation!O$41&lt;='Project Assumptions'!$N$51,Depreciation!P$43*'Project Assumptions'!$N$50*P44,Depreciation!P$43*'Project Assumptions'!$N$50),Depreciation!P$43*'Project Assumptions'!$N$50)</f>
        <v>230.39164512</v>
      </c>
      <c r="Q45" s="370" t="n">
        <f aca="false">IF(ISNUMBER('Project Assumptions'!$N$51),IF(Depreciation!P$41&lt;='Project Assumptions'!$N$51,Depreciation!Q$43*'Project Assumptions'!$N$50*Q44,Depreciation!Q$43*'Project Assumptions'!$N$50),Depreciation!Q$43*'Project Assumptions'!$N$50)</f>
        <v>212.66921088</v>
      </c>
      <c r="R45" s="370" t="n">
        <f aca="false">IF(ISNUMBER('Project Assumptions'!$N$51),IF(Depreciation!Q$41&lt;='Project Assumptions'!$N$51,Depreciation!R$43*'Project Assumptions'!$N$50*R44,Depreciation!R$43*'Project Assumptions'!$N$50),Depreciation!R$43*'Project Assumptions'!$N$50)</f>
        <v>194.94677664</v>
      </c>
      <c r="S45" s="370" t="n">
        <f aca="false">IF(ISNUMBER('Project Assumptions'!$N$51),IF(Depreciation!R$41&lt;='Project Assumptions'!$N$51,Depreciation!S$43*'Project Assumptions'!$N$50*S44,Depreciation!S$43*'Project Assumptions'!$N$50),Depreciation!S$43*'Project Assumptions'!$N$50)</f>
        <v>177.2243424</v>
      </c>
      <c r="AC45" s="370"/>
      <c r="AD45" s="418"/>
      <c r="AE45" s="419"/>
    </row>
    <row r="46" customFormat="false" ht="12" hidden="false" customHeight="true" outlineLevel="0" collapsed="false">
      <c r="A46" s="354" t="s">
        <v>432</v>
      </c>
      <c r="B46" s="428"/>
      <c r="D46" s="357" t="n">
        <v>0</v>
      </c>
      <c r="E46" s="357" t="n">
        <f aca="false">IF(ISNUMBER('Project Assumptions'!$N$53),IF(Depreciation!D$41&lt;='Project Assumptions'!$N$53,Depreciation!E$43*'Project Assumptions'!$N$52*E44,Depreciation!E$43*'Project Assumptions'!$N$52),Depreciation!E$43*'Project Assumptions'!$N$52)</f>
        <v>276.469974144</v>
      </c>
      <c r="F46" s="357" t="n">
        <f aca="false">IF(ISNUMBER('Project Assumptions'!$N$53),IF(Depreciation!E$41&lt;='Project Assumptions'!$N$53,Depreciation!F$43*'Project Assumptions'!$N$52*F44,Depreciation!F$43*'Project Assumptions'!$N$52),Depreciation!F$43*'Project Assumptions'!$N$52)</f>
        <v>305.71199064</v>
      </c>
      <c r="G46" s="357" t="n">
        <f aca="false">IF(ISNUMBER('Project Assumptions'!$N$53),IF(Depreciation!F$41&lt;='Project Assumptions'!$N$53,Depreciation!G$43*'Project Assumptions'!$N$52*G44,Depreciation!G$43*'Project Assumptions'!$N$52),Depreciation!G$43*'Project Assumptions'!$N$52)</f>
        <v>331.409520288</v>
      </c>
      <c r="H46" s="357" t="n">
        <f aca="false">IF(ISNUMBER('Project Assumptions'!$N$53),IF(Depreciation!G$41&lt;='Project Assumptions'!$N$53,Depreciation!H$43*'Project Assumptions'!$N$52*H44,Depreciation!H$43*'Project Assumptions'!$N$52),Depreciation!H$43*'Project Assumptions'!$N$52)</f>
        <v>334.954007136</v>
      </c>
      <c r="I46" s="357" t="n">
        <f aca="false">IF(ISNUMBER('Project Assumptions'!$N$53),IF(Depreciation!H$41&lt;='Project Assumptions'!$N$53,Depreciation!I$43*'Project Assumptions'!$N$52*I44,Depreciation!I$43*'Project Assumptions'!$N$52),Depreciation!I$43*'Project Assumptions'!$N$52)</f>
        <v>336.72625056</v>
      </c>
      <c r="J46" s="357" t="n">
        <f aca="false">IF(ISNUMBER('Project Assumptions'!$N$53),IF(Depreciation!I$41&lt;='Project Assumptions'!$N$53,Depreciation!J$43*'Project Assumptions'!$N$52*J44,Depreciation!J$43*'Project Assumptions'!$N$52),Depreciation!J$43*'Project Assumptions'!$N$52)</f>
        <v>336.72625056</v>
      </c>
      <c r="K46" s="357" t="n">
        <f aca="false">IF(ISNUMBER('Project Assumptions'!$N$53),IF(Depreciation!J$41&lt;='Project Assumptions'!$N$53,Depreciation!K$43*'Project Assumptions'!$N$52*K44,Depreciation!K$43*'Project Assumptions'!$N$52),Depreciation!K$43*'Project Assumptions'!$N$52)</f>
        <v>319.00381632</v>
      </c>
      <c r="L46" s="357" t="n">
        <f aca="false">IF(ISNUMBER('Project Assumptions'!$N$53),IF(Depreciation!K$41&lt;='Project Assumptions'!$N$53,Depreciation!L$43*'Project Assumptions'!$N$52*L44,Depreciation!L$43*'Project Assumptions'!$N$52),Depreciation!L$43*'Project Assumptions'!$N$52)</f>
        <v>301.28138208</v>
      </c>
      <c r="M46" s="357" t="n">
        <f aca="false">IF(ISNUMBER('Project Assumptions'!$N$53),IF(Depreciation!L$41&lt;='Project Assumptions'!$N$53,Depreciation!M$43*'Project Assumptions'!$N$52*M44,Depreciation!M$43*'Project Assumptions'!$N$52),Depreciation!M$43*'Project Assumptions'!$N$52)</f>
        <v>283.55894784</v>
      </c>
      <c r="N46" s="357" t="n">
        <f aca="false">IF(ISNUMBER('Project Assumptions'!$N$53),IF(Depreciation!M$41&lt;='Project Assumptions'!$N$53,Depreciation!N$43*'Project Assumptions'!$N$52*N44,Depreciation!N$43*'Project Assumptions'!$N$52),Depreciation!N$43*'Project Assumptions'!$N$52)</f>
        <v>265.8365136</v>
      </c>
      <c r="O46" s="357" t="n">
        <f aca="false">IF(ISNUMBER('Project Assumptions'!$N$53),IF(Depreciation!N$41&lt;='Project Assumptions'!$N$53,Depreciation!O$43*'Project Assumptions'!$N$52*O44,Depreciation!O$43*'Project Assumptions'!$N$52),Depreciation!O$43*'Project Assumptions'!$N$52)</f>
        <v>248.11407936</v>
      </c>
      <c r="P46" s="357" t="n">
        <f aca="false">IF(ISNUMBER('Project Assumptions'!$N$53),IF(Depreciation!O$41&lt;='Project Assumptions'!$N$53,Depreciation!P$43*'Project Assumptions'!$N$52*P44,Depreciation!P$43*'Project Assumptions'!$N$52),Depreciation!P$43*'Project Assumptions'!$N$52)</f>
        <v>230.39164512</v>
      </c>
      <c r="Q46" s="357" t="n">
        <f aca="false">IF(ISNUMBER('Project Assumptions'!$N$53),IF(Depreciation!P$41&lt;='Project Assumptions'!$N$53,Depreciation!Q$43*'Project Assumptions'!$N$52*Q44,Depreciation!Q$43*'Project Assumptions'!$N$52),Depreciation!Q$43*'Project Assumptions'!$N$52)</f>
        <v>212.66921088</v>
      </c>
      <c r="R46" s="357" t="n">
        <f aca="false">IF(ISNUMBER('Project Assumptions'!$N$53),IF(Depreciation!Q$41&lt;='Project Assumptions'!$N$53,Depreciation!R$43*'Project Assumptions'!$N$52*R44,Depreciation!R$43*'Project Assumptions'!$N$52),Depreciation!R$43*'Project Assumptions'!$N$52)</f>
        <v>194.94677664</v>
      </c>
      <c r="S46" s="357" t="n">
        <f aca="false">IF(ISNUMBER('Project Assumptions'!$N$53),IF(Depreciation!R$41&lt;='Project Assumptions'!$N$53,Depreciation!S$43*'Project Assumptions'!$N$52*S44,Depreciation!S$43*'Project Assumptions'!$N$52),Depreciation!S$43*'Project Assumptions'!$N$52)</f>
        <v>177.2243424</v>
      </c>
      <c r="AC46" s="357"/>
      <c r="AD46" s="418"/>
      <c r="AE46" s="419"/>
    </row>
    <row r="47" customFormat="false" ht="12" hidden="false" customHeight="true" outlineLevel="0" collapsed="false">
      <c r="A47" s="354" t="s">
        <v>433</v>
      </c>
      <c r="B47" s="428"/>
      <c r="D47" s="366" t="n">
        <v>0</v>
      </c>
      <c r="E47" s="366" t="n">
        <f aca="false">IF(ISNUMBER('Project Assumptions'!$N$63),IF(Depreciation!D$41&lt;='Project Assumptions'!$N$63,0,Depreciation!E$43*'Project Assumptions'!$N$54),Depreciation!E$43*'Project Assumptions'!$N$54)</f>
        <v>0</v>
      </c>
      <c r="F47" s="366" t="n">
        <f aca="false">IF(ISNUMBER('Project Assumptions'!$N$63),IF(Depreciation!E$41&lt;='Project Assumptions'!$N$63,0,Depreciation!F$43*'Project Assumptions'!$N$54),Depreciation!F$43*'Project Assumptions'!$N$54)</f>
        <v>0</v>
      </c>
      <c r="G47" s="366" t="n">
        <f aca="false">IF(ISNUMBER('Project Assumptions'!$N$63),IF(Depreciation!F$41&lt;='Project Assumptions'!$N$63,0,Depreciation!G$43*'Project Assumptions'!$N$54),Depreciation!G$43*'Project Assumptions'!$N$54)</f>
        <v>0</v>
      </c>
      <c r="H47" s="366" t="n">
        <f aca="false">IF(ISNUMBER('Project Assumptions'!$N$63),IF(Depreciation!G$41&lt;='Project Assumptions'!$N$63,0,Depreciation!H$43*'Project Assumptions'!$N$54),Depreciation!H$43*'Project Assumptions'!$N$54)</f>
        <v>0</v>
      </c>
      <c r="I47" s="366" t="n">
        <f aca="false">IF(ISNUMBER('Project Assumptions'!$N$63),IF(Depreciation!H$41&lt;='Project Assumptions'!$N$63,0,Depreciation!I$43*'Project Assumptions'!$N$54),Depreciation!I$43*'Project Assumptions'!$N$54)</f>
        <v>0</v>
      </c>
      <c r="J47" s="366" t="n">
        <f aca="false">IF(ISNUMBER('Project Assumptions'!$N$63),IF(Depreciation!I$41&lt;='Project Assumptions'!$N$63,0,Depreciation!J$43*'Project Assumptions'!$N$54),Depreciation!J$43*'Project Assumptions'!$N$54)</f>
        <v>0</v>
      </c>
      <c r="K47" s="366" t="n">
        <f aca="false">IF(ISNUMBER('Project Assumptions'!$N$63),IF(Depreciation!J$41&lt;='Project Assumptions'!$N$63,0,Depreciation!K$43*'Project Assumptions'!$N$54),Depreciation!K$43*'Project Assumptions'!$N$54)</f>
        <v>0</v>
      </c>
      <c r="L47" s="366" t="n">
        <f aca="false">IF(ISNUMBER('Project Assumptions'!$N$63),IF(Depreciation!K$41&lt;='Project Assumptions'!$N$63,0,Depreciation!L$43*'Project Assumptions'!$N$54),Depreciation!L$43*'Project Assumptions'!$N$54)</f>
        <v>0</v>
      </c>
      <c r="M47" s="366" t="n">
        <f aca="false">IF(ISNUMBER('Project Assumptions'!$N$63),IF(Depreciation!L$41&lt;='Project Assumptions'!$N$63,0,Depreciation!M$43*'Project Assumptions'!$N$54),Depreciation!M$43*'Project Assumptions'!$N$54)</f>
        <v>0</v>
      </c>
      <c r="N47" s="366" t="n">
        <f aca="false">IF(ISNUMBER('Project Assumptions'!$N$63),IF(Depreciation!M$41&lt;='Project Assumptions'!$N$63,0,Depreciation!N$43*'Project Assumptions'!$N$54),Depreciation!N$43*'Project Assumptions'!$N$54)</f>
        <v>0</v>
      </c>
      <c r="O47" s="366" t="n">
        <f aca="false">IF(ISNUMBER('Project Assumptions'!$N$63),IF(Depreciation!N$41&lt;='Project Assumptions'!$N$63,0,Depreciation!O$43*'Project Assumptions'!$N$54),Depreciation!O$43*'Project Assumptions'!$N$54)</f>
        <v>0</v>
      </c>
      <c r="P47" s="366" t="n">
        <f aca="false">IF(ISNUMBER('Project Assumptions'!$N$63),IF(Depreciation!O$41&lt;='Project Assumptions'!$N$63,0,Depreciation!P$43*'Project Assumptions'!$N$54),Depreciation!P$43*'Project Assumptions'!$N$54)</f>
        <v>0</v>
      </c>
      <c r="Q47" s="366" t="n">
        <f aca="false">IF(ISNUMBER('Project Assumptions'!$N$63),IF(Depreciation!P$41&lt;='Project Assumptions'!$N$63,0,Depreciation!Q$43*'Project Assumptions'!$N$54),Depreciation!Q$43*'Project Assumptions'!$N$54)</f>
        <v>0</v>
      </c>
      <c r="R47" s="366" t="n">
        <f aca="false">IF(ISNUMBER('Project Assumptions'!$N$63),IF(Depreciation!Q$41&lt;='Project Assumptions'!$N$63,0,Depreciation!R$43*'Project Assumptions'!$N$54),Depreciation!R$43*'Project Assumptions'!$N$54)</f>
        <v>0</v>
      </c>
      <c r="S47" s="366" t="n">
        <f aca="false">IF(ISNUMBER('Project Assumptions'!$N$63),IF(Depreciation!R$41&lt;='Project Assumptions'!$N$63,0,Depreciation!S$43*'Project Assumptions'!$N$54),Depreciation!S$43*'Project Assumptions'!$N$54)</f>
        <v>0</v>
      </c>
      <c r="AC47" s="366"/>
      <c r="AD47" s="418"/>
      <c r="AE47" s="419"/>
    </row>
    <row r="48" customFormat="false" ht="12.75" hidden="false" customHeight="false" outlineLevel="0" collapsed="false">
      <c r="A48" s="429" t="s">
        <v>434</v>
      </c>
      <c r="B48" s="429"/>
      <c r="C48" s="429"/>
      <c r="D48" s="430" t="n">
        <v>0</v>
      </c>
      <c r="E48" s="430" t="n">
        <f aca="false">SUM(E45:E47)</f>
        <v>552.939948288</v>
      </c>
      <c r="F48" s="430" t="n">
        <f aca="false">SUM(F45:F47)</f>
        <v>611.42398128</v>
      </c>
      <c r="G48" s="430" t="n">
        <f aca="false">SUM(G45:G47)</f>
        <v>662.819040576</v>
      </c>
      <c r="H48" s="430" t="n">
        <f aca="false">SUM(H45:H47)</f>
        <v>669.908014272</v>
      </c>
      <c r="I48" s="430" t="n">
        <f aca="false">SUM(I45:I47)</f>
        <v>673.45250112</v>
      </c>
      <c r="J48" s="430" t="n">
        <f aca="false">SUM(J45:J47)</f>
        <v>673.45250112</v>
      </c>
      <c r="K48" s="430" t="n">
        <f aca="false">SUM(K45:K47)</f>
        <v>638.00763264</v>
      </c>
      <c r="L48" s="430" t="n">
        <f aca="false">SUM(L45:L47)</f>
        <v>602.56276416</v>
      </c>
      <c r="M48" s="430" t="n">
        <f aca="false">SUM(M45:M47)</f>
        <v>567.11789568</v>
      </c>
      <c r="N48" s="430" t="n">
        <f aca="false">SUM(N45:N47)</f>
        <v>531.6730272</v>
      </c>
      <c r="O48" s="430" t="n">
        <f aca="false">SUM(O45:O47)</f>
        <v>496.22815872</v>
      </c>
      <c r="P48" s="430" t="n">
        <f aca="false">SUM(P45:P47)</f>
        <v>460.78329024</v>
      </c>
      <c r="Q48" s="430" t="n">
        <f aca="false">SUM(Q45:Q47)</f>
        <v>425.33842176</v>
      </c>
      <c r="R48" s="430" t="n">
        <f aca="false">SUM(R45:R47)</f>
        <v>389.89355328</v>
      </c>
      <c r="S48" s="430" t="n">
        <f aca="false">SUM(S45:S47)</f>
        <v>354.4486848</v>
      </c>
      <c r="AC48" s="430"/>
      <c r="AD48" s="429"/>
      <c r="AE48" s="429"/>
      <c r="AF48" s="429"/>
      <c r="AG48" s="429"/>
      <c r="AH48" s="429"/>
      <c r="AI48" s="429"/>
      <c r="AJ48" s="429"/>
      <c r="AK48" s="429"/>
      <c r="AL48" s="429"/>
      <c r="AM48" s="429"/>
      <c r="AN48" s="429"/>
      <c r="AO48" s="429"/>
      <c r="AP48" s="429"/>
      <c r="AQ48" s="429"/>
      <c r="AR48" s="429"/>
      <c r="AS48" s="429"/>
      <c r="AT48" s="429"/>
      <c r="AU48" s="429"/>
      <c r="AV48" s="429"/>
      <c r="AW48" s="429"/>
      <c r="AX48" s="429"/>
      <c r="AY48" s="429"/>
      <c r="AZ48" s="429"/>
      <c r="BA48" s="429"/>
      <c r="BB48" s="429"/>
      <c r="BC48" s="429"/>
      <c r="BD48" s="429"/>
      <c r="BE48" s="429"/>
      <c r="BF48" s="429"/>
      <c r="BG48" s="429"/>
      <c r="BH48" s="429"/>
      <c r="BI48" s="429"/>
      <c r="BJ48" s="429"/>
      <c r="BK48" s="429"/>
      <c r="BL48" s="429"/>
      <c r="BM48" s="429"/>
      <c r="BN48" s="429"/>
      <c r="BO48" s="429"/>
      <c r="BP48" s="429"/>
      <c r="BQ48" s="429"/>
      <c r="BR48" s="429"/>
      <c r="BS48" s="429"/>
      <c r="BT48" s="429"/>
      <c r="BU48" s="429"/>
      <c r="BV48" s="429"/>
      <c r="BW48" s="429"/>
      <c r="BX48" s="429"/>
      <c r="BY48" s="429"/>
      <c r="BZ48" s="429"/>
      <c r="CA48" s="429"/>
      <c r="CB48" s="429"/>
      <c r="CC48" s="429"/>
      <c r="CD48" s="429"/>
      <c r="CE48" s="429"/>
      <c r="CF48" s="429"/>
      <c r="CG48" s="429"/>
      <c r="CH48" s="429"/>
      <c r="CI48" s="429"/>
      <c r="CJ48" s="429"/>
      <c r="CK48" s="429"/>
      <c r="CL48" s="429"/>
      <c r="CM48" s="429"/>
      <c r="CN48" s="429"/>
      <c r="CO48" s="429"/>
      <c r="CP48" s="429"/>
      <c r="CQ48" s="429"/>
      <c r="CR48" s="429"/>
      <c r="CS48" s="429"/>
      <c r="CT48" s="429"/>
      <c r="CU48" s="429"/>
      <c r="CV48" s="429"/>
      <c r="CW48" s="429"/>
      <c r="CX48" s="429"/>
      <c r="CY48" s="429"/>
      <c r="CZ48" s="429"/>
      <c r="DA48" s="429"/>
      <c r="DB48" s="429"/>
      <c r="DC48" s="429"/>
      <c r="DD48" s="429"/>
      <c r="DE48" s="429"/>
      <c r="DF48" s="429"/>
      <c r="DG48" s="429"/>
      <c r="DH48" s="429"/>
      <c r="DI48" s="429"/>
      <c r="DJ48" s="429"/>
      <c r="DK48" s="429"/>
      <c r="DL48" s="429"/>
      <c r="DM48" s="429"/>
      <c r="DN48" s="429"/>
      <c r="DO48" s="429"/>
      <c r="DP48" s="429"/>
      <c r="DQ48" s="429"/>
      <c r="DR48" s="429"/>
      <c r="DS48" s="429"/>
      <c r="DT48" s="429"/>
      <c r="DU48" s="429"/>
      <c r="DV48" s="429"/>
      <c r="DW48" s="429"/>
      <c r="DX48" s="429"/>
      <c r="DY48" s="429"/>
      <c r="DZ48" s="429"/>
      <c r="EA48" s="429"/>
      <c r="EB48" s="429"/>
      <c r="EC48" s="429"/>
      <c r="ED48" s="429"/>
      <c r="EE48" s="429"/>
      <c r="EF48" s="429"/>
      <c r="EG48" s="429"/>
      <c r="EH48" s="429"/>
      <c r="EI48" s="429"/>
      <c r="EJ48" s="429"/>
      <c r="EK48" s="429"/>
      <c r="EL48" s="429"/>
      <c r="EM48" s="429"/>
      <c r="EN48" s="429"/>
      <c r="EO48" s="429"/>
      <c r="EP48" s="429"/>
      <c r="EQ48" s="429"/>
      <c r="ER48" s="429"/>
      <c r="ES48" s="429"/>
      <c r="ET48" s="429"/>
      <c r="EU48" s="429"/>
      <c r="EV48" s="429"/>
      <c r="EW48" s="429"/>
      <c r="EX48" s="429"/>
      <c r="EY48" s="429"/>
      <c r="EZ48" s="429"/>
      <c r="FA48" s="429"/>
      <c r="FB48" s="429"/>
      <c r="FC48" s="429"/>
      <c r="FD48" s="429"/>
      <c r="FE48" s="429"/>
      <c r="FF48" s="429"/>
      <c r="FG48" s="429"/>
      <c r="FH48" s="429"/>
      <c r="FI48" s="429"/>
      <c r="FJ48" s="429"/>
      <c r="FK48" s="429"/>
      <c r="FL48" s="429"/>
      <c r="FM48" s="429"/>
      <c r="FN48" s="429"/>
      <c r="FO48" s="429"/>
      <c r="FP48" s="429"/>
      <c r="FQ48" s="429"/>
      <c r="FR48" s="429"/>
      <c r="FS48" s="429"/>
      <c r="FT48" s="429"/>
      <c r="FU48" s="429"/>
      <c r="FV48" s="429"/>
      <c r="FW48" s="429"/>
      <c r="FX48" s="429"/>
      <c r="FY48" s="429"/>
      <c r="FZ48" s="429"/>
      <c r="GA48" s="429"/>
      <c r="GB48" s="429"/>
      <c r="GC48" s="429"/>
      <c r="GD48" s="429"/>
      <c r="GE48" s="429"/>
      <c r="GF48" s="429"/>
      <c r="GG48" s="429"/>
      <c r="GH48" s="429"/>
      <c r="GI48" s="429"/>
      <c r="GJ48" s="429"/>
      <c r="GK48" s="429"/>
      <c r="GL48" s="429"/>
      <c r="GM48" s="429"/>
      <c r="GN48" s="429"/>
      <c r="GO48" s="429"/>
      <c r="GP48" s="429"/>
      <c r="GQ48" s="429"/>
      <c r="GR48" s="429"/>
      <c r="GS48" s="429"/>
      <c r="GT48" s="429"/>
      <c r="GU48" s="429"/>
      <c r="GV48" s="429"/>
      <c r="GW48" s="429"/>
      <c r="GX48" s="429"/>
      <c r="GY48" s="429"/>
      <c r="GZ48" s="429"/>
      <c r="HA48" s="429"/>
      <c r="HB48" s="429"/>
      <c r="HC48" s="429"/>
      <c r="HD48" s="429"/>
      <c r="HE48" s="429"/>
      <c r="HF48" s="429"/>
      <c r="HG48" s="429"/>
      <c r="HH48" s="429"/>
      <c r="HI48" s="429"/>
      <c r="HJ48" s="429"/>
      <c r="HK48" s="429"/>
      <c r="HL48" s="429"/>
      <c r="HM48" s="429"/>
      <c r="HN48" s="429"/>
      <c r="HO48" s="429"/>
      <c r="HP48" s="429"/>
      <c r="HQ48" s="429"/>
      <c r="HR48" s="429"/>
      <c r="HS48" s="429"/>
      <c r="HT48" s="429"/>
      <c r="HU48" s="429"/>
      <c r="HV48" s="429"/>
      <c r="HW48" s="429"/>
      <c r="HX48" s="429"/>
      <c r="HY48" s="429"/>
      <c r="HZ48" s="429"/>
      <c r="IA48" s="429"/>
      <c r="IB48" s="429"/>
      <c r="IC48" s="429"/>
      <c r="ID48" s="429"/>
      <c r="IE48" s="429"/>
      <c r="IF48" s="429"/>
      <c r="IG48" s="429"/>
      <c r="IH48" s="429"/>
      <c r="II48" s="429"/>
      <c r="IJ48" s="429"/>
      <c r="IK48" s="429"/>
      <c r="IL48" s="429"/>
      <c r="IM48" s="429"/>
      <c r="IN48" s="429"/>
      <c r="IO48" s="429"/>
      <c r="IP48" s="429"/>
      <c r="IQ48" s="429"/>
      <c r="IR48" s="429"/>
      <c r="IS48" s="429"/>
      <c r="IT48" s="429"/>
      <c r="IU48" s="429"/>
      <c r="IV48" s="429"/>
      <c r="IW48" s="429"/>
    </row>
    <row r="49" customFormat="false" ht="11.25" hidden="false" customHeight="true" outlineLevel="0" collapsed="false">
      <c r="A49" s="354"/>
      <c r="B49" s="416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AC49" s="418"/>
      <c r="AD49" s="418"/>
      <c r="AE49" s="419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431" t="s">
        <v>435</v>
      </c>
      <c r="B51" s="342"/>
      <c r="C51" s="342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42"/>
      <c r="AD51" s="342"/>
      <c r="AE51" s="395"/>
      <c r="AF51" s="395"/>
      <c r="AG51" s="395"/>
      <c r="AH51" s="395"/>
      <c r="AI51" s="395"/>
      <c r="AJ51" s="395"/>
      <c r="AK51" s="395"/>
      <c r="AL51" s="395"/>
      <c r="AM51" s="395"/>
      <c r="AN51" s="395"/>
      <c r="AO51" s="395"/>
      <c r="AP51" s="395"/>
      <c r="AQ51" s="395"/>
      <c r="AR51" s="395"/>
      <c r="AS51" s="395"/>
      <c r="AT51" s="395"/>
      <c r="AU51" s="395"/>
      <c r="AV51" s="395"/>
      <c r="AW51" s="395"/>
      <c r="AX51" s="395"/>
      <c r="AY51" s="395"/>
      <c r="AZ51" s="395"/>
      <c r="BA51" s="395"/>
      <c r="BB51" s="395"/>
      <c r="BC51" s="395"/>
      <c r="BD51" s="395"/>
      <c r="BE51" s="395"/>
      <c r="BF51" s="395"/>
      <c r="BG51" s="395"/>
      <c r="BH51" s="395"/>
      <c r="BI51" s="395"/>
      <c r="BJ51" s="395"/>
      <c r="BK51" s="395"/>
      <c r="BL51" s="395"/>
      <c r="BM51" s="395"/>
      <c r="BN51" s="395"/>
      <c r="BO51" s="395"/>
      <c r="BP51" s="395"/>
      <c r="BQ51" s="395"/>
      <c r="BR51" s="395"/>
      <c r="BS51" s="395"/>
      <c r="BT51" s="395"/>
      <c r="BU51" s="395"/>
      <c r="BV51" s="395"/>
      <c r="BW51" s="395"/>
      <c r="BX51" s="395"/>
      <c r="BY51" s="395"/>
      <c r="BZ51" s="395"/>
      <c r="CA51" s="395"/>
      <c r="CB51" s="395"/>
      <c r="CC51" s="395"/>
      <c r="CD51" s="395"/>
      <c r="CE51" s="395"/>
      <c r="CF51" s="395"/>
      <c r="CG51" s="395"/>
      <c r="CH51" s="395"/>
      <c r="CI51" s="395"/>
      <c r="CJ51" s="395"/>
      <c r="CK51" s="395"/>
      <c r="CL51" s="395"/>
      <c r="CM51" s="395"/>
      <c r="CN51" s="395"/>
      <c r="CO51" s="395"/>
      <c r="CP51" s="395"/>
      <c r="CQ51" s="395"/>
      <c r="CR51" s="395"/>
      <c r="CS51" s="395"/>
      <c r="CT51" s="395"/>
      <c r="CU51" s="395"/>
      <c r="CV51" s="395"/>
      <c r="CW51" s="395"/>
      <c r="CX51" s="395"/>
      <c r="CY51" s="395"/>
      <c r="CZ51" s="395"/>
      <c r="DA51" s="395"/>
      <c r="DB51" s="395"/>
      <c r="DC51" s="395"/>
      <c r="DD51" s="395"/>
      <c r="DE51" s="395"/>
      <c r="DF51" s="395"/>
      <c r="DG51" s="395"/>
      <c r="DH51" s="395"/>
      <c r="DI51" s="395"/>
      <c r="DJ51" s="395"/>
      <c r="DK51" s="395"/>
      <c r="DL51" s="395"/>
      <c r="DM51" s="395"/>
      <c r="DN51" s="395"/>
      <c r="DO51" s="395"/>
      <c r="DP51" s="395"/>
      <c r="DQ51" s="395"/>
      <c r="DR51" s="395"/>
      <c r="DS51" s="395"/>
      <c r="DT51" s="395"/>
      <c r="DU51" s="395"/>
      <c r="DV51" s="395"/>
      <c r="DW51" s="395"/>
      <c r="DX51" s="395"/>
      <c r="DY51" s="395"/>
      <c r="DZ51" s="395"/>
      <c r="EA51" s="395"/>
      <c r="EB51" s="395"/>
      <c r="EC51" s="395"/>
      <c r="ED51" s="395"/>
      <c r="EE51" s="395"/>
      <c r="EF51" s="395"/>
      <c r="EG51" s="395"/>
      <c r="EH51" s="395"/>
      <c r="EI51" s="395"/>
      <c r="EJ51" s="395"/>
      <c r="EK51" s="395"/>
      <c r="EL51" s="395"/>
      <c r="EM51" s="395"/>
      <c r="EN51" s="395"/>
      <c r="EO51" s="395"/>
      <c r="EP51" s="395"/>
      <c r="EQ51" s="395"/>
      <c r="ER51" s="395"/>
      <c r="ES51" s="395"/>
      <c r="ET51" s="395"/>
      <c r="EU51" s="395"/>
      <c r="EV51" s="395"/>
      <c r="EW51" s="395"/>
      <c r="EX51" s="395"/>
      <c r="EY51" s="395"/>
      <c r="EZ51" s="395"/>
      <c r="FA51" s="395"/>
      <c r="FB51" s="395"/>
      <c r="FC51" s="395"/>
      <c r="FD51" s="395"/>
      <c r="FE51" s="395"/>
      <c r="FF51" s="395"/>
      <c r="FG51" s="395"/>
      <c r="FH51" s="395"/>
      <c r="FI51" s="395"/>
      <c r="FJ51" s="395"/>
      <c r="FK51" s="395"/>
      <c r="FL51" s="395"/>
      <c r="FM51" s="395"/>
      <c r="FN51" s="395"/>
      <c r="FO51" s="395"/>
      <c r="FP51" s="395"/>
      <c r="FQ51" s="395"/>
      <c r="FR51" s="395"/>
      <c r="FS51" s="395"/>
      <c r="FT51" s="395"/>
      <c r="FU51" s="395"/>
      <c r="FV51" s="395"/>
      <c r="FW51" s="395"/>
      <c r="FX51" s="395"/>
      <c r="FY51" s="395"/>
      <c r="FZ51" s="395"/>
      <c r="GA51" s="395"/>
      <c r="GB51" s="395"/>
      <c r="GC51" s="395"/>
      <c r="GD51" s="395"/>
      <c r="GE51" s="395"/>
      <c r="GF51" s="395"/>
      <c r="GG51" s="395"/>
      <c r="GH51" s="395"/>
      <c r="GI51" s="395"/>
      <c r="GJ51" s="395"/>
      <c r="GK51" s="395"/>
      <c r="GL51" s="395"/>
      <c r="GM51" s="395"/>
      <c r="GN51" s="395"/>
      <c r="GO51" s="395"/>
      <c r="GP51" s="395"/>
      <c r="GQ51" s="395"/>
      <c r="GR51" s="395"/>
      <c r="GS51" s="395"/>
      <c r="GT51" s="395"/>
      <c r="GU51" s="395"/>
      <c r="GV51" s="395"/>
      <c r="GW51" s="395"/>
      <c r="GX51" s="395"/>
      <c r="GY51" s="395"/>
      <c r="GZ51" s="395"/>
      <c r="HA51" s="395"/>
      <c r="HB51" s="395"/>
      <c r="HC51" s="395"/>
      <c r="HD51" s="395"/>
      <c r="HE51" s="395"/>
      <c r="HF51" s="395"/>
      <c r="HG51" s="395"/>
      <c r="HH51" s="395"/>
      <c r="HI51" s="395"/>
      <c r="HJ51" s="395"/>
      <c r="HK51" s="395"/>
      <c r="HL51" s="395"/>
      <c r="HM51" s="395"/>
      <c r="HN51" s="395"/>
      <c r="HO51" s="395"/>
      <c r="HP51" s="395"/>
      <c r="HQ51" s="395"/>
      <c r="HR51" s="395"/>
      <c r="HS51" s="395"/>
      <c r="HT51" s="395"/>
      <c r="HU51" s="395"/>
      <c r="HV51" s="395"/>
      <c r="HW51" s="395"/>
      <c r="HX51" s="395"/>
      <c r="HY51" s="395"/>
      <c r="HZ51" s="395"/>
      <c r="IA51" s="395"/>
      <c r="IB51" s="395"/>
      <c r="IC51" s="395"/>
      <c r="ID51" s="395"/>
      <c r="IE51" s="395"/>
      <c r="IF51" s="395"/>
      <c r="IG51" s="395"/>
      <c r="IH51" s="395"/>
      <c r="II51" s="395"/>
      <c r="IJ51" s="395"/>
      <c r="IK51" s="395"/>
      <c r="IL51" s="395"/>
      <c r="IM51" s="395"/>
      <c r="IN51" s="395"/>
      <c r="IO51" s="395"/>
      <c r="IP51" s="395"/>
      <c r="IQ51" s="395"/>
      <c r="IR51" s="395"/>
      <c r="IS51" s="395"/>
      <c r="IT51" s="395"/>
      <c r="IU51" s="395"/>
      <c r="IV51" s="395"/>
      <c r="IW51" s="357"/>
    </row>
    <row r="52" customFormat="false" ht="12" hidden="false" customHeight="true" outlineLevel="0" collapsed="false">
      <c r="A52" s="354" t="s">
        <v>436</v>
      </c>
      <c r="B52" s="342"/>
      <c r="C52" s="342"/>
      <c r="D52" s="432" t="n">
        <f aca="false">IF(D$4&gt;'Project Assumptions'!$I$15+1,0,'Project Assumptions'!$N$43)</f>
        <v>5</v>
      </c>
      <c r="E52" s="432" t="n">
        <f aca="false">IF(E$4&gt;'Project Assumptions'!$I$15+1,0,'Project Assumptions'!$N$43)</f>
        <v>5</v>
      </c>
      <c r="F52" s="432" t="n">
        <f aca="false">IF(F$4&gt;'Project Assumptions'!$I$15+1,0,'Project Assumptions'!$N$43)</f>
        <v>5</v>
      </c>
      <c r="G52" s="432" t="n">
        <f aca="false">IF(G$4&gt;'Project Assumptions'!$I$15+1,0,'Project Assumptions'!$N$43)</f>
        <v>5</v>
      </c>
      <c r="H52" s="432" t="n">
        <f aca="false">IF(H$4&gt;'Project Assumptions'!$I$15+1,0,'Project Assumptions'!$N$43)</f>
        <v>5</v>
      </c>
      <c r="I52" s="432" t="n">
        <f aca="false">IF(I$4&gt;'Project Assumptions'!$I$15+1,0,'Project Assumptions'!$N$43)</f>
        <v>5</v>
      </c>
      <c r="J52" s="432" t="n">
        <f aca="false">IF(J$4&gt;'Project Assumptions'!$I$15+1,0,'Project Assumptions'!$N$43)</f>
        <v>5</v>
      </c>
      <c r="K52" s="432" t="n">
        <f aca="false">IF(K$4&gt;'Project Assumptions'!$I$15+1,0,'Project Assumptions'!$N$43)</f>
        <v>5</v>
      </c>
      <c r="L52" s="432" t="n">
        <f aca="false">IF(L$4&gt;'Project Assumptions'!$I$15+1,0,'Project Assumptions'!$N$43)</f>
        <v>5</v>
      </c>
      <c r="M52" s="432" t="n">
        <f aca="false">IF(M$4&gt;'Project Assumptions'!$I$15+1,0,'Project Assumptions'!$N$43)</f>
        <v>5</v>
      </c>
      <c r="N52" s="432" t="n">
        <f aca="false">IF(N$4&gt;'Project Assumptions'!$I$15+1,0,'Project Assumptions'!$N$43)</f>
        <v>5</v>
      </c>
      <c r="O52" s="432" t="n">
        <f aca="false">IF(O$4&gt;'Project Assumptions'!$I$15+1,0,'Project Assumptions'!$N$43)</f>
        <v>5</v>
      </c>
      <c r="P52" s="432" t="n">
        <f aca="false">IF(P$4&gt;'Project Assumptions'!$I$15+1,0,'Project Assumptions'!$N$43)</f>
        <v>5</v>
      </c>
      <c r="Q52" s="432" t="n">
        <f aca="false">IF(Q$4&gt;'Project Assumptions'!$I$15+1,0,'Project Assumptions'!$N$43)</f>
        <v>5</v>
      </c>
      <c r="R52" s="432" t="n">
        <f aca="false">IF(R$4&gt;'Project Assumptions'!$I$15+1,0,'Project Assumptions'!$N$43)</f>
        <v>5</v>
      </c>
      <c r="S52" s="432" t="n">
        <f aca="false">IF(S$4&gt;'Project Assumptions'!$I$15+1,0,'Project Assumptions'!$N$43)</f>
        <v>5</v>
      </c>
      <c r="T52" s="432"/>
      <c r="U52" s="432"/>
      <c r="V52" s="432"/>
      <c r="W52" s="432"/>
      <c r="X52" s="432"/>
      <c r="Y52" s="432"/>
      <c r="Z52" s="432"/>
      <c r="AA52" s="432"/>
      <c r="AB52" s="432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5"/>
      <c r="AU52" s="395"/>
      <c r="AV52" s="395"/>
      <c r="AW52" s="395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95"/>
      <c r="BQ52" s="395"/>
      <c r="BR52" s="395"/>
      <c r="BS52" s="395"/>
      <c r="BT52" s="395"/>
      <c r="BU52" s="395"/>
      <c r="BV52" s="395"/>
      <c r="BW52" s="395"/>
      <c r="BX52" s="395"/>
      <c r="BY52" s="395"/>
      <c r="BZ52" s="395"/>
      <c r="CA52" s="395"/>
      <c r="CB52" s="395"/>
      <c r="CC52" s="395"/>
      <c r="CD52" s="395"/>
      <c r="CE52" s="395"/>
      <c r="CF52" s="395"/>
      <c r="CG52" s="395"/>
      <c r="CH52" s="395"/>
      <c r="CI52" s="395"/>
      <c r="CJ52" s="395"/>
      <c r="CK52" s="395"/>
      <c r="CL52" s="395"/>
      <c r="CM52" s="395"/>
      <c r="CN52" s="395"/>
      <c r="CO52" s="395"/>
      <c r="CP52" s="395"/>
      <c r="CQ52" s="395"/>
      <c r="CR52" s="395"/>
      <c r="CS52" s="395"/>
      <c r="CT52" s="395"/>
      <c r="CU52" s="395"/>
      <c r="CV52" s="395"/>
      <c r="CW52" s="395"/>
      <c r="CX52" s="395"/>
      <c r="CY52" s="395"/>
      <c r="CZ52" s="395"/>
      <c r="DA52" s="395"/>
      <c r="DB52" s="395"/>
      <c r="DC52" s="395"/>
      <c r="DD52" s="395"/>
      <c r="DE52" s="395"/>
      <c r="DF52" s="395"/>
      <c r="DG52" s="395"/>
      <c r="DH52" s="395"/>
      <c r="DI52" s="395"/>
      <c r="DJ52" s="395"/>
      <c r="DK52" s="395"/>
      <c r="DL52" s="395"/>
      <c r="DM52" s="395"/>
      <c r="DN52" s="395"/>
      <c r="DO52" s="395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5"/>
      <c r="EB52" s="395"/>
      <c r="EC52" s="395"/>
      <c r="ED52" s="395"/>
      <c r="EE52" s="395"/>
      <c r="EF52" s="395"/>
      <c r="EG52" s="395"/>
      <c r="EH52" s="395"/>
      <c r="EI52" s="395"/>
      <c r="EJ52" s="395"/>
      <c r="EK52" s="395"/>
      <c r="EL52" s="395"/>
      <c r="EM52" s="395"/>
      <c r="EN52" s="395"/>
      <c r="EO52" s="395"/>
      <c r="EP52" s="395"/>
      <c r="EQ52" s="395"/>
      <c r="ER52" s="395"/>
      <c r="ES52" s="395"/>
      <c r="ET52" s="395"/>
      <c r="EU52" s="395"/>
      <c r="EV52" s="395"/>
      <c r="EW52" s="395"/>
      <c r="EX52" s="395"/>
      <c r="EY52" s="395"/>
      <c r="EZ52" s="395"/>
      <c r="FA52" s="395"/>
      <c r="FB52" s="395"/>
      <c r="FC52" s="395"/>
      <c r="FD52" s="395"/>
      <c r="FE52" s="395"/>
      <c r="FF52" s="395"/>
      <c r="FG52" s="395"/>
      <c r="FH52" s="395"/>
      <c r="FI52" s="395"/>
      <c r="FJ52" s="395"/>
      <c r="FK52" s="395"/>
      <c r="FL52" s="395"/>
      <c r="FM52" s="395"/>
      <c r="FN52" s="395"/>
      <c r="FO52" s="395"/>
      <c r="FP52" s="395"/>
      <c r="FQ52" s="395"/>
      <c r="FR52" s="395"/>
      <c r="FS52" s="395"/>
      <c r="FT52" s="395"/>
      <c r="FU52" s="395"/>
      <c r="FV52" s="395"/>
      <c r="FW52" s="395"/>
      <c r="FX52" s="395"/>
      <c r="FY52" s="395"/>
      <c r="FZ52" s="395"/>
      <c r="GA52" s="395"/>
      <c r="GB52" s="395"/>
      <c r="GC52" s="395"/>
      <c r="GD52" s="395"/>
      <c r="GE52" s="395"/>
      <c r="GF52" s="395"/>
      <c r="GG52" s="395"/>
      <c r="GH52" s="395"/>
      <c r="GI52" s="395"/>
      <c r="GJ52" s="395"/>
      <c r="GK52" s="395"/>
      <c r="GL52" s="395"/>
      <c r="GM52" s="395"/>
      <c r="GN52" s="395"/>
      <c r="GO52" s="395"/>
      <c r="GP52" s="395"/>
      <c r="GQ52" s="395"/>
      <c r="GR52" s="395"/>
      <c r="GS52" s="395"/>
      <c r="GT52" s="395"/>
      <c r="GU52" s="395"/>
      <c r="GV52" s="395"/>
      <c r="GW52" s="395"/>
      <c r="GX52" s="395"/>
      <c r="GY52" s="395"/>
      <c r="GZ52" s="395"/>
      <c r="HA52" s="395"/>
      <c r="HB52" s="395"/>
      <c r="HC52" s="395"/>
      <c r="HD52" s="395"/>
      <c r="HE52" s="395"/>
      <c r="HF52" s="395"/>
      <c r="HG52" s="395"/>
      <c r="HH52" s="395"/>
      <c r="HI52" s="395"/>
      <c r="HJ52" s="395"/>
      <c r="HK52" s="395"/>
      <c r="HL52" s="395"/>
      <c r="HM52" s="395"/>
      <c r="HN52" s="395"/>
      <c r="HO52" s="395"/>
      <c r="HP52" s="395"/>
      <c r="HQ52" s="395"/>
      <c r="HR52" s="395"/>
      <c r="HS52" s="395"/>
      <c r="HT52" s="395"/>
      <c r="HU52" s="395"/>
      <c r="HV52" s="395"/>
      <c r="HW52" s="395"/>
      <c r="HX52" s="395"/>
      <c r="HY52" s="395"/>
      <c r="HZ52" s="395"/>
      <c r="IA52" s="395"/>
      <c r="IB52" s="395"/>
      <c r="IC52" s="395"/>
      <c r="ID52" s="395"/>
      <c r="IE52" s="395"/>
      <c r="IF52" s="395"/>
      <c r="IG52" s="395"/>
      <c r="IH52" s="395"/>
      <c r="II52" s="395"/>
      <c r="IJ52" s="395"/>
      <c r="IK52" s="395"/>
      <c r="IL52" s="395"/>
      <c r="IM52" s="395"/>
      <c r="IN52" s="395"/>
      <c r="IO52" s="395"/>
      <c r="IP52" s="395"/>
      <c r="IQ52" s="395"/>
      <c r="IR52" s="395"/>
      <c r="IS52" s="395"/>
    </row>
    <row r="53" customFormat="false" ht="12" hidden="false" customHeight="true" outlineLevel="0" collapsed="false">
      <c r="A53" s="341" t="s">
        <v>437</v>
      </c>
      <c r="C53" s="342"/>
      <c r="D53" s="370" t="n">
        <f aca="false">D52</f>
        <v>5</v>
      </c>
      <c r="E53" s="370" t="n">
        <f aca="false">E52</f>
        <v>5</v>
      </c>
      <c r="F53" s="370" t="n">
        <f aca="false">F52</f>
        <v>5</v>
      </c>
      <c r="G53" s="370" t="n">
        <f aca="false">G52</f>
        <v>5</v>
      </c>
      <c r="H53" s="370" t="n">
        <f aca="false">H52</f>
        <v>5</v>
      </c>
      <c r="I53" s="370" t="n">
        <f aca="false">I52</f>
        <v>5</v>
      </c>
      <c r="J53" s="370" t="n">
        <f aca="false">J52</f>
        <v>5</v>
      </c>
      <c r="K53" s="370" t="n">
        <f aca="false">K52</f>
        <v>5</v>
      </c>
      <c r="L53" s="370" t="n">
        <f aca="false">L52</f>
        <v>5</v>
      </c>
      <c r="M53" s="370" t="n">
        <f aca="false">M52</f>
        <v>5</v>
      </c>
      <c r="N53" s="370" t="n">
        <f aca="false">N52</f>
        <v>5</v>
      </c>
      <c r="O53" s="370" t="n">
        <f aca="false">O52</f>
        <v>5</v>
      </c>
      <c r="P53" s="370" t="n">
        <f aca="false">P52</f>
        <v>5</v>
      </c>
      <c r="Q53" s="370" t="n">
        <f aca="false">Q52</f>
        <v>5</v>
      </c>
      <c r="R53" s="370" t="n">
        <f aca="false">R52</f>
        <v>5</v>
      </c>
      <c r="S53" s="370" t="n">
        <f aca="false">S52</f>
        <v>5</v>
      </c>
      <c r="T53" s="370"/>
      <c r="U53" s="370"/>
      <c r="V53" s="370"/>
      <c r="W53" s="370"/>
      <c r="X53" s="370"/>
      <c r="Y53" s="370"/>
      <c r="Z53" s="370"/>
      <c r="AA53" s="370"/>
      <c r="AB53" s="370"/>
      <c r="AC53" s="342"/>
      <c r="AD53" s="395"/>
      <c r="AE53" s="395"/>
      <c r="AF53" s="395"/>
      <c r="AG53" s="395"/>
      <c r="AH53" s="395"/>
      <c r="AI53" s="395"/>
      <c r="AJ53" s="395"/>
      <c r="AK53" s="395"/>
      <c r="AL53" s="395"/>
      <c r="AM53" s="395"/>
      <c r="AN53" s="395"/>
      <c r="AO53" s="395"/>
      <c r="AP53" s="395"/>
      <c r="AQ53" s="395"/>
      <c r="AR53" s="395"/>
      <c r="AS53" s="395"/>
      <c r="AT53" s="395"/>
      <c r="AU53" s="395"/>
      <c r="AV53" s="395"/>
      <c r="AW53" s="395"/>
      <c r="AX53" s="395"/>
      <c r="AY53" s="395"/>
      <c r="AZ53" s="395"/>
      <c r="BA53" s="395"/>
      <c r="BB53" s="395"/>
      <c r="BC53" s="395"/>
      <c r="BD53" s="395"/>
      <c r="BE53" s="395"/>
      <c r="BF53" s="395"/>
      <c r="BG53" s="395"/>
      <c r="BH53" s="395"/>
      <c r="BI53" s="395"/>
      <c r="BJ53" s="395"/>
      <c r="BK53" s="395"/>
      <c r="BL53" s="395"/>
      <c r="BM53" s="395"/>
      <c r="BN53" s="395"/>
      <c r="BO53" s="395"/>
      <c r="BP53" s="395"/>
      <c r="BQ53" s="395"/>
      <c r="BR53" s="395"/>
      <c r="BS53" s="395"/>
      <c r="BT53" s="395"/>
      <c r="BU53" s="395"/>
      <c r="BV53" s="395"/>
      <c r="BW53" s="395"/>
      <c r="BX53" s="395"/>
      <c r="BY53" s="395"/>
      <c r="BZ53" s="395"/>
      <c r="CA53" s="395"/>
      <c r="CB53" s="395"/>
      <c r="CC53" s="395"/>
      <c r="CD53" s="395"/>
      <c r="CE53" s="395"/>
      <c r="CF53" s="395"/>
      <c r="CG53" s="395"/>
      <c r="CH53" s="395"/>
      <c r="CI53" s="395"/>
      <c r="CJ53" s="395"/>
      <c r="CK53" s="395"/>
      <c r="CL53" s="395"/>
      <c r="CM53" s="395"/>
      <c r="CN53" s="395"/>
      <c r="CO53" s="395"/>
      <c r="CP53" s="395"/>
      <c r="CQ53" s="395"/>
      <c r="CR53" s="395"/>
      <c r="CS53" s="395"/>
      <c r="CT53" s="395"/>
      <c r="CU53" s="395"/>
      <c r="CV53" s="395"/>
      <c r="CW53" s="395"/>
      <c r="CX53" s="395"/>
      <c r="CY53" s="395"/>
      <c r="CZ53" s="395"/>
      <c r="DA53" s="395"/>
      <c r="DB53" s="395"/>
      <c r="DC53" s="395"/>
      <c r="DD53" s="395"/>
      <c r="DE53" s="395"/>
      <c r="DF53" s="395"/>
      <c r="DG53" s="395"/>
      <c r="DH53" s="395"/>
      <c r="DI53" s="395"/>
      <c r="DJ53" s="395"/>
      <c r="DK53" s="395"/>
      <c r="DL53" s="395"/>
      <c r="DM53" s="395"/>
      <c r="DN53" s="395"/>
      <c r="DO53" s="395"/>
      <c r="DP53" s="395"/>
      <c r="DQ53" s="395"/>
      <c r="DR53" s="395"/>
      <c r="DS53" s="395"/>
      <c r="DT53" s="395"/>
      <c r="DU53" s="395"/>
      <c r="DV53" s="395"/>
      <c r="DW53" s="395"/>
      <c r="DX53" s="395"/>
      <c r="DY53" s="395"/>
      <c r="DZ53" s="395"/>
      <c r="EA53" s="395"/>
      <c r="EB53" s="395"/>
      <c r="EC53" s="395"/>
      <c r="ED53" s="395"/>
      <c r="EE53" s="395"/>
      <c r="EF53" s="395"/>
      <c r="EG53" s="395"/>
      <c r="EH53" s="395"/>
      <c r="EI53" s="395"/>
      <c r="EJ53" s="395"/>
      <c r="EK53" s="395"/>
      <c r="EL53" s="395"/>
      <c r="EM53" s="395"/>
      <c r="EN53" s="395"/>
      <c r="EO53" s="395"/>
      <c r="EP53" s="395"/>
      <c r="EQ53" s="395"/>
      <c r="ER53" s="395"/>
      <c r="ES53" s="395"/>
      <c r="ET53" s="395"/>
      <c r="EU53" s="395"/>
      <c r="EV53" s="395"/>
      <c r="EW53" s="395"/>
      <c r="EX53" s="395"/>
      <c r="EY53" s="395"/>
      <c r="EZ53" s="395"/>
      <c r="FA53" s="395"/>
      <c r="FB53" s="395"/>
      <c r="FC53" s="395"/>
      <c r="FD53" s="395"/>
      <c r="FE53" s="395"/>
      <c r="FF53" s="395"/>
      <c r="FG53" s="395"/>
      <c r="FH53" s="395"/>
      <c r="FI53" s="395"/>
      <c r="FJ53" s="395"/>
      <c r="FK53" s="395"/>
      <c r="FL53" s="395"/>
      <c r="FM53" s="395"/>
      <c r="FN53" s="395"/>
      <c r="FO53" s="395"/>
      <c r="FP53" s="395"/>
      <c r="FQ53" s="395"/>
      <c r="FR53" s="395"/>
      <c r="FS53" s="395"/>
      <c r="FT53" s="395"/>
      <c r="FU53" s="395"/>
      <c r="FV53" s="395"/>
      <c r="FW53" s="395"/>
      <c r="FX53" s="395"/>
      <c r="FY53" s="395"/>
      <c r="FZ53" s="395"/>
      <c r="GA53" s="395"/>
      <c r="GB53" s="395"/>
      <c r="GC53" s="395"/>
      <c r="GD53" s="395"/>
      <c r="GE53" s="395"/>
      <c r="GF53" s="395"/>
      <c r="GG53" s="395"/>
      <c r="GH53" s="395"/>
      <c r="GI53" s="395"/>
      <c r="GJ53" s="395"/>
      <c r="GK53" s="395"/>
      <c r="GL53" s="395"/>
      <c r="GM53" s="395"/>
      <c r="GN53" s="395"/>
      <c r="GO53" s="395"/>
      <c r="GP53" s="395"/>
      <c r="GQ53" s="395"/>
      <c r="GR53" s="395"/>
      <c r="GS53" s="395"/>
      <c r="GT53" s="395"/>
      <c r="GU53" s="395"/>
      <c r="GV53" s="395"/>
      <c r="GW53" s="395"/>
      <c r="GX53" s="395"/>
      <c r="GY53" s="395"/>
      <c r="GZ53" s="395"/>
      <c r="HA53" s="395"/>
      <c r="HB53" s="395"/>
      <c r="HC53" s="395"/>
      <c r="HD53" s="395"/>
      <c r="HE53" s="395"/>
      <c r="HF53" s="395"/>
      <c r="HG53" s="395"/>
      <c r="HH53" s="395"/>
      <c r="HI53" s="395"/>
      <c r="HJ53" s="395"/>
      <c r="HK53" s="395"/>
      <c r="HL53" s="395"/>
      <c r="HM53" s="395"/>
      <c r="HN53" s="395"/>
      <c r="HO53" s="395"/>
      <c r="HP53" s="395"/>
      <c r="HQ53" s="395"/>
      <c r="HR53" s="395"/>
      <c r="HS53" s="395"/>
      <c r="HT53" s="395"/>
      <c r="HU53" s="395"/>
      <c r="HV53" s="395"/>
      <c r="HW53" s="395"/>
      <c r="HX53" s="395"/>
      <c r="HY53" s="395"/>
      <c r="HZ53" s="395"/>
      <c r="IA53" s="395"/>
      <c r="IB53" s="395"/>
      <c r="IC53" s="395"/>
      <c r="ID53" s="395"/>
      <c r="IE53" s="395"/>
      <c r="IF53" s="395"/>
      <c r="IG53" s="395"/>
      <c r="IH53" s="395"/>
      <c r="II53" s="395"/>
      <c r="IJ53" s="395"/>
      <c r="IK53" s="395"/>
      <c r="IL53" s="395"/>
      <c r="IM53" s="395"/>
      <c r="IN53" s="395"/>
      <c r="IO53" s="395"/>
      <c r="IP53" s="395"/>
      <c r="IQ53" s="395"/>
      <c r="IR53" s="395"/>
      <c r="IS53" s="395"/>
      <c r="IT53" s="395"/>
      <c r="IU53" s="395"/>
    </row>
    <row r="54" customFormat="false" ht="12" hidden="false" customHeight="true" outlineLevel="0" collapsed="false">
      <c r="C54" s="401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401"/>
      <c r="AD54" s="401"/>
    </row>
    <row r="55" customFormat="false" ht="12" hidden="false" customHeight="true" outlineLevel="0" collapsed="false">
      <c r="A55" s="431"/>
      <c r="C55" s="401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01"/>
      <c r="AD55" s="401"/>
    </row>
    <row r="56" customFormat="false" ht="12" hidden="false" customHeight="true" outlineLevel="0" collapsed="false">
      <c r="C56" s="401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401"/>
      <c r="AD56" s="401"/>
    </row>
    <row r="57" customFormat="false" ht="12" hidden="false" customHeight="true" outlineLevel="0" collapsed="false">
      <c r="A57" s="431" t="s">
        <v>438</v>
      </c>
      <c r="B57" s="342"/>
      <c r="C57" s="342"/>
      <c r="D57" s="434"/>
      <c r="E57" s="434"/>
      <c r="F57" s="434"/>
      <c r="G57" s="434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342"/>
      <c r="AD57" s="342"/>
      <c r="AE57" s="395"/>
      <c r="AF57" s="395"/>
      <c r="AG57" s="395"/>
      <c r="AH57" s="395"/>
      <c r="AI57" s="395"/>
      <c r="AJ57" s="395"/>
      <c r="AK57" s="395"/>
      <c r="AL57" s="395"/>
      <c r="AM57" s="395"/>
      <c r="AN57" s="395"/>
      <c r="AO57" s="395"/>
      <c r="AP57" s="395"/>
      <c r="AQ57" s="395"/>
      <c r="AR57" s="395"/>
      <c r="AS57" s="395"/>
      <c r="AT57" s="395"/>
      <c r="AU57" s="395"/>
      <c r="AV57" s="395"/>
      <c r="AW57" s="395"/>
      <c r="AX57" s="395"/>
      <c r="AY57" s="395"/>
      <c r="AZ57" s="395"/>
      <c r="BA57" s="395"/>
      <c r="BB57" s="395"/>
      <c r="BC57" s="395"/>
      <c r="BD57" s="395"/>
      <c r="BE57" s="395"/>
      <c r="BF57" s="395"/>
      <c r="BG57" s="395"/>
      <c r="BH57" s="395"/>
      <c r="BI57" s="395"/>
      <c r="BJ57" s="395"/>
      <c r="BK57" s="395"/>
      <c r="BL57" s="395"/>
      <c r="BM57" s="395"/>
      <c r="BN57" s="395"/>
      <c r="BO57" s="395"/>
      <c r="BP57" s="395"/>
      <c r="BQ57" s="395"/>
      <c r="BR57" s="395"/>
      <c r="BS57" s="395"/>
      <c r="BT57" s="395"/>
      <c r="BU57" s="395"/>
      <c r="BV57" s="395"/>
      <c r="BW57" s="395"/>
      <c r="BX57" s="395"/>
      <c r="BY57" s="395"/>
      <c r="BZ57" s="395"/>
      <c r="CA57" s="395"/>
      <c r="CB57" s="395"/>
      <c r="CC57" s="395"/>
      <c r="CD57" s="395"/>
      <c r="CE57" s="395"/>
      <c r="CF57" s="395"/>
      <c r="CG57" s="395"/>
      <c r="CH57" s="395"/>
      <c r="CI57" s="395"/>
      <c r="CJ57" s="395"/>
      <c r="CK57" s="395"/>
      <c r="CL57" s="395"/>
      <c r="CM57" s="395"/>
      <c r="CN57" s="395"/>
      <c r="CO57" s="395"/>
      <c r="CP57" s="395"/>
      <c r="CQ57" s="395"/>
      <c r="CR57" s="395"/>
      <c r="CS57" s="395"/>
      <c r="CT57" s="395"/>
      <c r="CU57" s="395"/>
      <c r="CV57" s="395"/>
      <c r="CW57" s="395"/>
      <c r="CX57" s="395"/>
      <c r="CY57" s="395"/>
      <c r="CZ57" s="395"/>
      <c r="DA57" s="395"/>
      <c r="DB57" s="395"/>
      <c r="DC57" s="395"/>
      <c r="DD57" s="395"/>
      <c r="DE57" s="395"/>
      <c r="DF57" s="395"/>
      <c r="DG57" s="395"/>
      <c r="DH57" s="395"/>
      <c r="DI57" s="395"/>
      <c r="DJ57" s="395"/>
      <c r="DK57" s="395"/>
      <c r="DL57" s="395"/>
      <c r="DM57" s="395"/>
      <c r="DN57" s="395"/>
      <c r="DO57" s="395"/>
      <c r="DP57" s="395"/>
      <c r="DQ57" s="395"/>
      <c r="DR57" s="395"/>
      <c r="DS57" s="395"/>
      <c r="DT57" s="395"/>
      <c r="DU57" s="395"/>
      <c r="DV57" s="395"/>
      <c r="DW57" s="395"/>
      <c r="DX57" s="395"/>
      <c r="DY57" s="395"/>
      <c r="DZ57" s="395"/>
      <c r="EA57" s="395"/>
      <c r="EB57" s="395"/>
      <c r="EC57" s="395"/>
      <c r="ED57" s="395"/>
      <c r="EE57" s="395"/>
      <c r="EF57" s="395"/>
      <c r="EG57" s="395"/>
      <c r="EH57" s="395"/>
      <c r="EI57" s="395"/>
      <c r="EJ57" s="395"/>
      <c r="EK57" s="395"/>
      <c r="EL57" s="395"/>
      <c r="EM57" s="395"/>
      <c r="EN57" s="395"/>
      <c r="EO57" s="395"/>
      <c r="EP57" s="395"/>
      <c r="EQ57" s="395"/>
      <c r="ER57" s="395"/>
      <c r="ES57" s="395"/>
      <c r="ET57" s="395"/>
      <c r="EU57" s="395"/>
      <c r="EV57" s="395"/>
      <c r="EW57" s="395"/>
      <c r="EX57" s="395"/>
      <c r="EY57" s="395"/>
      <c r="EZ57" s="395"/>
      <c r="FA57" s="395"/>
      <c r="FB57" s="395"/>
      <c r="FC57" s="395"/>
      <c r="FD57" s="395"/>
      <c r="FE57" s="395"/>
      <c r="FF57" s="395"/>
      <c r="FG57" s="395"/>
      <c r="FH57" s="395"/>
      <c r="FI57" s="395"/>
      <c r="FJ57" s="395"/>
      <c r="FK57" s="395"/>
      <c r="FL57" s="395"/>
      <c r="FM57" s="395"/>
      <c r="FN57" s="395"/>
      <c r="FO57" s="395"/>
      <c r="FP57" s="395"/>
      <c r="FQ57" s="395"/>
      <c r="FR57" s="395"/>
      <c r="FS57" s="395"/>
      <c r="FT57" s="395"/>
      <c r="FU57" s="395"/>
      <c r="FV57" s="395"/>
      <c r="FW57" s="395"/>
      <c r="FX57" s="395"/>
      <c r="FY57" s="395"/>
      <c r="FZ57" s="395"/>
      <c r="GA57" s="395"/>
      <c r="GB57" s="395"/>
      <c r="GC57" s="395"/>
      <c r="GD57" s="395"/>
      <c r="GE57" s="395"/>
      <c r="GF57" s="395"/>
      <c r="GG57" s="395"/>
      <c r="GH57" s="395"/>
      <c r="GI57" s="395"/>
      <c r="GJ57" s="395"/>
      <c r="GK57" s="395"/>
      <c r="GL57" s="395"/>
      <c r="GM57" s="395"/>
      <c r="GN57" s="395"/>
      <c r="GO57" s="395"/>
      <c r="GP57" s="395"/>
      <c r="GQ57" s="395"/>
      <c r="GR57" s="395"/>
      <c r="GS57" s="395"/>
      <c r="GT57" s="395"/>
      <c r="GU57" s="395"/>
      <c r="GV57" s="395"/>
      <c r="GW57" s="395"/>
      <c r="GX57" s="395"/>
      <c r="GY57" s="395"/>
      <c r="GZ57" s="395"/>
      <c r="HA57" s="395"/>
      <c r="HB57" s="395"/>
      <c r="HC57" s="395"/>
      <c r="HD57" s="395"/>
      <c r="HE57" s="395"/>
      <c r="HF57" s="395"/>
      <c r="HG57" s="395"/>
      <c r="HH57" s="395"/>
      <c r="HI57" s="395"/>
      <c r="HJ57" s="395"/>
      <c r="HK57" s="395"/>
      <c r="HL57" s="395"/>
      <c r="HM57" s="395"/>
      <c r="HN57" s="395"/>
      <c r="HO57" s="395"/>
      <c r="HP57" s="395"/>
      <c r="HQ57" s="395"/>
      <c r="HR57" s="395"/>
      <c r="HS57" s="395"/>
      <c r="HT57" s="395"/>
      <c r="HU57" s="395"/>
      <c r="HV57" s="395"/>
      <c r="HW57" s="395"/>
      <c r="HX57" s="395"/>
      <c r="HY57" s="395"/>
      <c r="HZ57" s="395"/>
      <c r="IA57" s="395"/>
      <c r="IB57" s="395"/>
      <c r="IC57" s="395"/>
      <c r="ID57" s="395"/>
      <c r="IE57" s="395"/>
      <c r="IF57" s="395"/>
      <c r="IG57" s="395"/>
      <c r="IH57" s="395"/>
      <c r="II57" s="395"/>
      <c r="IJ57" s="395"/>
      <c r="IK57" s="395"/>
      <c r="IL57" s="395"/>
      <c r="IM57" s="395"/>
      <c r="IN57" s="395"/>
      <c r="IO57" s="395"/>
      <c r="IP57" s="395"/>
      <c r="IQ57" s="395"/>
      <c r="IR57" s="395"/>
      <c r="IS57" s="395"/>
      <c r="IT57" s="395"/>
      <c r="IU57" s="395"/>
      <c r="IV57" s="395"/>
      <c r="IW57" s="357"/>
    </row>
    <row r="58" customFormat="false" ht="12" hidden="false" customHeight="true" outlineLevel="0" collapsed="false">
      <c r="A58" s="354" t="s">
        <v>439</v>
      </c>
      <c r="B58" s="342"/>
      <c r="C58" s="342"/>
      <c r="D58" s="370" t="n">
        <f aca="false">'Book Income Statement'!C12</f>
        <v>21127.3009828796</v>
      </c>
      <c r="E58" s="370" t="n">
        <f aca="false">'Book Income Statement'!D12</f>
        <v>28345.310697503</v>
      </c>
      <c r="F58" s="370" t="n">
        <f aca="false">'Book Income Statement'!E12</f>
        <v>28746.2876745598</v>
      </c>
      <c r="G58" s="370" t="n">
        <f aca="false">'Book Income Statement'!F12</f>
        <v>29027.8506337148</v>
      </c>
      <c r="H58" s="370" t="n">
        <f aca="false">'Book Income Statement'!G12</f>
        <v>29378.7465075313</v>
      </c>
      <c r="I58" s="370" t="n">
        <f aca="false">'Book Income Statement'!H12</f>
        <v>29613.8905771757</v>
      </c>
      <c r="J58" s="370" t="n">
        <f aca="false">'Book Income Statement'!I12</f>
        <v>30073.3347660964</v>
      </c>
      <c r="K58" s="370" t="n">
        <f aca="false">'Book Income Statement'!J12</f>
        <v>30554.5513909459</v>
      </c>
      <c r="L58" s="370" t="n">
        <f aca="false">'Book Income Statement'!K12</f>
        <v>30923.7054156094</v>
      </c>
      <c r="M58" s="370" t="n">
        <f aca="false">'Book Income Statement'!L12</f>
        <v>31407.5076400831</v>
      </c>
      <c r="N58" s="370" t="n">
        <f aca="false">'Book Income Statement'!M12</f>
        <v>31892.6415763633</v>
      </c>
      <c r="O58" s="370" t="n">
        <f aca="false">'Book Income Statement'!N12</f>
        <v>32435.805158686</v>
      </c>
      <c r="P58" s="370" t="n">
        <f aca="false">'Book Income Statement'!O12</f>
        <v>32923.6829539723</v>
      </c>
      <c r="Q58" s="370" t="n">
        <f aca="false">'Book Income Statement'!P12</f>
        <v>33412.9739724812</v>
      </c>
      <c r="R58" s="370" t="n">
        <f aca="false">'Book Income Statement'!Q12</f>
        <v>33960.3777786774</v>
      </c>
      <c r="S58" s="370" t="n">
        <f aca="false">'Book Income Statement'!R12</f>
        <v>19689.9290430858</v>
      </c>
      <c r="T58" s="370"/>
      <c r="U58" s="370"/>
      <c r="V58" s="370"/>
      <c r="W58" s="370"/>
      <c r="X58" s="370"/>
      <c r="Y58" s="370"/>
      <c r="Z58" s="370"/>
      <c r="AA58" s="370"/>
      <c r="AB58" s="370"/>
      <c r="AC58" s="342"/>
      <c r="AD58" s="342"/>
      <c r="AE58" s="395"/>
      <c r="AF58" s="395"/>
      <c r="AG58" s="395"/>
      <c r="AH58" s="395"/>
      <c r="AI58" s="395"/>
      <c r="AJ58" s="395"/>
      <c r="AK58" s="395"/>
      <c r="AL58" s="395"/>
      <c r="AM58" s="395"/>
      <c r="AN58" s="395"/>
      <c r="AO58" s="395"/>
      <c r="AP58" s="395"/>
      <c r="AQ58" s="395"/>
      <c r="AR58" s="395"/>
      <c r="AS58" s="395"/>
      <c r="AT58" s="395"/>
      <c r="AU58" s="395"/>
      <c r="AV58" s="395"/>
      <c r="AW58" s="395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5"/>
      <c r="BS58" s="395"/>
      <c r="BT58" s="395"/>
      <c r="BU58" s="395"/>
      <c r="BV58" s="395"/>
      <c r="BW58" s="395"/>
      <c r="BX58" s="395"/>
      <c r="BY58" s="395"/>
      <c r="BZ58" s="395"/>
      <c r="CA58" s="395"/>
      <c r="CB58" s="395"/>
      <c r="CC58" s="395"/>
      <c r="CD58" s="395"/>
      <c r="CE58" s="395"/>
      <c r="CF58" s="395"/>
      <c r="CG58" s="395"/>
      <c r="CH58" s="395"/>
      <c r="CI58" s="395"/>
      <c r="CJ58" s="395"/>
      <c r="CK58" s="395"/>
      <c r="CL58" s="395"/>
      <c r="CM58" s="395"/>
      <c r="CN58" s="395"/>
      <c r="CO58" s="395"/>
      <c r="CP58" s="395"/>
      <c r="CQ58" s="395"/>
      <c r="CR58" s="395"/>
      <c r="CS58" s="395"/>
      <c r="CT58" s="395"/>
      <c r="CU58" s="395"/>
      <c r="CV58" s="395"/>
      <c r="CW58" s="395"/>
      <c r="CX58" s="395"/>
      <c r="CY58" s="395"/>
      <c r="CZ58" s="395"/>
      <c r="DA58" s="395"/>
      <c r="DB58" s="395"/>
      <c r="DC58" s="395"/>
      <c r="DD58" s="395"/>
      <c r="DE58" s="395"/>
      <c r="DF58" s="395"/>
      <c r="DG58" s="395"/>
      <c r="DH58" s="395"/>
      <c r="DI58" s="395"/>
      <c r="DJ58" s="395"/>
      <c r="DK58" s="395"/>
      <c r="DL58" s="395"/>
      <c r="DM58" s="395"/>
      <c r="DN58" s="395"/>
      <c r="DO58" s="395"/>
      <c r="DP58" s="395"/>
      <c r="DQ58" s="395"/>
      <c r="DR58" s="395"/>
      <c r="DS58" s="395"/>
      <c r="DT58" s="395"/>
      <c r="DU58" s="395"/>
      <c r="DV58" s="395"/>
      <c r="DW58" s="395"/>
      <c r="DX58" s="395"/>
      <c r="DY58" s="395"/>
      <c r="DZ58" s="395"/>
      <c r="EA58" s="395"/>
      <c r="EB58" s="395"/>
      <c r="EC58" s="395"/>
      <c r="ED58" s="395"/>
      <c r="EE58" s="395"/>
      <c r="EF58" s="395"/>
      <c r="EG58" s="395"/>
      <c r="EH58" s="395"/>
      <c r="EI58" s="395"/>
      <c r="EJ58" s="395"/>
      <c r="EK58" s="395"/>
      <c r="EL58" s="395"/>
      <c r="EM58" s="395"/>
      <c r="EN58" s="395"/>
      <c r="EO58" s="395"/>
      <c r="EP58" s="395"/>
      <c r="EQ58" s="395"/>
      <c r="ER58" s="395"/>
      <c r="ES58" s="395"/>
      <c r="ET58" s="395"/>
      <c r="EU58" s="395"/>
      <c r="EV58" s="395"/>
      <c r="EW58" s="395"/>
      <c r="EX58" s="395"/>
      <c r="EY58" s="395"/>
      <c r="EZ58" s="395"/>
      <c r="FA58" s="395"/>
      <c r="FB58" s="395"/>
      <c r="FC58" s="395"/>
      <c r="FD58" s="395"/>
      <c r="FE58" s="395"/>
      <c r="FF58" s="395"/>
      <c r="FG58" s="395"/>
      <c r="FH58" s="395"/>
      <c r="FI58" s="395"/>
      <c r="FJ58" s="395"/>
      <c r="FK58" s="395"/>
      <c r="FL58" s="395"/>
      <c r="FM58" s="395"/>
      <c r="FN58" s="395"/>
      <c r="FO58" s="395"/>
      <c r="FP58" s="395"/>
      <c r="FQ58" s="395"/>
      <c r="FR58" s="395"/>
      <c r="FS58" s="395"/>
      <c r="FT58" s="395"/>
      <c r="FU58" s="395"/>
      <c r="FV58" s="395"/>
      <c r="FW58" s="395"/>
      <c r="FX58" s="395"/>
      <c r="FY58" s="395"/>
      <c r="FZ58" s="395"/>
      <c r="GA58" s="395"/>
      <c r="GB58" s="395"/>
      <c r="GC58" s="395"/>
      <c r="GD58" s="395"/>
      <c r="GE58" s="395"/>
      <c r="GF58" s="395"/>
      <c r="GG58" s="395"/>
      <c r="GH58" s="395"/>
      <c r="GI58" s="395"/>
      <c r="GJ58" s="395"/>
      <c r="GK58" s="395"/>
      <c r="GL58" s="395"/>
      <c r="GM58" s="395"/>
      <c r="GN58" s="395"/>
      <c r="GO58" s="395"/>
      <c r="GP58" s="395"/>
      <c r="GQ58" s="395"/>
      <c r="GR58" s="395"/>
      <c r="GS58" s="395"/>
      <c r="GT58" s="395"/>
      <c r="GU58" s="395"/>
      <c r="GV58" s="395"/>
      <c r="GW58" s="395"/>
      <c r="GX58" s="395"/>
      <c r="GY58" s="395"/>
      <c r="GZ58" s="395"/>
      <c r="HA58" s="395"/>
      <c r="HB58" s="395"/>
      <c r="HC58" s="395"/>
      <c r="HD58" s="395"/>
      <c r="HE58" s="395"/>
      <c r="HF58" s="395"/>
      <c r="HG58" s="395"/>
      <c r="HH58" s="395"/>
      <c r="HI58" s="395"/>
      <c r="HJ58" s="395"/>
      <c r="HK58" s="395"/>
      <c r="HL58" s="395"/>
      <c r="HM58" s="395"/>
      <c r="HN58" s="395"/>
      <c r="HO58" s="395"/>
      <c r="HP58" s="395"/>
      <c r="HQ58" s="395"/>
      <c r="HR58" s="395"/>
      <c r="HS58" s="395"/>
      <c r="HT58" s="395"/>
      <c r="HU58" s="395"/>
      <c r="HV58" s="395"/>
      <c r="HW58" s="395"/>
      <c r="HX58" s="395"/>
      <c r="HY58" s="395"/>
      <c r="HZ58" s="395"/>
      <c r="IA58" s="395"/>
      <c r="IB58" s="395"/>
      <c r="IC58" s="395"/>
      <c r="ID58" s="395"/>
      <c r="IE58" s="395"/>
      <c r="IF58" s="395"/>
      <c r="IG58" s="395"/>
      <c r="IH58" s="395"/>
      <c r="II58" s="395"/>
      <c r="IJ58" s="395"/>
      <c r="IK58" s="395"/>
      <c r="IL58" s="395"/>
      <c r="IM58" s="395"/>
      <c r="IN58" s="395"/>
      <c r="IO58" s="395"/>
      <c r="IP58" s="395"/>
      <c r="IQ58" s="395"/>
      <c r="IR58" s="395"/>
      <c r="IS58" s="395"/>
      <c r="IT58" s="395"/>
      <c r="IU58" s="395"/>
      <c r="IV58" s="395"/>
      <c r="IW58" s="357"/>
    </row>
    <row r="59" customFormat="false" ht="12" hidden="false" customHeight="true" outlineLevel="0" collapsed="false">
      <c r="A59" s="354" t="s">
        <v>440</v>
      </c>
      <c r="B59" s="342"/>
      <c r="C59" s="342"/>
      <c r="D59" s="435" t="n">
        <f aca="false">IF(D$4&gt;'Project Assumptions'!$I$15+1,0,'Project Assumptions'!$N$42)</f>
        <v>0</v>
      </c>
      <c r="E59" s="435" t="n">
        <f aca="false">IF(E$4&gt;'Project Assumptions'!$I$15+1,0,'Project Assumptions'!$N$42)</f>
        <v>0</v>
      </c>
      <c r="F59" s="435" t="n">
        <f aca="false">IF(F$4&gt;'Project Assumptions'!$I$15+1,0,'Project Assumptions'!$N$42)</f>
        <v>0</v>
      </c>
      <c r="G59" s="435" t="n">
        <f aca="false">IF(G$4&gt;'Project Assumptions'!$I$15+1,0,'Project Assumptions'!$N$42)</f>
        <v>0</v>
      </c>
      <c r="H59" s="435" t="n">
        <f aca="false">IF(H$4&gt;'Project Assumptions'!$I$15+1,0,'Project Assumptions'!$N$42)</f>
        <v>0</v>
      </c>
      <c r="I59" s="435" t="n">
        <f aca="false">IF(I$4&gt;'Project Assumptions'!$I$15+1,0,'Project Assumptions'!$N$42)</f>
        <v>0</v>
      </c>
      <c r="J59" s="435" t="n">
        <f aca="false">IF(J$4&gt;'Project Assumptions'!$I$15+1,0,'Project Assumptions'!$N$42)</f>
        <v>0</v>
      </c>
      <c r="K59" s="435" t="n">
        <f aca="false">IF(K$4&gt;'Project Assumptions'!$I$15+1,0,'Project Assumptions'!$N$42)</f>
        <v>0</v>
      </c>
      <c r="L59" s="435" t="n">
        <f aca="false">IF(L$4&gt;'Project Assumptions'!$I$15+1,0,'Project Assumptions'!$N$42)</f>
        <v>0</v>
      </c>
      <c r="M59" s="435" t="n">
        <f aca="false">IF(M$4&gt;'Project Assumptions'!$I$15+1,0,'Project Assumptions'!$N$42)</f>
        <v>0</v>
      </c>
      <c r="N59" s="435" t="n">
        <f aca="false">IF(N$4&gt;'Project Assumptions'!$I$15+1,0,'Project Assumptions'!$N$42)</f>
        <v>0</v>
      </c>
      <c r="O59" s="435" t="n">
        <f aca="false">IF(O$4&gt;'Project Assumptions'!$I$15+1,0,'Project Assumptions'!$N$42)</f>
        <v>0</v>
      </c>
      <c r="P59" s="435" t="n">
        <f aca="false">IF(P$4&gt;'Project Assumptions'!$I$15+1,0,'Project Assumptions'!$N$42)</f>
        <v>0</v>
      </c>
      <c r="Q59" s="435" t="n">
        <f aca="false">IF(Q$4&gt;'Project Assumptions'!$I$15+1,0,'Project Assumptions'!$N$42)</f>
        <v>0</v>
      </c>
      <c r="R59" s="435" t="n">
        <f aca="false">IF(R$4&gt;'Project Assumptions'!$I$15+1,0,'Project Assumptions'!$N$42)</f>
        <v>0</v>
      </c>
      <c r="S59" s="435" t="n">
        <f aca="false">IF(S$4&gt;'Project Assumptions'!$I$15+1,0,'Project Assumptions'!$N$42)</f>
        <v>0</v>
      </c>
      <c r="T59" s="432"/>
      <c r="U59" s="432"/>
      <c r="V59" s="432"/>
      <c r="W59" s="432"/>
      <c r="X59" s="432"/>
      <c r="Y59" s="432"/>
      <c r="Z59" s="432"/>
      <c r="AA59" s="432"/>
      <c r="AB59" s="432"/>
      <c r="AC59" s="395"/>
      <c r="AD59" s="395"/>
      <c r="AE59" s="395"/>
      <c r="AF59" s="395"/>
      <c r="AG59" s="395"/>
      <c r="AH59" s="395"/>
      <c r="AI59" s="395"/>
      <c r="AJ59" s="395"/>
      <c r="AK59" s="395"/>
      <c r="AL59" s="395"/>
      <c r="AM59" s="395"/>
      <c r="AN59" s="395"/>
      <c r="AO59" s="395"/>
      <c r="AP59" s="395"/>
      <c r="AQ59" s="395"/>
      <c r="AR59" s="395"/>
      <c r="AS59" s="395"/>
      <c r="AT59" s="395"/>
      <c r="AU59" s="395"/>
      <c r="AV59" s="395"/>
      <c r="AW59" s="395"/>
      <c r="AX59" s="395"/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5"/>
      <c r="CL59" s="395"/>
      <c r="CM59" s="395"/>
      <c r="CN59" s="395"/>
      <c r="CO59" s="395"/>
      <c r="CP59" s="395"/>
      <c r="CQ59" s="395"/>
      <c r="CR59" s="395"/>
      <c r="CS59" s="395"/>
      <c r="CT59" s="395"/>
      <c r="CU59" s="395"/>
      <c r="CV59" s="395"/>
      <c r="CW59" s="395"/>
      <c r="CX59" s="395"/>
      <c r="CY59" s="395"/>
      <c r="CZ59" s="395"/>
      <c r="DA59" s="395"/>
      <c r="DB59" s="395"/>
      <c r="DC59" s="395"/>
      <c r="DD59" s="395"/>
      <c r="DE59" s="395"/>
      <c r="DF59" s="395"/>
      <c r="DG59" s="395"/>
      <c r="DH59" s="395"/>
      <c r="DI59" s="395"/>
      <c r="DJ59" s="395"/>
      <c r="DK59" s="395"/>
      <c r="DL59" s="395"/>
      <c r="DM59" s="395"/>
      <c r="DN59" s="395"/>
      <c r="DO59" s="395"/>
      <c r="DP59" s="395"/>
      <c r="DQ59" s="395"/>
      <c r="DR59" s="395"/>
      <c r="DS59" s="395"/>
      <c r="DT59" s="395"/>
      <c r="DU59" s="395"/>
      <c r="DV59" s="395"/>
      <c r="DW59" s="395"/>
      <c r="DX59" s="395"/>
      <c r="DY59" s="395"/>
      <c r="DZ59" s="395"/>
      <c r="EA59" s="395"/>
      <c r="EB59" s="395"/>
      <c r="EC59" s="395"/>
      <c r="ED59" s="395"/>
      <c r="EE59" s="395"/>
      <c r="EF59" s="395"/>
      <c r="EG59" s="395"/>
      <c r="EH59" s="395"/>
      <c r="EI59" s="395"/>
      <c r="EJ59" s="395"/>
      <c r="EK59" s="395"/>
      <c r="EL59" s="395"/>
      <c r="EM59" s="395"/>
      <c r="EN59" s="395"/>
      <c r="EO59" s="395"/>
      <c r="EP59" s="395"/>
      <c r="EQ59" s="395"/>
      <c r="ER59" s="395"/>
      <c r="ES59" s="395"/>
      <c r="ET59" s="395"/>
      <c r="EU59" s="395"/>
      <c r="EV59" s="395"/>
      <c r="EW59" s="395"/>
      <c r="EX59" s="395"/>
      <c r="EY59" s="395"/>
      <c r="EZ59" s="395"/>
      <c r="FA59" s="395"/>
      <c r="FB59" s="395"/>
      <c r="FC59" s="395"/>
      <c r="FD59" s="395"/>
      <c r="FE59" s="395"/>
      <c r="FF59" s="395"/>
      <c r="FG59" s="395"/>
      <c r="FH59" s="395"/>
      <c r="FI59" s="395"/>
      <c r="FJ59" s="395"/>
      <c r="FK59" s="395"/>
      <c r="FL59" s="395"/>
      <c r="FM59" s="395"/>
      <c r="FN59" s="395"/>
      <c r="FO59" s="395"/>
      <c r="FP59" s="395"/>
      <c r="FQ59" s="395"/>
      <c r="FR59" s="395"/>
      <c r="FS59" s="395"/>
      <c r="FT59" s="395"/>
      <c r="FU59" s="395"/>
      <c r="FV59" s="395"/>
      <c r="FW59" s="395"/>
      <c r="FX59" s="395"/>
      <c r="FY59" s="395"/>
      <c r="FZ59" s="395"/>
      <c r="GA59" s="395"/>
      <c r="GB59" s="395"/>
      <c r="GC59" s="395"/>
      <c r="GD59" s="395"/>
      <c r="GE59" s="395"/>
      <c r="GF59" s="395"/>
      <c r="GG59" s="395"/>
      <c r="GH59" s="395"/>
      <c r="GI59" s="395"/>
      <c r="GJ59" s="395"/>
      <c r="GK59" s="395"/>
      <c r="GL59" s="395"/>
      <c r="GM59" s="395"/>
      <c r="GN59" s="395"/>
      <c r="GO59" s="395"/>
      <c r="GP59" s="395"/>
      <c r="GQ59" s="395"/>
      <c r="GR59" s="395"/>
      <c r="GS59" s="395"/>
      <c r="GT59" s="395"/>
      <c r="GU59" s="395"/>
      <c r="GV59" s="395"/>
      <c r="GW59" s="395"/>
      <c r="GX59" s="395"/>
      <c r="GY59" s="395"/>
      <c r="GZ59" s="395"/>
      <c r="HA59" s="395"/>
      <c r="HB59" s="395"/>
      <c r="HC59" s="395"/>
      <c r="HD59" s="395"/>
      <c r="HE59" s="395"/>
      <c r="HF59" s="395"/>
      <c r="HG59" s="395"/>
      <c r="HH59" s="395"/>
      <c r="HI59" s="395"/>
      <c r="HJ59" s="395"/>
      <c r="HK59" s="395"/>
      <c r="HL59" s="395"/>
      <c r="HM59" s="395"/>
      <c r="HN59" s="395"/>
      <c r="HO59" s="395"/>
      <c r="HP59" s="395"/>
      <c r="HQ59" s="395"/>
      <c r="HR59" s="395"/>
      <c r="HS59" s="395"/>
      <c r="HT59" s="395"/>
      <c r="HU59" s="395"/>
      <c r="HV59" s="395"/>
      <c r="HW59" s="395"/>
      <c r="HX59" s="395"/>
      <c r="HY59" s="395"/>
      <c r="HZ59" s="395"/>
      <c r="IA59" s="395"/>
      <c r="IB59" s="395"/>
      <c r="IC59" s="395"/>
      <c r="ID59" s="395"/>
      <c r="IE59" s="395"/>
      <c r="IF59" s="395"/>
      <c r="IG59" s="395"/>
      <c r="IH59" s="395"/>
      <c r="II59" s="395"/>
      <c r="IJ59" s="395"/>
      <c r="IK59" s="395"/>
      <c r="IL59" s="395"/>
      <c r="IM59" s="395"/>
      <c r="IN59" s="395"/>
      <c r="IO59" s="395"/>
      <c r="IP59" s="395"/>
      <c r="IQ59" s="395"/>
      <c r="IR59" s="395"/>
      <c r="IS59" s="395"/>
    </row>
    <row r="60" customFormat="false" ht="12" hidden="false" customHeight="true" outlineLevel="0" collapsed="false">
      <c r="A60" s="354" t="s">
        <v>441</v>
      </c>
      <c r="B60" s="342"/>
      <c r="C60" s="342"/>
      <c r="D60" s="370" t="n">
        <f aca="false">D58*D59</f>
        <v>0</v>
      </c>
      <c r="E60" s="370" t="n">
        <f aca="false">E58*E59</f>
        <v>0</v>
      </c>
      <c r="F60" s="370" t="n">
        <f aca="false">F58*F59</f>
        <v>0</v>
      </c>
      <c r="G60" s="370" t="n">
        <f aca="false">G58*G59</f>
        <v>0</v>
      </c>
      <c r="H60" s="370" t="n">
        <f aca="false">H58*H59</f>
        <v>0</v>
      </c>
      <c r="I60" s="370" t="n">
        <f aca="false">I58*I59</f>
        <v>0</v>
      </c>
      <c r="J60" s="370" t="n">
        <f aca="false">J58*J59</f>
        <v>0</v>
      </c>
      <c r="K60" s="370" t="n">
        <f aca="false">K58*K59</f>
        <v>0</v>
      </c>
      <c r="L60" s="370" t="n">
        <f aca="false">L58*L59</f>
        <v>0</v>
      </c>
      <c r="M60" s="370" t="n">
        <f aca="false">M58*M59</f>
        <v>0</v>
      </c>
      <c r="N60" s="370" t="n">
        <f aca="false">N58*N59</f>
        <v>0</v>
      </c>
      <c r="O60" s="370" t="n">
        <f aca="false">O58*O59</f>
        <v>0</v>
      </c>
      <c r="P60" s="370" t="n">
        <f aca="false">P58*P59</f>
        <v>0</v>
      </c>
      <c r="Q60" s="370" t="n">
        <f aca="false">Q58*Q59</f>
        <v>0</v>
      </c>
      <c r="R60" s="370" t="n">
        <f aca="false">R58*R59</f>
        <v>0</v>
      </c>
      <c r="S60" s="370" t="n">
        <f aca="false">S58*S59</f>
        <v>0</v>
      </c>
      <c r="T60" s="370"/>
      <c r="U60" s="370"/>
      <c r="V60" s="370"/>
      <c r="W60" s="370"/>
      <c r="X60" s="370"/>
      <c r="Y60" s="370"/>
      <c r="Z60" s="370"/>
      <c r="AA60" s="370"/>
      <c r="AB60" s="370"/>
      <c r="AC60" s="342"/>
      <c r="AD60" s="342"/>
      <c r="AE60" s="395"/>
      <c r="AF60" s="395"/>
      <c r="AG60" s="395"/>
      <c r="AH60" s="395"/>
      <c r="AI60" s="395"/>
      <c r="AJ60" s="395"/>
      <c r="AK60" s="395"/>
      <c r="AL60" s="395"/>
      <c r="AM60" s="395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95"/>
      <c r="BQ60" s="395"/>
      <c r="BR60" s="395"/>
      <c r="BS60" s="395"/>
      <c r="BT60" s="395"/>
      <c r="BU60" s="395"/>
      <c r="BV60" s="395"/>
      <c r="BW60" s="395"/>
      <c r="BX60" s="395"/>
      <c r="BY60" s="395"/>
      <c r="BZ60" s="395"/>
      <c r="CA60" s="395"/>
      <c r="CB60" s="395"/>
      <c r="CC60" s="395"/>
      <c r="CD60" s="395"/>
      <c r="CE60" s="395"/>
      <c r="CF60" s="395"/>
      <c r="CG60" s="395"/>
      <c r="CH60" s="395"/>
      <c r="CI60" s="395"/>
      <c r="CJ60" s="395"/>
      <c r="CK60" s="395"/>
      <c r="CL60" s="395"/>
      <c r="CM60" s="395"/>
      <c r="CN60" s="395"/>
      <c r="CO60" s="395"/>
      <c r="CP60" s="395"/>
      <c r="CQ60" s="395"/>
      <c r="CR60" s="395"/>
      <c r="CS60" s="395"/>
      <c r="CT60" s="395"/>
      <c r="CU60" s="395"/>
      <c r="CV60" s="395"/>
      <c r="CW60" s="395"/>
      <c r="CX60" s="395"/>
      <c r="CY60" s="395"/>
      <c r="CZ60" s="395"/>
      <c r="DA60" s="395"/>
      <c r="DB60" s="395"/>
      <c r="DC60" s="395"/>
      <c r="DD60" s="395"/>
      <c r="DE60" s="395"/>
      <c r="DF60" s="395"/>
      <c r="DG60" s="395"/>
      <c r="DH60" s="395"/>
      <c r="DI60" s="395"/>
      <c r="DJ60" s="395"/>
      <c r="DK60" s="395"/>
      <c r="DL60" s="395"/>
      <c r="DM60" s="395"/>
      <c r="DN60" s="395"/>
      <c r="DO60" s="395"/>
      <c r="DP60" s="395"/>
      <c r="DQ60" s="395"/>
      <c r="DR60" s="395"/>
      <c r="DS60" s="395"/>
      <c r="DT60" s="395"/>
      <c r="DU60" s="395"/>
      <c r="DV60" s="395"/>
      <c r="DW60" s="395"/>
      <c r="DX60" s="395"/>
      <c r="DY60" s="395"/>
      <c r="DZ60" s="395"/>
      <c r="EA60" s="395"/>
      <c r="EB60" s="395"/>
      <c r="EC60" s="395"/>
      <c r="ED60" s="395"/>
      <c r="EE60" s="395"/>
      <c r="EF60" s="395"/>
      <c r="EG60" s="395"/>
      <c r="EH60" s="395"/>
      <c r="EI60" s="395"/>
      <c r="EJ60" s="395"/>
      <c r="EK60" s="395"/>
      <c r="EL60" s="395"/>
      <c r="EM60" s="395"/>
      <c r="EN60" s="395"/>
      <c r="EO60" s="395"/>
      <c r="EP60" s="395"/>
      <c r="EQ60" s="395"/>
      <c r="ER60" s="395"/>
      <c r="ES60" s="395"/>
      <c r="ET60" s="395"/>
      <c r="EU60" s="395"/>
      <c r="EV60" s="395"/>
      <c r="EW60" s="395"/>
      <c r="EX60" s="395"/>
      <c r="EY60" s="395"/>
      <c r="EZ60" s="395"/>
      <c r="FA60" s="395"/>
      <c r="FB60" s="395"/>
      <c r="FC60" s="395"/>
      <c r="FD60" s="395"/>
      <c r="FE60" s="395"/>
      <c r="FF60" s="395"/>
      <c r="FG60" s="395"/>
      <c r="FH60" s="395"/>
      <c r="FI60" s="395"/>
      <c r="FJ60" s="395"/>
      <c r="FK60" s="395"/>
      <c r="FL60" s="395"/>
      <c r="FM60" s="395"/>
      <c r="FN60" s="395"/>
      <c r="FO60" s="395"/>
      <c r="FP60" s="395"/>
      <c r="FQ60" s="395"/>
      <c r="FR60" s="395"/>
      <c r="FS60" s="395"/>
      <c r="FT60" s="395"/>
      <c r="FU60" s="395"/>
      <c r="FV60" s="395"/>
      <c r="FW60" s="395"/>
      <c r="FX60" s="395"/>
      <c r="FY60" s="395"/>
      <c r="FZ60" s="395"/>
      <c r="GA60" s="395"/>
      <c r="GB60" s="395"/>
      <c r="GC60" s="395"/>
      <c r="GD60" s="395"/>
      <c r="GE60" s="395"/>
      <c r="GF60" s="395"/>
      <c r="GG60" s="395"/>
      <c r="GH60" s="395"/>
      <c r="GI60" s="395"/>
      <c r="GJ60" s="395"/>
      <c r="GK60" s="395"/>
      <c r="GL60" s="395"/>
      <c r="GM60" s="395"/>
      <c r="GN60" s="395"/>
      <c r="GO60" s="395"/>
      <c r="GP60" s="395"/>
      <c r="GQ60" s="395"/>
      <c r="GR60" s="395"/>
      <c r="GS60" s="395"/>
      <c r="GT60" s="395"/>
      <c r="GU60" s="395"/>
      <c r="GV60" s="395"/>
      <c r="GW60" s="395"/>
      <c r="GX60" s="395"/>
      <c r="GY60" s="395"/>
      <c r="GZ60" s="395"/>
      <c r="HA60" s="395"/>
      <c r="HB60" s="395"/>
      <c r="HC60" s="395"/>
      <c r="HD60" s="395"/>
      <c r="HE60" s="395"/>
      <c r="HF60" s="395"/>
      <c r="HG60" s="395"/>
      <c r="HH60" s="395"/>
      <c r="HI60" s="395"/>
      <c r="HJ60" s="395"/>
      <c r="HK60" s="395"/>
      <c r="HL60" s="395"/>
      <c r="HM60" s="395"/>
      <c r="HN60" s="395"/>
      <c r="HO60" s="395"/>
      <c r="HP60" s="395"/>
      <c r="HQ60" s="395"/>
      <c r="HR60" s="395"/>
      <c r="HS60" s="395"/>
      <c r="HT60" s="395"/>
      <c r="HU60" s="395"/>
      <c r="HV60" s="395"/>
      <c r="HW60" s="395"/>
      <c r="HX60" s="395"/>
      <c r="HY60" s="395"/>
      <c r="HZ60" s="395"/>
      <c r="IA60" s="395"/>
      <c r="IB60" s="395"/>
      <c r="IC60" s="395"/>
      <c r="ID60" s="395"/>
      <c r="IE60" s="395"/>
      <c r="IF60" s="395"/>
      <c r="IG60" s="395"/>
      <c r="IH60" s="395"/>
      <c r="II60" s="395"/>
      <c r="IJ60" s="395"/>
      <c r="IK60" s="395"/>
      <c r="IL60" s="395"/>
      <c r="IM60" s="395"/>
      <c r="IN60" s="395"/>
      <c r="IO60" s="395"/>
      <c r="IP60" s="395"/>
      <c r="IQ60" s="395"/>
      <c r="IR60" s="395"/>
      <c r="IS60" s="395"/>
      <c r="IT60" s="395"/>
      <c r="IU60" s="395"/>
      <c r="IV60" s="395"/>
      <c r="IW60" s="357"/>
    </row>
    <row r="61" customFormat="false" ht="11.25" hidden="false" customHeight="false" outlineLevel="0" collapsed="false">
      <c r="A61" s="354"/>
      <c r="B61" s="342"/>
      <c r="C61" s="342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42"/>
      <c r="AD61" s="342"/>
      <c r="AE61" s="395"/>
      <c r="AF61" s="395"/>
      <c r="AG61" s="395"/>
      <c r="AH61" s="395"/>
      <c r="AI61" s="395"/>
      <c r="AJ61" s="395"/>
      <c r="AK61" s="395"/>
      <c r="AL61" s="395"/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395"/>
      <c r="AY61" s="395"/>
      <c r="AZ61" s="395"/>
      <c r="BA61" s="395"/>
      <c r="BB61" s="395"/>
      <c r="BC61" s="395"/>
      <c r="BD61" s="395"/>
      <c r="BE61" s="395"/>
      <c r="BF61" s="395"/>
      <c r="BG61" s="395"/>
      <c r="BH61" s="395"/>
      <c r="BI61" s="395"/>
      <c r="BJ61" s="395"/>
      <c r="BK61" s="395"/>
      <c r="BL61" s="395"/>
      <c r="BM61" s="395"/>
      <c r="BN61" s="395"/>
      <c r="BO61" s="395"/>
      <c r="BP61" s="395"/>
      <c r="BQ61" s="395"/>
      <c r="BR61" s="395"/>
      <c r="BS61" s="395"/>
      <c r="BT61" s="395"/>
      <c r="BU61" s="395"/>
      <c r="BV61" s="395"/>
      <c r="BW61" s="395"/>
      <c r="BX61" s="395"/>
      <c r="BY61" s="395"/>
      <c r="BZ61" s="395"/>
      <c r="CA61" s="395"/>
      <c r="CB61" s="395"/>
      <c r="CC61" s="395"/>
      <c r="CD61" s="395"/>
      <c r="CE61" s="395"/>
      <c r="CF61" s="395"/>
      <c r="CG61" s="395"/>
      <c r="CH61" s="395"/>
      <c r="CI61" s="395"/>
      <c r="CJ61" s="395"/>
      <c r="CK61" s="395"/>
      <c r="CL61" s="395"/>
      <c r="CM61" s="395"/>
      <c r="CN61" s="395"/>
      <c r="CO61" s="395"/>
      <c r="CP61" s="395"/>
      <c r="CQ61" s="395"/>
      <c r="CR61" s="395"/>
      <c r="CS61" s="395"/>
      <c r="CT61" s="395"/>
      <c r="CU61" s="395"/>
      <c r="CV61" s="395"/>
      <c r="CW61" s="395"/>
      <c r="CX61" s="395"/>
      <c r="CY61" s="395"/>
      <c r="CZ61" s="395"/>
      <c r="DA61" s="395"/>
      <c r="DB61" s="395"/>
      <c r="DC61" s="395"/>
      <c r="DD61" s="395"/>
      <c r="DE61" s="395"/>
      <c r="DF61" s="395"/>
      <c r="DG61" s="395"/>
      <c r="DH61" s="395"/>
      <c r="DI61" s="395"/>
      <c r="DJ61" s="395"/>
      <c r="DK61" s="395"/>
      <c r="DL61" s="395"/>
      <c r="DM61" s="395"/>
      <c r="DN61" s="395"/>
      <c r="DO61" s="395"/>
      <c r="DP61" s="395"/>
      <c r="DQ61" s="395"/>
      <c r="DR61" s="395"/>
      <c r="DS61" s="395"/>
      <c r="DT61" s="395"/>
      <c r="DU61" s="395"/>
      <c r="DV61" s="395"/>
      <c r="DW61" s="395"/>
      <c r="DX61" s="395"/>
      <c r="DY61" s="395"/>
      <c r="DZ61" s="395"/>
      <c r="EA61" s="395"/>
      <c r="EB61" s="395"/>
      <c r="EC61" s="395"/>
      <c r="ED61" s="395"/>
      <c r="EE61" s="395"/>
      <c r="EF61" s="395"/>
      <c r="EG61" s="395"/>
      <c r="EH61" s="395"/>
      <c r="EI61" s="395"/>
      <c r="EJ61" s="395"/>
      <c r="EK61" s="395"/>
      <c r="EL61" s="395"/>
      <c r="EM61" s="395"/>
      <c r="EN61" s="395"/>
      <c r="EO61" s="395"/>
      <c r="EP61" s="395"/>
      <c r="EQ61" s="395"/>
      <c r="ER61" s="395"/>
      <c r="ES61" s="395"/>
      <c r="ET61" s="395"/>
      <c r="EU61" s="395"/>
      <c r="EV61" s="395"/>
      <c r="EW61" s="395"/>
      <c r="EX61" s="395"/>
      <c r="EY61" s="395"/>
      <c r="EZ61" s="395"/>
      <c r="FA61" s="395"/>
      <c r="FB61" s="395"/>
      <c r="FC61" s="395"/>
      <c r="FD61" s="395"/>
      <c r="FE61" s="395"/>
      <c r="FF61" s="395"/>
      <c r="FG61" s="395"/>
      <c r="FH61" s="395"/>
      <c r="FI61" s="395"/>
      <c r="FJ61" s="395"/>
      <c r="FK61" s="395"/>
      <c r="FL61" s="395"/>
      <c r="FM61" s="395"/>
      <c r="FN61" s="395"/>
      <c r="FO61" s="395"/>
      <c r="FP61" s="395"/>
      <c r="FQ61" s="395"/>
      <c r="FR61" s="395"/>
      <c r="FS61" s="395"/>
      <c r="FT61" s="395"/>
      <c r="FU61" s="395"/>
      <c r="FV61" s="395"/>
      <c r="FW61" s="395"/>
      <c r="FX61" s="395"/>
      <c r="FY61" s="395"/>
      <c r="FZ61" s="395"/>
      <c r="GA61" s="395"/>
      <c r="GB61" s="395"/>
      <c r="GC61" s="395"/>
      <c r="GD61" s="395"/>
      <c r="GE61" s="395"/>
      <c r="GF61" s="395"/>
      <c r="GG61" s="395"/>
      <c r="GH61" s="395"/>
      <c r="GI61" s="395"/>
      <c r="GJ61" s="395"/>
      <c r="GK61" s="395"/>
      <c r="GL61" s="395"/>
      <c r="GM61" s="395"/>
      <c r="GN61" s="395"/>
      <c r="GO61" s="395"/>
      <c r="GP61" s="395"/>
      <c r="GQ61" s="395"/>
      <c r="GR61" s="395"/>
      <c r="GS61" s="395"/>
      <c r="GT61" s="395"/>
      <c r="GU61" s="395"/>
      <c r="GV61" s="395"/>
      <c r="GW61" s="395"/>
      <c r="GX61" s="395"/>
      <c r="GY61" s="395"/>
      <c r="GZ61" s="395"/>
      <c r="HA61" s="395"/>
      <c r="HB61" s="395"/>
      <c r="HC61" s="395"/>
      <c r="HD61" s="395"/>
      <c r="HE61" s="395"/>
      <c r="HF61" s="395"/>
      <c r="HG61" s="395"/>
      <c r="HH61" s="395"/>
      <c r="HI61" s="395"/>
      <c r="HJ61" s="395"/>
      <c r="HK61" s="395"/>
      <c r="HL61" s="395"/>
      <c r="HM61" s="395"/>
      <c r="HN61" s="395"/>
      <c r="HO61" s="395"/>
      <c r="HP61" s="395"/>
      <c r="HQ61" s="395"/>
      <c r="HR61" s="395"/>
      <c r="HS61" s="395"/>
      <c r="HT61" s="395"/>
      <c r="HU61" s="395"/>
      <c r="HV61" s="395"/>
      <c r="HW61" s="395"/>
      <c r="HX61" s="395"/>
      <c r="HY61" s="395"/>
      <c r="HZ61" s="395"/>
      <c r="IA61" s="395"/>
      <c r="IB61" s="395"/>
      <c r="IC61" s="395"/>
      <c r="ID61" s="395"/>
      <c r="IE61" s="395"/>
      <c r="IF61" s="395"/>
      <c r="IG61" s="395"/>
      <c r="IH61" s="395"/>
      <c r="II61" s="395"/>
      <c r="IJ61" s="395"/>
      <c r="IK61" s="395"/>
      <c r="IL61" s="395"/>
      <c r="IM61" s="395"/>
      <c r="IN61" s="395"/>
      <c r="IO61" s="395"/>
      <c r="IP61" s="395"/>
      <c r="IQ61" s="395"/>
      <c r="IR61" s="395"/>
      <c r="IS61" s="395"/>
      <c r="IT61" s="395"/>
      <c r="IU61" s="395"/>
      <c r="IV61" s="395"/>
      <c r="IW61" s="357"/>
    </row>
    <row r="62" customFormat="false" ht="13.5" hidden="false" customHeight="false" outlineLevel="0" collapsed="false">
      <c r="A62" s="436"/>
      <c r="B62" s="342"/>
      <c r="C62" s="342"/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342"/>
      <c r="AD62" s="342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R62" s="395"/>
      <c r="AS62" s="395"/>
      <c r="AT62" s="395"/>
      <c r="AU62" s="395"/>
      <c r="AV62" s="395"/>
      <c r="AW62" s="395"/>
      <c r="AX62" s="395"/>
      <c r="AY62" s="395"/>
      <c r="AZ62" s="395"/>
      <c r="BA62" s="395"/>
      <c r="BB62" s="395"/>
      <c r="BC62" s="395"/>
      <c r="BD62" s="395"/>
      <c r="BE62" s="395"/>
      <c r="BF62" s="395"/>
      <c r="BG62" s="395"/>
      <c r="BH62" s="395"/>
      <c r="BI62" s="395"/>
      <c r="BJ62" s="395"/>
      <c r="BK62" s="395"/>
      <c r="BL62" s="395"/>
      <c r="BM62" s="395"/>
      <c r="BN62" s="395"/>
      <c r="BO62" s="395"/>
      <c r="BP62" s="395"/>
      <c r="BQ62" s="395"/>
      <c r="BR62" s="395"/>
      <c r="BS62" s="395"/>
      <c r="BT62" s="395"/>
      <c r="BU62" s="395"/>
      <c r="BV62" s="395"/>
      <c r="BW62" s="395"/>
      <c r="BX62" s="395"/>
      <c r="BY62" s="395"/>
      <c r="BZ62" s="395"/>
      <c r="CA62" s="395"/>
      <c r="CB62" s="395"/>
      <c r="CC62" s="395"/>
      <c r="CD62" s="395"/>
      <c r="CE62" s="395"/>
      <c r="CF62" s="395"/>
      <c r="CG62" s="395"/>
      <c r="CH62" s="395"/>
      <c r="CI62" s="395"/>
      <c r="CJ62" s="395"/>
      <c r="CK62" s="395"/>
      <c r="CL62" s="395"/>
      <c r="CM62" s="395"/>
      <c r="CN62" s="395"/>
      <c r="CO62" s="395"/>
      <c r="CP62" s="395"/>
      <c r="CQ62" s="395"/>
      <c r="CR62" s="395"/>
      <c r="CS62" s="395"/>
      <c r="CT62" s="395"/>
      <c r="CU62" s="395"/>
      <c r="CV62" s="395"/>
      <c r="CW62" s="395"/>
      <c r="CX62" s="395"/>
      <c r="CY62" s="395"/>
      <c r="CZ62" s="395"/>
      <c r="DA62" s="395"/>
      <c r="DB62" s="395"/>
      <c r="DC62" s="395"/>
      <c r="DD62" s="395"/>
      <c r="DE62" s="395"/>
      <c r="DF62" s="395"/>
      <c r="DG62" s="395"/>
      <c r="DH62" s="395"/>
      <c r="DI62" s="395"/>
      <c r="DJ62" s="395"/>
      <c r="DK62" s="395"/>
      <c r="DL62" s="395"/>
      <c r="DM62" s="395"/>
      <c r="DN62" s="395"/>
      <c r="DO62" s="395"/>
      <c r="DP62" s="395"/>
      <c r="DQ62" s="395"/>
      <c r="DR62" s="395"/>
      <c r="DS62" s="395"/>
      <c r="DT62" s="395"/>
      <c r="DU62" s="395"/>
      <c r="DV62" s="395"/>
      <c r="DW62" s="395"/>
      <c r="DX62" s="395"/>
      <c r="DY62" s="395"/>
      <c r="DZ62" s="395"/>
      <c r="EA62" s="395"/>
      <c r="EB62" s="395"/>
      <c r="EC62" s="395"/>
      <c r="ED62" s="395"/>
      <c r="EE62" s="395"/>
      <c r="EF62" s="395"/>
      <c r="EG62" s="395"/>
      <c r="EH62" s="395"/>
      <c r="EI62" s="395"/>
      <c r="EJ62" s="395"/>
      <c r="EK62" s="395"/>
      <c r="EL62" s="395"/>
      <c r="EM62" s="395"/>
      <c r="EN62" s="395"/>
      <c r="EO62" s="395"/>
      <c r="EP62" s="395"/>
      <c r="EQ62" s="395"/>
      <c r="ER62" s="395"/>
      <c r="ES62" s="395"/>
      <c r="ET62" s="395"/>
      <c r="EU62" s="395"/>
      <c r="EV62" s="395"/>
      <c r="EW62" s="395"/>
      <c r="EX62" s="395"/>
      <c r="EY62" s="395"/>
      <c r="EZ62" s="395"/>
      <c r="FA62" s="395"/>
      <c r="FB62" s="395"/>
      <c r="FC62" s="395"/>
      <c r="FD62" s="395"/>
      <c r="FE62" s="395"/>
      <c r="FF62" s="395"/>
      <c r="FG62" s="395"/>
      <c r="FH62" s="395"/>
      <c r="FI62" s="395"/>
      <c r="FJ62" s="395"/>
      <c r="FK62" s="395"/>
      <c r="FL62" s="395"/>
      <c r="FM62" s="395"/>
      <c r="FN62" s="395"/>
      <c r="FO62" s="395"/>
      <c r="FP62" s="395"/>
      <c r="FQ62" s="395"/>
      <c r="FR62" s="395"/>
      <c r="FS62" s="395"/>
      <c r="FT62" s="395"/>
      <c r="FU62" s="395"/>
      <c r="FV62" s="395"/>
      <c r="FW62" s="395"/>
      <c r="FX62" s="395"/>
      <c r="FY62" s="395"/>
      <c r="FZ62" s="395"/>
      <c r="GA62" s="395"/>
      <c r="GB62" s="395"/>
      <c r="GC62" s="395"/>
      <c r="GD62" s="395"/>
      <c r="GE62" s="395"/>
      <c r="GF62" s="395"/>
      <c r="GG62" s="395"/>
      <c r="GH62" s="395"/>
      <c r="GI62" s="395"/>
      <c r="GJ62" s="395"/>
      <c r="GK62" s="395"/>
      <c r="GL62" s="395"/>
      <c r="GM62" s="395"/>
      <c r="GN62" s="395"/>
      <c r="GO62" s="395"/>
      <c r="GP62" s="395"/>
      <c r="GQ62" s="395"/>
      <c r="GR62" s="395"/>
      <c r="GS62" s="395"/>
      <c r="GT62" s="395"/>
      <c r="GU62" s="395"/>
      <c r="GV62" s="395"/>
      <c r="GW62" s="395"/>
      <c r="GX62" s="395"/>
      <c r="GY62" s="395"/>
      <c r="GZ62" s="395"/>
      <c r="HA62" s="395"/>
      <c r="HB62" s="395"/>
      <c r="HC62" s="395"/>
      <c r="HD62" s="395"/>
      <c r="HE62" s="395"/>
      <c r="HF62" s="395"/>
      <c r="HG62" s="395"/>
      <c r="HH62" s="395"/>
      <c r="HI62" s="395"/>
      <c r="HJ62" s="395"/>
      <c r="HK62" s="395"/>
      <c r="HL62" s="395"/>
      <c r="HM62" s="395"/>
      <c r="HN62" s="395"/>
      <c r="HO62" s="395"/>
      <c r="HP62" s="395"/>
      <c r="HQ62" s="395"/>
      <c r="HR62" s="395"/>
      <c r="HS62" s="395"/>
      <c r="HT62" s="395"/>
      <c r="HU62" s="395"/>
      <c r="HV62" s="395"/>
      <c r="HW62" s="395"/>
      <c r="HX62" s="395"/>
      <c r="HY62" s="395"/>
      <c r="HZ62" s="395"/>
      <c r="IA62" s="395"/>
      <c r="IB62" s="395"/>
      <c r="IC62" s="395"/>
      <c r="ID62" s="395"/>
      <c r="IE62" s="395"/>
      <c r="IF62" s="395"/>
      <c r="IG62" s="395"/>
      <c r="IH62" s="395"/>
      <c r="II62" s="395"/>
      <c r="IJ62" s="395"/>
      <c r="IK62" s="395"/>
      <c r="IL62" s="395"/>
      <c r="IM62" s="395"/>
      <c r="IN62" s="395"/>
      <c r="IO62" s="395"/>
      <c r="IP62" s="395"/>
      <c r="IQ62" s="395"/>
      <c r="IR62" s="395"/>
      <c r="IS62" s="395"/>
      <c r="IT62" s="395"/>
      <c r="IU62" s="395"/>
      <c r="IV62" s="395"/>
      <c r="IW62" s="357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1.25" hidden="false" customHeight="true" outlineLevel="0" collapsed="false">
      <c r="A64" s="354"/>
      <c r="B64" s="417"/>
      <c r="D64" s="417"/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AC64" s="417"/>
      <c r="AD64" s="417"/>
      <c r="AE64" s="359"/>
    </row>
    <row r="65" customFormat="false" ht="11.25" hidden="false" customHeight="true" outlineLevel="0" collapsed="false">
      <c r="A65" s="354"/>
      <c r="B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AC65" s="417"/>
      <c r="AD65" s="417"/>
      <c r="AE65" s="359"/>
    </row>
    <row r="66" customFormat="false" ht="11.25" hidden="false" customHeight="true" outlineLevel="0" collapsed="false">
      <c r="A66" s="437" t="s">
        <v>442</v>
      </c>
      <c r="B66" s="206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AC66" s="417"/>
      <c r="AD66" s="417"/>
      <c r="AE66" s="359"/>
    </row>
    <row r="67" customFormat="false" ht="11.25" hidden="false" customHeight="true" outlineLevel="0" collapsed="false">
      <c r="A67" s="0" t="s">
        <v>443</v>
      </c>
      <c r="B67" s="0"/>
      <c r="D67" s="417"/>
      <c r="E67" s="417"/>
      <c r="F67" s="417"/>
      <c r="G67" s="417"/>
      <c r="H67" s="417"/>
      <c r="I67" s="417"/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AC67" s="417"/>
      <c r="AD67" s="417"/>
      <c r="AE67" s="359"/>
    </row>
    <row r="68" customFormat="false" ht="12.75" hidden="false" customHeight="false" outlineLevel="0" collapsed="false">
      <c r="A68" s="0" t="s">
        <v>444</v>
      </c>
      <c r="B68" s="438" t="s">
        <v>445</v>
      </c>
    </row>
    <row r="69" customFormat="false" ht="12.75" hidden="false" customHeight="false" outlineLevel="0" collapsed="false">
      <c r="A69" s="0" t="n">
        <v>1</v>
      </c>
      <c r="B69" s="439" t="n">
        <v>0.05</v>
      </c>
    </row>
    <row r="70" customFormat="false" ht="12.75" hidden="false" customHeight="false" outlineLevel="0" collapsed="false">
      <c r="A70" s="0" t="n">
        <v>2</v>
      </c>
      <c r="B70" s="439" t="n">
        <v>0.095</v>
      </c>
    </row>
    <row r="71" customFormat="false" ht="12.75" hidden="false" customHeight="false" outlineLevel="0" collapsed="false">
      <c r="A71" s="0" t="n">
        <v>3</v>
      </c>
      <c r="B71" s="439" t="n">
        <v>0.0855</v>
      </c>
    </row>
    <row r="72" customFormat="false" ht="12.75" hidden="false" customHeight="false" outlineLevel="0" collapsed="false">
      <c r="A72" s="0" t="n">
        <v>4</v>
      </c>
      <c r="B72" s="439" t="n">
        <v>0.077</v>
      </c>
    </row>
    <row r="73" customFormat="false" ht="12.75" hidden="false" customHeight="false" outlineLevel="0" collapsed="false">
      <c r="A73" s="0" t="n">
        <v>5</v>
      </c>
      <c r="B73" s="439" t="n">
        <v>0.0693</v>
      </c>
    </row>
    <row r="74" customFormat="false" ht="12.75" hidden="false" customHeight="false" outlineLevel="0" collapsed="false">
      <c r="A74" s="0" t="n">
        <v>6</v>
      </c>
      <c r="B74" s="439" t="n">
        <v>0.0623</v>
      </c>
    </row>
    <row r="75" customFormat="false" ht="12.75" hidden="false" customHeight="false" outlineLevel="0" collapsed="false">
      <c r="A75" s="0" t="n">
        <v>7</v>
      </c>
      <c r="B75" s="439" t="n">
        <v>0.059</v>
      </c>
    </row>
    <row r="76" customFormat="false" ht="12.75" hidden="false" customHeight="false" outlineLevel="0" collapsed="false">
      <c r="A76" s="0" t="n">
        <v>8</v>
      </c>
      <c r="B76" s="439" t="n">
        <v>0.059</v>
      </c>
    </row>
    <row r="77" customFormat="false" ht="12.75" hidden="false" customHeight="false" outlineLevel="0" collapsed="false">
      <c r="A77" s="0" t="n">
        <v>9</v>
      </c>
      <c r="B77" s="439" t="n">
        <v>0.0591</v>
      </c>
    </row>
    <row r="78" customFormat="false" ht="12.75" hidden="false" customHeight="false" outlineLevel="0" collapsed="false">
      <c r="A78" s="0" t="n">
        <v>10</v>
      </c>
      <c r="B78" s="439" t="n">
        <v>0.059</v>
      </c>
    </row>
    <row r="79" customFormat="false" ht="12.75" hidden="false" customHeight="false" outlineLevel="0" collapsed="false">
      <c r="A79" s="0" t="n">
        <v>11</v>
      </c>
      <c r="B79" s="439" t="n">
        <v>0.0591</v>
      </c>
    </row>
    <row r="80" customFormat="false" ht="12.75" hidden="false" customHeight="false" outlineLevel="0" collapsed="false">
      <c r="A80" s="0" t="n">
        <v>12</v>
      </c>
      <c r="B80" s="439" t="n">
        <v>0.059</v>
      </c>
    </row>
    <row r="81" customFormat="false" ht="12.75" hidden="false" customHeight="false" outlineLevel="0" collapsed="false">
      <c r="A81" s="0" t="n">
        <v>13</v>
      </c>
      <c r="B81" s="439" t="n">
        <v>0.0591</v>
      </c>
    </row>
    <row r="82" customFormat="false" ht="12.75" hidden="false" customHeight="false" outlineLevel="0" collapsed="false">
      <c r="A82" s="0" t="n">
        <v>14</v>
      </c>
      <c r="B82" s="439" t="n">
        <v>0.059</v>
      </c>
    </row>
    <row r="83" customFormat="false" ht="12.75" hidden="false" customHeight="false" outlineLevel="0" collapsed="false">
      <c r="A83" s="0" t="n">
        <v>15</v>
      </c>
      <c r="B83" s="439" t="n">
        <v>0.0591</v>
      </c>
    </row>
    <row r="84" customFormat="false" ht="12.75" hidden="false" customHeight="false" outlineLevel="0" collapsed="false">
      <c r="A84" s="0" t="n">
        <v>16</v>
      </c>
      <c r="B84" s="439" t="n">
        <v>0.0295</v>
      </c>
    </row>
    <row r="86" customFormat="false" ht="12.75" hidden="false" customHeight="false" outlineLevel="0" collapsed="false">
      <c r="A86" s="437" t="s">
        <v>446</v>
      </c>
      <c r="B86" s="0"/>
    </row>
    <row r="87" customFormat="false" ht="12.75" hidden="false" customHeight="false" outlineLevel="0" collapsed="false">
      <c r="A87" s="0" t="s">
        <v>443</v>
      </c>
      <c r="B87" s="0"/>
    </row>
    <row r="88" customFormat="false" ht="12.75" hidden="false" customHeight="false" outlineLevel="0" collapsed="false">
      <c r="A88" s="0" t="s">
        <v>444</v>
      </c>
      <c r="B88" s="0" t="s">
        <v>445</v>
      </c>
    </row>
    <row r="89" customFormat="false" ht="12.75" hidden="false" customHeight="false" outlineLevel="0" collapsed="false">
      <c r="A89" s="0" t="n">
        <v>1</v>
      </c>
      <c r="B89" s="265" t="n">
        <v>0.0375</v>
      </c>
    </row>
    <row r="90" customFormat="false" ht="12.75" hidden="false" customHeight="false" outlineLevel="0" collapsed="false">
      <c r="A90" s="0" t="n">
        <v>2</v>
      </c>
      <c r="B90" s="265" t="n">
        <v>0.07219</v>
      </c>
    </row>
    <row r="91" customFormat="false" ht="12.75" hidden="false" customHeight="false" outlineLevel="0" collapsed="false">
      <c r="A91" s="0" t="n">
        <v>3</v>
      </c>
      <c r="B91" s="265" t="n">
        <v>0.06677</v>
      </c>
    </row>
    <row r="92" customFormat="false" ht="12.75" hidden="false" customHeight="false" outlineLevel="0" collapsed="false">
      <c r="A92" s="0" t="n">
        <v>4</v>
      </c>
      <c r="B92" s="265" t="n">
        <v>0.06177</v>
      </c>
    </row>
    <row r="93" customFormat="false" ht="12.75" hidden="false" customHeight="false" outlineLevel="0" collapsed="false">
      <c r="A93" s="0" t="n">
        <v>5</v>
      </c>
      <c r="B93" s="265" t="n">
        <v>0.05713</v>
      </c>
    </row>
    <row r="94" customFormat="false" ht="12.75" hidden="false" customHeight="false" outlineLevel="0" collapsed="false">
      <c r="A94" s="0" t="n">
        <v>6</v>
      </c>
      <c r="B94" s="265" t="n">
        <v>0.05285</v>
      </c>
    </row>
    <row r="95" customFormat="false" ht="12.75" hidden="false" customHeight="false" outlineLevel="0" collapsed="false">
      <c r="A95" s="0" t="n">
        <v>7</v>
      </c>
      <c r="B95" s="265" t="n">
        <v>0.04888</v>
      </c>
    </row>
    <row r="96" customFormat="false" ht="12.75" hidden="false" customHeight="false" outlineLevel="0" collapsed="false">
      <c r="A96" s="0" t="n">
        <v>8</v>
      </c>
      <c r="B96" s="265" t="n">
        <v>0.04522</v>
      </c>
    </row>
    <row r="97" customFormat="false" ht="12.75" hidden="false" customHeight="false" outlineLevel="0" collapsed="false">
      <c r="A97" s="0" t="n">
        <v>9</v>
      </c>
      <c r="B97" s="265" t="n">
        <v>0.04462</v>
      </c>
    </row>
    <row r="98" customFormat="false" ht="12.75" hidden="false" customHeight="false" outlineLevel="0" collapsed="false">
      <c r="A98" s="0" t="n">
        <v>10</v>
      </c>
      <c r="B98" s="265" t="n">
        <v>0.04461</v>
      </c>
    </row>
    <row r="99" customFormat="false" ht="12.75" hidden="false" customHeight="false" outlineLevel="0" collapsed="false">
      <c r="A99" s="0" t="n">
        <v>11</v>
      </c>
      <c r="B99" s="265" t="n">
        <v>0.04462</v>
      </c>
    </row>
    <row r="100" customFormat="false" ht="12.75" hidden="false" customHeight="false" outlineLevel="0" collapsed="false">
      <c r="A100" s="0" t="n">
        <v>12</v>
      </c>
      <c r="B100" s="265" t="n">
        <v>0.04461</v>
      </c>
    </row>
    <row r="101" customFormat="false" ht="12.75" hidden="false" customHeight="false" outlineLevel="0" collapsed="false">
      <c r="A101" s="0" t="n">
        <v>13</v>
      </c>
      <c r="B101" s="265" t="n">
        <v>0.04462</v>
      </c>
    </row>
    <row r="102" customFormat="false" ht="12.75" hidden="false" customHeight="false" outlineLevel="0" collapsed="false">
      <c r="A102" s="0" t="n">
        <v>14</v>
      </c>
      <c r="B102" s="265" t="n">
        <v>0.04461</v>
      </c>
    </row>
    <row r="103" customFormat="false" ht="12.75" hidden="false" customHeight="false" outlineLevel="0" collapsed="false">
      <c r="A103" s="0" t="n">
        <v>15</v>
      </c>
      <c r="B103" s="265" t="n">
        <v>0.04462</v>
      </c>
    </row>
    <row r="104" customFormat="false" ht="12.75" hidden="false" customHeight="false" outlineLevel="0" collapsed="false">
      <c r="A104" s="0" t="n">
        <v>16</v>
      </c>
      <c r="B104" s="265" t="n">
        <v>0.04461</v>
      </c>
    </row>
    <row r="105" customFormat="false" ht="12.75" hidden="false" customHeight="false" outlineLevel="0" collapsed="false">
      <c r="A105" s="0" t="n">
        <v>17</v>
      </c>
      <c r="B105" s="265" t="n">
        <v>0.04462</v>
      </c>
    </row>
    <row r="106" customFormat="false" ht="12.75" hidden="false" customHeight="false" outlineLevel="0" collapsed="false">
      <c r="A106" s="0" t="n">
        <v>18</v>
      </c>
      <c r="B106" s="265" t="n">
        <v>0.04461</v>
      </c>
    </row>
    <row r="107" customFormat="false" ht="12.75" hidden="false" customHeight="false" outlineLevel="0" collapsed="false">
      <c r="A107" s="0" t="n">
        <v>19</v>
      </c>
      <c r="B107" s="265" t="n">
        <v>0.04462</v>
      </c>
    </row>
    <row r="108" customFormat="false" ht="12.75" hidden="false" customHeight="false" outlineLevel="0" collapsed="false">
      <c r="A108" s="0" t="n">
        <v>20</v>
      </c>
      <c r="B108" s="265" t="n">
        <v>0.04461</v>
      </c>
    </row>
    <row r="109" customFormat="false" ht="12.75" hidden="false" customHeight="false" outlineLevel="0" collapsed="false">
      <c r="A109" s="0" t="n">
        <v>21</v>
      </c>
      <c r="B109" s="265" t="n">
        <v>0.0225</v>
      </c>
    </row>
  </sheetData>
  <printOptions headings="false" gridLines="false" gridLinesSet="true" horizontalCentered="false" verticalCentered="false"/>
  <pageMargins left="0.329861111111111" right="0.470138888888889" top="0.8" bottom="0.479861111111111" header="0.511811023622047" footer="0.2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  <colBreaks count="1" manualBreakCount="1">
    <brk id="32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W1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25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1.56"/>
    <col collapsed="false" customWidth="true" hidden="false" outlineLevel="0" max="2" min="2" style="0" width="9.99"/>
    <col collapsed="false" customWidth="true" hidden="false" outlineLevel="0" max="3" min="3" style="0" width="15.7"/>
    <col collapsed="false" customWidth="true" hidden="false" outlineLevel="0" max="20" min="4" style="0" width="8.99"/>
    <col collapsed="false" customWidth="true" hidden="false" outlineLevel="0" max="29" min="21" style="0" width="10.41"/>
  </cols>
  <sheetData>
    <row r="1" customFormat="false" ht="26.25" hidden="false" customHeight="false" outlineLevel="0" collapsed="false">
      <c r="A1" s="160" t="str">
        <f aca="false">'Project Assumptions'!$A$2</f>
        <v>PROJECT DOYLE</v>
      </c>
      <c r="B1" s="440"/>
      <c r="C1" s="440"/>
    </row>
    <row r="2" customFormat="false" ht="18" hidden="false" customHeight="false" outlineLevel="0" collapsed="false">
      <c r="A2" s="162" t="s">
        <v>447</v>
      </c>
      <c r="B2" s="441"/>
      <c r="C2" s="441"/>
    </row>
    <row r="3" customFormat="false" ht="12.6" hidden="false" customHeight="true" outlineLevel="0" collapsed="false">
      <c r="A3" s="245"/>
      <c r="B3" s="245"/>
      <c r="C3" s="245"/>
      <c r="D3" s="184"/>
      <c r="E3" s="242" t="n">
        <f aca="false">'Book Income Statement'!C3</f>
        <v>1</v>
      </c>
      <c r="F3" s="242" t="n">
        <f aca="false">'Book Income Statement'!D3</f>
        <v>2</v>
      </c>
      <c r="G3" s="242" t="n">
        <f aca="false">'Book Income Statement'!E3</f>
        <v>3</v>
      </c>
      <c r="H3" s="242" t="n">
        <f aca="false">'Book Income Statement'!F3</f>
        <v>4</v>
      </c>
      <c r="I3" s="242" t="n">
        <f aca="false">'Book Income Statement'!G3</f>
        <v>5</v>
      </c>
      <c r="J3" s="242" t="n">
        <f aca="false">'Book Income Statement'!H3</f>
        <v>6</v>
      </c>
      <c r="K3" s="268" t="n">
        <f aca="false">'Book Income Statement'!I3</f>
        <v>7</v>
      </c>
      <c r="L3" s="242" t="n">
        <f aca="false">'Book Income Statement'!J3</f>
        <v>8</v>
      </c>
      <c r="M3" s="242" t="n">
        <f aca="false">'Book Income Statement'!K3</f>
        <v>9</v>
      </c>
      <c r="N3" s="242" t="n">
        <f aca="false">'Book Income Statement'!L3</f>
        <v>10</v>
      </c>
      <c r="O3" s="242" t="n">
        <f aca="false">'Book Income Statement'!M3</f>
        <v>11</v>
      </c>
      <c r="P3" s="242" t="n">
        <f aca="false">'Book Income Statement'!N3</f>
        <v>12</v>
      </c>
      <c r="Q3" s="268" t="n">
        <f aca="false">'Book Income Statement'!O3</f>
        <v>13</v>
      </c>
      <c r="R3" s="242" t="n">
        <f aca="false">'Book Income Statement'!P3</f>
        <v>14</v>
      </c>
      <c r="S3" s="242" t="n">
        <f aca="false">'Book Income Statement'!Q3</f>
        <v>15</v>
      </c>
      <c r="T3" s="242" t="n">
        <f aca="false">'Book Income Statement'!R3</f>
        <v>16</v>
      </c>
      <c r="U3" s="184"/>
      <c r="V3" s="184"/>
      <c r="W3" s="184"/>
      <c r="X3" s="184"/>
      <c r="Y3" s="184"/>
      <c r="Z3" s="184"/>
      <c r="AA3" s="184"/>
      <c r="AB3" s="184"/>
      <c r="AC3" s="184"/>
      <c r="AE3" s="243"/>
      <c r="AF3" s="184"/>
    </row>
    <row r="4" customFormat="false" ht="12.6" hidden="false" customHeight="true" outlineLevel="0" collapsed="false">
      <c r="A4" s="246"/>
      <c r="B4" s="246"/>
      <c r="C4" s="246"/>
      <c r="D4" s="242"/>
      <c r="E4" s="291" t="n">
        <f aca="false">'Book Income Statement'!C4</f>
        <v>2000</v>
      </c>
      <c r="F4" s="291" t="n">
        <f aca="false">'Book Income Statement'!D4</f>
        <v>2001</v>
      </c>
      <c r="G4" s="291" t="n">
        <f aca="false">'Book Income Statement'!E4</f>
        <v>2002</v>
      </c>
      <c r="H4" s="291" t="n">
        <f aca="false">'Book Income Statement'!F4</f>
        <v>2003</v>
      </c>
      <c r="I4" s="291" t="n">
        <f aca="false">'Book Income Statement'!G4</f>
        <v>2004</v>
      </c>
      <c r="J4" s="291" t="n">
        <f aca="false">'Book Income Statement'!H4</f>
        <v>2005</v>
      </c>
      <c r="K4" s="291" t="n">
        <f aca="false">'Book Income Statement'!I4</f>
        <v>2006</v>
      </c>
      <c r="L4" s="291" t="n">
        <f aca="false">'Book Income Statement'!J4</f>
        <v>2007</v>
      </c>
      <c r="M4" s="291" t="n">
        <f aca="false">'Book Income Statement'!K4</f>
        <v>2008</v>
      </c>
      <c r="N4" s="291" t="n">
        <f aca="false">'Book Income Statement'!L4</f>
        <v>2009</v>
      </c>
      <c r="O4" s="291" t="n">
        <f aca="false">'Book Income Statement'!M4</f>
        <v>2010</v>
      </c>
      <c r="P4" s="291" t="n">
        <f aca="false">'Book Income Statement'!N4</f>
        <v>2011</v>
      </c>
      <c r="Q4" s="291" t="n">
        <f aca="false">'Book Income Statement'!O4</f>
        <v>2012</v>
      </c>
      <c r="R4" s="291" t="n">
        <f aca="false">'Book Income Statement'!P4</f>
        <v>2013</v>
      </c>
      <c r="S4" s="291" t="n">
        <f aca="false">'Book Income Statement'!Q4</f>
        <v>2014</v>
      </c>
      <c r="T4" s="291" t="n">
        <f aca="false">'Book Income Statement'!R4</f>
        <v>2015</v>
      </c>
      <c r="U4" s="184"/>
      <c r="V4" s="184"/>
      <c r="W4" s="184"/>
      <c r="X4" s="184"/>
      <c r="Y4" s="184"/>
      <c r="Z4" s="184"/>
      <c r="AA4" s="184"/>
      <c r="AB4" s="184"/>
      <c r="AC4" s="184"/>
      <c r="AD4" s="291"/>
      <c r="AE4" s="291"/>
      <c r="AF4" s="184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</row>
    <row r="5" customFormat="false" ht="15.75" hidden="false" customHeight="false" outlineLevel="0" collapsed="false">
      <c r="A5" s="442" t="s">
        <v>447</v>
      </c>
      <c r="B5" s="443"/>
      <c r="C5" s="443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84"/>
      <c r="V5" s="184"/>
      <c r="W5" s="184"/>
      <c r="X5" s="184"/>
      <c r="Y5" s="184"/>
      <c r="Z5" s="184"/>
      <c r="AA5" s="184"/>
      <c r="AB5" s="184"/>
      <c r="AC5" s="184"/>
    </row>
    <row r="6" customFormat="false" ht="15" hidden="false" customHeight="true" outlineLevel="0" collapsed="false">
      <c r="A6" s="168" t="s">
        <v>448</v>
      </c>
      <c r="B6" s="444" t="s">
        <v>449</v>
      </c>
      <c r="C6" s="364"/>
      <c r="D6" s="364" t="n">
        <f aca="false">'Project Assumptions'!I16</f>
        <v>36661</v>
      </c>
      <c r="E6" s="364" t="n">
        <f aca="false">DATE(YEAR(D6),12,31)</f>
        <v>36891</v>
      </c>
      <c r="F6" s="364" t="n">
        <f aca="false">EDATE(E6,12)</f>
        <v>37256</v>
      </c>
      <c r="G6" s="364" t="n">
        <f aca="false">EDATE(F6,12)</f>
        <v>37621</v>
      </c>
      <c r="H6" s="364" t="n">
        <f aca="false">EDATE(G6,12)</f>
        <v>37986</v>
      </c>
      <c r="I6" s="364" t="n">
        <f aca="false">EDATE(H6,12)</f>
        <v>38352</v>
      </c>
      <c r="J6" s="364" t="n">
        <f aca="false">EDATE(I6,12)</f>
        <v>38717</v>
      </c>
      <c r="K6" s="364" t="n">
        <f aca="false">EDATE(J6,12)</f>
        <v>39082</v>
      </c>
      <c r="L6" s="364" t="n">
        <f aca="false">EDATE(K6,12)</f>
        <v>39447</v>
      </c>
      <c r="M6" s="364" t="n">
        <f aca="false">EDATE(L6,12)</f>
        <v>39813</v>
      </c>
      <c r="N6" s="364" t="n">
        <f aca="false">EDATE(M6,12)</f>
        <v>40178</v>
      </c>
      <c r="O6" s="364" t="n">
        <f aca="false">EDATE(N6,12)</f>
        <v>40543</v>
      </c>
      <c r="P6" s="364" t="n">
        <f aca="false">EDATE(O6,12)</f>
        <v>40908</v>
      </c>
      <c r="Q6" s="364" t="n">
        <f aca="false">EDATE(P6,12)</f>
        <v>41274</v>
      </c>
      <c r="R6" s="364" t="n">
        <f aca="false">EDATE(Q6,12)</f>
        <v>41639</v>
      </c>
      <c r="S6" s="364" t="n">
        <f aca="false">EDATE(R6,12)</f>
        <v>42004</v>
      </c>
      <c r="T6" s="364" t="n">
        <f aca="false">EDATE(S6,12)</f>
        <v>42369</v>
      </c>
      <c r="U6" s="364" t="n">
        <f aca="false">EDATE(T6,12)</f>
        <v>42735</v>
      </c>
      <c r="V6" s="364" t="n">
        <f aca="false">EDATE(U6,12)</f>
        <v>43100</v>
      </c>
      <c r="W6" s="364" t="n">
        <f aca="false">EDATE(V6,12)</f>
        <v>43465</v>
      </c>
      <c r="X6" s="364" t="n">
        <f aca="false">EDATE(W6,12)</f>
        <v>43830</v>
      </c>
      <c r="Y6" s="364" t="n">
        <f aca="false">EDATE(X6,12)</f>
        <v>44196</v>
      </c>
      <c r="Z6" s="364" t="n">
        <f aca="false">EDATE(Y6,12)</f>
        <v>44561</v>
      </c>
      <c r="AA6" s="364" t="n">
        <f aca="false">EDATE(Z6,12)</f>
        <v>44926</v>
      </c>
      <c r="AB6" s="364" t="n">
        <f aca="false">EDATE(AA6,12)</f>
        <v>45291</v>
      </c>
      <c r="AC6" s="364" t="n">
        <f aca="false">EDATE(AB6,12)</f>
        <v>45657</v>
      </c>
      <c r="AD6" s="364" t="n">
        <f aca="false">EDATE(AC6,12)</f>
        <v>46022</v>
      </c>
      <c r="AE6" s="364" t="n">
        <f aca="false">EDATE(AD6,12)</f>
        <v>46387</v>
      </c>
      <c r="AF6" s="364" t="n">
        <f aca="false">EDATE(AE6,12)</f>
        <v>46752</v>
      </c>
      <c r="AG6" s="364" t="n">
        <f aca="false">EDATE(AF6,12)</f>
        <v>47118</v>
      </c>
      <c r="AH6" s="364" t="n">
        <f aca="false">EDATE(AG6,12)</f>
        <v>47483</v>
      </c>
      <c r="AI6" s="364"/>
    </row>
    <row r="7" customFormat="false" ht="15" hidden="false" customHeight="true" outlineLevel="0" collapsed="false">
      <c r="A7" s="184" t="s">
        <v>450</v>
      </c>
      <c r="B7" s="445" t="n">
        <f aca="false">XNPV('Enron Pre-Tax Returns'!$B$9,D7:T7,$D$6:$T$6)</f>
        <v>3127.53466351406</v>
      </c>
      <c r="C7" s="306"/>
      <c r="D7" s="306" t="n">
        <v>0</v>
      </c>
      <c r="E7" s="258" t="n">
        <f aca="false">(('Cash Flow Statement'!D19)*'Project Assumptions'!$N$59)</f>
        <v>209.983753384292</v>
      </c>
      <c r="F7" s="258" t="n">
        <f aca="false">(('Cash Flow Statement'!E19)*'Project Assumptions'!$N$59)</f>
        <v>547.104703462134</v>
      </c>
      <c r="G7" s="258" t="n">
        <f aca="false">(('Cash Flow Statement'!F19)*'Project Assumptions'!$N$59)</f>
        <v>295.531966604177</v>
      </c>
      <c r="H7" s="258" t="n">
        <f aca="false">(('Cash Flow Statement'!G19)*'Project Assumptions'!$N$59)</f>
        <v>293.132112936072</v>
      </c>
      <c r="I7" s="258" t="n">
        <f aca="false">(('Cash Flow Statement'!H19)*'Project Assumptions'!$N$59)</f>
        <v>271.218095080271</v>
      </c>
      <c r="J7" s="258" t="n">
        <f aca="false">(('Cash Flow Statement'!I19)*'Project Assumptions'!$N$59)</f>
        <v>270.709881678994</v>
      </c>
      <c r="K7" s="258" t="n">
        <f aca="false">(('Cash Flow Statement'!J19)*'Project Assumptions'!$N$59)</f>
        <v>269.094912700538</v>
      </c>
      <c r="L7" s="258" t="n">
        <f aca="false">(('Cash Flow Statement'!K19)*'Project Assumptions'!$N$59)</f>
        <v>250.967354551044</v>
      </c>
      <c r="M7" s="258" t="n">
        <f aca="false">(('Cash Flow Statement'!L19)*'Project Assumptions'!$N$59)</f>
        <v>251.536663121858</v>
      </c>
      <c r="N7" s="258" t="n">
        <f aca="false">(('Cash Flow Statement'!M19)*'Project Assumptions'!$N$59)</f>
        <v>251.576860214082</v>
      </c>
      <c r="O7" s="258" t="n">
        <f aca="false">(('Cash Flow Statement'!N19)*'Project Assumptions'!$N$59)</f>
        <v>251.663861048157</v>
      </c>
      <c r="P7" s="258" t="n">
        <f aca="false">(('Cash Flow Statement'!O19)*'Project Assumptions'!$N$59)</f>
        <v>251.511102948911</v>
      </c>
      <c r="Q7" s="258" t="n">
        <f aca="false">(('Cash Flow Statement'!P19)*'Project Assumptions'!$N$59)</f>
        <v>251.694538212682</v>
      </c>
      <c r="R7" s="258" t="n">
        <f aca="false">(('Cash Flow Statement'!Q19)*'Project Assumptions'!$N$59)</f>
        <v>251.927641981722</v>
      </c>
      <c r="S7" s="258" t="n">
        <f aca="false">(('Cash Flow Statement'!R19)*'Project Assumptions'!$N$59)</f>
        <v>251.923908876149</v>
      </c>
      <c r="T7" s="258" t="n">
        <f aca="false">(('Cash Flow Statement'!S19)*'Project Assumptions'!$N$59)</f>
        <v>6144.48815915896</v>
      </c>
      <c r="U7" s="258" t="n">
        <f aca="false">(('Cash Flow Statement'!T19)*'Project Assumptions'!$N$59)</f>
        <v>0</v>
      </c>
      <c r="V7" s="258" t="n">
        <f aca="false">(('Cash Flow Statement'!U19)*'Project Assumptions'!$N$59)</f>
        <v>0</v>
      </c>
      <c r="W7" s="258" t="n">
        <f aca="false">(('Cash Flow Statement'!V19)*'Project Assumptions'!$N$59)</f>
        <v>0</v>
      </c>
      <c r="X7" s="258" t="n">
        <f aca="false">(('Cash Flow Statement'!W19)*'Project Assumptions'!$N$59)</f>
        <v>0</v>
      </c>
      <c r="Y7" s="258" t="n">
        <f aca="false">(('Cash Flow Statement'!X19)*'Project Assumptions'!$N$59)</f>
        <v>0</v>
      </c>
      <c r="Z7" s="258" t="n">
        <f aca="false">(('Cash Flow Statement'!Y19)*'Project Assumptions'!$N$59)</f>
        <v>0</v>
      </c>
      <c r="AA7" s="258" t="n">
        <f aca="false">(('Cash Flow Statement'!Z19)*'Project Assumptions'!$N$59)</f>
        <v>0</v>
      </c>
      <c r="AB7" s="258" t="n">
        <f aca="false">(('Cash Flow Statement'!AA19)*'Project Assumptions'!$N$59)</f>
        <v>0</v>
      </c>
      <c r="AC7" s="258" t="n">
        <f aca="false">(('Cash Flow Statement'!AB19)*'Project Assumptions'!$N$59)</f>
        <v>0</v>
      </c>
      <c r="AD7" s="258" t="n">
        <f aca="false">(('Cash Flow Statement'!AC19)*'Project Assumptions'!$N$59)</f>
        <v>0</v>
      </c>
      <c r="AE7" s="258" t="n">
        <f aca="false">(('Cash Flow Statement'!AD19)*'Project Assumptions'!$N$59)</f>
        <v>0</v>
      </c>
      <c r="AF7" s="258" t="n">
        <f aca="false">(('Cash Flow Statement'!AE19)*'Project Assumptions'!$N$59)</f>
        <v>0</v>
      </c>
      <c r="AG7" s="258" t="n">
        <f aca="false">(('Cash Flow Statement'!AF19)*'Project Assumptions'!$N$59)</f>
        <v>0</v>
      </c>
      <c r="AH7" s="258" t="n">
        <f aca="false">(('Cash Flow Statement'!AG19)*'Project Assumptions'!$N$59)</f>
        <v>0</v>
      </c>
      <c r="AI7" s="258"/>
    </row>
    <row r="8" customFormat="false" ht="15" hidden="false" customHeight="true" outlineLevel="0" collapsed="false">
      <c r="A8" s="184"/>
      <c r="B8" s="184"/>
      <c r="C8" s="184"/>
      <c r="D8" s="184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184"/>
      <c r="V8" s="184"/>
      <c r="W8" s="184"/>
      <c r="X8" s="184"/>
      <c r="Y8" s="184"/>
      <c r="Z8" s="184"/>
      <c r="AA8" s="184"/>
      <c r="AB8" s="184"/>
      <c r="AC8" s="184"/>
      <c r="AD8" s="191"/>
      <c r="AE8" s="191"/>
    </row>
    <row r="9" customFormat="false" ht="15" hidden="false" customHeight="true" outlineLevel="0" collapsed="false">
      <c r="A9" s="184" t="s">
        <v>451</v>
      </c>
      <c r="B9" s="447" t="n">
        <v>0.12</v>
      </c>
      <c r="C9" s="445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184"/>
      <c r="V9" s="184"/>
      <c r="W9" s="184"/>
      <c r="X9" s="184"/>
      <c r="Y9" s="184"/>
      <c r="Z9" s="184"/>
      <c r="AA9" s="184"/>
      <c r="AB9" s="184"/>
      <c r="AC9" s="184"/>
    </row>
    <row r="10" customFormat="false" ht="15" hidden="false" customHeight="true" outlineLevel="0" collapsed="false">
      <c r="A10" s="222"/>
      <c r="B10" s="445"/>
      <c r="C10" s="449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184"/>
      <c r="V10" s="184"/>
      <c r="W10" s="184"/>
      <c r="X10" s="184"/>
      <c r="Y10" s="184"/>
      <c r="Z10" s="184"/>
      <c r="AA10" s="184"/>
      <c r="AB10" s="184"/>
      <c r="AC10" s="184"/>
    </row>
    <row r="11" customFormat="false" ht="15" hidden="false" customHeight="true" outlineLevel="0" collapsed="false">
      <c r="A11" s="184" t="s">
        <v>452</v>
      </c>
      <c r="B11" s="448" t="n">
        <f aca="false">XNPV('Enron Pre-Tax Returns'!$B$9,D11:S11,$D$6:$S$6)</f>
        <v>1057.55771673612</v>
      </c>
      <c r="C11" s="450"/>
      <c r="D11" s="448" t="n">
        <f aca="false">'Book Income Statement'!C33</f>
        <v>65.8854166666667</v>
      </c>
      <c r="E11" s="448" t="n">
        <f aca="false">'Book Income Statement'!D33</f>
        <v>127.5</v>
      </c>
      <c r="F11" s="448" t="n">
        <f aca="false">'Book Income Statement'!E33</f>
        <v>130.05</v>
      </c>
      <c r="G11" s="448" t="n">
        <f aca="false">'Book Income Statement'!F33</f>
        <v>132.651</v>
      </c>
      <c r="H11" s="448" t="n">
        <f aca="false">'Book Income Statement'!G33</f>
        <v>135.30402</v>
      </c>
      <c r="I11" s="448" t="n">
        <f aca="false">'Book Income Statement'!H33</f>
        <v>138.0101004</v>
      </c>
      <c r="J11" s="448" t="n">
        <f aca="false">'Book Income Statement'!I33</f>
        <v>140.770302408</v>
      </c>
      <c r="K11" s="448" t="n">
        <f aca="false">'Book Income Statement'!J33</f>
        <v>143.58570845616</v>
      </c>
      <c r="L11" s="448" t="n">
        <f aca="false">'Book Income Statement'!K33</f>
        <v>146.457422625283</v>
      </c>
      <c r="M11" s="448" t="n">
        <f aca="false">'Book Income Statement'!L33</f>
        <v>149.386571077789</v>
      </c>
      <c r="N11" s="448" t="n">
        <f aca="false">'Book Income Statement'!M33</f>
        <v>152.374302499345</v>
      </c>
      <c r="O11" s="448" t="n">
        <f aca="false">'Book Income Statement'!N33</f>
        <v>155.421788549332</v>
      </c>
      <c r="P11" s="448" t="n">
        <f aca="false">'Book Income Statement'!O33</f>
        <v>158.530224320318</v>
      </c>
      <c r="Q11" s="448" t="n">
        <f aca="false">'Book Income Statement'!P33</f>
        <v>161.700828806725</v>
      </c>
      <c r="R11" s="448" t="n">
        <f aca="false">'Book Income Statement'!Q33</f>
        <v>164.934845382859</v>
      </c>
      <c r="S11" s="448" t="n">
        <f aca="false">'Book Income Statement'!R33</f>
        <v>112.155694860344</v>
      </c>
      <c r="T11" s="448" t="n">
        <f aca="false">'Book Income Statement'!S33</f>
        <v>0</v>
      </c>
      <c r="U11" s="184"/>
      <c r="V11" s="184"/>
      <c r="W11" s="184"/>
      <c r="X11" s="184"/>
      <c r="Y11" s="184"/>
      <c r="Z11" s="184"/>
      <c r="AA11" s="184"/>
      <c r="AB11" s="184"/>
      <c r="AC11" s="184"/>
      <c r="AD11" s="191"/>
      <c r="AE11" s="191"/>
    </row>
    <row r="12" customFormat="false" ht="15" hidden="false" customHeight="true" outlineLevel="0" collapsed="false">
      <c r="A12" s="184" t="s">
        <v>453</v>
      </c>
      <c r="B12" s="448" t="n">
        <f aca="false">XNPV('Enron Pre-Tax Returns'!$B$9,D12:S12,$D$6:$S$6)</f>
        <v>1294.45064528502</v>
      </c>
      <c r="C12" s="450"/>
      <c r="D12" s="448" t="n">
        <f aca="false">'Book Income Statement'!C34</f>
        <v>80.64375</v>
      </c>
      <c r="E12" s="448" t="n">
        <f aca="false">'Book Income Statement'!D34</f>
        <v>156.06</v>
      </c>
      <c r="F12" s="448" t="n">
        <f aca="false">'Book Income Statement'!E34</f>
        <v>159.1812</v>
      </c>
      <c r="G12" s="448" t="n">
        <f aca="false">'Book Income Statement'!F34</f>
        <v>162.364824</v>
      </c>
      <c r="H12" s="448" t="n">
        <f aca="false">'Book Income Statement'!G34</f>
        <v>165.61212048</v>
      </c>
      <c r="I12" s="448" t="n">
        <f aca="false">'Book Income Statement'!H34</f>
        <v>168.9243628896</v>
      </c>
      <c r="J12" s="448" t="n">
        <f aca="false">'Book Income Statement'!I34</f>
        <v>172.302850147392</v>
      </c>
      <c r="K12" s="448" t="n">
        <f aca="false">'Book Income Statement'!J34</f>
        <v>175.74890715034</v>
      </c>
      <c r="L12" s="448" t="n">
        <f aca="false">'Book Income Statement'!K34</f>
        <v>179.263885293347</v>
      </c>
      <c r="M12" s="448" t="n">
        <f aca="false">'Book Income Statement'!L34</f>
        <v>182.849162999214</v>
      </c>
      <c r="N12" s="448" t="n">
        <f aca="false">'Book Income Statement'!M34</f>
        <v>186.506146259198</v>
      </c>
      <c r="O12" s="448" t="n">
        <f aca="false">'Book Income Statement'!N34</f>
        <v>190.236269184382</v>
      </c>
      <c r="P12" s="448" t="n">
        <f aca="false">'Book Income Statement'!O34</f>
        <v>194.04099456807</v>
      </c>
      <c r="Q12" s="448" t="n">
        <f aca="false">'Book Income Statement'!P34</f>
        <v>197.921814459431</v>
      </c>
      <c r="R12" s="448" t="n">
        <f aca="false">'Book Income Statement'!Q34</f>
        <v>201.88025074862</v>
      </c>
      <c r="S12" s="448" t="n">
        <f aca="false">'Book Income Statement'!R34</f>
        <v>137.278570509061</v>
      </c>
      <c r="T12" s="448" t="n">
        <f aca="false">'Book Income Statement'!S34</f>
        <v>0</v>
      </c>
      <c r="U12" s="184"/>
      <c r="V12" s="184"/>
      <c r="W12" s="184"/>
      <c r="X12" s="184"/>
      <c r="Y12" s="184"/>
      <c r="Z12" s="184"/>
      <c r="AA12" s="184"/>
      <c r="AB12" s="184"/>
      <c r="AC12" s="184"/>
    </row>
    <row r="13" customFormat="false" ht="15" hidden="false" customHeight="true" outlineLevel="0" collapsed="false">
      <c r="A13" s="184" t="s">
        <v>454</v>
      </c>
      <c r="B13" s="451" t="n">
        <f aca="false">XNPV('Enron Pre-Tax Returns'!$B$9,D13:S13,$D$6:$S$6)</f>
        <v>0</v>
      </c>
      <c r="C13" s="448"/>
      <c r="D13" s="451" t="n">
        <f aca="false">'Book Income Statement'!C35</f>
        <v>0</v>
      </c>
      <c r="E13" s="451" t="n">
        <f aca="false">'Book Income Statement'!D35</f>
        <v>0</v>
      </c>
      <c r="F13" s="451" t="n">
        <f aca="false">'Book Income Statement'!E35</f>
        <v>0</v>
      </c>
      <c r="G13" s="451" t="n">
        <f aca="false">'Book Income Statement'!F35</f>
        <v>0</v>
      </c>
      <c r="H13" s="451" t="n">
        <f aca="false">'Book Income Statement'!G35</f>
        <v>0</v>
      </c>
      <c r="I13" s="451" t="n">
        <f aca="false">'Book Income Statement'!H35</f>
        <v>0</v>
      </c>
      <c r="J13" s="451" t="n">
        <f aca="false">'Book Income Statement'!I35</f>
        <v>0</v>
      </c>
      <c r="K13" s="451" t="n">
        <f aca="false">'Book Income Statement'!J35</f>
        <v>0</v>
      </c>
      <c r="L13" s="451" t="n">
        <f aca="false">'Book Income Statement'!K35</f>
        <v>0</v>
      </c>
      <c r="M13" s="451" t="n">
        <f aca="false">'Book Income Statement'!L35</f>
        <v>0</v>
      </c>
      <c r="N13" s="451" t="n">
        <f aca="false">'Book Income Statement'!M35</f>
        <v>0</v>
      </c>
      <c r="O13" s="451" t="n">
        <f aca="false">'Book Income Statement'!N35</f>
        <v>0</v>
      </c>
      <c r="P13" s="451" t="n">
        <f aca="false">'Book Income Statement'!O35</f>
        <v>0</v>
      </c>
      <c r="Q13" s="451" t="n">
        <f aca="false">'Book Income Statement'!P35</f>
        <v>0</v>
      </c>
      <c r="R13" s="451" t="n">
        <f aca="false">'Book Income Statement'!Q35</f>
        <v>0</v>
      </c>
      <c r="S13" s="451" t="n">
        <f aca="false">'Book Income Statement'!R35</f>
        <v>0</v>
      </c>
      <c r="T13" s="451" t="n">
        <f aca="false">'Book Income Statement'!S35</f>
        <v>0</v>
      </c>
      <c r="U13" s="184"/>
      <c r="V13" s="184"/>
      <c r="W13" s="184"/>
      <c r="X13" s="184"/>
      <c r="Y13" s="184"/>
      <c r="Z13" s="184"/>
      <c r="AA13" s="184"/>
      <c r="AB13" s="184"/>
      <c r="AC13" s="184"/>
    </row>
    <row r="14" customFormat="false" ht="15" hidden="false" customHeight="true" outlineLevel="0" collapsed="false">
      <c r="A14" s="184" t="s">
        <v>455</v>
      </c>
      <c r="B14" s="448" t="n">
        <f aca="false">SUM(B11:B13)</f>
        <v>2352.00836202114</v>
      </c>
      <c r="C14" s="448"/>
      <c r="D14" s="448" t="n">
        <f aca="false">SUM(D11:D13)</f>
        <v>146.529166666667</v>
      </c>
      <c r="E14" s="448" t="n">
        <f aca="false">SUM(E11:E13)</f>
        <v>283.56</v>
      </c>
      <c r="F14" s="448" t="n">
        <f aca="false">SUM(F11:F13)</f>
        <v>289.2312</v>
      </c>
      <c r="G14" s="448" t="n">
        <f aca="false">SUM(G11:G13)</f>
        <v>295.015824</v>
      </c>
      <c r="H14" s="448" t="n">
        <f aca="false">SUM(H11:H13)</f>
        <v>300.91614048</v>
      </c>
      <c r="I14" s="448" t="n">
        <f aca="false">SUM(I11:I13)</f>
        <v>306.9344632896</v>
      </c>
      <c r="J14" s="448" t="n">
        <f aca="false">SUM(J11:J13)</f>
        <v>313.073152555392</v>
      </c>
      <c r="K14" s="448" t="n">
        <f aca="false">SUM(K11:K13)</f>
        <v>319.3346156065</v>
      </c>
      <c r="L14" s="448" t="n">
        <f aca="false">SUM(L11:L13)</f>
        <v>325.72130791863</v>
      </c>
      <c r="M14" s="448" t="n">
        <f aca="false">SUM(M11:M13)</f>
        <v>332.235734077003</v>
      </c>
      <c r="N14" s="448" t="n">
        <f aca="false">SUM(N11:N13)</f>
        <v>338.880448758543</v>
      </c>
      <c r="O14" s="448" t="n">
        <f aca="false">SUM(O11:O13)</f>
        <v>345.658057733714</v>
      </c>
      <c r="P14" s="448" t="n">
        <f aca="false">SUM(P11:P13)</f>
        <v>352.571218888388</v>
      </c>
      <c r="Q14" s="448" t="n">
        <f aca="false">SUM(Q11:Q13)</f>
        <v>359.622643266156</v>
      </c>
      <c r="R14" s="448" t="n">
        <f aca="false">SUM(R11:R13)</f>
        <v>366.815096131479</v>
      </c>
      <c r="S14" s="448" t="n">
        <f aca="false">SUM(S11:S13)</f>
        <v>249.434265369406</v>
      </c>
      <c r="T14" s="448" t="n">
        <f aca="false">SUM(T11:T13)</f>
        <v>0</v>
      </c>
      <c r="U14" s="184"/>
      <c r="V14" s="184"/>
      <c r="W14" s="184"/>
      <c r="X14" s="184"/>
      <c r="Y14" s="184"/>
      <c r="Z14" s="184"/>
      <c r="AA14" s="184"/>
      <c r="AB14" s="184"/>
      <c r="AC14" s="184"/>
    </row>
    <row r="15" customFormat="false" ht="15" hidden="false" customHeight="true" outlineLevel="0" collapsed="false"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</row>
    <row r="16" customFormat="false" ht="15" hidden="false" customHeight="true" outlineLevel="0" collapsed="false"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</row>
    <row r="17" customFormat="false" ht="15" hidden="false" customHeight="true" outlineLevel="0" collapsed="false">
      <c r="A17" s="442" t="s">
        <v>456</v>
      </c>
      <c r="B17" s="452"/>
      <c r="C17" s="452"/>
    </row>
    <row r="18" customFormat="false" ht="15" hidden="false" customHeight="true" outlineLevel="0" collapsed="false">
      <c r="A18" s="184" t="s">
        <v>457</v>
      </c>
      <c r="B18" s="306"/>
      <c r="C18" s="306"/>
      <c r="D18" s="306" t="n">
        <f aca="false">-'Project Assumptions'!$C$9</f>
        <v>-3313.376925027</v>
      </c>
      <c r="E18" s="258" t="n">
        <f aca="false">('Cash Flow Statement'!D19*'Project Assumptions'!$N$60)</f>
        <v>209.983753384292</v>
      </c>
      <c r="F18" s="258" t="n">
        <f aca="false">('Cash Flow Statement'!E19*'Project Assumptions'!$N$60)</f>
        <v>547.104703462134</v>
      </c>
      <c r="G18" s="258" t="n">
        <f aca="false">('Cash Flow Statement'!F19*'Project Assumptions'!$N$60)</f>
        <v>295.531966604177</v>
      </c>
      <c r="H18" s="258" t="n">
        <f aca="false">('Cash Flow Statement'!G19*'Project Assumptions'!$N$60)</f>
        <v>293.132112936072</v>
      </c>
      <c r="I18" s="258" t="n">
        <f aca="false">('Cash Flow Statement'!H19*'Project Assumptions'!$N$60)</f>
        <v>271.218095080271</v>
      </c>
      <c r="J18" s="258" t="n">
        <f aca="false">('Cash Flow Statement'!I19*'Project Assumptions'!$N$60)</f>
        <v>270.709881678994</v>
      </c>
      <c r="K18" s="258" t="n">
        <f aca="false">('Cash Flow Statement'!J19*'Project Assumptions'!$N$60)</f>
        <v>269.094912700538</v>
      </c>
      <c r="L18" s="258" t="n">
        <f aca="false">('Cash Flow Statement'!K19*'Project Assumptions'!$N$60)</f>
        <v>250.967354551044</v>
      </c>
      <c r="M18" s="258" t="n">
        <f aca="false">('Cash Flow Statement'!L19*'Project Assumptions'!$N$60)</f>
        <v>251.536663121858</v>
      </c>
      <c r="N18" s="258" t="n">
        <f aca="false">('Cash Flow Statement'!M19*'Project Assumptions'!$N$60)</f>
        <v>251.576860214082</v>
      </c>
      <c r="O18" s="258" t="n">
        <f aca="false">('Cash Flow Statement'!N19*'Project Assumptions'!$N$60)</f>
        <v>251.663861048157</v>
      </c>
      <c r="P18" s="258" t="n">
        <f aca="false">('Cash Flow Statement'!O19*'Project Assumptions'!$N$60)</f>
        <v>251.511102948911</v>
      </c>
      <c r="Q18" s="258" t="n">
        <f aca="false">('Cash Flow Statement'!P19*'Project Assumptions'!$N$60)</f>
        <v>251.694538212682</v>
      </c>
      <c r="R18" s="258" t="n">
        <f aca="false">('Cash Flow Statement'!Q19*'Project Assumptions'!$N$60)</f>
        <v>251.927641981722</v>
      </c>
      <c r="S18" s="258" t="n">
        <f aca="false">('Cash Flow Statement'!R19*'Project Assumptions'!$N$60)</f>
        <v>251.923908876149</v>
      </c>
      <c r="T18" s="258" t="n">
        <f aca="false">('Cash Flow Statement'!S19*'Project Assumptions'!$N$60)</f>
        <v>6144.48815915896</v>
      </c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</row>
    <row r="19" customFormat="false" ht="15" hidden="false" customHeight="true" outlineLevel="0" collapsed="false">
      <c r="A19" s="0" t="s">
        <v>302</v>
      </c>
      <c r="B19" s="453"/>
      <c r="C19" s="453"/>
      <c r="D19" s="258" t="n">
        <v>0</v>
      </c>
      <c r="E19" s="258" t="n">
        <f aca="false">+'Debt Amortization'!D45</f>
        <v>0</v>
      </c>
      <c r="F19" s="258" t="n">
        <f aca="false">+'Debt Amortization'!E45</f>
        <v>238.024348256568</v>
      </c>
      <c r="G19" s="258" t="n">
        <f aca="false">+'Debt Amortization'!F45</f>
        <v>460.889317146504</v>
      </c>
      <c r="H19" s="258" t="n">
        <f aca="false">+'Debt Amortization'!G45</f>
        <v>439.653543210888</v>
      </c>
      <c r="I19" s="258" t="n">
        <f aca="false">+'Debt Amortization'!H45</f>
        <v>417.124510642593</v>
      </c>
      <c r="J19" s="258" t="n">
        <f aca="false">+'Debt Amortization'!I45</f>
        <v>393.223459990888</v>
      </c>
      <c r="K19" s="258" t="n">
        <f aca="false">+'Debt Amortization'!J45</f>
        <v>367.866835354495</v>
      </c>
      <c r="L19" s="258" t="n">
        <f aca="false">+'Debt Amortization'!K45</f>
        <v>340.965992277746</v>
      </c>
      <c r="M19" s="258" t="n">
        <f aca="false">+'Debt Amortization'!L45</f>
        <v>312.426887857623</v>
      </c>
      <c r="N19" s="258" t="n">
        <f aca="false">+'Debt Amortization'!M45</f>
        <v>282.149751978314</v>
      </c>
      <c r="O19" s="258" t="n">
        <f aca="false">+'Debt Amortization'!N45</f>
        <v>250.028738523955</v>
      </c>
      <c r="P19" s="258" t="n">
        <f aca="false">+'Debt Amortization'!O45</f>
        <v>215.951555350226</v>
      </c>
      <c r="Q19" s="258" t="n">
        <f aca="false">+'Debt Amortization'!P45</f>
        <v>179.799071721217</v>
      </c>
      <c r="R19" s="258" t="n">
        <f aca="false">+'Debt Amortization'!Q45</f>
        <v>141.444901839201</v>
      </c>
      <c r="S19" s="258" t="n">
        <f aca="false">+'Debt Amortization'!R45</f>
        <v>100.75496301137</v>
      </c>
      <c r="T19" s="258" t="n">
        <f aca="false">+'Debt Amortization'!S45</f>
        <v>159.597441876025</v>
      </c>
      <c r="U19" s="258" t="n">
        <f aca="false">+'Debt Amortization'!T45</f>
        <v>197.523993062787</v>
      </c>
      <c r="V19" s="258" t="n">
        <f aca="false">+'Debt Amortization'!U45</f>
        <v>188.42294709038</v>
      </c>
      <c r="W19" s="258" t="n">
        <f aca="false">+'Debt Amortization'!V45</f>
        <v>178.767647418254</v>
      </c>
      <c r="X19" s="258" t="n">
        <f aca="false">+'Debt Amortization'!W45</f>
        <v>168.524339996095</v>
      </c>
      <c r="Y19" s="258" t="n">
        <f aca="false">+'Debt Amortization'!X45</f>
        <v>157.657215151927</v>
      </c>
      <c r="Z19" s="258" t="n">
        <f aca="false">+'Debt Amortization'!Y45</f>
        <v>146.128282404748</v>
      </c>
      <c r="AA19" s="258" t="n">
        <f aca="false">+'Debt Amortization'!Z45</f>
        <v>133.897237653267</v>
      </c>
      <c r="AB19" s="258" t="n">
        <f aca="false">+'Debt Amortization'!AA45</f>
        <v>120.92132227642</v>
      </c>
      <c r="AC19" s="258" t="n">
        <f aca="false">+'Debt Amortization'!AB45</f>
        <v>107.155173653124</v>
      </c>
      <c r="AD19" s="258" t="n">
        <f aca="false">+'Debt Amortization'!AC45</f>
        <v>92.5506665786683</v>
      </c>
      <c r="AE19" s="258" t="n">
        <f aca="false">+'Debt Amortization'!AD45</f>
        <v>77.0567450233786</v>
      </c>
      <c r="AF19" s="258" t="n">
        <f aca="false">+'Debt Amortization'!AE45</f>
        <v>60.6192436453718</v>
      </c>
      <c r="AG19" s="258" t="n">
        <f aca="false">+'Debt Amortization'!AF45</f>
        <v>43.1806984334443</v>
      </c>
      <c r="AH19" s="258" t="n">
        <f aca="false">+'Debt Amortization'!AG45</f>
        <v>24.6801458181105</v>
      </c>
    </row>
    <row r="20" customFormat="false" ht="15" hidden="false" customHeight="true" outlineLevel="0" collapsed="false">
      <c r="A20" s="0" t="s">
        <v>458</v>
      </c>
      <c r="B20" s="453"/>
      <c r="C20" s="453"/>
      <c r="D20" s="258" t="n">
        <f aca="false">'Cash Flow Statement'!D17</f>
        <v>0</v>
      </c>
      <c r="E20" s="258" t="n">
        <f aca="false">'Cash Flow Statement'!E17</f>
        <v>0</v>
      </c>
      <c r="F20" s="258" t="n">
        <f aca="false">'Cash Flow Statement'!F17</f>
        <v>0</v>
      </c>
      <c r="G20" s="258" t="n">
        <f aca="false">'Cash Flow Statement'!G17</f>
        <v>0</v>
      </c>
      <c r="H20" s="258" t="n">
        <f aca="false">'Cash Flow Statement'!H17</f>
        <v>0</v>
      </c>
      <c r="I20" s="258" t="n">
        <f aca="false">'Cash Flow Statement'!I17</f>
        <v>0</v>
      </c>
      <c r="J20" s="258" t="n">
        <f aca="false">'Cash Flow Statement'!J17</f>
        <v>0</v>
      </c>
      <c r="K20" s="258" t="n">
        <f aca="false">'Cash Flow Statement'!K17</f>
        <v>0</v>
      </c>
      <c r="L20" s="258" t="n">
        <f aca="false">'Cash Flow Statement'!L17</f>
        <v>0</v>
      </c>
      <c r="M20" s="258" t="n">
        <f aca="false">'Cash Flow Statement'!M17</f>
        <v>0</v>
      </c>
      <c r="N20" s="258" t="n">
        <f aca="false">'Cash Flow Statement'!N17</f>
        <v>0</v>
      </c>
      <c r="O20" s="258" t="n">
        <f aca="false">'Cash Flow Statement'!O17</f>
        <v>0</v>
      </c>
      <c r="P20" s="258" t="n">
        <f aca="false">'Cash Flow Statement'!P17</f>
        <v>0</v>
      </c>
      <c r="Q20" s="258" t="n">
        <f aca="false">'Cash Flow Statement'!Q17</f>
        <v>0</v>
      </c>
      <c r="R20" s="258" t="n">
        <f aca="false">'Cash Flow Statement'!R17</f>
        <v>0</v>
      </c>
      <c r="S20" s="258" t="n">
        <f aca="false">'Cash Flow Statement'!S17</f>
        <v>0</v>
      </c>
      <c r="T20" s="258" t="n">
        <f aca="false">'Cash Flow Statement'!T17</f>
        <v>0</v>
      </c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</row>
    <row r="21" customFormat="false" ht="15" hidden="false" customHeight="true" outlineLevel="0" collapsed="false">
      <c r="B21" s="453"/>
      <c r="C21" s="453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</row>
    <row r="22" customFormat="false" ht="15" hidden="false" customHeight="true" outlineLevel="0" collapsed="false">
      <c r="A22" s="222" t="s">
        <v>459</v>
      </c>
      <c r="B22" s="445" t="n">
        <f aca="false">XNPV('Project Assumptions'!$I$43,D18:T18,D6:T6)</f>
        <v>1993.67588401897</v>
      </c>
      <c r="C22" s="445"/>
    </row>
    <row r="23" customFormat="false" ht="15" hidden="false" customHeight="true" outlineLevel="0" collapsed="false">
      <c r="A23" s="222" t="s">
        <v>460</v>
      </c>
      <c r="B23" s="445" t="n">
        <f aca="false">XNPV('Project Assumptions'!$I$43,D19:AH19,D6:AH6)</f>
        <v>3387.42178446603</v>
      </c>
      <c r="C23" s="454"/>
      <c r="D23" s="455" t="s">
        <v>461</v>
      </c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</row>
    <row r="24" customFormat="false" ht="15" hidden="false" customHeight="true" outlineLevel="0" collapsed="false">
      <c r="A24" s="222" t="s">
        <v>462</v>
      </c>
      <c r="B24" s="454" t="n">
        <f aca="false">XNPV('Project Assumptions'!$I$43,D20:T20,D6:T6)</f>
        <v>0</v>
      </c>
      <c r="C24" s="445"/>
    </row>
    <row r="25" customFormat="false" ht="12.6" hidden="false" customHeight="true" outlineLevel="0" collapsed="false">
      <c r="A25" s="222" t="s">
        <v>463</v>
      </c>
      <c r="B25" s="445" t="n">
        <f aca="false">SUM(B22:B24)</f>
        <v>5381.09766848501</v>
      </c>
    </row>
    <row r="26" customFormat="false" ht="12.6" hidden="false" customHeight="true" outlineLevel="0" collapsed="false"/>
    <row r="27" customFormat="false" ht="12.6" hidden="false" customHeight="true" outlineLevel="0" collapsed="false">
      <c r="C27" s="341"/>
    </row>
    <row r="28" customFormat="false" ht="12.6" hidden="false" customHeight="true" outlineLevel="0" collapsed="false">
      <c r="A28" s="341"/>
      <c r="B28" s="341"/>
    </row>
    <row r="29" customFormat="false" ht="12.6" hidden="false" customHeight="true" outlineLevel="0" collapsed="false"/>
    <row r="30" customFormat="false" ht="12.6" hidden="false" customHeight="true" outlineLevel="0" collapsed="false">
      <c r="C30" s="367"/>
    </row>
    <row r="31" customFormat="false" ht="12.6" hidden="false" customHeight="true" outlineLevel="0" collapsed="false">
      <c r="A31" s="367"/>
      <c r="B31" s="367"/>
    </row>
    <row r="32" customFormat="false" ht="12.6" hidden="false" customHeight="true" outlineLevel="0" collapsed="false"/>
    <row r="33" customFormat="false" ht="12.6" hidden="false" customHeight="true" outlineLevel="0" collapsed="false"/>
    <row r="34" customFormat="false" ht="12.6" hidden="false" customHeight="true" outlineLevel="0" collapsed="false"/>
    <row r="35" customFormat="false" ht="12.6" hidden="false" customHeight="true" outlineLevel="0" collapsed="false"/>
    <row r="36" customFormat="false" ht="12.6" hidden="false" customHeight="true" outlineLevel="0" collapsed="false"/>
    <row r="37" customFormat="false" ht="12.6" hidden="false" customHeight="true" outlineLevel="0" collapsed="false"/>
    <row r="38" customFormat="false" ht="12.6" hidden="false" customHeight="true" outlineLevel="0" collapsed="false"/>
    <row r="39" customFormat="false" ht="12.6" hidden="false" customHeight="true" outlineLevel="0" collapsed="false"/>
    <row r="44" customFormat="false" ht="12.6" hidden="false" customHeight="true" outlineLevel="0" collapsed="false"/>
    <row r="45" customFormat="false" ht="12.6" hidden="false" customHeight="true" outlineLevel="0" collapsed="false"/>
    <row r="46" customFormat="false" ht="12.6" hidden="false" customHeight="true" outlineLevel="0" collapsed="false"/>
    <row r="47" customFormat="false" ht="12.6" hidden="false" customHeight="true" outlineLevel="0" collapsed="false"/>
    <row r="48" customFormat="false" ht="12.6" hidden="false" customHeight="true" outlineLevel="0" collapsed="false"/>
    <row r="49" customFormat="false" ht="12.6" hidden="false" customHeight="true" outlineLevel="0" collapsed="false"/>
    <row r="50" customFormat="false" ht="12.6" hidden="false" customHeight="true" outlineLevel="0" collapsed="false"/>
    <row r="51" customFormat="false" ht="12.6" hidden="false" customHeight="true" outlineLevel="0" collapsed="false"/>
    <row r="89" customFormat="false" ht="12.6" hidden="false" customHeight="true" outlineLevel="0" collapsed="false">
      <c r="D89" s="429"/>
      <c r="E89" s="456"/>
      <c r="F89" s="456"/>
      <c r="G89" s="456"/>
      <c r="H89" s="456"/>
      <c r="I89" s="456"/>
      <c r="J89" s="456"/>
      <c r="K89" s="456"/>
      <c r="L89" s="456"/>
      <c r="M89" s="456"/>
      <c r="N89" s="456"/>
      <c r="O89" s="456"/>
      <c r="P89" s="456"/>
      <c r="Q89" s="456"/>
      <c r="R89" s="456"/>
      <c r="S89" s="456"/>
      <c r="T89" s="456"/>
    </row>
    <row r="90" customFormat="false" ht="12.6" hidden="false" customHeight="true" outlineLevel="0" collapsed="false">
      <c r="D90" s="429"/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457"/>
      <c r="P90" s="457"/>
      <c r="Q90" s="457"/>
      <c r="R90" s="457"/>
      <c r="S90" s="457"/>
      <c r="T90" s="457"/>
    </row>
    <row r="91" customFormat="false" ht="12.6" hidden="false" customHeight="true" outlineLevel="0" collapsed="false">
      <c r="D91" s="429"/>
      <c r="E91" s="456"/>
      <c r="F91" s="456"/>
      <c r="G91" s="456"/>
      <c r="H91" s="456"/>
      <c r="I91" s="456"/>
      <c r="J91" s="456"/>
      <c r="K91" s="456"/>
      <c r="L91" s="456"/>
      <c r="M91" s="456"/>
      <c r="N91" s="456"/>
      <c r="O91" s="456"/>
      <c r="P91" s="456"/>
      <c r="Q91" s="456"/>
      <c r="R91" s="456"/>
      <c r="S91" s="456"/>
      <c r="T91" s="456"/>
    </row>
    <row r="92" customFormat="false" ht="12.6" hidden="false" customHeight="true" outlineLevel="0" collapsed="false">
      <c r="D92" s="429"/>
      <c r="E92" s="457"/>
      <c r="F92" s="457"/>
      <c r="G92" s="457"/>
      <c r="H92" s="457"/>
      <c r="I92" s="457"/>
      <c r="J92" s="457"/>
      <c r="K92" s="457"/>
      <c r="L92" s="457"/>
      <c r="M92" s="457"/>
      <c r="N92" s="457"/>
      <c r="O92" s="457"/>
      <c r="P92" s="457"/>
      <c r="Q92" s="457"/>
      <c r="R92" s="457"/>
      <c r="S92" s="457"/>
      <c r="T92" s="457"/>
    </row>
    <row r="93" customFormat="false" ht="12.75" hidden="false" customHeight="false" outlineLevel="0" collapsed="false">
      <c r="E93" s="458"/>
      <c r="F93" s="458"/>
      <c r="G93" s="458"/>
      <c r="H93" s="458"/>
      <c r="I93" s="458"/>
      <c r="J93" s="458"/>
      <c r="K93" s="458"/>
      <c r="L93" s="458"/>
      <c r="M93" s="458"/>
      <c r="N93" s="458"/>
      <c r="O93" s="458"/>
      <c r="P93" s="458"/>
      <c r="Q93" s="458"/>
      <c r="R93" s="458"/>
      <c r="S93" s="458"/>
      <c r="T93" s="458"/>
    </row>
    <row r="95" customFormat="false" ht="12.75" hidden="false" customHeight="false" outlineLevel="0" collapsed="false">
      <c r="E95" s="458"/>
      <c r="F95" s="458"/>
      <c r="G95" s="458"/>
      <c r="H95" s="458"/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58"/>
      <c r="T95" s="458"/>
    </row>
    <row r="96" customFormat="false" ht="12.75" hidden="false" customHeight="false" outlineLevel="0" collapsed="false">
      <c r="C96" s="429"/>
    </row>
    <row r="97" customFormat="false" ht="12.75" hidden="false" customHeight="false" outlineLevel="0" collapsed="false">
      <c r="A97" s="429"/>
      <c r="B97" s="429"/>
      <c r="C97" s="429"/>
    </row>
    <row r="98" customFormat="false" ht="12.6" hidden="false" customHeight="true" outlineLevel="0" collapsed="false">
      <c r="A98" s="429"/>
      <c r="B98" s="429"/>
      <c r="C98" s="429"/>
    </row>
    <row r="99" customFormat="false" ht="12.6" hidden="false" customHeight="true" outlineLevel="0" collapsed="false">
      <c r="A99" s="429"/>
      <c r="B99" s="429"/>
      <c r="C99" s="429"/>
    </row>
    <row r="100" customFormat="false" ht="12.75" hidden="false" customHeight="false" outlineLevel="0" collapsed="false">
      <c r="A100" s="429"/>
      <c r="B100" s="429"/>
    </row>
    <row r="133" customFormat="false" ht="12.6" hidden="false" customHeight="true" outlineLevel="0" collapsed="false">
      <c r="D133" s="429"/>
      <c r="E133" s="459"/>
      <c r="F133" s="459"/>
      <c r="G133" s="459"/>
      <c r="H133" s="459"/>
      <c r="I133" s="459"/>
      <c r="J133" s="459"/>
      <c r="K133" s="459"/>
      <c r="L133" s="459"/>
      <c r="M133" s="459"/>
      <c r="N133" s="459"/>
      <c r="O133" s="459"/>
      <c r="P133" s="459"/>
      <c r="Q133" s="459"/>
      <c r="R133" s="459"/>
      <c r="S133" s="459"/>
      <c r="T133" s="459"/>
    </row>
    <row r="134" customFormat="false" ht="12.6" hidden="false" customHeight="true" outlineLevel="0" collapsed="false">
      <c r="D134" s="429"/>
      <c r="E134" s="429"/>
      <c r="F134" s="429"/>
      <c r="G134" s="429"/>
      <c r="H134" s="429"/>
      <c r="I134" s="429"/>
      <c r="J134" s="429"/>
      <c r="K134" s="429"/>
      <c r="L134" s="429"/>
      <c r="M134" s="429"/>
      <c r="N134" s="429"/>
      <c r="O134" s="429"/>
      <c r="P134" s="429"/>
      <c r="Q134" s="429"/>
      <c r="R134" s="429"/>
      <c r="S134" s="429"/>
      <c r="T134" s="429"/>
    </row>
    <row r="135" customFormat="false" ht="12.6" hidden="false" customHeight="true" outlineLevel="0" collapsed="false">
      <c r="D135" s="429"/>
      <c r="E135" s="429"/>
      <c r="F135" s="429"/>
      <c r="G135" s="429"/>
      <c r="H135" s="429"/>
      <c r="I135" s="429"/>
      <c r="J135" s="429"/>
      <c r="K135" s="429"/>
      <c r="L135" s="429"/>
      <c r="M135" s="429"/>
      <c r="N135" s="429"/>
      <c r="O135" s="429"/>
      <c r="P135" s="429"/>
      <c r="Q135" s="429"/>
      <c r="R135" s="429"/>
      <c r="S135" s="429"/>
      <c r="T135" s="429"/>
    </row>
    <row r="136" customFormat="false" ht="12.75" hidden="false" customHeight="false" outlineLevel="0" collapsed="false">
      <c r="D136" s="455"/>
      <c r="E136" s="455"/>
      <c r="F136" s="455"/>
      <c r="G136" s="455"/>
      <c r="H136" s="455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</row>
    <row r="137" customFormat="false" ht="12.6" hidden="false" customHeight="true" outlineLevel="0" collapsed="false">
      <c r="D137" s="429"/>
      <c r="E137" s="457"/>
      <c r="F137" s="457"/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57"/>
      <c r="R137" s="457"/>
      <c r="S137" s="457"/>
      <c r="T137" s="457"/>
    </row>
    <row r="138" customFormat="false" ht="12.6" hidden="false" customHeight="true" outlineLevel="0" collapsed="false">
      <c r="D138" s="429"/>
      <c r="E138" s="457"/>
      <c r="F138" s="457"/>
      <c r="G138" s="457"/>
      <c r="H138" s="457"/>
      <c r="I138" s="457"/>
      <c r="J138" s="457"/>
      <c r="K138" s="457"/>
      <c r="L138" s="457"/>
      <c r="M138" s="457"/>
      <c r="N138" s="457"/>
      <c r="O138" s="457"/>
      <c r="P138" s="457"/>
      <c r="Q138" s="457"/>
      <c r="R138" s="457"/>
      <c r="S138" s="457"/>
      <c r="T138" s="457"/>
    </row>
    <row r="139" customFormat="false" ht="12.6" hidden="false" customHeight="true" outlineLevel="0" collapsed="false">
      <c r="D139" s="429"/>
      <c r="E139" s="429"/>
      <c r="F139" s="429"/>
      <c r="G139" s="429"/>
      <c r="H139" s="429"/>
      <c r="I139" s="429"/>
      <c r="J139" s="429"/>
      <c r="K139" s="429"/>
      <c r="L139" s="429"/>
      <c r="M139" s="429"/>
      <c r="N139" s="429"/>
      <c r="O139" s="429"/>
      <c r="P139" s="429"/>
      <c r="Q139" s="429"/>
      <c r="R139" s="429"/>
      <c r="S139" s="429"/>
      <c r="T139" s="429"/>
    </row>
    <row r="140" customFormat="false" ht="12.6" hidden="false" customHeight="true" outlineLevel="0" collapsed="false">
      <c r="C140" s="429"/>
      <c r="D140" s="429"/>
      <c r="E140" s="429"/>
      <c r="F140" s="429"/>
      <c r="G140" s="429"/>
      <c r="H140" s="429"/>
      <c r="I140" s="429"/>
      <c r="J140" s="429"/>
      <c r="K140" s="429"/>
      <c r="L140" s="429"/>
      <c r="M140" s="429"/>
      <c r="N140" s="429"/>
      <c r="O140" s="429"/>
      <c r="P140" s="429"/>
      <c r="Q140" s="429"/>
      <c r="R140" s="429"/>
      <c r="S140" s="429"/>
      <c r="T140" s="429"/>
    </row>
    <row r="141" customFormat="false" ht="12.6" hidden="false" customHeight="true" outlineLevel="0" collapsed="false">
      <c r="A141" s="429"/>
      <c r="B141" s="429"/>
      <c r="C141" s="429"/>
      <c r="D141" s="429"/>
      <c r="E141" s="429"/>
      <c r="F141" s="429"/>
      <c r="G141" s="429"/>
      <c r="H141" s="429"/>
      <c r="I141" s="429"/>
      <c r="J141" s="429"/>
      <c r="K141" s="429"/>
      <c r="L141" s="429"/>
      <c r="M141" s="429"/>
      <c r="N141" s="429"/>
      <c r="O141" s="429"/>
      <c r="P141" s="429"/>
      <c r="Q141" s="429"/>
      <c r="R141" s="429"/>
      <c r="S141" s="429"/>
      <c r="T141" s="429"/>
    </row>
    <row r="142" customFormat="false" ht="12.6" hidden="false" customHeight="true" outlineLevel="0" collapsed="false">
      <c r="A142" s="429"/>
      <c r="B142" s="429"/>
      <c r="C142" s="429"/>
      <c r="D142" s="236"/>
      <c r="E142" s="460"/>
      <c r="F142" s="461"/>
      <c r="G142" s="461"/>
      <c r="H142" s="461"/>
      <c r="I142" s="461"/>
      <c r="J142" s="461"/>
      <c r="K142" s="461"/>
      <c r="L142" s="461"/>
      <c r="M142" s="461"/>
      <c r="N142" s="461"/>
      <c r="O142" s="461"/>
      <c r="P142" s="461"/>
      <c r="Q142" s="461"/>
      <c r="R142" s="461"/>
      <c r="S142" s="461"/>
      <c r="T142" s="461"/>
      <c r="AD142" s="461"/>
    </row>
    <row r="143" customFormat="false" ht="12.6" hidden="false" customHeight="true" outlineLevel="0" collapsed="false">
      <c r="A143" s="429"/>
      <c r="B143" s="429"/>
      <c r="C143" s="462"/>
      <c r="D143" s="463"/>
      <c r="E143" s="460"/>
      <c r="F143" s="460"/>
      <c r="G143" s="460"/>
      <c r="H143" s="460"/>
      <c r="I143" s="460"/>
      <c r="J143" s="460"/>
      <c r="K143" s="460"/>
      <c r="L143" s="460"/>
      <c r="M143" s="460"/>
      <c r="N143" s="460"/>
      <c r="O143" s="460"/>
      <c r="P143" s="460"/>
      <c r="Q143" s="460"/>
      <c r="R143" s="460"/>
      <c r="S143" s="460"/>
      <c r="T143" s="460"/>
      <c r="AD143" s="460"/>
      <c r="AE143" s="460"/>
      <c r="AF143" s="460"/>
      <c r="AG143" s="460"/>
      <c r="AH143" s="460"/>
      <c r="AI143" s="460"/>
      <c r="AJ143" s="460"/>
      <c r="AK143" s="460"/>
      <c r="AL143" s="460"/>
      <c r="AM143" s="460"/>
      <c r="AN143" s="460"/>
      <c r="AO143" s="460"/>
      <c r="AP143" s="460"/>
      <c r="AQ143" s="460"/>
      <c r="AR143" s="460"/>
      <c r="AS143" s="460"/>
      <c r="AT143" s="460"/>
      <c r="AU143" s="460"/>
      <c r="AV143" s="460"/>
      <c r="AW143" s="460"/>
      <c r="AX143" s="460"/>
      <c r="AY143" s="460"/>
      <c r="AZ143" s="460"/>
      <c r="BA143" s="460"/>
      <c r="BB143" s="460"/>
      <c r="BC143" s="460"/>
      <c r="BD143" s="460"/>
      <c r="BE143" s="460"/>
      <c r="BF143" s="460"/>
      <c r="BG143" s="460"/>
      <c r="BH143" s="460"/>
      <c r="BI143" s="460"/>
      <c r="BJ143" s="460"/>
      <c r="BK143" s="460"/>
      <c r="BL143" s="460"/>
      <c r="BM143" s="460"/>
      <c r="BN143" s="460"/>
      <c r="BO143" s="460"/>
      <c r="BP143" s="460"/>
      <c r="BQ143" s="460"/>
      <c r="BR143" s="460"/>
      <c r="BS143" s="460"/>
      <c r="BT143" s="460"/>
      <c r="BU143" s="460"/>
      <c r="BV143" s="460"/>
      <c r="BW143" s="460"/>
      <c r="BX143" s="460"/>
      <c r="BY143" s="460"/>
      <c r="BZ143" s="460"/>
      <c r="CA143" s="460"/>
      <c r="CB143" s="460"/>
      <c r="CC143" s="460"/>
      <c r="CD143" s="460"/>
      <c r="CE143" s="460"/>
      <c r="CF143" s="460"/>
      <c r="CG143" s="460"/>
      <c r="CH143" s="460"/>
      <c r="CI143" s="460"/>
      <c r="CJ143" s="460"/>
      <c r="CK143" s="460"/>
      <c r="CL143" s="460"/>
      <c r="CM143" s="460"/>
      <c r="CN143" s="460"/>
      <c r="CO143" s="460"/>
      <c r="CP143" s="460"/>
      <c r="CQ143" s="460"/>
      <c r="CR143" s="460"/>
      <c r="CS143" s="460"/>
      <c r="CT143" s="460"/>
      <c r="CU143" s="460"/>
      <c r="CV143" s="460"/>
      <c r="CW143" s="460"/>
      <c r="CX143" s="460"/>
      <c r="CY143" s="460"/>
      <c r="CZ143" s="460"/>
      <c r="DA143" s="460"/>
      <c r="DB143" s="460"/>
      <c r="DC143" s="460"/>
      <c r="DD143" s="460"/>
      <c r="DE143" s="460"/>
      <c r="DF143" s="460"/>
      <c r="DG143" s="460"/>
      <c r="DH143" s="460"/>
      <c r="DI143" s="460"/>
      <c r="DJ143" s="460"/>
      <c r="DK143" s="460"/>
      <c r="DL143" s="460"/>
      <c r="DM143" s="460"/>
      <c r="DN143" s="460"/>
      <c r="DO143" s="460"/>
      <c r="DP143" s="460"/>
      <c r="DQ143" s="460"/>
      <c r="DR143" s="460"/>
      <c r="DS143" s="460"/>
      <c r="DT143" s="460"/>
      <c r="DU143" s="460"/>
      <c r="DV143" s="460"/>
      <c r="DW143" s="460"/>
      <c r="DX143" s="460"/>
      <c r="DY143" s="460"/>
      <c r="DZ143" s="460"/>
      <c r="EA143" s="460"/>
      <c r="EB143" s="460"/>
      <c r="EC143" s="460"/>
      <c r="ED143" s="460"/>
      <c r="EE143" s="460"/>
      <c r="EF143" s="460"/>
      <c r="EG143" s="460"/>
      <c r="EH143" s="460"/>
      <c r="EI143" s="460"/>
      <c r="EJ143" s="460"/>
      <c r="EK143" s="460"/>
      <c r="EL143" s="460"/>
      <c r="EM143" s="460"/>
      <c r="EN143" s="460"/>
      <c r="EO143" s="460"/>
      <c r="EP143" s="460"/>
      <c r="EQ143" s="460"/>
      <c r="ER143" s="460"/>
      <c r="ES143" s="460"/>
      <c r="ET143" s="460"/>
      <c r="EU143" s="460"/>
      <c r="EV143" s="460"/>
      <c r="EW143" s="460"/>
      <c r="EX143" s="460"/>
      <c r="EY143" s="460"/>
      <c r="EZ143" s="460"/>
      <c r="FA143" s="460"/>
      <c r="FB143" s="460"/>
      <c r="FC143" s="460"/>
      <c r="FD143" s="460"/>
      <c r="FE143" s="460"/>
      <c r="FF143" s="460"/>
      <c r="FG143" s="460"/>
      <c r="FH143" s="460"/>
      <c r="FI143" s="460"/>
      <c r="FJ143" s="460"/>
      <c r="FK143" s="460"/>
      <c r="FL143" s="460"/>
      <c r="FM143" s="460"/>
      <c r="FN143" s="460"/>
      <c r="FO143" s="460"/>
      <c r="FP143" s="460"/>
      <c r="FQ143" s="460"/>
      <c r="FR143" s="460"/>
      <c r="FS143" s="460"/>
      <c r="FT143" s="460"/>
      <c r="FU143" s="460"/>
      <c r="FV143" s="460"/>
      <c r="FW143" s="460"/>
      <c r="FX143" s="460"/>
      <c r="FY143" s="460"/>
      <c r="FZ143" s="460"/>
      <c r="GA143" s="460"/>
      <c r="GB143" s="460"/>
      <c r="GC143" s="460"/>
      <c r="GD143" s="460"/>
      <c r="GE143" s="460"/>
      <c r="GF143" s="460"/>
      <c r="GG143" s="460"/>
      <c r="GH143" s="460"/>
      <c r="GI143" s="460"/>
      <c r="GJ143" s="460"/>
      <c r="GK143" s="460"/>
      <c r="GL143" s="460"/>
      <c r="GM143" s="460"/>
      <c r="GN143" s="460"/>
      <c r="GO143" s="460"/>
      <c r="GP143" s="460"/>
      <c r="GQ143" s="460"/>
      <c r="GR143" s="460"/>
      <c r="GS143" s="460"/>
      <c r="GT143" s="460"/>
      <c r="GU143" s="460"/>
      <c r="GV143" s="460"/>
      <c r="GW143" s="460"/>
      <c r="GX143" s="460"/>
      <c r="GY143" s="460"/>
      <c r="GZ143" s="460"/>
      <c r="HA143" s="460"/>
      <c r="HB143" s="460"/>
      <c r="HC143" s="460"/>
      <c r="HD143" s="460"/>
      <c r="HE143" s="460"/>
      <c r="HF143" s="460"/>
      <c r="HG143" s="460"/>
      <c r="HH143" s="460"/>
      <c r="HI143" s="460"/>
      <c r="HJ143" s="460"/>
      <c r="HK143" s="460"/>
      <c r="HL143" s="460"/>
      <c r="HM143" s="460"/>
      <c r="HN143" s="460"/>
      <c r="HO143" s="460"/>
      <c r="HP143" s="460"/>
      <c r="HQ143" s="460"/>
      <c r="HR143" s="460"/>
      <c r="HS143" s="460"/>
      <c r="HT143" s="460"/>
      <c r="HU143" s="460"/>
      <c r="HV143" s="460"/>
      <c r="HW143" s="460"/>
    </row>
    <row r="144" customFormat="false" ht="12.6" hidden="false" customHeight="true" outlineLevel="0" collapsed="false">
      <c r="A144" s="462"/>
      <c r="B144" s="462"/>
      <c r="C144" s="429"/>
      <c r="D144" s="463"/>
      <c r="E144" s="464"/>
      <c r="F144" s="464"/>
      <c r="G144" s="464"/>
      <c r="H144" s="464"/>
      <c r="I144" s="464"/>
      <c r="J144" s="464"/>
      <c r="K144" s="464"/>
      <c r="L144" s="464"/>
      <c r="M144" s="464"/>
      <c r="N144" s="464"/>
      <c r="O144" s="464"/>
      <c r="P144" s="464"/>
      <c r="Q144" s="464"/>
      <c r="R144" s="464"/>
      <c r="S144" s="464"/>
      <c r="T144" s="464"/>
    </row>
    <row r="145" customFormat="false" ht="12.6" hidden="false" customHeight="true" outlineLevel="0" collapsed="false">
      <c r="A145" s="429"/>
      <c r="B145" s="429"/>
      <c r="C145" s="429"/>
      <c r="D145" s="429"/>
      <c r="E145" s="459"/>
      <c r="F145" s="459"/>
      <c r="G145" s="459"/>
      <c r="H145" s="459"/>
      <c r="I145" s="459"/>
      <c r="J145" s="459"/>
      <c r="K145" s="459"/>
      <c r="L145" s="459"/>
      <c r="M145" s="459"/>
      <c r="N145" s="459"/>
      <c r="O145" s="459"/>
      <c r="P145" s="459"/>
      <c r="Q145" s="459"/>
      <c r="R145" s="459"/>
      <c r="S145" s="459"/>
      <c r="T145" s="459"/>
    </row>
    <row r="146" customFormat="false" ht="12.6" hidden="false" customHeight="true" outlineLevel="0" collapsed="false">
      <c r="A146" s="429"/>
      <c r="B146" s="429"/>
      <c r="C146" s="429"/>
      <c r="D146" s="429"/>
      <c r="E146" s="465"/>
      <c r="F146" s="465"/>
      <c r="G146" s="465"/>
      <c r="H146" s="465"/>
      <c r="I146" s="465"/>
      <c r="J146" s="465"/>
      <c r="K146" s="465"/>
      <c r="L146" s="465"/>
      <c r="M146" s="465"/>
      <c r="N146" s="465"/>
      <c r="O146" s="465"/>
      <c r="P146" s="465"/>
      <c r="Q146" s="465"/>
      <c r="R146" s="465"/>
      <c r="S146" s="465"/>
      <c r="T146" s="465"/>
    </row>
    <row r="147" customFormat="false" ht="12.6" hidden="false" customHeight="true" outlineLevel="0" collapsed="false">
      <c r="A147" s="429"/>
      <c r="B147" s="429"/>
      <c r="C147" s="429"/>
      <c r="D147" s="460"/>
      <c r="E147" s="464"/>
      <c r="F147" s="464"/>
      <c r="G147" s="464"/>
      <c r="H147" s="464"/>
      <c r="I147" s="464"/>
      <c r="J147" s="464"/>
      <c r="K147" s="464"/>
      <c r="L147" s="464"/>
      <c r="M147" s="464"/>
      <c r="N147" s="464"/>
      <c r="O147" s="464"/>
      <c r="P147" s="464"/>
      <c r="Q147" s="464"/>
      <c r="R147" s="464"/>
      <c r="S147" s="464"/>
      <c r="T147" s="464"/>
    </row>
    <row r="148" customFormat="false" ht="12.75" hidden="false" customHeight="false" outlineLevel="0" collapsed="false">
      <c r="A148" s="429"/>
      <c r="B148" s="429"/>
      <c r="C148" s="429"/>
      <c r="D148" s="455"/>
      <c r="E148" s="455"/>
      <c r="F148" s="455"/>
      <c r="G148" s="455"/>
      <c r="H148" s="455"/>
      <c r="I148" s="455"/>
      <c r="J148" s="455"/>
      <c r="K148" s="455"/>
      <c r="L148" s="455"/>
      <c r="M148" s="455"/>
      <c r="N148" s="455"/>
      <c r="O148" s="455"/>
      <c r="P148" s="455"/>
      <c r="Q148" s="455"/>
      <c r="R148" s="455"/>
      <c r="S148" s="455"/>
      <c r="T148" s="455"/>
    </row>
    <row r="149" customFormat="false" ht="12.6" hidden="false" customHeight="true" outlineLevel="0" collapsed="false">
      <c r="A149" s="429"/>
      <c r="B149" s="429"/>
      <c r="C149" s="466"/>
      <c r="D149" s="429"/>
      <c r="E149" s="459"/>
      <c r="F149" s="459"/>
      <c r="G149" s="459"/>
      <c r="H149" s="459"/>
      <c r="I149" s="459"/>
      <c r="J149" s="459"/>
      <c r="K149" s="459"/>
      <c r="L149" s="459"/>
      <c r="M149" s="459"/>
      <c r="N149" s="459"/>
      <c r="O149" s="459"/>
      <c r="P149" s="459"/>
      <c r="Q149" s="459"/>
      <c r="R149" s="459"/>
      <c r="S149" s="459"/>
      <c r="T149" s="459"/>
    </row>
    <row r="150" customFormat="false" ht="12.6" hidden="false" customHeight="true" outlineLevel="0" collapsed="false">
      <c r="A150" s="466"/>
      <c r="B150" s="466"/>
      <c r="C150" s="345"/>
      <c r="D150" s="429"/>
      <c r="E150" s="459"/>
      <c r="F150" s="459"/>
      <c r="G150" s="459"/>
      <c r="H150" s="459"/>
      <c r="I150" s="459"/>
      <c r="J150" s="459"/>
      <c r="K150" s="459"/>
      <c r="L150" s="459"/>
      <c r="M150" s="459"/>
      <c r="N150" s="459"/>
      <c r="O150" s="459"/>
      <c r="P150" s="459"/>
      <c r="Q150" s="459"/>
      <c r="R150" s="459"/>
      <c r="S150" s="459"/>
      <c r="T150" s="459"/>
    </row>
    <row r="151" customFormat="false" ht="12.6" hidden="false" customHeight="true" outlineLevel="0" collapsed="false">
      <c r="A151" s="345"/>
      <c r="B151" s="345"/>
      <c r="C151" s="345"/>
      <c r="D151" s="429"/>
      <c r="E151" s="459"/>
      <c r="F151" s="459"/>
      <c r="G151" s="459"/>
      <c r="H151" s="459"/>
      <c r="I151" s="459"/>
      <c r="J151" s="459"/>
      <c r="K151" s="459"/>
      <c r="L151" s="459"/>
      <c r="M151" s="459"/>
      <c r="N151" s="459"/>
      <c r="O151" s="459"/>
      <c r="P151" s="459"/>
      <c r="Q151" s="459"/>
      <c r="R151" s="459"/>
      <c r="S151" s="459"/>
      <c r="T151" s="459"/>
    </row>
    <row r="152" customFormat="false" ht="12.75" hidden="false" customHeight="false" outlineLevel="0" collapsed="false">
      <c r="A152" s="345"/>
      <c r="B152" s="345"/>
      <c r="C152" s="429"/>
      <c r="D152" s="455"/>
      <c r="E152" s="455"/>
      <c r="F152" s="455"/>
      <c r="G152" s="455"/>
      <c r="H152" s="455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</row>
    <row r="153" customFormat="false" ht="12.6" hidden="false" customHeight="true" outlineLevel="0" collapsed="false">
      <c r="A153" s="429"/>
      <c r="B153" s="429"/>
      <c r="C153" s="429"/>
      <c r="D153" s="460"/>
      <c r="E153" s="464"/>
      <c r="F153" s="464"/>
      <c r="G153" s="464"/>
      <c r="H153" s="464"/>
      <c r="I153" s="464"/>
      <c r="J153" s="464"/>
      <c r="K153" s="464"/>
      <c r="L153" s="464"/>
      <c r="M153" s="464"/>
      <c r="N153" s="464"/>
      <c r="O153" s="464"/>
      <c r="P153" s="464"/>
      <c r="Q153" s="464"/>
      <c r="R153" s="464"/>
      <c r="S153" s="464"/>
      <c r="T153" s="464"/>
    </row>
    <row r="154" customFormat="false" ht="12.6" hidden="false" customHeight="true" outlineLevel="0" collapsed="false">
      <c r="A154" s="429"/>
      <c r="B154" s="429"/>
      <c r="C154" s="466"/>
      <c r="D154" s="460"/>
      <c r="E154" s="464"/>
      <c r="F154" s="464"/>
      <c r="G154" s="464"/>
      <c r="H154" s="464"/>
      <c r="I154" s="464"/>
      <c r="J154" s="464"/>
      <c r="K154" s="464"/>
      <c r="L154" s="464"/>
      <c r="M154" s="464"/>
      <c r="N154" s="464"/>
      <c r="O154" s="464"/>
      <c r="P154" s="464"/>
      <c r="Q154" s="464"/>
      <c r="R154" s="464"/>
      <c r="S154" s="464"/>
      <c r="T154" s="464"/>
    </row>
    <row r="155" customFormat="false" ht="12.6" hidden="false" customHeight="true" outlineLevel="0" collapsed="false">
      <c r="A155" s="466"/>
      <c r="B155" s="466"/>
      <c r="C155" s="462"/>
      <c r="D155" s="460"/>
      <c r="E155" s="464"/>
      <c r="F155" s="464"/>
      <c r="G155" s="464"/>
      <c r="H155" s="464"/>
      <c r="I155" s="464"/>
      <c r="J155" s="464"/>
      <c r="K155" s="464"/>
      <c r="L155" s="464"/>
      <c r="M155" s="464"/>
      <c r="N155" s="464"/>
      <c r="O155" s="464"/>
      <c r="P155" s="464"/>
      <c r="Q155" s="464"/>
      <c r="R155" s="464"/>
      <c r="S155" s="464"/>
      <c r="T155" s="464"/>
    </row>
    <row r="156" customFormat="false" ht="12.6" hidden="false" customHeight="true" outlineLevel="0" collapsed="false">
      <c r="A156" s="462"/>
      <c r="B156" s="462"/>
      <c r="C156" s="429"/>
      <c r="D156" s="460"/>
      <c r="E156" s="464"/>
      <c r="F156" s="464"/>
      <c r="G156" s="464"/>
      <c r="H156" s="464"/>
      <c r="I156" s="464"/>
      <c r="J156" s="464"/>
      <c r="K156" s="464"/>
      <c r="L156" s="464"/>
      <c r="M156" s="464"/>
      <c r="N156" s="464"/>
      <c r="O156" s="464"/>
      <c r="P156" s="464"/>
      <c r="Q156" s="464"/>
      <c r="R156" s="464"/>
      <c r="S156" s="464"/>
      <c r="T156" s="464"/>
    </row>
    <row r="157" customFormat="false" ht="12.6" hidden="false" customHeight="true" outlineLevel="0" collapsed="false">
      <c r="A157" s="429"/>
      <c r="B157" s="429"/>
      <c r="C157" s="429"/>
      <c r="D157" s="460"/>
      <c r="E157" s="464"/>
      <c r="F157" s="464"/>
      <c r="G157" s="464"/>
      <c r="H157" s="464"/>
      <c r="I157" s="464"/>
      <c r="J157" s="464"/>
      <c r="K157" s="464"/>
      <c r="L157" s="464"/>
      <c r="M157" s="464"/>
      <c r="N157" s="464"/>
      <c r="O157" s="464"/>
      <c r="P157" s="464"/>
      <c r="Q157" s="464"/>
      <c r="R157" s="464"/>
      <c r="S157" s="464"/>
      <c r="T157" s="464"/>
    </row>
    <row r="158" customFormat="false" ht="12.6" hidden="false" customHeight="true" outlineLevel="0" collapsed="false">
      <c r="A158" s="429"/>
      <c r="B158" s="429"/>
      <c r="C158" s="429"/>
      <c r="D158" s="460"/>
      <c r="E158" s="464"/>
      <c r="F158" s="464"/>
      <c r="G158" s="464"/>
      <c r="H158" s="464"/>
      <c r="I158" s="464"/>
      <c r="J158" s="464"/>
      <c r="K158" s="464"/>
      <c r="L158" s="464"/>
      <c r="M158" s="464"/>
      <c r="N158" s="464"/>
      <c r="O158" s="464"/>
      <c r="P158" s="464"/>
      <c r="Q158" s="464"/>
      <c r="R158" s="464"/>
      <c r="S158" s="464"/>
      <c r="T158" s="464"/>
    </row>
    <row r="159" customFormat="false" ht="12.6" hidden="false" customHeight="true" outlineLevel="0" collapsed="false">
      <c r="A159" s="429"/>
      <c r="B159" s="429"/>
      <c r="C159" s="462"/>
      <c r="D159" s="460"/>
      <c r="E159" s="464"/>
      <c r="F159" s="464"/>
      <c r="G159" s="464"/>
      <c r="H159" s="464"/>
      <c r="I159" s="464"/>
      <c r="J159" s="464"/>
      <c r="K159" s="464"/>
      <c r="L159" s="464"/>
      <c r="M159" s="464"/>
      <c r="N159" s="464"/>
      <c r="O159" s="464"/>
      <c r="P159" s="464"/>
      <c r="Q159" s="464"/>
      <c r="R159" s="464"/>
      <c r="S159" s="464"/>
      <c r="T159" s="464"/>
    </row>
    <row r="160" customFormat="false" ht="12.6" hidden="false" customHeight="true" outlineLevel="0" collapsed="false">
      <c r="A160" s="462"/>
      <c r="B160" s="462"/>
      <c r="C160" s="466"/>
      <c r="D160" s="460"/>
      <c r="E160" s="464"/>
      <c r="F160" s="464"/>
      <c r="G160" s="464"/>
      <c r="H160" s="464"/>
      <c r="I160" s="464"/>
      <c r="J160" s="464"/>
      <c r="K160" s="464"/>
      <c r="L160" s="464"/>
      <c r="M160" s="464"/>
      <c r="N160" s="464"/>
      <c r="O160" s="464"/>
      <c r="P160" s="464"/>
      <c r="Q160" s="464"/>
      <c r="R160" s="464"/>
      <c r="S160" s="464"/>
      <c r="T160" s="464"/>
    </row>
    <row r="161" customFormat="false" ht="12.75" hidden="false" customHeight="false" outlineLevel="0" collapsed="false">
      <c r="A161" s="466"/>
      <c r="B161" s="466"/>
      <c r="C161" s="466"/>
    </row>
    <row r="162" customFormat="false" ht="12.75" hidden="false" customHeight="false" outlineLevel="0" collapsed="false">
      <c r="A162" s="466"/>
      <c r="B162" s="466"/>
      <c r="C162" s="466"/>
    </row>
    <row r="163" customFormat="false" ht="12.75" hidden="false" customHeight="false" outlineLevel="0" collapsed="false">
      <c r="A163" s="466"/>
      <c r="B163" s="466"/>
      <c r="C163" s="466"/>
    </row>
    <row r="164" customFormat="false" ht="12.75" hidden="false" customHeight="false" outlineLevel="0" collapsed="false">
      <c r="A164" s="466"/>
      <c r="B164" s="466"/>
      <c r="C164" s="466"/>
    </row>
    <row r="165" customFormat="false" ht="12.75" hidden="false" customHeight="false" outlineLevel="0" collapsed="false">
      <c r="A165" s="466"/>
      <c r="B165" s="466"/>
      <c r="C165" s="466"/>
    </row>
    <row r="166" customFormat="false" ht="12.6" hidden="false" customHeight="true" outlineLevel="0" collapsed="false">
      <c r="A166" s="466"/>
      <c r="B166" s="466"/>
      <c r="C166" s="466"/>
      <c r="D166" s="463"/>
      <c r="E166" s="467"/>
      <c r="F166" s="467"/>
      <c r="G166" s="467"/>
      <c r="H166" s="467"/>
      <c r="I166" s="467"/>
      <c r="J166" s="467"/>
      <c r="K166" s="467"/>
      <c r="L166" s="467"/>
      <c r="M166" s="467"/>
      <c r="N166" s="467"/>
      <c r="O166" s="467"/>
      <c r="P166" s="467"/>
      <c r="Q166" s="467"/>
      <c r="R166" s="467"/>
      <c r="S166" s="467"/>
      <c r="T166" s="467"/>
    </row>
    <row r="167" customFormat="false" ht="12.6" hidden="false" customHeight="true" outlineLevel="0" collapsed="false">
      <c r="A167" s="466"/>
      <c r="B167" s="466"/>
      <c r="C167" s="466"/>
      <c r="D167" s="236"/>
      <c r="E167" s="460"/>
      <c r="F167" s="460"/>
      <c r="G167" s="460"/>
      <c r="H167" s="460"/>
      <c r="I167" s="460"/>
      <c r="J167" s="460"/>
      <c r="K167" s="460"/>
      <c r="L167" s="460"/>
      <c r="M167" s="460"/>
      <c r="N167" s="460"/>
      <c r="O167" s="460"/>
      <c r="P167" s="460"/>
      <c r="Q167" s="460"/>
      <c r="R167" s="460"/>
      <c r="S167" s="460"/>
      <c r="T167" s="460"/>
      <c r="AD167" s="460"/>
      <c r="AE167" s="460"/>
      <c r="AF167" s="460"/>
      <c r="AG167" s="460"/>
      <c r="AH167" s="460"/>
      <c r="AI167" s="460"/>
      <c r="AJ167" s="460"/>
      <c r="AK167" s="460"/>
      <c r="AL167" s="460"/>
      <c r="AM167" s="460"/>
      <c r="AN167" s="460"/>
      <c r="AO167" s="460"/>
      <c r="AP167" s="460"/>
      <c r="AQ167" s="460"/>
      <c r="AR167" s="460"/>
      <c r="AS167" s="460"/>
      <c r="AT167" s="460"/>
      <c r="AU167" s="460"/>
      <c r="AV167" s="460"/>
      <c r="AW167" s="460"/>
      <c r="AX167" s="460"/>
      <c r="AY167" s="460"/>
      <c r="AZ167" s="460"/>
      <c r="BA167" s="460"/>
      <c r="BB167" s="460"/>
      <c r="BC167" s="460"/>
      <c r="BD167" s="460"/>
      <c r="BE167" s="460"/>
      <c r="BF167" s="460"/>
      <c r="BG167" s="460"/>
      <c r="BH167" s="460"/>
      <c r="BI167" s="460"/>
      <c r="BJ167" s="460"/>
      <c r="BK167" s="460"/>
      <c r="BL167" s="460"/>
      <c r="BM167" s="460"/>
      <c r="BN167" s="460"/>
      <c r="BO167" s="460"/>
      <c r="BP167" s="460"/>
      <c r="BQ167" s="460"/>
      <c r="BR167" s="460"/>
      <c r="BS167" s="460"/>
      <c r="BT167" s="460"/>
      <c r="BU167" s="460"/>
      <c r="BV167" s="460"/>
      <c r="BW167" s="460"/>
      <c r="BX167" s="460"/>
      <c r="BY167" s="460"/>
      <c r="BZ167" s="460"/>
      <c r="CA167" s="460"/>
      <c r="CB167" s="460"/>
      <c r="CC167" s="460"/>
      <c r="CD167" s="460"/>
      <c r="CE167" s="460"/>
      <c r="CF167" s="460"/>
      <c r="CG167" s="460"/>
      <c r="CH167" s="460"/>
      <c r="CI167" s="460"/>
      <c r="CJ167" s="460"/>
      <c r="CK167" s="460"/>
      <c r="CL167" s="460"/>
      <c r="CM167" s="460"/>
      <c r="CN167" s="460"/>
      <c r="CO167" s="460"/>
      <c r="CP167" s="460"/>
      <c r="CQ167" s="460"/>
      <c r="CR167" s="460"/>
      <c r="CS167" s="460"/>
      <c r="CT167" s="460"/>
      <c r="CU167" s="460"/>
      <c r="CV167" s="460"/>
      <c r="CW167" s="460"/>
      <c r="CX167" s="460"/>
      <c r="CY167" s="460"/>
      <c r="CZ167" s="460"/>
      <c r="DA167" s="460"/>
      <c r="DB167" s="460"/>
      <c r="DC167" s="460"/>
      <c r="DD167" s="460"/>
      <c r="DE167" s="460"/>
      <c r="DF167" s="460"/>
      <c r="DG167" s="460"/>
      <c r="DH167" s="460"/>
      <c r="DI167" s="460"/>
      <c r="DJ167" s="460"/>
      <c r="DK167" s="460"/>
      <c r="DL167" s="460"/>
      <c r="DM167" s="460"/>
      <c r="DN167" s="460"/>
      <c r="DO167" s="460"/>
      <c r="DP167" s="460"/>
      <c r="DQ167" s="460"/>
      <c r="DR167" s="460"/>
      <c r="DS167" s="460"/>
      <c r="DT167" s="460"/>
      <c r="DU167" s="460"/>
      <c r="DV167" s="460"/>
      <c r="DW167" s="460"/>
      <c r="DX167" s="460"/>
      <c r="DY167" s="460"/>
      <c r="DZ167" s="460"/>
      <c r="EA167" s="460"/>
      <c r="EB167" s="460"/>
      <c r="EC167" s="460"/>
      <c r="ED167" s="460"/>
      <c r="EE167" s="460"/>
      <c r="EF167" s="460"/>
      <c r="EG167" s="460"/>
      <c r="EH167" s="460"/>
      <c r="EI167" s="460"/>
      <c r="EJ167" s="460"/>
      <c r="EK167" s="460"/>
      <c r="EL167" s="460"/>
      <c r="EM167" s="460"/>
      <c r="EN167" s="460"/>
      <c r="EO167" s="460"/>
      <c r="EP167" s="460"/>
      <c r="EQ167" s="460"/>
      <c r="ER167" s="460"/>
      <c r="ES167" s="460"/>
      <c r="ET167" s="460"/>
      <c r="EU167" s="460"/>
      <c r="EV167" s="460"/>
      <c r="EW167" s="460"/>
      <c r="EX167" s="460"/>
      <c r="EY167" s="460"/>
      <c r="EZ167" s="460"/>
      <c r="FA167" s="460"/>
      <c r="FB167" s="460"/>
      <c r="FC167" s="460"/>
      <c r="FD167" s="460"/>
      <c r="FE167" s="460"/>
      <c r="FF167" s="460"/>
      <c r="FG167" s="460"/>
      <c r="FH167" s="460"/>
      <c r="FI167" s="460"/>
      <c r="FJ167" s="460"/>
      <c r="FK167" s="460"/>
      <c r="FL167" s="460"/>
      <c r="FM167" s="460"/>
      <c r="FN167" s="460"/>
      <c r="FO167" s="460"/>
      <c r="FP167" s="460"/>
      <c r="FQ167" s="460"/>
      <c r="FR167" s="460"/>
      <c r="FS167" s="460"/>
      <c r="FT167" s="460"/>
      <c r="FU167" s="460"/>
      <c r="FV167" s="460"/>
      <c r="FW167" s="460"/>
      <c r="FX167" s="460"/>
      <c r="FY167" s="460"/>
      <c r="FZ167" s="460"/>
      <c r="GA167" s="460"/>
      <c r="GB167" s="460"/>
      <c r="GC167" s="460"/>
      <c r="GD167" s="460"/>
      <c r="GE167" s="460"/>
      <c r="GF167" s="460"/>
      <c r="GG167" s="460"/>
      <c r="GH167" s="460"/>
      <c r="GI167" s="460"/>
      <c r="GJ167" s="460"/>
      <c r="GK167" s="460"/>
      <c r="GL167" s="460"/>
      <c r="GM167" s="460"/>
      <c r="GN167" s="460"/>
      <c r="GO167" s="460"/>
      <c r="GP167" s="460"/>
      <c r="GQ167" s="460"/>
      <c r="GR167" s="460"/>
      <c r="GS167" s="460"/>
      <c r="GT167" s="460"/>
      <c r="GU167" s="460"/>
      <c r="GV167" s="460"/>
      <c r="GW167" s="460"/>
      <c r="GX167" s="460"/>
      <c r="GY167" s="460"/>
      <c r="GZ167" s="460"/>
      <c r="HA167" s="460"/>
      <c r="HB167" s="460"/>
      <c r="HC167" s="460"/>
      <c r="HD167" s="460"/>
      <c r="HE167" s="460"/>
      <c r="HF167" s="460"/>
      <c r="HG167" s="460"/>
      <c r="HH167" s="460"/>
      <c r="HI167" s="460"/>
      <c r="HJ167" s="460"/>
      <c r="HK167" s="460"/>
      <c r="HL167" s="460"/>
      <c r="HM167" s="460"/>
      <c r="HN167" s="460"/>
      <c r="HO167" s="460"/>
      <c r="HP167" s="460"/>
      <c r="HQ167" s="460"/>
      <c r="HR167" s="460"/>
      <c r="HS167" s="460"/>
      <c r="HT167" s="460"/>
      <c r="HU167" s="460"/>
      <c r="HV167" s="460"/>
    </row>
    <row r="168" customFormat="false" ht="12.75" hidden="false" customHeight="false" outlineLevel="0" collapsed="false">
      <c r="A168" s="466"/>
      <c r="B168" s="466"/>
    </row>
    <row r="170" customFormat="false" ht="12.6" hidden="false" customHeight="true" outlineLevel="0" collapsed="false"/>
    <row r="173" customFormat="false" ht="12.75" hidden="false" customHeight="false" outlineLevel="0" collapsed="false">
      <c r="C173" s="345"/>
    </row>
    <row r="174" customFormat="false" ht="12.75" hidden="false" customHeight="false" outlineLevel="0" collapsed="false">
      <c r="A174" s="345"/>
      <c r="B174" s="345"/>
      <c r="C174" s="466"/>
    </row>
    <row r="175" customFormat="false" ht="12.75" hidden="false" customHeight="false" outlineLevel="0" collapsed="false">
      <c r="A175" s="466"/>
      <c r="B175" s="466"/>
    </row>
    <row r="181" customFormat="false" ht="12.6" hidden="false" customHeight="true" outlineLevel="0" collapsed="false"/>
  </sheetData>
  <printOptions headings="false" gridLines="false" gridLinesSet="true" horizontalCentered="true" verticalCentered="true"/>
  <pageMargins left="0.5" right="0.5" top="0.984027777777778" bottom="0.984027777777778" header="0.511811023622047" footer="0.5"/>
  <pageSetup paperSize="1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&amp;T&amp;R&amp;A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</cols>
  <sheetData>
    <row r="1" customFormat="false" ht="26.25" hidden="false" customHeight="false" outlineLevel="0" collapsed="false">
      <c r="A1" s="160" t="str">
        <f aca="false">'Project Assumptions'!$A$2</f>
        <v>PROJECT DOYLE</v>
      </c>
    </row>
    <row r="2" customFormat="false" ht="18" hidden="false" customHeight="false" outlineLevel="0" collapsed="false">
      <c r="A2" s="162" t="s">
        <v>464</v>
      </c>
      <c r="B2" s="184"/>
      <c r="C2" s="468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</row>
    <row r="3" customFormat="false" ht="12.75" hidden="false" customHeight="false" outlineLevel="0" collapsed="false">
      <c r="A3" s="184"/>
      <c r="B3" s="184"/>
      <c r="C3" s="184"/>
      <c r="D3" s="184"/>
      <c r="E3" s="184"/>
      <c r="F3" s="184" t="s">
        <v>465</v>
      </c>
      <c r="G3" s="469" t="n">
        <f aca="false">'Book Income Statement'!C3</f>
        <v>1</v>
      </c>
      <c r="H3" s="469" t="n">
        <f aca="false">'Book Income Statement'!D3</f>
        <v>2</v>
      </c>
      <c r="I3" s="469" t="n">
        <f aca="false">'Book Income Statement'!E3</f>
        <v>3</v>
      </c>
      <c r="J3" s="469" t="n">
        <f aca="false">'Book Income Statement'!F3</f>
        <v>4</v>
      </c>
      <c r="K3" s="469" t="n">
        <f aca="false">'Book Income Statement'!G3</f>
        <v>5</v>
      </c>
      <c r="L3" s="469" t="n">
        <f aca="false">'Book Income Statement'!H3</f>
        <v>6</v>
      </c>
      <c r="M3" s="469" t="n">
        <f aca="false">'Book Income Statement'!I3</f>
        <v>7</v>
      </c>
      <c r="N3" s="469" t="n">
        <f aca="false">'Book Income Statement'!J3</f>
        <v>8</v>
      </c>
      <c r="O3" s="469" t="n">
        <f aca="false">'Book Income Statement'!K3</f>
        <v>9</v>
      </c>
      <c r="P3" s="469" t="n">
        <f aca="false">'Book Income Statement'!L3</f>
        <v>10</v>
      </c>
      <c r="Q3" s="469" t="n">
        <f aca="false">'Book Income Statement'!M3</f>
        <v>11</v>
      </c>
      <c r="R3" s="469" t="n">
        <f aca="false">'Book Income Statement'!N3</f>
        <v>12</v>
      </c>
      <c r="S3" s="469" t="n">
        <f aca="false">'Book Income Statement'!O3</f>
        <v>13</v>
      </c>
      <c r="T3" s="469" t="n">
        <f aca="false">'Book Income Statement'!P3</f>
        <v>14</v>
      </c>
      <c r="U3" s="469" t="n">
        <f aca="false">'Book Income Statement'!Q3</f>
        <v>15</v>
      </c>
      <c r="V3" s="469" t="n">
        <f aca="false">'Book Income Statement'!R3</f>
        <v>16</v>
      </c>
      <c r="W3" s="469"/>
      <c r="X3" s="469"/>
      <c r="Y3" s="469"/>
      <c r="Z3" s="469"/>
      <c r="AA3" s="184"/>
    </row>
    <row r="4" customFormat="false" ht="12.75" hidden="false" customHeight="false" outlineLevel="0" collapsed="false">
      <c r="A4" s="184"/>
      <c r="B4" s="184"/>
      <c r="C4" s="184"/>
      <c r="D4" s="184"/>
      <c r="E4" s="184"/>
      <c r="F4" s="184" t="s">
        <v>466</v>
      </c>
      <c r="G4" s="470" t="n">
        <f aca="false">'Book Income Statement'!C4</f>
        <v>2000</v>
      </c>
      <c r="H4" s="470" t="n">
        <f aca="false">'Book Income Statement'!D4</f>
        <v>2001</v>
      </c>
      <c r="I4" s="470" t="n">
        <f aca="false">'Book Income Statement'!E4</f>
        <v>2002</v>
      </c>
      <c r="J4" s="470" t="n">
        <f aca="false">'Book Income Statement'!F4</f>
        <v>2003</v>
      </c>
      <c r="K4" s="470" t="n">
        <f aca="false">'Book Income Statement'!G4</f>
        <v>2004</v>
      </c>
      <c r="L4" s="470" t="n">
        <f aca="false">'Book Income Statement'!H4</f>
        <v>2005</v>
      </c>
      <c r="M4" s="470" t="n">
        <f aca="false">'Book Income Statement'!I4</f>
        <v>2006</v>
      </c>
      <c r="N4" s="470" t="n">
        <f aca="false">'Book Income Statement'!J4</f>
        <v>2007</v>
      </c>
      <c r="O4" s="470" t="n">
        <f aca="false">'Book Income Statement'!K4</f>
        <v>2008</v>
      </c>
      <c r="P4" s="470" t="n">
        <f aca="false">'Book Income Statement'!L4</f>
        <v>2009</v>
      </c>
      <c r="Q4" s="470" t="n">
        <f aca="false">'Book Income Statement'!M4</f>
        <v>2010</v>
      </c>
      <c r="R4" s="470" t="n">
        <f aca="false">'Book Income Statement'!N4</f>
        <v>2011</v>
      </c>
      <c r="S4" s="470" t="n">
        <f aca="false">'Book Income Statement'!O4</f>
        <v>2012</v>
      </c>
      <c r="T4" s="470" t="n">
        <f aca="false">'Book Income Statement'!P4</f>
        <v>2013</v>
      </c>
      <c r="U4" s="470" t="n">
        <f aca="false">'Book Income Statement'!Q4</f>
        <v>2014</v>
      </c>
      <c r="V4" s="470" t="n">
        <f aca="false">'Book Income Statement'!R4</f>
        <v>2015</v>
      </c>
      <c r="W4" s="470"/>
      <c r="X4" s="470"/>
      <c r="Y4" s="470"/>
      <c r="Z4" s="470"/>
      <c r="AA4" s="471"/>
    </row>
    <row r="5" customFormat="false" ht="12.75" hidden="false" customHeight="false" outlineLevel="0" collapsed="false">
      <c r="A5" s="470" t="s">
        <v>467</v>
      </c>
      <c r="B5" s="191"/>
      <c r="C5" s="191"/>
      <c r="D5" s="191"/>
      <c r="E5" s="191"/>
      <c r="F5" s="191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 customFormat="false" ht="12.75" hidden="false" customHeight="false" outlineLevel="0" collapsed="false">
      <c r="A6" s="470"/>
      <c r="B6" s="191"/>
      <c r="C6" s="191"/>
      <c r="D6" s="191"/>
      <c r="E6" s="191"/>
      <c r="F6" s="191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7" customFormat="false" ht="12.75" hidden="false" customHeight="false" outlineLevel="0" collapsed="false">
      <c r="A7" s="191"/>
      <c r="B7" s="191" t="s">
        <v>468</v>
      </c>
      <c r="C7" s="191"/>
      <c r="D7" s="191"/>
      <c r="E7" s="191"/>
      <c r="F7" s="472" t="n">
        <f aca="false">('Project Assumptions'!C21+'Project Assumptions'!C22)</f>
        <v>2046.59032</v>
      </c>
      <c r="G7" s="473" t="n">
        <f aca="false">F7</f>
        <v>2046.59032</v>
      </c>
      <c r="H7" s="473" t="n">
        <f aca="false">G7</f>
        <v>2046.59032</v>
      </c>
      <c r="I7" s="473" t="n">
        <f aca="false">H7</f>
        <v>2046.59032</v>
      </c>
      <c r="J7" s="473" t="n">
        <f aca="false">I7</f>
        <v>2046.59032</v>
      </c>
      <c r="K7" s="473" t="n">
        <f aca="false">J7</f>
        <v>2046.59032</v>
      </c>
      <c r="L7" s="473" t="n">
        <f aca="false">K7</f>
        <v>2046.59032</v>
      </c>
      <c r="M7" s="473" t="n">
        <f aca="false">L7</f>
        <v>2046.59032</v>
      </c>
      <c r="N7" s="473" t="n">
        <f aca="false">M7</f>
        <v>2046.59032</v>
      </c>
      <c r="O7" s="473" t="n">
        <f aca="false">N7</f>
        <v>2046.59032</v>
      </c>
      <c r="P7" s="473" t="n">
        <f aca="false">O7</f>
        <v>2046.59032</v>
      </c>
      <c r="Q7" s="473" t="n">
        <f aca="false">P7</f>
        <v>2046.59032</v>
      </c>
      <c r="R7" s="473" t="n">
        <f aca="false">Q7</f>
        <v>2046.59032</v>
      </c>
      <c r="S7" s="473" t="n">
        <f aca="false">R7</f>
        <v>2046.59032</v>
      </c>
      <c r="T7" s="473" t="n">
        <f aca="false">S7</f>
        <v>2046.59032</v>
      </c>
      <c r="U7" s="473" t="n">
        <f aca="false">T7</f>
        <v>2046.59032</v>
      </c>
      <c r="V7" s="473" t="n">
        <f aca="false">U7</f>
        <v>2046.59032</v>
      </c>
      <c r="W7" s="473"/>
      <c r="X7" s="473"/>
      <c r="Y7" s="473"/>
      <c r="Z7" s="473"/>
      <c r="AA7" s="180"/>
    </row>
    <row r="8" customFormat="false" ht="12.75" hidden="false" customHeight="false" outlineLevel="0" collapsed="false">
      <c r="A8" s="191"/>
      <c r="B8" s="191" t="s">
        <v>469</v>
      </c>
      <c r="C8" s="191"/>
      <c r="D8" s="191"/>
      <c r="E8" s="191"/>
      <c r="F8" s="474" t="n">
        <f aca="false">Depreciation!B37</f>
        <v>116365.339630715</v>
      </c>
      <c r="G8" s="264" t="n">
        <f aca="false">+F8-Depreciation!D37</f>
        <v>112634.881280177</v>
      </c>
      <c r="H8" s="264" t="n">
        <f aca="false">+G8-Depreciation!E37</f>
        <v>105173.9645791</v>
      </c>
      <c r="I8" s="264" t="n">
        <f aca="false">+H8-Depreciation!F37</f>
        <v>97713.047878023</v>
      </c>
      <c r="J8" s="264" t="n">
        <f aca="false">+I8-Depreciation!G37</f>
        <v>90252.1311769461</v>
      </c>
      <c r="K8" s="264" t="n">
        <f aca="false">+J8-Depreciation!H37</f>
        <v>82791.2144758692</v>
      </c>
      <c r="L8" s="264" t="n">
        <f aca="false">+K8-Depreciation!I37</f>
        <v>75607.7183190643</v>
      </c>
      <c r="M8" s="264" t="n">
        <f aca="false">+L8-Depreciation!J37</f>
        <v>68701.6427065312</v>
      </c>
      <c r="N8" s="264" t="n">
        <f aca="false">+M8-Depreciation!K37</f>
        <v>61795.5670939981</v>
      </c>
      <c r="O8" s="264" t="n">
        <f aca="false">+N8-Depreciation!L37</f>
        <v>54889.491481465</v>
      </c>
      <c r="P8" s="264" t="n">
        <f aca="false">+O8-Depreciation!M37</f>
        <v>47983.4158689319</v>
      </c>
      <c r="Q8" s="264" t="n">
        <f aca="false">+P8-Depreciation!N37</f>
        <v>41077.3402563989</v>
      </c>
      <c r="R8" s="264" t="n">
        <f aca="false">+Q8-Depreciation!O37</f>
        <v>34171.2646438658</v>
      </c>
      <c r="S8" s="264" t="n">
        <f aca="false">+R8-Depreciation!P37</f>
        <v>27265.1890313327</v>
      </c>
      <c r="T8" s="264" t="n">
        <f aca="false">+S8-Depreciation!Q37</f>
        <v>20359.1134187996</v>
      </c>
      <c r="U8" s="264" t="n">
        <f aca="false">+T8-Depreciation!R37</f>
        <v>13453.0378062665</v>
      </c>
      <c r="V8" s="264" t="n">
        <f aca="false">+U8-Depreciation!S37</f>
        <v>9999.99999999999</v>
      </c>
      <c r="W8" s="264"/>
      <c r="X8" s="264"/>
      <c r="Y8" s="264"/>
      <c r="Z8" s="264"/>
      <c r="AA8" s="180"/>
    </row>
    <row r="9" customFormat="false" ht="12.75" hidden="false" customHeight="false" outlineLevel="0" collapsed="false">
      <c r="A9" s="191"/>
      <c r="B9" s="191"/>
      <c r="C9" s="191"/>
      <c r="D9" s="191"/>
      <c r="E9" s="191"/>
      <c r="F9" s="180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180"/>
      <c r="X9" s="180"/>
      <c r="Y9" s="180"/>
      <c r="Z9" s="180"/>
      <c r="AA9" s="180"/>
    </row>
    <row r="10" customFormat="false" ht="12.75" hidden="false" customHeight="false" outlineLevel="0" collapsed="false">
      <c r="A10" s="470" t="s">
        <v>470</v>
      </c>
      <c r="B10" s="191"/>
      <c r="C10" s="191"/>
      <c r="D10" s="191"/>
      <c r="E10" s="191"/>
      <c r="F10" s="474" t="n">
        <f aca="false">F7+F8</f>
        <v>118411.929950715</v>
      </c>
      <c r="G10" s="475" t="n">
        <f aca="false">SUM(G7:G8)</f>
        <v>114681.471600177</v>
      </c>
      <c r="H10" s="475" t="n">
        <f aca="false">SUM(H7:H8)</f>
        <v>107220.5548991</v>
      </c>
      <c r="I10" s="475" t="n">
        <f aca="false">SUM(I7:I8)</f>
        <v>99759.638198023</v>
      </c>
      <c r="J10" s="475" t="n">
        <f aca="false">SUM(J7:J8)</f>
        <v>92298.7214969461</v>
      </c>
      <c r="K10" s="475" t="n">
        <f aca="false">SUM(K7:K8)</f>
        <v>84837.8047958692</v>
      </c>
      <c r="L10" s="475" t="n">
        <f aca="false">SUM(L7:L8)</f>
        <v>77654.3086390643</v>
      </c>
      <c r="M10" s="475" t="n">
        <f aca="false">SUM(M7:M8)</f>
        <v>70748.2330265312</v>
      </c>
      <c r="N10" s="475" t="n">
        <f aca="false">SUM(N7:N8)</f>
        <v>63842.1574139981</v>
      </c>
      <c r="O10" s="475" t="n">
        <f aca="false">SUM(O7:O8)</f>
        <v>56936.081801465</v>
      </c>
      <c r="P10" s="475" t="n">
        <f aca="false">SUM(P7:P8)</f>
        <v>50030.0061889319</v>
      </c>
      <c r="Q10" s="475" t="n">
        <f aca="false">SUM(Q7:Q8)</f>
        <v>43123.9305763989</v>
      </c>
      <c r="R10" s="475" t="n">
        <f aca="false">SUM(R7:R8)</f>
        <v>36217.8549638658</v>
      </c>
      <c r="S10" s="475" t="n">
        <f aca="false">SUM(S7:S8)</f>
        <v>29311.7793513327</v>
      </c>
      <c r="T10" s="475" t="n">
        <f aca="false">SUM(T7:T8)</f>
        <v>22405.7037387996</v>
      </c>
      <c r="U10" s="475" t="n">
        <f aca="false">SUM(U7:U8)</f>
        <v>15499.6281262665</v>
      </c>
      <c r="V10" s="475" t="n">
        <f aca="false">SUM(V7:V8)</f>
        <v>12046.59032</v>
      </c>
      <c r="W10" s="475"/>
      <c r="X10" s="475"/>
      <c r="Y10" s="475"/>
      <c r="Z10" s="475"/>
      <c r="AA10" s="180"/>
    </row>
    <row r="11" customFormat="false" ht="12.75" hidden="false" customHeight="false" outlineLevel="0" collapsed="false">
      <c r="A11" s="191"/>
      <c r="B11" s="191"/>
      <c r="C11" s="191"/>
      <c r="D11" s="191"/>
      <c r="E11" s="191"/>
      <c r="F11" s="474"/>
      <c r="G11" s="180"/>
      <c r="H11" s="180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180"/>
      <c r="X11" s="180"/>
      <c r="Y11" s="180"/>
      <c r="Z11" s="180"/>
      <c r="AA11" s="180"/>
    </row>
    <row r="12" customFormat="false" ht="12.75" hidden="false" customHeight="false" outlineLevel="0" collapsed="false">
      <c r="A12" s="470" t="s">
        <v>471</v>
      </c>
      <c r="B12" s="191"/>
      <c r="C12" s="191"/>
      <c r="D12" s="191"/>
      <c r="E12" s="191"/>
      <c r="F12" s="474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180"/>
      <c r="X12" s="180"/>
      <c r="Y12" s="180"/>
      <c r="Z12" s="180"/>
      <c r="AA12" s="180"/>
    </row>
    <row r="13" customFormat="false" ht="12.75" hidden="false" customHeight="false" outlineLevel="0" collapsed="false">
      <c r="A13" s="191"/>
      <c r="B13" s="191" t="s">
        <v>472</v>
      </c>
      <c r="C13" s="191"/>
      <c r="D13" s="191"/>
      <c r="E13" s="191"/>
      <c r="F13" s="474" t="n">
        <v>0</v>
      </c>
      <c r="G13" s="474" t="n">
        <v>0</v>
      </c>
      <c r="H13" s="474" t="n">
        <v>0</v>
      </c>
      <c r="I13" s="474" t="n">
        <v>0</v>
      </c>
      <c r="J13" s="474" t="n">
        <v>0</v>
      </c>
      <c r="K13" s="474" t="n">
        <v>0</v>
      </c>
      <c r="L13" s="474" t="n">
        <v>0</v>
      </c>
      <c r="M13" s="474" t="n">
        <v>0</v>
      </c>
      <c r="N13" s="474" t="n">
        <v>0</v>
      </c>
      <c r="O13" s="474" t="n">
        <v>0</v>
      </c>
      <c r="P13" s="474" t="n">
        <v>0</v>
      </c>
      <c r="Q13" s="474" t="n">
        <v>0</v>
      </c>
      <c r="R13" s="474" t="n">
        <v>0</v>
      </c>
      <c r="S13" s="474" t="n">
        <v>0</v>
      </c>
      <c r="T13" s="474" t="n">
        <v>0</v>
      </c>
      <c r="U13" s="474" t="n">
        <v>0</v>
      </c>
      <c r="V13" s="474" t="n">
        <v>0</v>
      </c>
      <c r="W13" s="476"/>
      <c r="X13" s="476"/>
      <c r="Y13" s="476"/>
      <c r="Z13" s="476"/>
      <c r="AA13" s="180"/>
    </row>
    <row r="14" customFormat="false" ht="12.75" hidden="false" customHeight="false" outlineLevel="0" collapsed="false">
      <c r="A14" s="191"/>
      <c r="B14" s="191" t="s">
        <v>473</v>
      </c>
      <c r="C14" s="191"/>
      <c r="D14" s="191"/>
      <c r="E14" s="191"/>
      <c r="F14" s="474" t="n">
        <f aca="false">'Debt Amortization'!$D$63</f>
        <v>113344.927741223</v>
      </c>
      <c r="G14" s="473" t="n">
        <f aca="false">'Debt Amortization'!D39</f>
        <v>110962.501312395</v>
      </c>
      <c r="H14" s="473" t="n">
        <f aca="false">'Debt Amortization'!E39</f>
        <v>105981.085892358</v>
      </c>
      <c r="I14" s="473" t="n">
        <f aca="false">'Debt Amortization'!F39</f>
        <v>100696.302273241</v>
      </c>
      <c r="J14" s="473" t="n">
        <f aca="false">'Debt Amortization'!G39</f>
        <v>95089.6753317205</v>
      </c>
      <c r="K14" s="473" t="n">
        <f aca="false">'Debt Amortization'!H39</f>
        <v>89141.6048094608</v>
      </c>
      <c r="L14" s="473" t="n">
        <f aca="false">'Debt Amortization'!I39</f>
        <v>82831.2967923955</v>
      </c>
      <c r="M14" s="473" t="n">
        <f aca="false">'Debt Amortization'!J39</f>
        <v>76136.691017091</v>
      </c>
      <c r="N14" s="473" t="n">
        <f aca="false">'Debt Amortization'!K39</f>
        <v>69034.3837500704</v>
      </c>
      <c r="O14" s="473" t="n">
        <f aca="false">'Debt Amortization'!L39</f>
        <v>61499.5459704883</v>
      </c>
      <c r="P14" s="473" t="n">
        <f aca="false">'Debt Amortization'!M39</f>
        <v>53505.8365701296</v>
      </c>
      <c r="Q14" s="473" t="n">
        <f aca="false">'Debt Amortization'!N39</f>
        <v>45025.310267289</v>
      </c>
      <c r="R14" s="473" t="n">
        <f aca="false">'Debt Amortization'!O39</f>
        <v>36028.3199126055</v>
      </c>
      <c r="S14" s="473" t="n">
        <f aca="false">'Debt Amortization'!P39</f>
        <v>26483.4128453217</v>
      </c>
      <c r="T14" s="473" t="n">
        <f aca="false">'Debt Amortization'!Q39</f>
        <v>16357.2209376404</v>
      </c>
      <c r="U14" s="473" t="n">
        <f aca="false">'Debt Amortization'!R39</f>
        <v>5614.34394278123</v>
      </c>
      <c r="V14" s="473" t="n">
        <f aca="false">'Debt Amortization'!S39</f>
        <v>-8.27640178613365E-011</v>
      </c>
      <c r="W14" s="473"/>
      <c r="X14" s="473"/>
      <c r="Y14" s="473"/>
      <c r="Z14" s="473"/>
      <c r="AA14" s="180"/>
    </row>
    <row r="15" customFormat="false" ht="12.75" hidden="false" customHeight="false" outlineLevel="0" collapsed="false">
      <c r="A15" s="191"/>
      <c r="B15" s="191" t="s">
        <v>474</v>
      </c>
      <c r="C15" s="191"/>
      <c r="D15" s="191"/>
      <c r="E15" s="191"/>
      <c r="F15" s="474" t="n">
        <v>0</v>
      </c>
      <c r="G15" s="474" t="n">
        <v>0</v>
      </c>
      <c r="H15" s="474" t="n">
        <v>0</v>
      </c>
      <c r="I15" s="474" t="n">
        <v>0</v>
      </c>
      <c r="J15" s="474" t="n">
        <v>0</v>
      </c>
      <c r="K15" s="474" t="n">
        <v>0</v>
      </c>
      <c r="L15" s="474" t="n">
        <v>0</v>
      </c>
      <c r="M15" s="474" t="n">
        <v>0</v>
      </c>
      <c r="N15" s="474" t="n">
        <v>0</v>
      </c>
      <c r="O15" s="474" t="n">
        <v>0</v>
      </c>
      <c r="P15" s="474" t="n">
        <v>0</v>
      </c>
      <c r="Q15" s="474" t="n">
        <v>0</v>
      </c>
      <c r="R15" s="474" t="n">
        <v>0</v>
      </c>
      <c r="S15" s="474" t="n">
        <v>0</v>
      </c>
      <c r="T15" s="474" t="n">
        <v>0</v>
      </c>
      <c r="U15" s="474" t="n">
        <v>0</v>
      </c>
      <c r="V15" s="474" t="n">
        <v>0</v>
      </c>
      <c r="W15" s="473"/>
      <c r="X15" s="473"/>
      <c r="Y15" s="473"/>
      <c r="Z15" s="473"/>
      <c r="AA15" s="180"/>
    </row>
    <row r="16" customFormat="false" ht="12.75" hidden="false" customHeight="false" outlineLevel="0" collapsed="false">
      <c r="A16" s="470" t="s">
        <v>475</v>
      </c>
      <c r="B16" s="191"/>
      <c r="C16" s="180"/>
      <c r="D16" s="191"/>
      <c r="E16" s="191"/>
      <c r="F16" s="474" t="n">
        <f aca="false">SUM(F13:F15)</f>
        <v>113344.927741223</v>
      </c>
      <c r="G16" s="474" t="n">
        <f aca="false">SUM(G13:G15)</f>
        <v>110962.501312395</v>
      </c>
      <c r="H16" s="474" t="n">
        <f aca="false">SUM(H13:H15)</f>
        <v>105981.085892358</v>
      </c>
      <c r="I16" s="474" t="n">
        <f aca="false">SUM(I13:I15)</f>
        <v>100696.302273241</v>
      </c>
      <c r="J16" s="474" t="n">
        <f aca="false">SUM(J13:J15)</f>
        <v>95089.6753317205</v>
      </c>
      <c r="K16" s="474" t="n">
        <f aca="false">SUM(K13:K15)</f>
        <v>89141.6048094608</v>
      </c>
      <c r="L16" s="474" t="n">
        <f aca="false">SUM(L13:L15)</f>
        <v>82831.2967923955</v>
      </c>
      <c r="M16" s="474" t="n">
        <f aca="false">SUM(M13:M15)</f>
        <v>76136.691017091</v>
      </c>
      <c r="N16" s="474" t="n">
        <f aca="false">SUM(N13:N15)</f>
        <v>69034.3837500704</v>
      </c>
      <c r="O16" s="474" t="n">
        <f aca="false">SUM(O13:O15)</f>
        <v>61499.5459704883</v>
      </c>
      <c r="P16" s="474" t="n">
        <f aca="false">SUM(P13:P15)</f>
        <v>53505.8365701296</v>
      </c>
      <c r="Q16" s="474" t="n">
        <f aca="false">SUM(Q13:Q15)</f>
        <v>45025.310267289</v>
      </c>
      <c r="R16" s="474" t="n">
        <f aca="false">SUM(R13:R15)</f>
        <v>36028.3199126055</v>
      </c>
      <c r="S16" s="474" t="n">
        <f aca="false">SUM(S13:S15)</f>
        <v>26483.4128453217</v>
      </c>
      <c r="T16" s="474" t="n">
        <f aca="false">SUM(T13:T15)</f>
        <v>16357.2209376404</v>
      </c>
      <c r="U16" s="474" t="n">
        <f aca="false">SUM(U13:U15)</f>
        <v>5614.34394278123</v>
      </c>
      <c r="V16" s="474" t="n">
        <f aca="false">SUM(V13:V15)</f>
        <v>-8.27640178613365E-011</v>
      </c>
      <c r="W16" s="476"/>
      <c r="X16" s="476"/>
      <c r="Y16" s="476"/>
      <c r="Z16" s="476"/>
      <c r="AA16" s="180"/>
    </row>
    <row r="17" customFormat="false" ht="12.75" hidden="false" customHeight="false" outlineLevel="0" collapsed="false">
      <c r="A17" s="191"/>
      <c r="B17" s="191"/>
      <c r="C17" s="191"/>
      <c r="D17" s="191"/>
      <c r="E17" s="191"/>
      <c r="F17" s="474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180"/>
      <c r="X17" s="180"/>
      <c r="Y17" s="180"/>
      <c r="Z17" s="180"/>
      <c r="AA17" s="180"/>
    </row>
    <row r="18" customFormat="false" ht="12.75" hidden="false" customHeight="false" outlineLevel="0" collapsed="false">
      <c r="A18" s="470" t="s">
        <v>476</v>
      </c>
      <c r="B18" s="191"/>
      <c r="C18" s="191"/>
      <c r="D18" s="191"/>
      <c r="E18" s="191"/>
      <c r="F18" s="474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</row>
    <row r="19" customFormat="false" ht="12.75" hidden="false" customHeight="false" outlineLevel="0" collapsed="false">
      <c r="A19" s="191"/>
      <c r="B19" s="191" t="s">
        <v>477</v>
      </c>
      <c r="C19" s="191"/>
      <c r="D19" s="191"/>
      <c r="E19" s="191"/>
      <c r="F19" s="474" t="n">
        <f aca="false">'Project Assumptions'!$C$9</f>
        <v>3313.376925027</v>
      </c>
      <c r="G19" s="474" t="n">
        <f aca="false">'Project Assumptions'!$C$9+(SUM('Cash Flow Statement'!$D$17:'Cash Flow Statement'!D17))</f>
        <v>3313.376925027</v>
      </c>
      <c r="H19" s="474" t="n">
        <f aca="false">'Project Assumptions'!$C$9+(SUM('Cash Flow Statement'!$D$17:'Cash Flow Statement'!E17))</f>
        <v>3313.376925027</v>
      </c>
      <c r="I19" s="474" t="n">
        <f aca="false">'Project Assumptions'!$C$9+(SUM('Cash Flow Statement'!$D$17:'Cash Flow Statement'!F17))</f>
        <v>3313.376925027</v>
      </c>
      <c r="J19" s="474" t="n">
        <f aca="false">'Project Assumptions'!$C$9+(SUM('Cash Flow Statement'!$D$17:'Cash Flow Statement'!G17))</f>
        <v>3313.376925027</v>
      </c>
      <c r="K19" s="474" t="n">
        <f aca="false">'Project Assumptions'!$C$9+(SUM('Cash Flow Statement'!$D$17:'Cash Flow Statement'!H17))</f>
        <v>3313.376925027</v>
      </c>
      <c r="L19" s="474" t="n">
        <f aca="false">'Project Assumptions'!$C$9+(SUM('Cash Flow Statement'!$D$17:'Cash Flow Statement'!I17))</f>
        <v>3313.376925027</v>
      </c>
      <c r="M19" s="474" t="n">
        <f aca="false">'Project Assumptions'!$C$9+(SUM('Cash Flow Statement'!$D$17:'Cash Flow Statement'!J17))</f>
        <v>3313.376925027</v>
      </c>
      <c r="N19" s="474" t="n">
        <f aca="false">'Project Assumptions'!$C$9+(SUM('Cash Flow Statement'!$D$17:'Cash Flow Statement'!K17))</f>
        <v>3313.376925027</v>
      </c>
      <c r="O19" s="474" t="n">
        <f aca="false">'Project Assumptions'!$C$9+(SUM('Cash Flow Statement'!$D$17:'Cash Flow Statement'!L17))</f>
        <v>3313.376925027</v>
      </c>
      <c r="P19" s="474" t="n">
        <f aca="false">'Project Assumptions'!$C$9+(SUM('Cash Flow Statement'!$D$17:'Cash Flow Statement'!M17))</f>
        <v>3313.376925027</v>
      </c>
      <c r="Q19" s="474" t="n">
        <f aca="false">'Project Assumptions'!$C$9+(SUM('Cash Flow Statement'!$D$17:'Cash Flow Statement'!N17))</f>
        <v>3313.376925027</v>
      </c>
      <c r="R19" s="474" t="n">
        <f aca="false">'Project Assumptions'!$C$9+(SUM('Cash Flow Statement'!$D$17:'Cash Flow Statement'!O17))</f>
        <v>3313.376925027</v>
      </c>
      <c r="S19" s="474" t="n">
        <f aca="false">'Project Assumptions'!$C$9+(SUM('Cash Flow Statement'!$D$17:'Cash Flow Statement'!P17))</f>
        <v>3313.376925027</v>
      </c>
      <c r="T19" s="474" t="n">
        <f aca="false">'Project Assumptions'!$C$9+(SUM('Cash Flow Statement'!$D$17:'Cash Flow Statement'!Q17))</f>
        <v>3313.376925027</v>
      </c>
      <c r="U19" s="474" t="n">
        <f aca="false">'Project Assumptions'!$C$9+(SUM('Cash Flow Statement'!$D$17:'Cash Flow Statement'!R17))</f>
        <v>3313.376925027</v>
      </c>
      <c r="V19" s="474" t="n">
        <f aca="false">'Project Assumptions'!$C$9+(SUM('Cash Flow Statement'!$D$17:'Cash Flow Statement'!S17))</f>
        <v>3313.376925027</v>
      </c>
      <c r="W19" s="473"/>
      <c r="X19" s="473"/>
      <c r="Y19" s="473"/>
      <c r="Z19" s="473"/>
      <c r="AA19" s="180"/>
    </row>
    <row r="20" customFormat="false" ht="12.75" hidden="false" customHeight="false" outlineLevel="0" collapsed="false">
      <c r="A20" s="191"/>
      <c r="B20" s="191" t="s">
        <v>478</v>
      </c>
      <c r="C20" s="191"/>
      <c r="D20" s="191"/>
      <c r="E20" s="191"/>
      <c r="F20" s="477" t="n">
        <v>0</v>
      </c>
      <c r="G20" s="264" t="n">
        <f aca="false">'Book Income Statement'!C48</f>
        <v>-358.796310887085</v>
      </c>
      <c r="H20" s="264" t="n">
        <f aca="false">'Book Income Statement'!D48</f>
        <v>-1997.65387787499</v>
      </c>
      <c r="I20" s="264" t="n">
        <f aca="false">'Book Income Statement'!E48</f>
        <v>-1696.03144122992</v>
      </c>
      <c r="J20" s="264" t="n">
        <f aca="false">'Book Income Statement'!F48</f>
        <v>-1374.88176544252</v>
      </c>
      <c r="K20" s="264" t="n">
        <f aca="false">'Book Income Statement'!G48</f>
        <v>-1035.38899932426</v>
      </c>
      <c r="L20" s="264" t="n">
        <f aca="false">'Book Income Statement'!H48</f>
        <v>-396.648879345952</v>
      </c>
      <c r="M20" s="264" t="n">
        <f aca="false">'Book Income Statement'!I48</f>
        <v>261.723815596771</v>
      </c>
      <c r="N20" s="264" t="n">
        <f aca="false">'Book Income Statement'!J48</f>
        <v>665.365689953565</v>
      </c>
      <c r="O20" s="264" t="n">
        <f aca="false">'Book Income Statement'!K48</f>
        <v>1094.83549429207</v>
      </c>
      <c r="P20" s="264" t="n">
        <f aca="false">'Book Income Statement'!L48</f>
        <v>1549.33244497369</v>
      </c>
      <c r="Q20" s="264" t="n">
        <f aca="false">'Book Income Statement'!M48</f>
        <v>2031.59697142969</v>
      </c>
      <c r="R20" s="264" t="n">
        <f aca="false">'Book Income Statement'!N48</f>
        <v>2542.74129297862</v>
      </c>
      <c r="S20" s="264" t="n">
        <f aca="false">'Book Income Statement'!O48</f>
        <v>3085.70529637241</v>
      </c>
      <c r="T20" s="264" t="n">
        <f aca="false">'Book Income Statement'!P48</f>
        <v>3661.81280216829</v>
      </c>
      <c r="U20" s="264" t="n">
        <f aca="false">'Book Income Statement'!Q48</f>
        <v>4272.50318927884</v>
      </c>
      <c r="V20" s="264" t="n">
        <f aca="false">'Book Income Statement'!R48</f>
        <v>14496.2971404672</v>
      </c>
      <c r="W20" s="264"/>
      <c r="X20" s="264"/>
      <c r="Y20" s="264"/>
      <c r="Z20" s="264"/>
      <c r="AA20" s="180"/>
    </row>
    <row r="21" customFormat="false" ht="12.75" hidden="false" customHeight="false" outlineLevel="0" collapsed="false">
      <c r="A21" s="191"/>
      <c r="B21" s="191" t="s">
        <v>479</v>
      </c>
      <c r="C21" s="191"/>
      <c r="D21" s="191"/>
      <c r="E21" s="191"/>
      <c r="F21" s="477" t="n">
        <v>0</v>
      </c>
      <c r="G21" s="264" t="n">
        <f aca="false">'Cash Flow Statement'!D19</f>
        <v>419.967506768585</v>
      </c>
      <c r="H21" s="264" t="n">
        <f aca="false">'Cash Flow Statement'!E19</f>
        <v>1094.20940692427</v>
      </c>
      <c r="I21" s="264" t="n">
        <f aca="false">'Cash Flow Statement'!F19</f>
        <v>591.063933208354</v>
      </c>
      <c r="J21" s="264" t="n">
        <f aca="false">'Cash Flow Statement'!G19</f>
        <v>586.264225872144</v>
      </c>
      <c r="K21" s="264" t="n">
        <f aca="false">'Cash Flow Statement'!H19</f>
        <v>542.436190160543</v>
      </c>
      <c r="L21" s="264" t="n">
        <f aca="false">'Cash Flow Statement'!I19</f>
        <v>541.419763357988</v>
      </c>
      <c r="M21" s="264" t="n">
        <f aca="false">'Cash Flow Statement'!J19</f>
        <v>538.189825401076</v>
      </c>
      <c r="N21" s="264" t="n">
        <f aca="false">'Cash Flow Statement'!K19</f>
        <v>501.934709102088</v>
      </c>
      <c r="O21" s="264" t="n">
        <f aca="false">'Cash Flow Statement'!L19</f>
        <v>503.073326243715</v>
      </c>
      <c r="P21" s="264" t="n">
        <f aca="false">'Cash Flow Statement'!M19</f>
        <v>503.153720428165</v>
      </c>
      <c r="Q21" s="264" t="n">
        <f aca="false">'Cash Flow Statement'!N19</f>
        <v>503.327722096314</v>
      </c>
      <c r="R21" s="264" t="n">
        <f aca="false">'Cash Flow Statement'!O19</f>
        <v>503.022205897822</v>
      </c>
      <c r="S21" s="264" t="n">
        <f aca="false">'Cash Flow Statement'!P19</f>
        <v>503.389076425365</v>
      </c>
      <c r="T21" s="264" t="n">
        <f aca="false">'Cash Flow Statement'!Q19</f>
        <v>503.855283963443</v>
      </c>
      <c r="U21" s="264" t="n">
        <f aca="false">'Cash Flow Statement'!R19</f>
        <v>503.847817752298</v>
      </c>
      <c r="V21" s="264" t="n">
        <f aca="false">'Cash Flow Statement'!S19</f>
        <v>12288.9763183179</v>
      </c>
      <c r="W21" s="264"/>
      <c r="X21" s="264"/>
      <c r="Y21" s="264"/>
      <c r="Z21" s="264"/>
      <c r="AA21" s="180"/>
    </row>
    <row r="22" customFormat="false" ht="12.75" hidden="false" customHeight="false" outlineLevel="0" collapsed="false">
      <c r="A22" s="191"/>
      <c r="B22" s="191" t="s">
        <v>480</v>
      </c>
      <c r="C22" s="191"/>
      <c r="D22" s="191"/>
      <c r="E22" s="191"/>
      <c r="F22" s="477"/>
      <c r="G22" s="264" t="n">
        <f aca="false">F22+G20-G21</f>
        <v>-778.76381765567</v>
      </c>
      <c r="H22" s="264" t="n">
        <f aca="false">G22+H20-H21</f>
        <v>-3870.62710245493</v>
      </c>
      <c r="I22" s="264" t="n">
        <f aca="false">H22+I20-I21</f>
        <v>-6157.72247689321</v>
      </c>
      <c r="J22" s="264" t="n">
        <f aca="false">I22+J20-J21</f>
        <v>-8118.86846820788</v>
      </c>
      <c r="K22" s="264" t="n">
        <f aca="false">J22+K20-K21</f>
        <v>-9696.69365769268</v>
      </c>
      <c r="L22" s="264" t="n">
        <f aca="false">K22+L20-L21</f>
        <v>-10634.7623003966</v>
      </c>
      <c r="M22" s="264" t="n">
        <f aca="false">L22+M20-M21</f>
        <v>-10911.2283102009</v>
      </c>
      <c r="N22" s="264" t="n">
        <f aca="false">M22+N20-N21</f>
        <v>-10747.7973293494</v>
      </c>
      <c r="O22" s="264" t="n">
        <f aca="false">N22+O20-O21</f>
        <v>-10156.0351613011</v>
      </c>
      <c r="P22" s="264" t="n">
        <f aca="false">O22+P20-P21</f>
        <v>-9109.85643675557</v>
      </c>
      <c r="Q22" s="264" t="n">
        <f aca="false">P22+Q20-Q21</f>
        <v>-7581.58718742219</v>
      </c>
      <c r="R22" s="264" t="n">
        <f aca="false">Q22+R20-R21</f>
        <v>-5541.86810034139</v>
      </c>
      <c r="S22" s="264" t="n">
        <f aca="false">R22+S20-S21</f>
        <v>-2959.55188039435</v>
      </c>
      <c r="T22" s="264" t="n">
        <f aca="false">S22+T20-T21</f>
        <v>198.405637810493</v>
      </c>
      <c r="U22" s="264" t="n">
        <f aca="false">T22+U20-U21</f>
        <v>3967.06100933704</v>
      </c>
      <c r="V22" s="264" t="n">
        <f aca="false">U22+V20-V21</f>
        <v>6174.38183148636</v>
      </c>
      <c r="W22" s="264"/>
      <c r="X22" s="264"/>
      <c r="Y22" s="264"/>
      <c r="Z22" s="264"/>
      <c r="AA22" s="180"/>
    </row>
    <row r="23" customFormat="false" ht="12.75" hidden="false" customHeight="false" outlineLevel="0" collapsed="false">
      <c r="A23" s="191"/>
      <c r="B23" s="191" t="s">
        <v>481</v>
      </c>
      <c r="C23" s="191"/>
      <c r="D23" s="191"/>
      <c r="E23" s="191"/>
      <c r="F23" s="474" t="n">
        <f aca="false">F19+F22</f>
        <v>3313.376925027</v>
      </c>
      <c r="G23" s="474" t="n">
        <f aca="false">G19+G22</f>
        <v>2534.61310737133</v>
      </c>
      <c r="H23" s="474" t="n">
        <f aca="false">H19+H22</f>
        <v>-557.250177427932</v>
      </c>
      <c r="I23" s="474" t="n">
        <f aca="false">I19+I22</f>
        <v>-2844.34555186621</v>
      </c>
      <c r="J23" s="474" t="n">
        <f aca="false">J19+J22</f>
        <v>-4805.49154318088</v>
      </c>
      <c r="K23" s="474" t="n">
        <f aca="false">K19+K22</f>
        <v>-6383.31673266568</v>
      </c>
      <c r="L23" s="474" t="n">
        <f aca="false">L19+L22</f>
        <v>-7321.38537536962</v>
      </c>
      <c r="M23" s="474" t="n">
        <f aca="false">M19+M22</f>
        <v>-7597.85138517392</v>
      </c>
      <c r="N23" s="474" t="n">
        <f aca="false">N19+N22</f>
        <v>-7434.42040432245</v>
      </c>
      <c r="O23" s="474" t="n">
        <f aca="false">O19+O22</f>
        <v>-6842.65823627409</v>
      </c>
      <c r="P23" s="474" t="n">
        <f aca="false">P19+P22</f>
        <v>-5796.47951172857</v>
      </c>
      <c r="Q23" s="474" t="n">
        <f aca="false">Q19+Q22</f>
        <v>-4268.2102623952</v>
      </c>
      <c r="R23" s="474" t="n">
        <f aca="false">R19+R22</f>
        <v>-2228.4911753144</v>
      </c>
      <c r="S23" s="474" t="n">
        <f aca="false">S19+S22</f>
        <v>353.825044632647</v>
      </c>
      <c r="T23" s="474" t="n">
        <f aca="false">T19+T22</f>
        <v>3511.78256283749</v>
      </c>
      <c r="U23" s="474" t="n">
        <f aca="false">U19+U22</f>
        <v>7280.43793436403</v>
      </c>
      <c r="V23" s="474" t="n">
        <f aca="false">V19+V22</f>
        <v>9487.75875651336</v>
      </c>
      <c r="W23" s="474"/>
      <c r="X23" s="474"/>
      <c r="Y23" s="474"/>
      <c r="Z23" s="474"/>
      <c r="AA23" s="180"/>
    </row>
    <row r="24" customFormat="false" ht="12.75" hidden="false" customHeight="false" outlineLevel="0" collapsed="false">
      <c r="A24" s="191"/>
      <c r="B24" s="191"/>
      <c r="C24" s="191"/>
      <c r="D24" s="191"/>
      <c r="E24" s="191"/>
      <c r="F24" s="47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</row>
    <row r="25" customFormat="false" ht="12.75" hidden="false" customHeight="false" outlineLevel="0" collapsed="false">
      <c r="A25" s="470" t="s">
        <v>482</v>
      </c>
      <c r="B25" s="191"/>
      <c r="C25" s="191"/>
      <c r="D25" s="191"/>
      <c r="E25" s="191"/>
      <c r="F25" s="478" t="n">
        <f aca="false">F16+F23</f>
        <v>116658.30466625</v>
      </c>
      <c r="G25" s="476" t="n">
        <f aca="false">G16+G23</f>
        <v>113497.114419766</v>
      </c>
      <c r="H25" s="476" t="n">
        <f aca="false">H16+H23</f>
        <v>105423.83571493</v>
      </c>
      <c r="I25" s="476" t="n">
        <f aca="false">I16+I23</f>
        <v>97851.9567213753</v>
      </c>
      <c r="J25" s="476" t="n">
        <f aca="false">J16+J23</f>
        <v>90284.1837885396</v>
      </c>
      <c r="K25" s="476" t="n">
        <f aca="false">K16+K23</f>
        <v>82758.2880767951</v>
      </c>
      <c r="L25" s="476" t="n">
        <f aca="false">L16+L23</f>
        <v>75509.9114170259</v>
      </c>
      <c r="M25" s="476" t="n">
        <f aca="false">M16+M23</f>
        <v>68538.8396319171</v>
      </c>
      <c r="N25" s="476" t="n">
        <f aca="false">N16+N23</f>
        <v>61599.963345748</v>
      </c>
      <c r="O25" s="476" t="n">
        <f aca="false">O16+O23</f>
        <v>54656.8877342142</v>
      </c>
      <c r="P25" s="476" t="n">
        <f aca="false">P16+P23</f>
        <v>47709.357058401</v>
      </c>
      <c r="Q25" s="476" t="n">
        <f aca="false">Q16+Q23</f>
        <v>40757.1000048938</v>
      </c>
      <c r="R25" s="476" t="n">
        <f aca="false">R16+R23</f>
        <v>33799.8287372911</v>
      </c>
      <c r="S25" s="476" t="n">
        <f aca="false">S16+S23</f>
        <v>26837.2378899544</v>
      </c>
      <c r="T25" s="476" t="n">
        <f aca="false">T16+T23</f>
        <v>19869.0035004779</v>
      </c>
      <c r="U25" s="476" t="n">
        <f aca="false">U16+U23</f>
        <v>12894.7818771453</v>
      </c>
      <c r="V25" s="476" t="n">
        <f aca="false">V16+V23</f>
        <v>9487.75875651327</v>
      </c>
      <c r="W25" s="476"/>
      <c r="X25" s="476"/>
      <c r="Y25" s="476"/>
      <c r="Z25" s="476"/>
      <c r="AA25" s="180"/>
    </row>
    <row r="26" customFormat="false" ht="12.75" hidden="false" customHeight="false" outlineLevel="0" collapsed="false">
      <c r="A26" s="191"/>
      <c r="B26" s="191"/>
      <c r="C26" s="191"/>
      <c r="D26" s="191"/>
      <c r="E26" s="191"/>
      <c r="F26" s="474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</row>
    <row r="27" customFormat="false" ht="12.75" hidden="false" customHeight="false" outlineLevel="0" collapsed="false">
      <c r="A27" s="180"/>
      <c r="B27" s="180"/>
      <c r="C27" s="180"/>
      <c r="D27" s="180"/>
      <c r="E27" s="180"/>
      <c r="F27" s="473" t="n">
        <f aca="false">F10-F25</f>
        <v>1753.62528446522</v>
      </c>
      <c r="G27" s="473" t="n">
        <f aca="false">G10-G25</f>
        <v>1184.3571804105</v>
      </c>
      <c r="H27" s="473" t="n">
        <f aca="false">H10-H25</f>
        <v>1796.71918416949</v>
      </c>
      <c r="I27" s="473" t="n">
        <f aca="false">I10-I25</f>
        <v>1907.6814766477</v>
      </c>
      <c r="J27" s="473" t="n">
        <f aca="false">J10-J25</f>
        <v>2014.53770840653</v>
      </c>
      <c r="K27" s="473" t="n">
        <f aca="false">K10-K25</f>
        <v>2079.51671907412</v>
      </c>
      <c r="L27" s="473" t="n">
        <f aca="false">L10-L25</f>
        <v>2144.39722203834</v>
      </c>
      <c r="M27" s="473" t="n">
        <f aca="false">M10-M25</f>
        <v>2209.39339461412</v>
      </c>
      <c r="N27" s="473" t="n">
        <f aca="false">N10-N25</f>
        <v>2242.19406825014</v>
      </c>
      <c r="O27" s="473" t="n">
        <f aca="false">O10-O25</f>
        <v>2279.19406725085</v>
      </c>
      <c r="P27" s="473" t="n">
        <f aca="false">P10-P25</f>
        <v>2320.64913053095</v>
      </c>
      <c r="Q27" s="473" t="n">
        <f aca="false">Q10-Q25</f>
        <v>2366.83057150504</v>
      </c>
      <c r="R27" s="473" t="n">
        <f aca="false">R10-R25</f>
        <v>2418.02622657469</v>
      </c>
      <c r="S27" s="473" t="n">
        <f aca="false">S10-S25</f>
        <v>2474.54146137833</v>
      </c>
      <c r="T27" s="473" t="n">
        <f aca="false">T10-T25</f>
        <v>2536.70023832175</v>
      </c>
      <c r="U27" s="473" t="n">
        <f aca="false">U10-U25</f>
        <v>2604.84624912127</v>
      </c>
      <c r="V27" s="473" t="n">
        <f aca="false">V10-V25</f>
        <v>2558.83156348671</v>
      </c>
      <c r="W27" s="473"/>
      <c r="X27" s="473"/>
      <c r="Y27" s="473"/>
      <c r="Z27" s="473"/>
      <c r="AA27" s="180"/>
    </row>
    <row r="28" customFormat="false" ht="12.75" hidden="false" customHeight="false" outlineLevel="0" collapsed="false">
      <c r="F28" s="479"/>
      <c r="S28" s="479"/>
    </row>
    <row r="29" customFormat="false" ht="12.75" hidden="false" customHeight="false" outlineLevel="0" collapsed="false">
      <c r="I29" s="479" t="n">
        <f aca="false">I27-H27</f>
        <v>110.962292478216</v>
      </c>
      <c r="J29" s="479" t="n">
        <f aca="false">J27-I27</f>
        <v>106.856231758822</v>
      </c>
      <c r="K29" s="479" t="n">
        <f aca="false">K27-J27</f>
        <v>64.9790106675937</v>
      </c>
      <c r="L29" s="479" t="n">
        <f aca="false">L27-K27</f>
        <v>64.8805029642244</v>
      </c>
      <c r="M29" s="479" t="n">
        <f aca="false">M27-L27</f>
        <v>64.9961725757748</v>
      </c>
      <c r="N29" s="479" t="n">
        <f aca="false">N27-M27</f>
        <v>32.8006736360258</v>
      </c>
      <c r="O29" s="479" t="n">
        <f aca="false">O27-N27</f>
        <v>36.9999990007054</v>
      </c>
      <c r="P29" s="479" t="n">
        <f aca="false">P27-O27</f>
        <v>41.4550632800965</v>
      </c>
      <c r="Q29" s="479" t="n">
        <f aca="false">Q27-P27</f>
        <v>46.181440974091</v>
      </c>
      <c r="R29" s="479" t="n">
        <f aca="false">R27-Q27</f>
        <v>51.1956550696559</v>
      </c>
      <c r="S29" s="479" t="n">
        <f aca="false">S27-R27</f>
        <v>56.5152348036318</v>
      </c>
      <c r="T29" s="479" t="n">
        <f aca="false">T27-S27</f>
        <v>62.1587769434227</v>
      </c>
      <c r="U29" s="479" t="n">
        <f aca="false">U27-T27</f>
        <v>68.146010799519</v>
      </c>
      <c r="V29" s="479" t="n">
        <f aca="false">V27-U27</f>
        <v>-46.0146856345527</v>
      </c>
    </row>
    <row r="33" customFormat="false" ht="15.75" hidden="false" customHeight="false" outlineLevel="0" collapsed="false">
      <c r="A33" s="163" t="s">
        <v>483</v>
      </c>
      <c r="B33" s="184"/>
      <c r="C33" s="468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</row>
    <row r="34" customFormat="false" ht="12.75" hidden="false" customHeight="false" outlineLevel="0" collapsed="false">
      <c r="A34" s="184"/>
      <c r="B34" s="184"/>
      <c r="C34" s="184"/>
      <c r="D34" s="184"/>
      <c r="E34" s="184"/>
      <c r="F34" s="184" t="s">
        <v>465</v>
      </c>
      <c r="G34" s="469" t="n">
        <f aca="false">'Book Income Statement'!C3</f>
        <v>1</v>
      </c>
      <c r="H34" s="469" t="n">
        <f aca="false">'Book Income Statement'!D3</f>
        <v>2</v>
      </c>
      <c r="I34" s="469" t="n">
        <f aca="false">'Book Income Statement'!E3</f>
        <v>3</v>
      </c>
      <c r="J34" s="469" t="n">
        <f aca="false">'Book Income Statement'!F3</f>
        <v>4</v>
      </c>
      <c r="K34" s="469" t="n">
        <f aca="false">'Book Income Statement'!G3</f>
        <v>5</v>
      </c>
      <c r="L34" s="469" t="n">
        <f aca="false">'Book Income Statement'!H3</f>
        <v>6</v>
      </c>
      <c r="M34" s="469" t="n">
        <f aca="false">'Book Income Statement'!I3</f>
        <v>7</v>
      </c>
      <c r="N34" s="469" t="n">
        <f aca="false">'Book Income Statement'!J3</f>
        <v>8</v>
      </c>
      <c r="O34" s="469" t="n">
        <f aca="false">'Book Income Statement'!K3</f>
        <v>9</v>
      </c>
      <c r="P34" s="469" t="n">
        <f aca="false">'Book Income Statement'!L3</f>
        <v>10</v>
      </c>
      <c r="Q34" s="469" t="n">
        <f aca="false">'Book Income Statement'!M3</f>
        <v>11</v>
      </c>
      <c r="R34" s="469" t="n">
        <f aca="false">'Book Income Statement'!N3</f>
        <v>12</v>
      </c>
      <c r="S34" s="469" t="n">
        <f aca="false">'Book Income Statement'!O3</f>
        <v>13</v>
      </c>
      <c r="T34" s="469" t="n">
        <f aca="false">'Book Income Statement'!P3</f>
        <v>14</v>
      </c>
      <c r="U34" s="469" t="n">
        <f aca="false">'Book Income Statement'!Q3</f>
        <v>15</v>
      </c>
      <c r="V34" s="469" t="n">
        <f aca="false">'Book Income Statement'!R3</f>
        <v>16</v>
      </c>
      <c r="W34" s="469"/>
      <c r="X34" s="469"/>
      <c r="Y34" s="469"/>
      <c r="Z34" s="469"/>
      <c r="AA34" s="184"/>
    </row>
    <row r="35" customFormat="false" ht="12.75" hidden="false" customHeight="false" outlineLevel="0" collapsed="false">
      <c r="A35" s="184"/>
      <c r="B35" s="184"/>
      <c r="C35" s="184"/>
      <c r="D35" s="184"/>
      <c r="E35" s="184"/>
      <c r="F35" s="184" t="s">
        <v>466</v>
      </c>
      <c r="G35" s="470" t="n">
        <f aca="false">'Book Income Statement'!C4</f>
        <v>2000</v>
      </c>
      <c r="H35" s="470" t="n">
        <f aca="false">'Book Income Statement'!D4</f>
        <v>2001</v>
      </c>
      <c r="I35" s="470" t="n">
        <f aca="false">'Book Income Statement'!E4</f>
        <v>2002</v>
      </c>
      <c r="J35" s="470" t="n">
        <f aca="false">'Book Income Statement'!F4</f>
        <v>2003</v>
      </c>
      <c r="K35" s="470" t="n">
        <f aca="false">'Book Income Statement'!G4</f>
        <v>2004</v>
      </c>
      <c r="L35" s="470" t="n">
        <f aca="false">'Book Income Statement'!H4</f>
        <v>2005</v>
      </c>
      <c r="M35" s="470" t="n">
        <f aca="false">'Book Income Statement'!I4</f>
        <v>2006</v>
      </c>
      <c r="N35" s="470" t="n">
        <f aca="false">'Book Income Statement'!J4</f>
        <v>2007</v>
      </c>
      <c r="O35" s="470" t="n">
        <f aca="false">'Book Income Statement'!K4</f>
        <v>2008</v>
      </c>
      <c r="P35" s="470" t="n">
        <f aca="false">'Book Income Statement'!L4</f>
        <v>2009</v>
      </c>
      <c r="Q35" s="470" t="n">
        <f aca="false">'Book Income Statement'!M4</f>
        <v>2010</v>
      </c>
      <c r="R35" s="470" t="n">
        <f aca="false">'Book Income Statement'!N4</f>
        <v>2011</v>
      </c>
      <c r="S35" s="470" t="n">
        <f aca="false">'Book Income Statement'!O4</f>
        <v>2012</v>
      </c>
      <c r="T35" s="470" t="n">
        <f aca="false">'Book Income Statement'!P4</f>
        <v>2013</v>
      </c>
      <c r="U35" s="470" t="n">
        <f aca="false">'Book Income Statement'!Q4</f>
        <v>2014</v>
      </c>
      <c r="V35" s="470" t="n">
        <f aca="false">'Book Income Statement'!R4</f>
        <v>2015</v>
      </c>
      <c r="W35" s="470"/>
      <c r="X35" s="470"/>
      <c r="Y35" s="470"/>
      <c r="Z35" s="470"/>
      <c r="AA35" s="471"/>
    </row>
    <row r="36" customFormat="false" ht="12.75" hidden="false" customHeight="false" outlineLevel="0" collapsed="false">
      <c r="A36" s="470" t="s">
        <v>467</v>
      </c>
      <c r="B36" s="191"/>
      <c r="C36" s="191"/>
      <c r="D36" s="191"/>
      <c r="E36" s="191"/>
      <c r="F36" s="191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</row>
    <row r="37" customFormat="false" ht="12.75" hidden="false" customHeight="false" outlineLevel="0" collapsed="false">
      <c r="A37" s="470"/>
      <c r="B37" s="191"/>
      <c r="C37" s="191"/>
      <c r="D37" s="191"/>
      <c r="E37" s="191"/>
      <c r="F37" s="191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</row>
    <row r="38" customFormat="false" ht="12.75" hidden="false" customHeight="false" outlineLevel="0" collapsed="false">
      <c r="A38" s="191"/>
      <c r="B38" s="191" t="s">
        <v>468</v>
      </c>
      <c r="C38" s="191"/>
      <c r="D38" s="191"/>
      <c r="E38" s="191"/>
      <c r="F38" s="472" t="n">
        <f aca="false">F7*'Project Assumptions'!$N$59</f>
        <v>1023.29516</v>
      </c>
      <c r="G38" s="473" t="n">
        <f aca="false">F38</f>
        <v>1023.29516</v>
      </c>
      <c r="H38" s="473" t="n">
        <f aca="false">G38</f>
        <v>1023.29516</v>
      </c>
      <c r="I38" s="473" t="n">
        <f aca="false">H38</f>
        <v>1023.29516</v>
      </c>
      <c r="J38" s="473" t="n">
        <f aca="false">I38</f>
        <v>1023.29516</v>
      </c>
      <c r="K38" s="473" t="n">
        <f aca="false">J38</f>
        <v>1023.29516</v>
      </c>
      <c r="L38" s="473" t="n">
        <f aca="false">K38</f>
        <v>1023.29516</v>
      </c>
      <c r="M38" s="473" t="n">
        <f aca="false">L38</f>
        <v>1023.29516</v>
      </c>
      <c r="N38" s="473" t="n">
        <f aca="false">M38</f>
        <v>1023.29516</v>
      </c>
      <c r="O38" s="473" t="n">
        <f aca="false">N38</f>
        <v>1023.29516</v>
      </c>
      <c r="P38" s="473" t="n">
        <f aca="false">O38</f>
        <v>1023.29516</v>
      </c>
      <c r="Q38" s="473" t="n">
        <f aca="false">P38</f>
        <v>1023.29516</v>
      </c>
      <c r="R38" s="473" t="n">
        <f aca="false">Q38</f>
        <v>1023.29516</v>
      </c>
      <c r="S38" s="473" t="n">
        <f aca="false">R38</f>
        <v>1023.29516</v>
      </c>
      <c r="T38" s="473" t="n">
        <f aca="false">S38</f>
        <v>1023.29516</v>
      </c>
      <c r="U38" s="473" t="n">
        <f aca="false">T38</f>
        <v>1023.29516</v>
      </c>
      <c r="V38" s="473" t="n">
        <f aca="false">U38</f>
        <v>1023.29516</v>
      </c>
      <c r="W38" s="473"/>
      <c r="X38" s="473"/>
      <c r="Y38" s="473"/>
      <c r="Z38" s="473"/>
      <c r="AA38" s="180"/>
    </row>
    <row r="39" customFormat="false" ht="12.75" hidden="false" customHeight="false" outlineLevel="0" collapsed="false">
      <c r="A39" s="191"/>
      <c r="B39" s="191" t="s">
        <v>469</v>
      </c>
      <c r="C39" s="191"/>
      <c r="D39" s="191"/>
      <c r="E39" s="191"/>
      <c r="F39" s="474" t="n">
        <f aca="false">F8*'Project Assumptions'!$N$59</f>
        <v>58182.6698153576</v>
      </c>
      <c r="G39" s="474" t="n">
        <f aca="false">G8*'Project Assumptions'!$N$59</f>
        <v>56317.4406400884</v>
      </c>
      <c r="H39" s="474" t="n">
        <f aca="false">H8*'Project Assumptions'!$N$59</f>
        <v>52586.9822895499</v>
      </c>
      <c r="I39" s="474" t="n">
        <f aca="false">I8*'Project Assumptions'!$N$59</f>
        <v>48856.5239390115</v>
      </c>
      <c r="J39" s="474" t="n">
        <f aca="false">J8*'Project Assumptions'!$N$59</f>
        <v>45126.0655884731</v>
      </c>
      <c r="K39" s="474" t="n">
        <f aca="false">K8*'Project Assumptions'!$N$59</f>
        <v>41395.6072379346</v>
      </c>
      <c r="L39" s="474" t="n">
        <f aca="false">L8*'Project Assumptions'!$N$59</f>
        <v>37803.8591595321</v>
      </c>
      <c r="M39" s="474" t="n">
        <f aca="false">M8*'Project Assumptions'!$N$59</f>
        <v>34350.8213532656</v>
      </c>
      <c r="N39" s="474" t="n">
        <f aca="false">N8*'Project Assumptions'!$N$59</f>
        <v>30897.783546999</v>
      </c>
      <c r="O39" s="474" t="n">
        <f aca="false">O8*'Project Assumptions'!$N$59</f>
        <v>27444.7457407325</v>
      </c>
      <c r="P39" s="474" t="n">
        <f aca="false">P8*'Project Assumptions'!$N$59</f>
        <v>23991.707934466</v>
      </c>
      <c r="Q39" s="474" t="n">
        <f aca="false">Q8*'Project Assumptions'!$N$59</f>
        <v>20538.6701281994</v>
      </c>
      <c r="R39" s="474" t="n">
        <f aca="false">R8*'Project Assumptions'!$N$59</f>
        <v>17085.6323219329</v>
      </c>
      <c r="S39" s="474" t="n">
        <f aca="false">S8*'Project Assumptions'!$N$59</f>
        <v>13632.5945156663</v>
      </c>
      <c r="T39" s="474" t="n">
        <f aca="false">T8*'Project Assumptions'!$N$59</f>
        <v>10179.5567093998</v>
      </c>
      <c r="U39" s="474" t="n">
        <f aca="false">U8*'Project Assumptions'!$N$59</f>
        <v>6726.51890313326</v>
      </c>
      <c r="V39" s="474" t="n">
        <f aca="false">V8*'Project Assumptions'!$N$59</f>
        <v>4999.99999999999</v>
      </c>
      <c r="W39" s="264"/>
      <c r="X39" s="264"/>
      <c r="Y39" s="264"/>
      <c r="Z39" s="264"/>
      <c r="AA39" s="180"/>
    </row>
    <row r="40" customFormat="false" ht="12.75" hidden="false" customHeight="false" outlineLevel="0" collapsed="false">
      <c r="A40" s="191"/>
      <c r="B40" s="191"/>
      <c r="C40" s="191"/>
      <c r="D40" s="191"/>
      <c r="E40" s="191"/>
      <c r="F40" s="180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180"/>
      <c r="X40" s="180"/>
      <c r="Y40" s="180"/>
      <c r="Z40" s="180"/>
      <c r="AA40" s="180"/>
    </row>
    <row r="41" customFormat="false" ht="12.75" hidden="false" customHeight="false" outlineLevel="0" collapsed="false">
      <c r="A41" s="470" t="s">
        <v>470</v>
      </c>
      <c r="B41" s="191"/>
      <c r="C41" s="191"/>
      <c r="D41" s="191"/>
      <c r="E41" s="191"/>
      <c r="F41" s="474" t="n">
        <f aca="false">F38+F39</f>
        <v>59205.9649753576</v>
      </c>
      <c r="G41" s="475" t="n">
        <f aca="false">SUM(G38:G39)</f>
        <v>57340.7358000884</v>
      </c>
      <c r="H41" s="475" t="n">
        <f aca="false">SUM(H38:H39)</f>
        <v>53610.2774495499</v>
      </c>
      <c r="I41" s="475" t="n">
        <f aca="false">SUM(I38:I39)</f>
        <v>49879.8190990115</v>
      </c>
      <c r="J41" s="475" t="n">
        <f aca="false">SUM(J38:J39)</f>
        <v>46149.3607484731</v>
      </c>
      <c r="K41" s="475" t="n">
        <f aca="false">SUM(K38:K39)</f>
        <v>42418.9023979346</v>
      </c>
      <c r="L41" s="475" t="n">
        <f aca="false">SUM(L38:L39)</f>
        <v>38827.1543195321</v>
      </c>
      <c r="M41" s="475" t="n">
        <f aca="false">SUM(M38:M39)</f>
        <v>35374.1165132656</v>
      </c>
      <c r="N41" s="475" t="n">
        <f aca="false">SUM(N38:N39)</f>
        <v>31921.078706999</v>
      </c>
      <c r="O41" s="475" t="n">
        <f aca="false">SUM(O38:O39)</f>
        <v>28468.0409007325</v>
      </c>
      <c r="P41" s="475" t="n">
        <f aca="false">SUM(P38:P39)</f>
        <v>25015.003094466</v>
      </c>
      <c r="Q41" s="475" t="n">
        <f aca="false">SUM(Q38:Q39)</f>
        <v>21561.9652881994</v>
      </c>
      <c r="R41" s="475" t="n">
        <f aca="false">SUM(R38:R39)</f>
        <v>18108.9274819329</v>
      </c>
      <c r="S41" s="475" t="n">
        <f aca="false">SUM(S38:S39)</f>
        <v>14655.8896756663</v>
      </c>
      <c r="T41" s="475" t="n">
        <f aca="false">SUM(T38:T39)</f>
        <v>11202.8518693998</v>
      </c>
      <c r="U41" s="475" t="n">
        <f aca="false">SUM(U38:U39)</f>
        <v>7749.81406313326</v>
      </c>
      <c r="V41" s="475" t="n">
        <f aca="false">SUM(V38:V39)</f>
        <v>6023.29515999999</v>
      </c>
      <c r="W41" s="475"/>
      <c r="X41" s="475"/>
      <c r="Y41" s="475"/>
      <c r="Z41" s="475"/>
      <c r="AA41" s="180"/>
    </row>
    <row r="42" customFormat="false" ht="12.75" hidden="false" customHeight="false" outlineLevel="0" collapsed="false">
      <c r="A42" s="191"/>
      <c r="B42" s="191"/>
      <c r="C42" s="191"/>
      <c r="D42" s="191"/>
      <c r="E42" s="191"/>
      <c r="F42" s="474"/>
      <c r="G42" s="180"/>
      <c r="H42" s="180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180"/>
      <c r="X42" s="180"/>
      <c r="Y42" s="180"/>
      <c r="Z42" s="180"/>
      <c r="AA42" s="180"/>
    </row>
    <row r="43" customFormat="false" ht="12.75" hidden="false" customHeight="false" outlineLevel="0" collapsed="false">
      <c r="A43" s="470" t="s">
        <v>471</v>
      </c>
      <c r="B43" s="191"/>
      <c r="C43" s="191"/>
      <c r="D43" s="191"/>
      <c r="E43" s="191"/>
      <c r="F43" s="474"/>
      <c r="G43" s="475"/>
      <c r="H43" s="475"/>
      <c r="I43" s="475"/>
      <c r="J43" s="475"/>
      <c r="K43" s="475"/>
      <c r="L43" s="475"/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180"/>
      <c r="X43" s="180"/>
      <c r="Y43" s="180"/>
      <c r="Z43" s="180"/>
      <c r="AA43" s="180"/>
    </row>
    <row r="44" customFormat="false" ht="12.75" hidden="false" customHeight="false" outlineLevel="0" collapsed="false">
      <c r="A44" s="191"/>
      <c r="B44" s="191" t="s">
        <v>472</v>
      </c>
      <c r="C44" s="191"/>
      <c r="D44" s="191"/>
      <c r="E44" s="191"/>
      <c r="F44" s="474" t="n">
        <f aca="false">F13*'Project Assumptions'!$N$59</f>
        <v>0</v>
      </c>
      <c r="G44" s="476" t="n">
        <f aca="false">G13*'Project Assumptions'!$N$59</f>
        <v>0</v>
      </c>
      <c r="H44" s="476" t="n">
        <f aca="false">H13*'Project Assumptions'!$N$59</f>
        <v>0</v>
      </c>
      <c r="I44" s="476" t="n">
        <f aca="false">I13*'Project Assumptions'!$N$59</f>
        <v>0</v>
      </c>
      <c r="J44" s="476" t="n">
        <f aca="false">J13*'Project Assumptions'!$N$59</f>
        <v>0</v>
      </c>
      <c r="K44" s="476" t="n">
        <f aca="false">K13*'Project Assumptions'!$N$59</f>
        <v>0</v>
      </c>
      <c r="L44" s="476" t="n">
        <f aca="false">L13*'Project Assumptions'!$N$59</f>
        <v>0</v>
      </c>
      <c r="M44" s="476" t="n">
        <f aca="false">M13*'Project Assumptions'!$N$59</f>
        <v>0</v>
      </c>
      <c r="N44" s="476" t="n">
        <f aca="false">N13*'Project Assumptions'!$N$59</f>
        <v>0</v>
      </c>
      <c r="O44" s="476" t="n">
        <f aca="false">O13*'Project Assumptions'!$N$59</f>
        <v>0</v>
      </c>
      <c r="P44" s="476" t="n">
        <f aca="false">P13*'Project Assumptions'!$N$59</f>
        <v>0</v>
      </c>
      <c r="Q44" s="476" t="n">
        <f aca="false">Q13*'Project Assumptions'!$N$59</f>
        <v>0</v>
      </c>
      <c r="R44" s="476" t="n">
        <f aca="false">R13*'Project Assumptions'!$N$59</f>
        <v>0</v>
      </c>
      <c r="S44" s="476" t="n">
        <f aca="false">S13*'Project Assumptions'!$N$59</f>
        <v>0</v>
      </c>
      <c r="T44" s="476" t="n">
        <f aca="false">T13*'Project Assumptions'!$N$59</f>
        <v>0</v>
      </c>
      <c r="U44" s="476" t="n">
        <f aca="false">U13*'Project Assumptions'!$N$59</f>
        <v>0</v>
      </c>
      <c r="V44" s="476" t="n">
        <f aca="false">V13*'Project Assumptions'!$N$59</f>
        <v>0</v>
      </c>
      <c r="W44" s="476"/>
      <c r="X44" s="476"/>
      <c r="Y44" s="476"/>
      <c r="Z44" s="476"/>
      <c r="AA44" s="180"/>
    </row>
    <row r="45" customFormat="false" ht="12.75" hidden="false" customHeight="false" outlineLevel="0" collapsed="false">
      <c r="A45" s="191"/>
      <c r="B45" s="191" t="s">
        <v>473</v>
      </c>
      <c r="C45" s="191"/>
      <c r="D45" s="191"/>
      <c r="E45" s="191"/>
      <c r="F45" s="474" t="n">
        <f aca="false">F14*'Project Assumptions'!$N$59</f>
        <v>56672.4638706115</v>
      </c>
      <c r="G45" s="473" t="n">
        <f aca="false">G14*'Project Assumptions'!$N$59</f>
        <v>55481.2506561974</v>
      </c>
      <c r="H45" s="473" t="n">
        <f aca="false">H14*'Project Assumptions'!$N$59</f>
        <v>52990.5429461792</v>
      </c>
      <c r="I45" s="473" t="n">
        <f aca="false">I14*'Project Assumptions'!$N$59</f>
        <v>50348.1511366207</v>
      </c>
      <c r="J45" s="473" t="n">
        <f aca="false">J14*'Project Assumptions'!$N$59</f>
        <v>47544.8376658602</v>
      </c>
      <c r="K45" s="473" t="n">
        <f aca="false">K14*'Project Assumptions'!$N$59</f>
        <v>44570.8024047304</v>
      </c>
      <c r="L45" s="473" t="n">
        <f aca="false">L14*'Project Assumptions'!$N$59</f>
        <v>41415.6483961978</v>
      </c>
      <c r="M45" s="473" t="n">
        <f aca="false">M14*'Project Assumptions'!$N$59</f>
        <v>38068.3455085455</v>
      </c>
      <c r="N45" s="473" t="n">
        <f aca="false">N14*'Project Assumptions'!$N$59</f>
        <v>34517.1918750352</v>
      </c>
      <c r="O45" s="473" t="n">
        <f aca="false">O14*'Project Assumptions'!$N$59</f>
        <v>30749.7729852441</v>
      </c>
      <c r="P45" s="473" t="n">
        <f aca="false">P14*'Project Assumptions'!$N$59</f>
        <v>26752.9182850648</v>
      </c>
      <c r="Q45" s="473" t="n">
        <f aca="false">Q14*'Project Assumptions'!$N$59</f>
        <v>22512.6551336445</v>
      </c>
      <c r="R45" s="473" t="n">
        <f aca="false">R14*'Project Assumptions'!$N$59</f>
        <v>18014.1599563027</v>
      </c>
      <c r="S45" s="473" t="n">
        <f aca="false">S14*'Project Assumptions'!$N$59</f>
        <v>13241.7064226609</v>
      </c>
      <c r="T45" s="473" t="n">
        <f aca="false">T14*'Project Assumptions'!$N$59</f>
        <v>8178.61046882018</v>
      </c>
      <c r="U45" s="473" t="n">
        <f aca="false">U14*'Project Assumptions'!$N$59</f>
        <v>2807.17197139061</v>
      </c>
      <c r="V45" s="473" t="n">
        <f aca="false">V14*'Project Assumptions'!$N$59</f>
        <v>-4.13820089306682E-011</v>
      </c>
      <c r="W45" s="473"/>
      <c r="X45" s="473"/>
      <c r="Y45" s="473"/>
      <c r="Z45" s="473"/>
      <c r="AA45" s="180"/>
    </row>
    <row r="46" customFormat="false" ht="12.75" hidden="false" customHeight="false" outlineLevel="0" collapsed="false">
      <c r="A46" s="191"/>
      <c r="B46" s="191" t="s">
        <v>474</v>
      </c>
      <c r="C46" s="191"/>
      <c r="D46" s="191"/>
      <c r="E46" s="191"/>
      <c r="F46" s="474" t="n">
        <f aca="false">F15*'Project Assumptions'!$N$59</f>
        <v>0</v>
      </c>
      <c r="G46" s="473" t="n">
        <f aca="false">G15*'Project Assumptions'!$N$59</f>
        <v>0</v>
      </c>
      <c r="H46" s="473" t="n">
        <f aca="false">H15*'Project Assumptions'!$N$59</f>
        <v>0</v>
      </c>
      <c r="I46" s="473" t="n">
        <f aca="false">I15*'Project Assumptions'!$N$59</f>
        <v>0</v>
      </c>
      <c r="J46" s="473" t="n">
        <f aca="false">J15*'Project Assumptions'!$N$59</f>
        <v>0</v>
      </c>
      <c r="K46" s="473" t="n">
        <f aca="false">K15*'Project Assumptions'!$N$59</f>
        <v>0</v>
      </c>
      <c r="L46" s="473" t="n">
        <f aca="false">L15*'Project Assumptions'!$N$59</f>
        <v>0</v>
      </c>
      <c r="M46" s="473" t="n">
        <f aca="false">M15*'Project Assumptions'!$N$59</f>
        <v>0</v>
      </c>
      <c r="N46" s="473" t="n">
        <f aca="false">N15*'Project Assumptions'!$N$59</f>
        <v>0</v>
      </c>
      <c r="O46" s="473" t="n">
        <f aca="false">O15*'Project Assumptions'!$N$59</f>
        <v>0</v>
      </c>
      <c r="P46" s="473" t="n">
        <f aca="false">P15*'Project Assumptions'!$N$59</f>
        <v>0</v>
      </c>
      <c r="Q46" s="473" t="n">
        <f aca="false">Q15*'Project Assumptions'!$N$59</f>
        <v>0</v>
      </c>
      <c r="R46" s="473" t="n">
        <f aca="false">R15*'Project Assumptions'!$N$59</f>
        <v>0</v>
      </c>
      <c r="S46" s="473" t="n">
        <f aca="false">S15*'Project Assumptions'!$N$59</f>
        <v>0</v>
      </c>
      <c r="T46" s="473" t="n">
        <f aca="false">T15*'Project Assumptions'!$N$59</f>
        <v>0</v>
      </c>
      <c r="U46" s="473" t="n">
        <f aca="false">U15*'Project Assumptions'!$N$59</f>
        <v>0</v>
      </c>
      <c r="V46" s="473" t="n">
        <f aca="false">V15*'Project Assumptions'!$N$59</f>
        <v>0</v>
      </c>
      <c r="W46" s="473"/>
      <c r="X46" s="473"/>
      <c r="Y46" s="473"/>
      <c r="Z46" s="473"/>
      <c r="AA46" s="180"/>
    </row>
    <row r="47" customFormat="false" ht="12.75" hidden="false" customHeight="false" outlineLevel="0" collapsed="false">
      <c r="A47" s="470" t="s">
        <v>475</v>
      </c>
      <c r="B47" s="191"/>
      <c r="C47" s="180"/>
      <c r="D47" s="191"/>
      <c r="E47" s="191"/>
      <c r="F47" s="474" t="n">
        <f aca="false">SUM(F44:F46)</f>
        <v>56672.4638706115</v>
      </c>
      <c r="G47" s="474" t="n">
        <f aca="false">SUM(G44:G46)</f>
        <v>55481.2506561974</v>
      </c>
      <c r="H47" s="474" t="n">
        <f aca="false">SUM(H44:H46)</f>
        <v>52990.5429461792</v>
      </c>
      <c r="I47" s="474" t="n">
        <f aca="false">SUM(I44:I46)</f>
        <v>50348.1511366207</v>
      </c>
      <c r="J47" s="474" t="n">
        <f aca="false">SUM(J44:J46)</f>
        <v>47544.8376658602</v>
      </c>
      <c r="K47" s="474" t="n">
        <f aca="false">SUM(K44:K46)</f>
        <v>44570.8024047304</v>
      </c>
      <c r="L47" s="474" t="n">
        <f aca="false">SUM(L44:L46)</f>
        <v>41415.6483961978</v>
      </c>
      <c r="M47" s="474" t="n">
        <f aca="false">SUM(M44:M46)</f>
        <v>38068.3455085455</v>
      </c>
      <c r="N47" s="474" t="n">
        <f aca="false">SUM(N44:N46)</f>
        <v>34517.1918750352</v>
      </c>
      <c r="O47" s="474" t="n">
        <f aca="false">SUM(O44:O46)</f>
        <v>30749.7729852441</v>
      </c>
      <c r="P47" s="474" t="n">
        <f aca="false">SUM(P44:P46)</f>
        <v>26752.9182850648</v>
      </c>
      <c r="Q47" s="474" t="n">
        <f aca="false">SUM(Q44:Q46)</f>
        <v>22512.6551336445</v>
      </c>
      <c r="R47" s="474" t="n">
        <f aca="false">SUM(R44:R46)</f>
        <v>18014.1599563027</v>
      </c>
      <c r="S47" s="474" t="n">
        <f aca="false">SUM(S44:S46)</f>
        <v>13241.7064226609</v>
      </c>
      <c r="T47" s="474" t="n">
        <f aca="false">SUM(T44:T46)</f>
        <v>8178.61046882018</v>
      </c>
      <c r="U47" s="474" t="n">
        <f aca="false">SUM(U44:U46)</f>
        <v>2807.17197139061</v>
      </c>
      <c r="V47" s="474" t="n">
        <f aca="false">SUM(V44:V46)</f>
        <v>-4.13820089306682E-011</v>
      </c>
      <c r="W47" s="476"/>
      <c r="X47" s="476"/>
      <c r="Y47" s="476"/>
      <c r="Z47" s="476"/>
      <c r="AA47" s="180"/>
    </row>
    <row r="48" customFormat="false" ht="12.75" hidden="false" customHeight="false" outlineLevel="0" collapsed="false">
      <c r="A48" s="191"/>
      <c r="B48" s="191"/>
      <c r="C48" s="191"/>
      <c r="D48" s="191"/>
      <c r="E48" s="191"/>
      <c r="F48" s="474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180"/>
      <c r="X48" s="180"/>
      <c r="Y48" s="180"/>
      <c r="Z48" s="180"/>
      <c r="AA48" s="180"/>
    </row>
    <row r="49" customFormat="false" ht="12.75" hidden="false" customHeight="false" outlineLevel="0" collapsed="false">
      <c r="A49" s="470" t="s">
        <v>476</v>
      </c>
      <c r="B49" s="191"/>
      <c r="C49" s="191"/>
      <c r="D49" s="191"/>
      <c r="E49" s="191"/>
      <c r="F49" s="474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</row>
    <row r="50" customFormat="false" ht="12.75" hidden="false" customHeight="false" outlineLevel="0" collapsed="false">
      <c r="A50" s="191"/>
      <c r="B50" s="191" t="s">
        <v>477</v>
      </c>
      <c r="C50" s="191"/>
      <c r="D50" s="191"/>
      <c r="E50" s="191"/>
      <c r="F50" s="474" t="n">
        <v>1963</v>
      </c>
      <c r="G50" s="474" t="n">
        <f aca="false">$F$50+(SUM('Cash Flow Statement'!$D$17:'Cash Flow Statement'!D17))</f>
        <v>1963</v>
      </c>
      <c r="H50" s="474" t="n">
        <f aca="false">$F$50+(SUM('Cash Flow Statement'!$D$17:'Cash Flow Statement'!E17))</f>
        <v>1963</v>
      </c>
      <c r="I50" s="474" t="n">
        <f aca="false">$F$50+(SUM('Cash Flow Statement'!$D$17:'Cash Flow Statement'!F17))</f>
        <v>1963</v>
      </c>
      <c r="J50" s="474" t="n">
        <f aca="false">$F$50+(SUM('Cash Flow Statement'!$D$17:'Cash Flow Statement'!G17))</f>
        <v>1963</v>
      </c>
      <c r="K50" s="474" t="n">
        <f aca="false">$F$50+(SUM('Cash Flow Statement'!$D$17:'Cash Flow Statement'!H17))</f>
        <v>1963</v>
      </c>
      <c r="L50" s="474" t="n">
        <f aca="false">$F$50+(SUM('Cash Flow Statement'!$D$17:'Cash Flow Statement'!I17))</f>
        <v>1963</v>
      </c>
      <c r="M50" s="474" t="n">
        <f aca="false">$F$50+(SUM('Cash Flow Statement'!$D$17:'Cash Flow Statement'!J17))</f>
        <v>1963</v>
      </c>
      <c r="N50" s="474" t="n">
        <f aca="false">$F$50+(SUM('Cash Flow Statement'!$D$17:'Cash Flow Statement'!K17))</f>
        <v>1963</v>
      </c>
      <c r="O50" s="474" t="n">
        <f aca="false">$F$50+(SUM('Cash Flow Statement'!$D$17:'Cash Flow Statement'!L17))</f>
        <v>1963</v>
      </c>
      <c r="P50" s="474" t="n">
        <f aca="false">$F$50+(SUM('Cash Flow Statement'!$D$17:'Cash Flow Statement'!M17))</f>
        <v>1963</v>
      </c>
      <c r="Q50" s="474" t="n">
        <f aca="false">$F$50+(SUM('Cash Flow Statement'!$D$17:'Cash Flow Statement'!N17))</f>
        <v>1963</v>
      </c>
      <c r="R50" s="474" t="n">
        <f aca="false">$F$50+(SUM('Cash Flow Statement'!$D$17:'Cash Flow Statement'!O17))</f>
        <v>1963</v>
      </c>
      <c r="S50" s="474" t="n">
        <f aca="false">$F$50+(SUM('Cash Flow Statement'!$D$17:'Cash Flow Statement'!P17))</f>
        <v>1963</v>
      </c>
      <c r="T50" s="474" t="n">
        <f aca="false">$F$50+(SUM('Cash Flow Statement'!$D$17:'Cash Flow Statement'!Q17))</f>
        <v>1963</v>
      </c>
      <c r="U50" s="474" t="n">
        <f aca="false">$F$50+(SUM('Cash Flow Statement'!$D$17:'Cash Flow Statement'!R17))</f>
        <v>1963</v>
      </c>
      <c r="V50" s="474" t="n">
        <f aca="false">$F$50+(SUM('Cash Flow Statement'!$D$17:'Cash Flow Statement'!S17))</f>
        <v>1963</v>
      </c>
      <c r="W50" s="473"/>
      <c r="X50" s="473"/>
      <c r="Y50" s="473"/>
      <c r="Z50" s="473"/>
      <c r="AA50" s="180"/>
    </row>
    <row r="51" customFormat="false" ht="12.75" hidden="false" customHeight="false" outlineLevel="0" collapsed="false">
      <c r="A51" s="191"/>
      <c r="B51" s="191" t="s">
        <v>478</v>
      </c>
      <c r="C51" s="191"/>
      <c r="D51" s="191"/>
      <c r="E51" s="191"/>
      <c r="F51" s="477" t="n">
        <v>0</v>
      </c>
      <c r="G51" s="264" t="n">
        <f aca="false">G20*'Project Assumptions'!$N$59</f>
        <v>-179.398155443542</v>
      </c>
      <c r="H51" s="264" t="n">
        <f aca="false">H20*'Project Assumptions'!$N$59</f>
        <v>-998.826938937496</v>
      </c>
      <c r="I51" s="264" t="n">
        <f aca="false">I20*'Project Assumptions'!$N$59</f>
        <v>-848.015720614962</v>
      </c>
      <c r="J51" s="264" t="n">
        <f aca="false">J20*'Project Assumptions'!$N$59</f>
        <v>-687.440882721262</v>
      </c>
      <c r="K51" s="264" t="n">
        <f aca="false">K20*'Project Assumptions'!$N$59</f>
        <v>-517.69449966213</v>
      </c>
      <c r="L51" s="264" t="n">
        <f aca="false">L20*'Project Assumptions'!$N$59</f>
        <v>-198.324439672976</v>
      </c>
      <c r="M51" s="264" t="n">
        <f aca="false">M20*'Project Assumptions'!$N$59</f>
        <v>130.861907798385</v>
      </c>
      <c r="N51" s="264" t="n">
        <f aca="false">N20*'Project Assumptions'!$N$59</f>
        <v>332.682844976782</v>
      </c>
      <c r="O51" s="264" t="n">
        <f aca="false">O20*'Project Assumptions'!$N$59</f>
        <v>547.417747146036</v>
      </c>
      <c r="P51" s="264" t="n">
        <f aca="false">P20*'Project Assumptions'!$N$59</f>
        <v>774.666222486846</v>
      </c>
      <c r="Q51" s="264" t="n">
        <f aca="false">Q20*'Project Assumptions'!$N$59</f>
        <v>1015.79848571484</v>
      </c>
      <c r="R51" s="264" t="n">
        <f aca="false">R20*'Project Assumptions'!$N$59</f>
        <v>1271.37064648931</v>
      </c>
      <c r="S51" s="264" t="n">
        <f aca="false">S20*'Project Assumptions'!$N$59</f>
        <v>1542.8526481862</v>
      </c>
      <c r="T51" s="264" t="n">
        <f aca="false">T20*'Project Assumptions'!$N$59</f>
        <v>1830.90640108414</v>
      </c>
      <c r="U51" s="264" t="n">
        <f aca="false">U20*'Project Assumptions'!$N$59</f>
        <v>2136.25159463942</v>
      </c>
      <c r="V51" s="264" t="n">
        <f aca="false">V20*'Project Assumptions'!$N$59</f>
        <v>7248.14857023362</v>
      </c>
      <c r="W51" s="264"/>
      <c r="X51" s="264"/>
      <c r="Y51" s="264"/>
      <c r="Z51" s="264"/>
      <c r="AA51" s="180"/>
    </row>
    <row r="52" customFormat="false" ht="12.75" hidden="false" customHeight="false" outlineLevel="0" collapsed="false">
      <c r="A52" s="191"/>
      <c r="B52" s="191" t="s">
        <v>479</v>
      </c>
      <c r="C52" s="191"/>
      <c r="D52" s="191"/>
      <c r="E52" s="191"/>
      <c r="F52" s="477" t="n">
        <v>0</v>
      </c>
      <c r="G52" s="264" t="n">
        <f aca="false">G21*'Project Assumptions'!$N$59</f>
        <v>209.983753384292</v>
      </c>
      <c r="H52" s="264" t="n">
        <f aca="false">H21*'Project Assumptions'!$N$59</f>
        <v>547.104703462134</v>
      </c>
      <c r="I52" s="264" t="n">
        <f aca="false">I21*'Project Assumptions'!$N$59</f>
        <v>295.531966604177</v>
      </c>
      <c r="J52" s="264" t="n">
        <f aca="false">J21*'Project Assumptions'!$N$59</f>
        <v>293.132112936072</v>
      </c>
      <c r="K52" s="264" t="n">
        <f aca="false">K21*'Project Assumptions'!$N$59</f>
        <v>271.218095080271</v>
      </c>
      <c r="L52" s="264" t="n">
        <f aca="false">L21*'Project Assumptions'!$N$59</f>
        <v>270.709881678994</v>
      </c>
      <c r="M52" s="264" t="n">
        <f aca="false">M21*'Project Assumptions'!$N$59</f>
        <v>269.094912700538</v>
      </c>
      <c r="N52" s="264" t="n">
        <f aca="false">N21*'Project Assumptions'!$N$59</f>
        <v>250.967354551044</v>
      </c>
      <c r="O52" s="264" t="n">
        <f aca="false">O21*'Project Assumptions'!$N$59</f>
        <v>251.536663121858</v>
      </c>
      <c r="P52" s="264" t="n">
        <f aca="false">P21*'Project Assumptions'!$N$59</f>
        <v>251.576860214082</v>
      </c>
      <c r="Q52" s="264" t="n">
        <f aca="false">Q21*'Project Assumptions'!$N$59</f>
        <v>251.663861048157</v>
      </c>
      <c r="R52" s="264" t="n">
        <f aca="false">R21*'Project Assumptions'!$N$59</f>
        <v>251.511102948911</v>
      </c>
      <c r="S52" s="264" t="n">
        <f aca="false">S21*'Project Assumptions'!$N$59</f>
        <v>251.694538212682</v>
      </c>
      <c r="T52" s="264" t="n">
        <f aca="false">T21*'Project Assumptions'!$N$59</f>
        <v>251.927641981722</v>
      </c>
      <c r="U52" s="264" t="n">
        <f aca="false">U21*'Project Assumptions'!$N$59</f>
        <v>251.923908876149</v>
      </c>
      <c r="V52" s="264" t="n">
        <f aca="false">V21*'Project Assumptions'!$N$59</f>
        <v>6144.48815915896</v>
      </c>
      <c r="W52" s="264"/>
      <c r="X52" s="264"/>
      <c r="Y52" s="264"/>
      <c r="Z52" s="264"/>
      <c r="AA52" s="180"/>
    </row>
    <row r="53" customFormat="false" ht="12.75" hidden="false" customHeight="false" outlineLevel="0" collapsed="false">
      <c r="A53" s="191"/>
      <c r="B53" s="191" t="s">
        <v>480</v>
      </c>
      <c r="C53" s="191"/>
      <c r="D53" s="191"/>
      <c r="E53" s="191"/>
      <c r="F53" s="477"/>
      <c r="G53" s="264" t="n">
        <f aca="false">G22*'Project Assumptions'!$N$59</f>
        <v>-389.381908827835</v>
      </c>
      <c r="H53" s="264" t="n">
        <f aca="false">H22*'Project Assumptions'!$N$59</f>
        <v>-1935.31355122746</v>
      </c>
      <c r="I53" s="264" t="n">
        <f aca="false">I22*'Project Assumptions'!$N$59</f>
        <v>-3078.8612384466</v>
      </c>
      <c r="J53" s="264" t="n">
        <f aca="false">J22*'Project Assumptions'!$N$59</f>
        <v>-4059.43423410394</v>
      </c>
      <c r="K53" s="264" t="n">
        <f aca="false">K22*'Project Assumptions'!$N$59</f>
        <v>-4848.34682884634</v>
      </c>
      <c r="L53" s="264" t="n">
        <f aca="false">L22*'Project Assumptions'!$N$59</f>
        <v>-5317.38115019831</v>
      </c>
      <c r="M53" s="264" t="n">
        <f aca="false">M22*'Project Assumptions'!$N$59</f>
        <v>-5455.61415510046</v>
      </c>
      <c r="N53" s="264" t="n">
        <f aca="false">N22*'Project Assumptions'!$N$59</f>
        <v>-5373.89866467472</v>
      </c>
      <c r="O53" s="264" t="n">
        <f aca="false">O22*'Project Assumptions'!$N$59</f>
        <v>-5078.01758065055</v>
      </c>
      <c r="P53" s="264" t="n">
        <f aca="false">P22*'Project Assumptions'!$N$59</f>
        <v>-4554.92821837778</v>
      </c>
      <c r="Q53" s="264" t="n">
        <f aca="false">Q22*'Project Assumptions'!$N$59</f>
        <v>-3790.7935937111</v>
      </c>
      <c r="R53" s="264" t="n">
        <f aca="false">R22*'Project Assumptions'!$N$59</f>
        <v>-2770.9340501707</v>
      </c>
      <c r="S53" s="264" t="n">
        <f aca="false">S22*'Project Assumptions'!$N$59</f>
        <v>-1479.77594019718</v>
      </c>
      <c r="T53" s="264" t="n">
        <f aca="false">T22*'Project Assumptions'!$N$59</f>
        <v>99.2028189052467</v>
      </c>
      <c r="U53" s="264" t="n">
        <f aca="false">U22*'Project Assumptions'!$N$59</f>
        <v>1983.53050466852</v>
      </c>
      <c r="V53" s="264" t="n">
        <f aca="false">V22*'Project Assumptions'!$N$59</f>
        <v>3087.19091574318</v>
      </c>
      <c r="W53" s="264"/>
      <c r="X53" s="264"/>
      <c r="Y53" s="264"/>
      <c r="Z53" s="264"/>
      <c r="AA53" s="180"/>
    </row>
    <row r="54" customFormat="false" ht="12.75" hidden="false" customHeight="false" outlineLevel="0" collapsed="false">
      <c r="A54" s="191"/>
      <c r="B54" s="191" t="s">
        <v>481</v>
      </c>
      <c r="C54" s="191"/>
      <c r="D54" s="191"/>
      <c r="E54" s="191"/>
      <c r="F54" s="474" t="n">
        <f aca="false">F50+F53</f>
        <v>1963</v>
      </c>
      <c r="G54" s="474" t="n">
        <f aca="false">G50+G53</f>
        <v>1573.61809117217</v>
      </c>
      <c r="H54" s="474" t="n">
        <f aca="false">H50+H53</f>
        <v>27.6864487725354</v>
      </c>
      <c r="I54" s="474" t="n">
        <f aca="false">I50+I53</f>
        <v>-1115.8612384466</v>
      </c>
      <c r="J54" s="474" t="n">
        <f aca="false">J50+J53</f>
        <v>-2096.43423410394</v>
      </c>
      <c r="K54" s="474" t="n">
        <f aca="false">K50+K53</f>
        <v>-2885.34682884634</v>
      </c>
      <c r="L54" s="474" t="n">
        <f aca="false">L50+L53</f>
        <v>-3354.38115019831</v>
      </c>
      <c r="M54" s="474" t="n">
        <f aca="false">M50+M53</f>
        <v>-3492.61415510046</v>
      </c>
      <c r="N54" s="474" t="n">
        <f aca="false">N50+N53</f>
        <v>-3410.89866467472</v>
      </c>
      <c r="O54" s="474" t="n">
        <f aca="false">O50+O53</f>
        <v>-3115.01758065055</v>
      </c>
      <c r="P54" s="474" t="n">
        <f aca="false">P50+P53</f>
        <v>-2591.92821837778</v>
      </c>
      <c r="Q54" s="474" t="n">
        <f aca="false">Q50+Q53</f>
        <v>-1827.7935937111</v>
      </c>
      <c r="R54" s="474" t="n">
        <f aca="false">R50+R53</f>
        <v>-807.934050170697</v>
      </c>
      <c r="S54" s="474" t="n">
        <f aca="false">S50+S53</f>
        <v>483.224059802825</v>
      </c>
      <c r="T54" s="474" t="n">
        <f aca="false">T50+T53</f>
        <v>2062.20281890525</v>
      </c>
      <c r="U54" s="474" t="n">
        <f aca="false">U50+U53</f>
        <v>3946.53050466852</v>
      </c>
      <c r="V54" s="474" t="n">
        <f aca="false">V50+V53</f>
        <v>5050.19091574318</v>
      </c>
      <c r="W54" s="474"/>
      <c r="X54" s="474"/>
      <c r="Y54" s="474"/>
      <c r="Z54" s="474"/>
      <c r="AA54" s="180"/>
    </row>
    <row r="55" customFormat="false" ht="12.75" hidden="false" customHeight="false" outlineLevel="0" collapsed="false">
      <c r="A55" s="191"/>
      <c r="B55" s="191"/>
      <c r="C55" s="191"/>
      <c r="D55" s="191"/>
      <c r="E55" s="191"/>
      <c r="F55" s="474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</row>
    <row r="56" customFormat="false" ht="12.75" hidden="false" customHeight="false" outlineLevel="0" collapsed="false">
      <c r="A56" s="470" t="s">
        <v>482</v>
      </c>
      <c r="B56" s="191"/>
      <c r="C56" s="191"/>
      <c r="D56" s="191"/>
      <c r="E56" s="191"/>
      <c r="F56" s="478" t="n">
        <f aca="false">F47+F54</f>
        <v>58635.4638706115</v>
      </c>
      <c r="G56" s="476" t="n">
        <f aca="false">G47+G54</f>
        <v>57054.8687473696</v>
      </c>
      <c r="H56" s="476" t="n">
        <f aca="false">H47+H54</f>
        <v>53018.2293949517</v>
      </c>
      <c r="I56" s="476" t="n">
        <f aca="false">I47+I54</f>
        <v>49232.2898981741</v>
      </c>
      <c r="J56" s="476" t="n">
        <f aca="false">J47+J54</f>
        <v>45448.4034317563</v>
      </c>
      <c r="K56" s="476" t="n">
        <f aca="false">K47+K54</f>
        <v>41685.4555758841</v>
      </c>
      <c r="L56" s="476" t="n">
        <f aca="false">L47+L54</f>
        <v>38061.2672459995</v>
      </c>
      <c r="M56" s="476" t="n">
        <f aca="false">M47+M54</f>
        <v>34575.731353445</v>
      </c>
      <c r="N56" s="476" t="n">
        <f aca="false">N47+N54</f>
        <v>31106.2932103605</v>
      </c>
      <c r="O56" s="476" t="n">
        <f aca="false">O47+O54</f>
        <v>27634.7554045936</v>
      </c>
      <c r="P56" s="476" t="n">
        <f aca="false">P47+P54</f>
        <v>24160.990066687</v>
      </c>
      <c r="Q56" s="476" t="n">
        <f aca="false">Q47+Q54</f>
        <v>20684.8615399334</v>
      </c>
      <c r="R56" s="476" t="n">
        <f aca="false">R47+R54</f>
        <v>17206.225906132</v>
      </c>
      <c r="S56" s="476" t="n">
        <f aca="false">S47+S54</f>
        <v>13724.9304824637</v>
      </c>
      <c r="T56" s="476" t="n">
        <f aca="false">T47+T54</f>
        <v>10240.8132877254</v>
      </c>
      <c r="U56" s="476" t="n">
        <f aca="false">U47+U54</f>
        <v>6753.70247605913</v>
      </c>
      <c r="V56" s="476" t="n">
        <f aca="false">V47+V54</f>
        <v>5050.19091574314</v>
      </c>
      <c r="W56" s="476"/>
      <c r="X56" s="476"/>
      <c r="Y56" s="476"/>
      <c r="Z56" s="476"/>
      <c r="AA56" s="180"/>
    </row>
    <row r="57" customFormat="false" ht="12.75" hidden="false" customHeight="false" outlineLevel="0" collapsed="false">
      <c r="A57" s="191"/>
      <c r="B57" s="191"/>
      <c r="C57" s="191"/>
      <c r="D57" s="191"/>
      <c r="E57" s="191"/>
      <c r="F57" s="474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</row>
    <row r="58" customFormat="false" ht="12.75" hidden="false" customHeight="false" outlineLevel="0" collapsed="false">
      <c r="A58" s="180"/>
      <c r="B58" s="180"/>
      <c r="C58" s="180"/>
      <c r="D58" s="180"/>
      <c r="E58" s="180"/>
      <c r="F58" s="473" t="n">
        <f aca="false">F41-F56</f>
        <v>570.501104746109</v>
      </c>
      <c r="G58" s="473" t="n">
        <f aca="false">G41-G56</f>
        <v>285.86705271875</v>
      </c>
      <c r="H58" s="473" t="n">
        <f aca="false">H41-H56</f>
        <v>592.048054598243</v>
      </c>
      <c r="I58" s="473" t="n">
        <f aca="false">I41-I56</f>
        <v>647.529200837351</v>
      </c>
      <c r="J58" s="473" t="n">
        <f aca="false">J41-J56</f>
        <v>700.957316716762</v>
      </c>
      <c r="K58" s="473" t="n">
        <f aca="false">K41-K56</f>
        <v>733.446822050559</v>
      </c>
      <c r="L58" s="473" t="n">
        <f aca="false">L41-L56</f>
        <v>765.887073532671</v>
      </c>
      <c r="M58" s="473" t="n">
        <f aca="false">M41-M56</f>
        <v>798.385159820558</v>
      </c>
      <c r="N58" s="473" t="n">
        <f aca="false">N41-N56</f>
        <v>814.785496638571</v>
      </c>
      <c r="O58" s="473" t="n">
        <f aca="false">O41-O56</f>
        <v>833.285496138924</v>
      </c>
      <c r="P58" s="473" t="n">
        <f aca="false">P41-P56</f>
        <v>854.013027778972</v>
      </c>
      <c r="Q58" s="473" t="n">
        <f aca="false">Q41-Q56</f>
        <v>877.103748266018</v>
      </c>
      <c r="R58" s="473" t="n">
        <f aca="false">R41-R56</f>
        <v>902.701575800846</v>
      </c>
      <c r="S58" s="473" t="n">
        <f aca="false">S41-S56</f>
        <v>930.959193202662</v>
      </c>
      <c r="T58" s="473" t="n">
        <f aca="false">T41-T56</f>
        <v>962.038581674373</v>
      </c>
      <c r="U58" s="473" t="n">
        <f aca="false">U41-U56</f>
        <v>996.111587074131</v>
      </c>
      <c r="V58" s="473" t="n">
        <f aca="false">V41-V56</f>
        <v>973.104244256856</v>
      </c>
      <c r="W58" s="473"/>
      <c r="X58" s="473"/>
      <c r="Y58" s="473"/>
      <c r="Z58" s="473"/>
      <c r="AA58" s="180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T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75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17.28"/>
    <col collapsed="false" customWidth="true" hidden="false" outlineLevel="0" max="19" min="19" style="0" width="10.41"/>
  </cols>
  <sheetData>
    <row r="1" customFormat="false" ht="26.25" hidden="false" customHeight="false" outlineLevel="0" collapsed="false">
      <c r="A1" s="160" t="str">
        <f aca="false">'Project Assumptions'!$A$2</f>
        <v>PROJECT DOYLE</v>
      </c>
    </row>
    <row r="2" customFormat="false" ht="18" hidden="false" customHeight="false" outlineLevel="0" collapsed="false">
      <c r="A2" s="162" t="s">
        <v>484</v>
      </c>
    </row>
    <row r="3" customFormat="false" ht="12.6" hidden="false" customHeight="true" outlineLevel="0" collapsed="false">
      <c r="A3" s="343"/>
      <c r="C3" s="236" t="n">
        <f aca="false">'Book Income Statement'!C3</f>
        <v>1</v>
      </c>
      <c r="D3" s="237" t="n">
        <f aca="false">'Book Income Statement'!D3</f>
        <v>2</v>
      </c>
      <c r="E3" s="237" t="n">
        <f aca="false">'Book Income Statement'!E3</f>
        <v>3</v>
      </c>
      <c r="F3" s="237" t="n">
        <f aca="false">'Book Income Statement'!F3</f>
        <v>4</v>
      </c>
      <c r="G3" s="237" t="n">
        <f aca="false">'Book Income Statement'!G3</f>
        <v>5</v>
      </c>
      <c r="H3" s="237" t="n">
        <f aca="false">'Book Income Statement'!H3</f>
        <v>6</v>
      </c>
      <c r="I3" s="344" t="n">
        <f aca="false">'Book Income Statement'!I3</f>
        <v>7</v>
      </c>
      <c r="J3" s="237" t="n">
        <f aca="false">'Book Income Statement'!J3</f>
        <v>8</v>
      </c>
      <c r="K3" s="237" t="n">
        <f aca="false">'Book Income Statement'!K3</f>
        <v>9</v>
      </c>
      <c r="L3" s="237" t="n">
        <f aca="false">'Book Income Statement'!L3</f>
        <v>10</v>
      </c>
      <c r="M3" s="237" t="n">
        <f aca="false">'Book Income Statement'!M3</f>
        <v>11</v>
      </c>
      <c r="N3" s="237" t="n">
        <f aca="false">'Book Income Statement'!N3</f>
        <v>12</v>
      </c>
      <c r="O3" s="344" t="n">
        <f aca="false">'Book Income Statement'!O3</f>
        <v>13</v>
      </c>
      <c r="P3" s="237" t="n">
        <f aca="false">'Book Income Statement'!P3</f>
        <v>14</v>
      </c>
      <c r="Q3" s="237" t="n">
        <f aca="false">'Book Income Statement'!Q3</f>
        <v>15</v>
      </c>
      <c r="R3" s="237" t="n">
        <f aca="false">'Book Income Statement'!R3</f>
        <v>16</v>
      </c>
      <c r="AC3" s="238"/>
    </row>
    <row r="4" customFormat="false" ht="12.6" hidden="false" customHeight="true" outlineLevel="0" collapsed="false">
      <c r="A4" s="345"/>
      <c r="B4" s="237"/>
      <c r="C4" s="346" t="n">
        <f aca="false">'Book Income Statement'!C4</f>
        <v>2000</v>
      </c>
      <c r="D4" s="346" t="n">
        <f aca="false">'Book Income Statement'!D4</f>
        <v>2001</v>
      </c>
      <c r="E4" s="346" t="n">
        <f aca="false">'Book Income Statement'!E4</f>
        <v>2002</v>
      </c>
      <c r="F4" s="346" t="n">
        <f aca="false">'Book Income Statement'!F4</f>
        <v>2003</v>
      </c>
      <c r="G4" s="346" t="n">
        <f aca="false">'Book Income Statement'!G4</f>
        <v>2004</v>
      </c>
      <c r="H4" s="346" t="n">
        <f aca="false">'Book Income Statement'!H4</f>
        <v>2005</v>
      </c>
      <c r="I4" s="346" t="n">
        <f aca="false">'Book Income Statement'!I4</f>
        <v>2006</v>
      </c>
      <c r="J4" s="346" t="n">
        <f aca="false">'Book Income Statement'!J4</f>
        <v>2007</v>
      </c>
      <c r="K4" s="346" t="n">
        <f aca="false">'Book Income Statement'!K4</f>
        <v>2008</v>
      </c>
      <c r="L4" s="346" t="n">
        <f aca="false">'Book Income Statement'!L4</f>
        <v>2009</v>
      </c>
      <c r="M4" s="346" t="n">
        <f aca="false">'Book Income Statement'!M4</f>
        <v>2010</v>
      </c>
      <c r="N4" s="346" t="n">
        <f aca="false">'Book Income Statement'!N4</f>
        <v>2011</v>
      </c>
      <c r="O4" s="346" t="n">
        <f aca="false">'Book Income Statement'!O4</f>
        <v>2012</v>
      </c>
      <c r="P4" s="346" t="n">
        <f aca="false">'Book Income Statement'!P4</f>
        <v>2013</v>
      </c>
      <c r="Q4" s="346" t="n">
        <f aca="false">'Book Income Statement'!Q4</f>
        <v>2014</v>
      </c>
      <c r="R4" s="346" t="n">
        <f aca="false">'Book Income Statement'!R4</f>
        <v>2015</v>
      </c>
      <c r="AB4" s="346"/>
      <c r="AC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</row>
    <row r="5" customFormat="false" ht="12.6" hidden="false" customHeight="true" outlineLevel="0" collapsed="false">
      <c r="A5" s="246" t="s">
        <v>315</v>
      </c>
      <c r="B5" s="237"/>
      <c r="C5" s="480" t="n">
        <f aca="false">'Book Income Statement'!C5</f>
        <v>6.325</v>
      </c>
      <c r="D5" s="480" t="n">
        <f aca="false">'Book Income Statement'!D5</f>
        <v>12</v>
      </c>
      <c r="E5" s="480" t="n">
        <f aca="false">'Book Income Statement'!E5</f>
        <v>12</v>
      </c>
      <c r="F5" s="480" t="n">
        <f aca="false">'Book Income Statement'!F5</f>
        <v>12</v>
      </c>
      <c r="G5" s="480" t="n">
        <f aca="false">'Book Income Statement'!G5</f>
        <v>12</v>
      </c>
      <c r="H5" s="480" t="n">
        <f aca="false">'Book Income Statement'!H5</f>
        <v>12</v>
      </c>
      <c r="I5" s="480" t="n">
        <f aca="false">'Book Income Statement'!I5</f>
        <v>12</v>
      </c>
      <c r="J5" s="480" t="n">
        <f aca="false">'Book Income Statement'!J5</f>
        <v>12</v>
      </c>
      <c r="K5" s="480" t="n">
        <f aca="false">'Book Income Statement'!K5</f>
        <v>12</v>
      </c>
      <c r="L5" s="480" t="n">
        <f aca="false">'Book Income Statement'!L5</f>
        <v>12</v>
      </c>
      <c r="M5" s="480" t="n">
        <f aca="false">'Book Income Statement'!M5</f>
        <v>12</v>
      </c>
      <c r="N5" s="480" t="n">
        <f aca="false">'Book Income Statement'!N5</f>
        <v>12</v>
      </c>
      <c r="O5" s="480" t="n">
        <f aca="false">'Book Income Statement'!O5</f>
        <v>12</v>
      </c>
      <c r="P5" s="480" t="n">
        <f aca="false">'Book Income Statement'!P5</f>
        <v>12</v>
      </c>
      <c r="Q5" s="480" t="n">
        <f aca="false">'Book Income Statement'!Q5</f>
        <v>12</v>
      </c>
      <c r="R5" s="480" t="n">
        <f aca="false">'Book Income Statement'!R5</f>
        <v>8</v>
      </c>
      <c r="AB5" s="346"/>
      <c r="AC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</row>
    <row r="6" customFormat="false" ht="15.75" hidden="false" customHeight="false" outlineLevel="0" collapsed="false">
      <c r="A6" s="442" t="s">
        <v>485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</row>
    <row r="7" customFormat="false" ht="12.6" hidden="true" customHeight="true" outlineLevel="0" collapsed="false">
      <c r="A7" s="248" t="s">
        <v>486</v>
      </c>
      <c r="B7" s="236"/>
      <c r="C7" s="481" t="n">
        <v>0</v>
      </c>
      <c r="D7" s="481" t="n">
        <v>0</v>
      </c>
      <c r="E7" s="481" t="n">
        <v>0</v>
      </c>
      <c r="F7" s="481" t="n">
        <v>0</v>
      </c>
      <c r="G7" s="481" t="n">
        <v>0</v>
      </c>
      <c r="H7" s="481" t="n">
        <v>0</v>
      </c>
      <c r="I7" s="481" t="n">
        <v>0</v>
      </c>
      <c r="J7" s="481" t="n">
        <v>0</v>
      </c>
      <c r="K7" s="481" t="n">
        <v>0</v>
      </c>
      <c r="L7" s="481" t="n">
        <v>0</v>
      </c>
      <c r="M7" s="481" t="n">
        <v>0</v>
      </c>
      <c r="N7" s="481" t="n">
        <v>0</v>
      </c>
      <c r="O7" s="481" t="n">
        <v>0</v>
      </c>
      <c r="P7" s="481" t="n">
        <v>0</v>
      </c>
      <c r="Q7" s="481" t="n">
        <v>0</v>
      </c>
      <c r="R7" s="481" t="n">
        <v>0</v>
      </c>
    </row>
    <row r="8" customFormat="false" ht="12.6" hidden="true" customHeight="true" outlineLevel="0" collapsed="false">
      <c r="A8" s="248" t="s">
        <v>487</v>
      </c>
      <c r="B8" s="236"/>
      <c r="C8" s="481" t="n">
        <v>0</v>
      </c>
      <c r="D8" s="481" t="n">
        <v>0</v>
      </c>
      <c r="E8" s="481" t="n">
        <v>0</v>
      </c>
      <c r="F8" s="481" t="n">
        <v>0</v>
      </c>
      <c r="G8" s="481" t="n">
        <v>0</v>
      </c>
      <c r="H8" s="481" t="n">
        <v>0</v>
      </c>
      <c r="I8" s="481" t="n">
        <v>0</v>
      </c>
      <c r="J8" s="481" t="n">
        <v>0</v>
      </c>
      <c r="K8" s="481" t="n">
        <v>0</v>
      </c>
      <c r="L8" s="481" t="n">
        <v>0</v>
      </c>
      <c r="M8" s="481" t="n">
        <v>0</v>
      </c>
      <c r="N8" s="481" t="n">
        <v>0</v>
      </c>
      <c r="O8" s="481" t="n">
        <v>0</v>
      </c>
      <c r="P8" s="481" t="n">
        <v>0</v>
      </c>
      <c r="Q8" s="481" t="n">
        <v>0</v>
      </c>
      <c r="R8" s="481" t="n">
        <v>0</v>
      </c>
    </row>
    <row r="9" customFormat="false" ht="12.6" hidden="true" customHeight="true" outlineLevel="0" collapsed="false">
      <c r="A9" s="248" t="s">
        <v>488</v>
      </c>
      <c r="B9" s="236"/>
      <c r="C9" s="482" t="n">
        <v>7</v>
      </c>
      <c r="D9" s="482" t="n">
        <f aca="false">C9</f>
        <v>7</v>
      </c>
      <c r="E9" s="482" t="n">
        <f aca="false">D9</f>
        <v>7</v>
      </c>
      <c r="F9" s="482" t="n">
        <f aca="false">E9</f>
        <v>7</v>
      </c>
      <c r="G9" s="482" t="n">
        <f aca="false">F9</f>
        <v>7</v>
      </c>
      <c r="H9" s="482" t="n">
        <f aca="false">G9</f>
        <v>7</v>
      </c>
      <c r="I9" s="482" t="n">
        <f aca="false">H9</f>
        <v>7</v>
      </c>
      <c r="J9" s="482" t="n">
        <f aca="false">I9</f>
        <v>7</v>
      </c>
      <c r="K9" s="482" t="n">
        <f aca="false">J9</f>
        <v>7</v>
      </c>
      <c r="L9" s="482" t="n">
        <f aca="false">K9</f>
        <v>7</v>
      </c>
      <c r="M9" s="482" t="n">
        <f aca="false">L9</f>
        <v>7</v>
      </c>
      <c r="N9" s="482" t="n">
        <f aca="false">M9</f>
        <v>7</v>
      </c>
      <c r="O9" s="482" t="n">
        <f aca="false">N9</f>
        <v>7</v>
      </c>
      <c r="P9" s="482" t="n">
        <f aca="false">O9</f>
        <v>7</v>
      </c>
      <c r="Q9" s="482" t="n">
        <f aca="false">P9</f>
        <v>7</v>
      </c>
      <c r="R9" s="482" t="n">
        <f aca="false">Q9</f>
        <v>7</v>
      </c>
    </row>
    <row r="10" customFormat="false" ht="12.6" hidden="true" customHeight="true" outlineLevel="0" collapsed="false">
      <c r="A10" s="248" t="s">
        <v>489</v>
      </c>
      <c r="B10" s="242"/>
      <c r="C10" s="292" t="n">
        <f aca="false">IF(C3&lt;='Project Assumptions'!$I$15+1,'Project Assumptions'!$I$12*(1-C7),0)</f>
        <v>336</v>
      </c>
      <c r="D10" s="292" t="n">
        <f aca="false">IF(D3&lt;='Project Assumptions'!$I$15+1,'Project Assumptions'!$I$12*(1-D7),0)</f>
        <v>336</v>
      </c>
      <c r="E10" s="292" t="n">
        <f aca="false">IF(E3&lt;='Project Assumptions'!$I$15+1,'Project Assumptions'!$I$12*(1-E7),0)</f>
        <v>336</v>
      </c>
      <c r="F10" s="292" t="n">
        <f aca="false">IF(F3&lt;='Project Assumptions'!$I$15+1,'Project Assumptions'!$I$12*(1-F7),0)</f>
        <v>336</v>
      </c>
      <c r="G10" s="292" t="n">
        <f aca="false">IF(G3&lt;='Project Assumptions'!$I$15+1,'Project Assumptions'!$I$12*(1-G7),0)</f>
        <v>336</v>
      </c>
      <c r="H10" s="292" t="n">
        <f aca="false">IF(H3&lt;='Project Assumptions'!$I$15+1,'Project Assumptions'!$I$12*(1-H7),0)</f>
        <v>336</v>
      </c>
      <c r="I10" s="292" t="n">
        <f aca="false">IF(I3&lt;='Project Assumptions'!$I$15+1,'Project Assumptions'!$I$12*(1-I7),0)</f>
        <v>336</v>
      </c>
      <c r="J10" s="292" t="n">
        <f aca="false">IF(J3&lt;='Project Assumptions'!$I$15+1,'Project Assumptions'!$I$12*(1-J7),0)</f>
        <v>336</v>
      </c>
      <c r="K10" s="292" t="n">
        <f aca="false">IF(K3&lt;='Project Assumptions'!$I$15+1,'Project Assumptions'!$I$12*(1-K7),0)</f>
        <v>336</v>
      </c>
      <c r="L10" s="292" t="n">
        <f aca="false">IF(L3&lt;='Project Assumptions'!$I$15+1,'Project Assumptions'!$I$12*(1-L7),0)</f>
        <v>336</v>
      </c>
      <c r="M10" s="292" t="n">
        <f aca="false">IF(M3&lt;='Project Assumptions'!$I$15+1,'Project Assumptions'!$I$12*(1-M7),0)</f>
        <v>336</v>
      </c>
      <c r="N10" s="292" t="n">
        <f aca="false">IF(N3&lt;='Project Assumptions'!$I$15+1,'Project Assumptions'!$I$12*(1-N7),0)</f>
        <v>336</v>
      </c>
      <c r="O10" s="292" t="n">
        <f aca="false">IF(O3&lt;='Project Assumptions'!$I$15+1,'Project Assumptions'!$I$12*(1-O7),0)</f>
        <v>336</v>
      </c>
      <c r="P10" s="292" t="n">
        <f aca="false">IF(P3&lt;='Project Assumptions'!$I$15+1,'Project Assumptions'!$I$12*(1-P7),0)</f>
        <v>336</v>
      </c>
      <c r="Q10" s="292" t="n">
        <f aca="false">IF(Q3&lt;='Project Assumptions'!$I$15+1,'Project Assumptions'!$I$12*(1-Q7),0)</f>
        <v>336</v>
      </c>
      <c r="R10" s="292" t="n">
        <f aca="false">IF(R3&lt;='Project Assumptions'!$I$15+1,'Project Assumptions'!$I$12*(1-R7),0)</f>
        <v>336</v>
      </c>
    </row>
    <row r="11" customFormat="false" ht="12.6" hidden="true" customHeight="true" outlineLevel="0" collapsed="false">
      <c r="A11" s="248"/>
      <c r="B11" s="24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</row>
    <row r="12" customFormat="false" ht="12.6" hidden="false" customHeight="true" outlineLevel="0" collapsed="false">
      <c r="A12" s="248" t="s">
        <v>490</v>
      </c>
      <c r="B12" s="242"/>
      <c r="C12" s="292" t="n">
        <f aca="false">IF(C3&gt;'Project Assumptions'!$I$15+1,0,C10)</f>
        <v>336</v>
      </c>
      <c r="D12" s="292" t="n">
        <f aca="false">IF(D3&gt;'Project Assumptions'!$I$15+1,0,D10)</f>
        <v>336</v>
      </c>
      <c r="E12" s="292" t="n">
        <f aca="false">IF(E3&gt;'Project Assumptions'!$I$15+1,0,E10)</f>
        <v>336</v>
      </c>
      <c r="F12" s="292" t="n">
        <f aca="false">IF(F3&gt;'Project Assumptions'!$I$15+1,0,F10)</f>
        <v>336</v>
      </c>
      <c r="G12" s="292" t="n">
        <f aca="false">IF(G3&gt;'Project Assumptions'!$I$15+1,0,G10)</f>
        <v>336</v>
      </c>
      <c r="H12" s="292" t="n">
        <f aca="false">IF(H3&gt;'Project Assumptions'!$I$15+1,0,H10)</f>
        <v>336</v>
      </c>
      <c r="I12" s="292" t="n">
        <f aca="false">IF(I3&gt;'Project Assumptions'!$I$15+1,0,I10)</f>
        <v>336</v>
      </c>
      <c r="J12" s="292" t="n">
        <f aca="false">IF(J3&gt;'Project Assumptions'!$I$15+1,0,J10)</f>
        <v>336</v>
      </c>
      <c r="K12" s="292" t="n">
        <f aca="false">IF(K3&gt;'Project Assumptions'!$I$15+1,0,K10)</f>
        <v>336</v>
      </c>
      <c r="L12" s="292" t="n">
        <f aca="false">IF(L3&gt;'Project Assumptions'!$I$15+1,0,L10)</f>
        <v>336</v>
      </c>
      <c r="M12" s="292" t="n">
        <f aca="false">IF(M3&gt;'Project Assumptions'!$I$15+1,0,M10)</f>
        <v>336</v>
      </c>
      <c r="N12" s="292" t="n">
        <f aca="false">IF(N3&gt;'Project Assumptions'!$I$15+1,0,N10)</f>
        <v>336</v>
      </c>
      <c r="O12" s="292" t="n">
        <f aca="false">IF(O3&gt;'Project Assumptions'!$I$15+1,0,O10)</f>
        <v>336</v>
      </c>
      <c r="P12" s="292" t="n">
        <f aca="false">IF(P3&gt;'Project Assumptions'!$I$15+1,0,P10)</f>
        <v>336</v>
      </c>
      <c r="Q12" s="292" t="n">
        <f aca="false">IF(Q3&gt;'Project Assumptions'!$I$15+1,0,Q10)</f>
        <v>336</v>
      </c>
      <c r="R12" s="292" t="n">
        <f aca="false">IF(R3&gt;'Project Assumptions'!$I$15+1,0,R10)</f>
        <v>336</v>
      </c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  <c r="DJ12" s="292"/>
      <c r="DK12" s="292"/>
      <c r="DL12" s="292"/>
      <c r="DM12" s="292"/>
      <c r="DN12" s="292"/>
      <c r="DO12" s="292"/>
      <c r="DP12" s="292"/>
      <c r="DQ12" s="292"/>
      <c r="DR12" s="292"/>
      <c r="DS12" s="292"/>
      <c r="DT12" s="292"/>
      <c r="DU12" s="292"/>
      <c r="DV12" s="292"/>
      <c r="DW12" s="292"/>
      <c r="DX12" s="292"/>
      <c r="DY12" s="292"/>
      <c r="DZ12" s="292"/>
      <c r="EA12" s="292"/>
      <c r="EB12" s="292"/>
      <c r="EC12" s="292"/>
      <c r="ED12" s="292"/>
      <c r="EE12" s="292"/>
      <c r="EF12" s="292"/>
      <c r="EG12" s="292"/>
      <c r="EH12" s="292"/>
      <c r="EI12" s="292"/>
      <c r="EJ12" s="292"/>
      <c r="EK12" s="292"/>
      <c r="EL12" s="292"/>
      <c r="EM12" s="292"/>
      <c r="EN12" s="292"/>
      <c r="EO12" s="292"/>
      <c r="EP12" s="292"/>
      <c r="EQ12" s="292"/>
      <c r="ER12" s="292"/>
      <c r="ES12" s="292"/>
      <c r="ET12" s="292"/>
      <c r="EU12" s="292"/>
      <c r="EV12" s="292"/>
      <c r="EW12" s="292"/>
      <c r="EX12" s="292"/>
      <c r="EY12" s="292"/>
      <c r="EZ12" s="292"/>
      <c r="FA12" s="292"/>
      <c r="FB12" s="292"/>
      <c r="FC12" s="292"/>
      <c r="FD12" s="292"/>
      <c r="FE12" s="292"/>
      <c r="FF12" s="292"/>
      <c r="FG12" s="292"/>
      <c r="FH12" s="292"/>
      <c r="FI12" s="292"/>
      <c r="FJ12" s="292"/>
      <c r="FK12" s="292"/>
      <c r="FL12" s="292"/>
      <c r="FM12" s="292"/>
      <c r="FN12" s="292"/>
      <c r="FO12" s="292"/>
      <c r="FP12" s="292"/>
      <c r="FQ12" s="292"/>
      <c r="FR12" s="292"/>
      <c r="FS12" s="292"/>
      <c r="FT12" s="292"/>
      <c r="FU12" s="292"/>
      <c r="FV12" s="292"/>
      <c r="FW12" s="292"/>
      <c r="FX12" s="292"/>
      <c r="FY12" s="292"/>
      <c r="FZ12" s="292"/>
      <c r="GA12" s="292"/>
      <c r="GB12" s="292"/>
      <c r="GC12" s="292"/>
      <c r="GD12" s="292"/>
      <c r="GE12" s="292"/>
      <c r="GF12" s="292"/>
      <c r="GG12" s="292"/>
      <c r="GH12" s="292"/>
      <c r="GI12" s="292"/>
      <c r="GJ12" s="292"/>
      <c r="GK12" s="292"/>
      <c r="GL12" s="292"/>
      <c r="GM12" s="292"/>
      <c r="GN12" s="292"/>
      <c r="GO12" s="292"/>
      <c r="GP12" s="292"/>
      <c r="GQ12" s="292"/>
      <c r="GR12" s="292"/>
      <c r="GS12" s="292"/>
      <c r="GT12" s="292"/>
      <c r="GU12" s="292"/>
      <c r="GV12" s="292"/>
      <c r="GW12" s="292"/>
      <c r="GX12" s="292"/>
      <c r="GY12" s="292"/>
      <c r="GZ12" s="292"/>
      <c r="HA12" s="292"/>
      <c r="HB12" s="292"/>
      <c r="HC12" s="292"/>
      <c r="HD12" s="292"/>
      <c r="HE12" s="292"/>
      <c r="HF12" s="292"/>
      <c r="HG12" s="292"/>
      <c r="HH12" s="292"/>
      <c r="HI12" s="292"/>
      <c r="HJ12" s="292"/>
      <c r="HK12" s="292"/>
      <c r="HL12" s="292"/>
      <c r="HM12" s="292"/>
      <c r="HN12" s="292"/>
      <c r="HO12" s="292"/>
      <c r="HP12" s="292"/>
      <c r="HQ12" s="292"/>
      <c r="HR12" s="292"/>
      <c r="HS12" s="292"/>
      <c r="HT12" s="292"/>
    </row>
    <row r="13" customFormat="false" ht="12.6" hidden="false" customHeight="true" outlineLevel="0" collapsed="false">
      <c r="A13" s="248" t="s">
        <v>491</v>
      </c>
      <c r="B13" s="242"/>
      <c r="C13" s="257" t="n">
        <f aca="false">IF(C3&lt;='Project Assumptions'!$I$15,'Project Assumptions'!$I$14,IF(AND($C$5&lt;12,C3='Project Assumptions'!$I$15+1),0,'Project Assumptions'!$I$15))</f>
        <v>1400</v>
      </c>
      <c r="D13" s="257" t="n">
        <f aca="false">IF(D3&lt;='Project Assumptions'!$I$15,'Project Assumptions'!$I$14,IF(AND($C$5&lt;12,D3='Project Assumptions'!$I$15+1),0,'Project Assumptions'!$I$15))</f>
        <v>1400</v>
      </c>
      <c r="E13" s="257" t="n">
        <f aca="false">IF(E3&lt;='Project Assumptions'!$I$15,'Project Assumptions'!$I$14,IF(AND($C$5&lt;12,E3='Project Assumptions'!$I$15+1),0,'Project Assumptions'!$I$15))</f>
        <v>1400</v>
      </c>
      <c r="F13" s="257" t="n">
        <f aca="false">IF(F3&lt;='Project Assumptions'!$I$15,'Project Assumptions'!$I$14,IF(AND($C$5&lt;12,F3='Project Assumptions'!$I$15+1),0,'Project Assumptions'!$I$15))</f>
        <v>1400</v>
      </c>
      <c r="G13" s="257" t="n">
        <f aca="false">IF(G3&lt;='Project Assumptions'!$I$15,'Project Assumptions'!$I$14,IF(AND($C$5&lt;12,G3='Project Assumptions'!$I$15+1),0,'Project Assumptions'!$I$15))</f>
        <v>1400</v>
      </c>
      <c r="H13" s="257" t="n">
        <f aca="false">IF(H3&lt;='Project Assumptions'!$I$15,'Project Assumptions'!$I$14,IF(AND($C$5&lt;12,H3='Project Assumptions'!$I$15+1),0,'Project Assumptions'!$I$15))</f>
        <v>1400</v>
      </c>
      <c r="I13" s="257" t="n">
        <f aca="false">IF(I3&lt;='Project Assumptions'!$I$15,'Project Assumptions'!$I$14,IF(AND($C$5&lt;12,I3='Project Assumptions'!$I$15+1),0,'Project Assumptions'!$I$15))</f>
        <v>1400</v>
      </c>
      <c r="J13" s="257" t="n">
        <f aca="false">IF(J3&lt;='Project Assumptions'!$I$15,'Project Assumptions'!$I$14,IF(AND($C$5&lt;12,J3='Project Assumptions'!$I$15+1),0,'Project Assumptions'!$I$15))</f>
        <v>1400</v>
      </c>
      <c r="K13" s="257" t="n">
        <f aca="false">IF(K3&lt;='Project Assumptions'!$I$15,'Project Assumptions'!$I$14,IF(AND($C$5&lt;12,K3='Project Assumptions'!$I$15+1),0,'Project Assumptions'!$I$15))</f>
        <v>1400</v>
      </c>
      <c r="L13" s="257" t="n">
        <f aca="false">IF(L3&lt;='Project Assumptions'!$I$15,'Project Assumptions'!$I$14,IF(AND($C$5&lt;12,L3='Project Assumptions'!$I$15+1),0,'Project Assumptions'!$I$15))</f>
        <v>1400</v>
      </c>
      <c r="M13" s="257" t="n">
        <f aca="false">IF(M3&lt;='Project Assumptions'!$I$15,'Project Assumptions'!$I$14,IF(AND($C$5&lt;12,M3='Project Assumptions'!$I$15+1),0,'Project Assumptions'!$I$15))</f>
        <v>1400</v>
      </c>
      <c r="N13" s="257" t="n">
        <f aca="false">IF(N3&lt;='Project Assumptions'!$I$15,'Project Assumptions'!$I$14,IF(AND($C$5&lt;12,N3='Project Assumptions'!$I$15+1),0,'Project Assumptions'!$I$15))</f>
        <v>1400</v>
      </c>
      <c r="O13" s="257" t="n">
        <f aca="false">IF(O3&lt;='Project Assumptions'!$I$15,'Project Assumptions'!$I$14,IF(AND($C$5&lt;12,O3='Project Assumptions'!$I$15+1),0,'Project Assumptions'!$I$15))</f>
        <v>1400</v>
      </c>
      <c r="P13" s="257" t="n">
        <f aca="false">IF(P3&lt;='Project Assumptions'!$I$15,'Project Assumptions'!$I$14,IF(AND($C$5&lt;12,P3='Project Assumptions'!$I$15+1),0,'Project Assumptions'!$I$15))</f>
        <v>1400</v>
      </c>
      <c r="Q13" s="257" t="n">
        <f aca="false">IF(Q3&lt;='Project Assumptions'!$I$15,'Project Assumptions'!$I$14,IF(AND($C$5&lt;12,Q3='Project Assumptions'!$I$15+1),0,'Project Assumptions'!$I$15))</f>
        <v>1400</v>
      </c>
      <c r="R13" s="257" t="n">
        <f aca="false">IF(R3&lt;='Project Assumptions'!$I$15,'Project Assumptions'!$I$14,IF(AND($C$5&lt;12,R3='Project Assumptions'!$I$15+1),0,'Project Assumptions'!$I$15))</f>
        <v>0</v>
      </c>
    </row>
    <row r="14" customFormat="false" ht="12.6" hidden="false" customHeight="true" outlineLevel="0" collapsed="false">
      <c r="A14" s="248" t="s">
        <v>492</v>
      </c>
      <c r="B14" s="242"/>
      <c r="C14" s="254" t="n">
        <f aca="false">C12*C13</f>
        <v>470400</v>
      </c>
      <c r="D14" s="254" t="n">
        <f aca="false">D12*D13</f>
        <v>470400</v>
      </c>
      <c r="E14" s="254" t="n">
        <f aca="false">E12*E13</f>
        <v>470400</v>
      </c>
      <c r="F14" s="254" t="n">
        <f aca="false">F12*F13</f>
        <v>470400</v>
      </c>
      <c r="G14" s="254" t="n">
        <f aca="false">G12*G13</f>
        <v>470400</v>
      </c>
      <c r="H14" s="254" t="n">
        <f aca="false">H12*H13</f>
        <v>470400</v>
      </c>
      <c r="I14" s="254" t="n">
        <f aca="false">I12*I13</f>
        <v>470400</v>
      </c>
      <c r="J14" s="254" t="n">
        <f aca="false">J12*J13</f>
        <v>470400</v>
      </c>
      <c r="K14" s="254" t="n">
        <f aca="false">K12*K13</f>
        <v>470400</v>
      </c>
      <c r="L14" s="254" t="n">
        <f aca="false">L12*L13</f>
        <v>470400</v>
      </c>
      <c r="M14" s="254" t="n">
        <f aca="false">M12*M13</f>
        <v>470400</v>
      </c>
      <c r="N14" s="254" t="n">
        <f aca="false">N12*N13</f>
        <v>470400</v>
      </c>
      <c r="O14" s="254" t="n">
        <f aca="false">O12*O13</f>
        <v>470400</v>
      </c>
      <c r="P14" s="254" t="n">
        <f aca="false">P12*P13</f>
        <v>470400</v>
      </c>
      <c r="Q14" s="254" t="n">
        <f aca="false">Q12*Q13</f>
        <v>470400</v>
      </c>
      <c r="R14" s="254" t="n">
        <f aca="false">R12*R13</f>
        <v>0</v>
      </c>
    </row>
    <row r="15" customFormat="false" ht="12.6" hidden="false" customHeight="true" outlineLevel="0" collapsed="false">
      <c r="A15" s="466"/>
      <c r="B15" s="236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</row>
    <row r="16" customFormat="false" ht="12.6" hidden="false" customHeight="true" outlineLevel="0" collapsed="false">
      <c r="A16" s="442" t="s">
        <v>493</v>
      </c>
      <c r="B16" s="236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</row>
    <row r="17" customFormat="false" ht="12.6" hidden="false" customHeight="true" outlineLevel="0" collapsed="false">
      <c r="A17" s="248" t="s">
        <v>494</v>
      </c>
      <c r="B17" s="184"/>
      <c r="C17" s="316" t="n">
        <f aca="false">C14</f>
        <v>470400</v>
      </c>
      <c r="D17" s="316" t="n">
        <f aca="false">D14</f>
        <v>470400</v>
      </c>
      <c r="E17" s="316" t="n">
        <f aca="false">E14</f>
        <v>470400</v>
      </c>
      <c r="F17" s="316" t="n">
        <f aca="false">F14</f>
        <v>470400</v>
      </c>
      <c r="G17" s="316" t="n">
        <f aca="false">G14</f>
        <v>470400</v>
      </c>
      <c r="H17" s="316" t="n">
        <f aca="false">H14</f>
        <v>470400</v>
      </c>
      <c r="I17" s="316" t="n">
        <f aca="false">I14</f>
        <v>470400</v>
      </c>
      <c r="J17" s="316" t="n">
        <f aca="false">J14</f>
        <v>470400</v>
      </c>
      <c r="K17" s="316" t="n">
        <f aca="false">K14</f>
        <v>470400</v>
      </c>
      <c r="L17" s="316" t="n">
        <f aca="false">L14</f>
        <v>470400</v>
      </c>
      <c r="M17" s="316" t="n">
        <f aca="false">M14</f>
        <v>470400</v>
      </c>
      <c r="N17" s="316" t="n">
        <f aca="false">N14</f>
        <v>470400</v>
      </c>
      <c r="O17" s="316" t="n">
        <f aca="false">O14</f>
        <v>470400</v>
      </c>
      <c r="P17" s="316" t="n">
        <f aca="false">P14</f>
        <v>470400</v>
      </c>
      <c r="Q17" s="316" t="n">
        <f aca="false">Q14</f>
        <v>470400</v>
      </c>
      <c r="R17" s="316" t="n">
        <f aca="false">R14</f>
        <v>0</v>
      </c>
    </row>
    <row r="18" customFormat="false" ht="12.6" hidden="false" customHeight="true" outlineLevel="0" collapsed="false">
      <c r="A18" s="248" t="s">
        <v>495</v>
      </c>
      <c r="B18" s="242"/>
      <c r="C18" s="483" t="n">
        <f aca="false">IF(C3&gt;'Project Assumptions'!$I$15+1,0,IF(C17=0,0,'Project Assumptions'!$I$13*(1+C8)))</f>
        <v>12047.4702380952</v>
      </c>
      <c r="D18" s="483" t="n">
        <f aca="false">IF(D3&gt;'Project Assumptions'!$I$15+1,0,IF(D17=0,0,'Project Assumptions'!$I$13*(1+D8)))</f>
        <v>12047.4702380952</v>
      </c>
      <c r="E18" s="483" t="n">
        <f aca="false">IF(E3&gt;'Project Assumptions'!$I$15+1,0,IF(E17=0,0,'Project Assumptions'!$I$13*(1+E8)))</f>
        <v>12047.4702380952</v>
      </c>
      <c r="F18" s="483" t="n">
        <f aca="false">IF(F3&gt;'Project Assumptions'!$I$15+1,0,IF(F17=0,0,'Project Assumptions'!$I$13*(1+F8)))</f>
        <v>12047.4702380952</v>
      </c>
      <c r="G18" s="483" t="n">
        <f aca="false">IF(G3&gt;'Project Assumptions'!$I$15+1,0,IF(G17=0,0,'Project Assumptions'!$I$13*(1+G8)))</f>
        <v>12047.4702380952</v>
      </c>
      <c r="H18" s="483" t="n">
        <f aca="false">IF(H3&gt;'Project Assumptions'!$I$15+1,0,IF(H17=0,0,'Project Assumptions'!$I$13*(1+H8)))</f>
        <v>12047.4702380952</v>
      </c>
      <c r="I18" s="483" t="n">
        <f aca="false">IF(I3&gt;'Project Assumptions'!$I$15+1,0,IF(I17=0,0,'Project Assumptions'!$I$13*(1+I8)))</f>
        <v>12047.4702380952</v>
      </c>
      <c r="J18" s="483" t="n">
        <f aca="false">IF(J3&gt;'Project Assumptions'!$I$15+1,0,IF(J17=0,0,'Project Assumptions'!$I$13*(1+J8)))</f>
        <v>12047.4702380952</v>
      </c>
      <c r="K18" s="483" t="n">
        <f aca="false">IF(K3&gt;'Project Assumptions'!$I$15+1,0,IF(K17=0,0,'Project Assumptions'!$I$13*(1+K8)))</f>
        <v>12047.4702380952</v>
      </c>
      <c r="L18" s="483" t="n">
        <f aca="false">IF(L3&gt;'Project Assumptions'!$I$15+1,0,IF(L17=0,0,'Project Assumptions'!$I$13*(1+L8)))</f>
        <v>12047.4702380952</v>
      </c>
      <c r="M18" s="483" t="n">
        <f aca="false">IF(M3&gt;'Project Assumptions'!$I$15+1,0,IF(M17=0,0,'Project Assumptions'!$I$13*(1+M8)))</f>
        <v>12047.4702380952</v>
      </c>
      <c r="N18" s="483" t="n">
        <f aca="false">IF(N3&gt;'Project Assumptions'!$I$15+1,0,IF(N17=0,0,'Project Assumptions'!$I$13*(1+N8)))</f>
        <v>12047.4702380952</v>
      </c>
      <c r="O18" s="483" t="n">
        <f aca="false">IF(O3&gt;'Project Assumptions'!$I$15+1,0,IF(O17=0,0,'Project Assumptions'!$I$13*(1+O8)))</f>
        <v>12047.4702380952</v>
      </c>
      <c r="P18" s="483" t="n">
        <f aca="false">IF(P3&gt;'Project Assumptions'!$I$15+1,0,IF(P17=0,0,'Project Assumptions'!$I$13*(1+P8)))</f>
        <v>12047.4702380952</v>
      </c>
      <c r="Q18" s="483" t="n">
        <f aca="false">IF(Q3&gt;'Project Assumptions'!$I$15+1,0,IF(Q17=0,0,'Project Assumptions'!$I$13*(1+Q8)))</f>
        <v>12047.4702380952</v>
      </c>
      <c r="R18" s="483" t="n">
        <f aca="false">IF(R3&gt;'Project Assumptions'!$I$15+1,0,IF(R17=0,0,'Project Assumptions'!$I$13*(1+R8)))</f>
        <v>0</v>
      </c>
    </row>
    <row r="19" customFormat="false" ht="12.6" hidden="false" customHeight="true" outlineLevel="0" collapsed="false">
      <c r="A19" s="248" t="s">
        <v>496</v>
      </c>
      <c r="B19" s="242"/>
      <c r="C19" s="254" t="n">
        <f aca="false">IF(C3&gt;'Project Assumptions'!$I$15+1,0,C18*C17/1000000)</f>
        <v>5667.13</v>
      </c>
      <c r="D19" s="254" t="n">
        <f aca="false">IF(D3&gt;'Project Assumptions'!$I$15+1,0,D18*D17/1000000)</f>
        <v>5667.13</v>
      </c>
      <c r="E19" s="254" t="n">
        <f aca="false">IF(E3&gt;'Project Assumptions'!$I$15+1,0,E18*E17/1000000)</f>
        <v>5667.13</v>
      </c>
      <c r="F19" s="254" t="n">
        <f aca="false">IF(F3&gt;'Project Assumptions'!$I$15+1,0,F18*F17/1000000)</f>
        <v>5667.13</v>
      </c>
      <c r="G19" s="254" t="n">
        <f aca="false">IF(G3&gt;'Project Assumptions'!$I$15+1,0,G18*G17/1000000)</f>
        <v>5667.13</v>
      </c>
      <c r="H19" s="254" t="n">
        <f aca="false">IF(H3&gt;'Project Assumptions'!$I$15+1,0,H18*H17/1000000)</f>
        <v>5667.13</v>
      </c>
      <c r="I19" s="254" t="n">
        <f aca="false">IF(I3&gt;'Project Assumptions'!$I$15+1,0,I18*I17/1000000)</f>
        <v>5667.13</v>
      </c>
      <c r="J19" s="254" t="n">
        <f aca="false">IF(J3&gt;'Project Assumptions'!$I$15+1,0,J18*J17/1000000)</f>
        <v>5667.13</v>
      </c>
      <c r="K19" s="254" t="n">
        <f aca="false">IF(K3&gt;'Project Assumptions'!$I$15+1,0,K18*K17/1000000)</f>
        <v>5667.13</v>
      </c>
      <c r="L19" s="254" t="n">
        <f aca="false">IF(L3&gt;'Project Assumptions'!$I$15+1,0,L18*L17/1000000)</f>
        <v>5667.13</v>
      </c>
      <c r="M19" s="254" t="n">
        <f aca="false">IF(M3&gt;'Project Assumptions'!$I$15+1,0,M18*M17/1000000)</f>
        <v>5667.13</v>
      </c>
      <c r="N19" s="254" t="n">
        <f aca="false">IF(N3&gt;'Project Assumptions'!$I$15+1,0,N18*N17/1000000)</f>
        <v>5667.13</v>
      </c>
      <c r="O19" s="254" t="n">
        <f aca="false">IF(O3&gt;'Project Assumptions'!$I$15+1,0,O18*O17/1000000)</f>
        <v>5667.13</v>
      </c>
      <c r="P19" s="254" t="n">
        <f aca="false">IF(P3&gt;'Project Assumptions'!$I$15+1,0,P18*P17/1000000)</f>
        <v>5667.13</v>
      </c>
      <c r="Q19" s="254" t="n">
        <f aca="false">IF(Q3&gt;'Project Assumptions'!$I$15+1,0,Q18*Q17/1000000)</f>
        <v>5667.13</v>
      </c>
      <c r="R19" s="254" t="n">
        <f aca="false">IF(R3&gt;'Project Assumptions'!$I$15+1,0,R18*R17/1000000)</f>
        <v>0</v>
      </c>
    </row>
    <row r="20" customFormat="false" ht="12.6" hidden="false" customHeight="true" outlineLevel="0" collapsed="false">
      <c r="A20" s="248"/>
      <c r="B20" s="24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AB20" s="292"/>
    </row>
    <row r="21" customFormat="false" ht="12.6" hidden="false" customHeight="true" outlineLevel="0" collapsed="false">
      <c r="A21" s="248" t="s">
        <v>497</v>
      </c>
      <c r="B21" s="242"/>
      <c r="C21" s="239" t="n">
        <f aca="false">IF(C3&gt;'Project Assumptions'!$I$15+1,0,IF(AND($C$5&lt;12,C3='Project Assumptions'!$I$15+1),0,IF('Project Assumptions'!$C$70="Fixed",'PPA Assumptions'!C$21*C19,'PPA Assumptions'!C$26*C19)))</f>
        <v>12807.7138</v>
      </c>
      <c r="D21" s="239" t="n">
        <f aca="false">IF(D3&gt;'Project Assumptions'!$I$15+1,0,IF(AND($C$5&lt;12,D3='Project Assumptions'!$I$15+1),0,IF('Project Assumptions'!$C$70="Fixed",'PPA Assumptions'!D$21*D19,'PPA Assumptions'!D$26*D19)))</f>
        <v>12977.7277</v>
      </c>
      <c r="E21" s="239" t="n">
        <f aca="false">IF(E3&gt;'Project Assumptions'!$I$15+1,0,IF(AND($C$5&lt;12,E3='Project Assumptions'!$I$15+1),0,IF('Project Assumptions'!$C$70="Fixed",'PPA Assumptions'!E$21*E19,'PPA Assumptions'!E$26*E19)))</f>
        <v>13261.0842</v>
      </c>
      <c r="F21" s="239" t="n">
        <f aca="false">IF(F3&gt;'Project Assumptions'!$I$15+1,0,IF(AND($C$5&lt;12,F3='Project Assumptions'!$I$15+1),0,IF('Project Assumptions'!$C$70="Fixed",'PPA Assumptions'!F$21*F19,'PPA Assumptions'!F$26*F19)))</f>
        <v>13431.0981</v>
      </c>
      <c r="G21" s="239" t="n">
        <f aca="false">IF(G3&gt;'Project Assumptions'!$I$15+1,0,IF(AND($C$5&lt;12,G3='Project Assumptions'!$I$15+1),0,IF('Project Assumptions'!$C$70="Fixed",'PPA Assumptions'!G$21*G19,'PPA Assumptions'!G$26*G19)))</f>
        <v>13714.4546</v>
      </c>
      <c r="H21" s="239" t="n">
        <f aca="false">IF(H3&gt;'Project Assumptions'!$I$15+1,0,IF(AND($C$5&lt;12,H3='Project Assumptions'!$I$15+1),0,IF('Project Assumptions'!$C$70="Fixed",'PPA Assumptions'!H$21*H19,'PPA Assumptions'!H$26*H19)))</f>
        <v>13884.4685</v>
      </c>
      <c r="I21" s="239" t="n">
        <f aca="false">IF(I3&gt;'Project Assumptions'!$I$15+1,0,IF(AND($C$5&lt;12,I3='Project Assumptions'!$I$15+1),0,IF('Project Assumptions'!$C$70="Fixed",'PPA Assumptions'!I$21*I19,'PPA Assumptions'!I$26*I19)))</f>
        <v>14281.1676</v>
      </c>
      <c r="J21" s="239" t="n">
        <f aca="false">IF(J3&gt;'Project Assumptions'!$I$15+1,0,IF(AND($C$5&lt;12,J3='Project Assumptions'!$I$15+1),0,IF('Project Assumptions'!$C$70="Fixed",'PPA Assumptions'!J$21*J19,'PPA Assumptions'!J$26*J19)))</f>
        <v>14734.538</v>
      </c>
      <c r="K21" s="239" t="n">
        <f aca="false">IF(K3&gt;'Project Assumptions'!$I$15+1,0,IF(AND($C$5&lt;12,K3='Project Assumptions'!$I$15+1),0,IF('Project Assumptions'!$C$70="Fixed",'PPA Assumptions'!K$21*K19,'PPA Assumptions'!K$26*K19)))</f>
        <v>15074.5658</v>
      </c>
      <c r="L21" s="239" t="n">
        <f aca="false">IF(L3&gt;'Project Assumptions'!$I$15+1,0,IF(AND($C$5&lt;12,L3='Project Assumptions'!$I$15+1),0,IF('Project Assumptions'!$C$70="Fixed",'PPA Assumptions'!L$21*L19,'PPA Assumptions'!L$26*L19)))</f>
        <v>15527.9362</v>
      </c>
      <c r="M21" s="239" t="n">
        <f aca="false">IF(M3&gt;'Project Assumptions'!$I$15+1,0,IF(AND($C$5&lt;12,M3='Project Assumptions'!$I$15+1),0,IF('Project Assumptions'!$C$70="Fixed",'PPA Assumptions'!M$21*M19,'PPA Assumptions'!M$26*M19)))</f>
        <v>15981.3066</v>
      </c>
      <c r="N21" s="239" t="n">
        <f aca="false">IF(N3&gt;'Project Assumptions'!$I$15+1,0,IF(AND($C$5&lt;12,N3='Project Assumptions'!$I$15+1),0,IF('Project Assumptions'!$C$70="Fixed",'PPA Assumptions'!N$21*N19,'PPA Assumptions'!N$26*N19)))</f>
        <v>16491.3483</v>
      </c>
      <c r="O21" s="239" t="n">
        <f aca="false">IF(O3&gt;'Project Assumptions'!$I$15+1,0,IF(AND($C$5&lt;12,O3='Project Assumptions'!$I$15+1),0,IF('Project Assumptions'!$C$70="Fixed",'PPA Assumptions'!O$21*O19,'PPA Assumptions'!O$26*O19)))</f>
        <v>16944.7187</v>
      </c>
      <c r="P21" s="239" t="n">
        <f aca="false">IF(P3&gt;'Project Assumptions'!$I$15+1,0,IF(AND($C$5&lt;12,P3='Project Assumptions'!$I$15+1),0,IF('Project Assumptions'!$C$70="Fixed",'PPA Assumptions'!P$21*P19,'PPA Assumptions'!P$26*P19)))</f>
        <v>17398.0891</v>
      </c>
      <c r="Q21" s="239" t="n">
        <f aca="false">IF(Q3&gt;'Project Assumptions'!$I$15+1,0,IF(AND($C$5&lt;12,Q3='Project Assumptions'!$I$15+1),0,IF('Project Assumptions'!$C$70="Fixed",'PPA Assumptions'!Q$21*Q19,'PPA Assumptions'!Q$26*Q19)))</f>
        <v>17908.1308</v>
      </c>
      <c r="R21" s="239" t="n">
        <f aca="false">IF(R3&gt;'Project Assumptions'!$I$15+1,0,IF(AND($C$5&lt;12,R3='Project Assumptions'!$I$15+1),0,IF('Project Assumptions'!$C$70="Fixed",'PPA Assumptions'!R$21*R19,'PPA Assumptions'!R$26*R19)))</f>
        <v>0</v>
      </c>
    </row>
    <row r="22" customFormat="false" ht="12.6" hidden="false" customHeight="true" outlineLevel="0" collapsed="false">
      <c r="A22" s="429"/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</row>
    <row r="31" customFormat="false" ht="12.6" hidden="false" customHeight="true" outlineLevel="0" collapsed="false"/>
    <row r="32" customFormat="false" ht="12.6" hidden="false" customHeight="true" outlineLevel="0" collapsed="false"/>
    <row r="33" customFormat="false" ht="12.6" hidden="false" customHeight="true" outlineLevel="0" collapsed="false"/>
    <row r="34" customFormat="false" ht="12.6" hidden="false" customHeight="true" outlineLevel="0" collapsed="false"/>
    <row r="35" customFormat="false" ht="12.6" hidden="false" customHeight="true" outlineLevel="0" collapsed="false"/>
    <row r="36" customFormat="false" ht="12.6" hidden="false" customHeight="true" outlineLevel="0" collapsed="false"/>
    <row r="37" customFormat="false" ht="12.6" hidden="false" customHeight="true" outlineLevel="0" collapsed="false"/>
    <row r="38" customFormat="false" ht="12.6" hidden="false" customHeight="true" outlineLevel="0" collapsed="false"/>
    <row r="42" customFormat="false" ht="12.6" hidden="false" customHeight="true" outlineLevel="0" collapsed="false"/>
    <row r="43" customFormat="false" ht="12.6" hidden="false" customHeight="true" outlineLevel="0" collapsed="false"/>
    <row r="46" customFormat="false" ht="12.6" hidden="false" customHeight="true" outlineLevel="0" collapsed="false">
      <c r="A46" s="184"/>
      <c r="B46" s="184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</row>
    <row r="47" customFormat="false" ht="12.6" hidden="false" customHeight="true" outlineLevel="0" collapsed="false">
      <c r="A47" s="184"/>
      <c r="B47" s="184"/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84"/>
      <c r="P47" s="484"/>
      <c r="Q47" s="484"/>
      <c r="R47" s="484"/>
    </row>
    <row r="48" customFormat="false" ht="12.6" hidden="false" customHeight="true" outlineLevel="0" collapsed="false">
      <c r="A48" s="184"/>
      <c r="B48" s="184"/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  <c r="N48" s="485"/>
      <c r="O48" s="485"/>
      <c r="P48" s="485"/>
      <c r="Q48" s="485"/>
      <c r="R48" s="485"/>
    </row>
    <row r="49" customFormat="false" ht="12.6" hidden="false" customHeight="true" outlineLevel="0" collapsed="false">
      <c r="A49" s="248"/>
      <c r="B49" s="242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</row>
    <row r="50" customFormat="false" ht="12" hidden="false" customHeight="true" outlineLevel="0" collapsed="false">
      <c r="A50" s="184"/>
      <c r="B50" s="184"/>
      <c r="C50" s="484"/>
      <c r="D50" s="484"/>
      <c r="E50" s="484"/>
      <c r="F50" s="484"/>
      <c r="G50" s="484"/>
      <c r="H50" s="484"/>
      <c r="I50" s="484"/>
      <c r="J50" s="484"/>
      <c r="K50" s="484"/>
      <c r="L50" s="484"/>
      <c r="M50" s="484"/>
      <c r="N50" s="484"/>
      <c r="O50" s="484"/>
      <c r="P50" s="484"/>
      <c r="Q50" s="484"/>
      <c r="R50" s="484"/>
    </row>
    <row r="51" customFormat="false" ht="12.6" hidden="false" customHeight="true" outlineLevel="0" collapsed="false">
      <c r="A51" s="184"/>
      <c r="B51" s="184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</row>
    <row r="52" customFormat="false" ht="12.6" hidden="false" customHeight="true" outlineLevel="0" collapsed="false">
      <c r="A52" s="429"/>
      <c r="B52" s="429"/>
      <c r="C52" s="486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486"/>
      <c r="R52" s="486"/>
    </row>
    <row r="54" customFormat="false" ht="12.6" hidden="false" customHeight="true" outlineLevel="0" collapsed="false">
      <c r="A54" s="245"/>
      <c r="B54" s="184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AC54" s="243"/>
      <c r="AD54" s="184"/>
    </row>
    <row r="55" customFormat="false" ht="12.6" hidden="false" customHeight="true" outlineLevel="0" collapsed="false">
      <c r="A55" s="246"/>
      <c r="B55" s="242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AB55" s="291"/>
      <c r="AC55" s="291"/>
      <c r="AD55" s="184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</row>
    <row r="56" customFormat="false" ht="12.75" hidden="false" customHeight="false" outlineLevel="0" collapsed="false">
      <c r="A56" s="184"/>
      <c r="B56" s="184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7"/>
      <c r="P56" s="487"/>
      <c r="Q56" s="487"/>
      <c r="R56" s="487"/>
    </row>
    <row r="57" customFormat="false" ht="12.75" hidden="false" customHeight="false" outlineLevel="0" collapsed="false">
      <c r="A57" s="184"/>
      <c r="B57" s="184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7"/>
      <c r="P57" s="487"/>
      <c r="Q57" s="487"/>
      <c r="R57" s="487"/>
    </row>
    <row r="58" customFormat="false" ht="12.75" hidden="false" customHeight="false" outlineLevel="0" collapsed="false">
      <c r="A58" s="184"/>
      <c r="B58" s="184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</row>
    <row r="59" customFormat="false" ht="15" hidden="false" customHeight="false" outlineLevel="0" collapsed="false">
      <c r="A59" s="184"/>
      <c r="B59" s="184"/>
      <c r="C59" s="488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8"/>
      <c r="P59" s="488"/>
      <c r="Q59" s="488"/>
      <c r="R59" s="488"/>
    </row>
    <row r="60" customFormat="false" ht="12.75" hidden="false" customHeight="false" outlineLevel="0" collapsed="false">
      <c r="A60" s="184"/>
      <c r="B60" s="184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</row>
    <row r="61" customFormat="false" ht="12.75" hidden="false" customHeight="false" outlineLevel="0" collapsed="false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</row>
    <row r="62" customFormat="false" ht="12.75" hidden="false" customHeight="false" outlineLevel="0" collapsed="false">
      <c r="A62" s="184"/>
      <c r="B62" s="184"/>
      <c r="C62" s="489"/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&amp;T&amp;RO:\Naes\GenSvcs\TVA\TVA Model\&amp;F
&amp;A &amp;P</oddFooter>
  </headerFooter>
  <colBreaks count="1" manualBreakCount="1">
    <brk id="14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7"/>
    <col collapsed="false" customWidth="true" hidden="false" outlineLevel="0" max="2" min="2" style="0" width="6.28"/>
    <col collapsed="false" customWidth="true" hidden="false" outlineLevel="0" max="18" min="3" style="0" width="7.7"/>
    <col collapsed="false" customWidth="true" hidden="false" outlineLevel="0" max="27" min="19" style="0" width="8.99"/>
  </cols>
  <sheetData>
    <row r="1" customFormat="false" ht="26.25" hidden="false" customHeight="false" outlineLevel="0" collapsed="false">
      <c r="A1" s="160" t="str">
        <f aca="false">'Project Assumptions'!$A$2</f>
        <v>PROJECT DOYLE</v>
      </c>
    </row>
    <row r="2" customFormat="false" ht="18" hidden="false" customHeight="false" outlineLevel="0" collapsed="false">
      <c r="A2" s="162" t="s">
        <v>498</v>
      </c>
    </row>
    <row r="3" customFormat="false" ht="12.75" hidden="false" customHeight="false" outlineLevel="0" collapsed="false">
      <c r="C3" s="479" t="n">
        <f aca="false">'Book Income Statement'!C3</f>
        <v>1</v>
      </c>
      <c r="D3" s="479" t="n">
        <f aca="false">'Book Income Statement'!D3</f>
        <v>2</v>
      </c>
      <c r="E3" s="479" t="n">
        <f aca="false">'Book Income Statement'!E3</f>
        <v>3</v>
      </c>
      <c r="F3" s="479" t="n">
        <f aca="false">'Book Income Statement'!F3</f>
        <v>4</v>
      </c>
      <c r="G3" s="479" t="n">
        <f aca="false">'Book Income Statement'!G3</f>
        <v>5</v>
      </c>
      <c r="H3" s="479" t="n">
        <f aca="false">'Book Income Statement'!H3</f>
        <v>6</v>
      </c>
      <c r="I3" s="479" t="n">
        <f aca="false">'Book Income Statement'!I3</f>
        <v>7</v>
      </c>
      <c r="J3" s="479" t="n">
        <f aca="false">'Book Income Statement'!J3</f>
        <v>8</v>
      </c>
      <c r="K3" s="479" t="n">
        <f aca="false">'Book Income Statement'!K3</f>
        <v>9</v>
      </c>
      <c r="L3" s="479" t="n">
        <f aca="false">'Book Income Statement'!L3</f>
        <v>10</v>
      </c>
      <c r="M3" s="479" t="n">
        <f aca="false">'Book Income Statement'!M3</f>
        <v>11</v>
      </c>
      <c r="N3" s="479" t="n">
        <f aca="false">'Book Income Statement'!N3</f>
        <v>12</v>
      </c>
      <c r="O3" s="479" t="n">
        <f aca="false">'Book Income Statement'!O3</f>
        <v>13</v>
      </c>
      <c r="P3" s="479" t="n">
        <f aca="false">'Book Income Statement'!P3</f>
        <v>14</v>
      </c>
      <c r="Q3" s="479" t="n">
        <f aca="false">'Book Income Statement'!Q3</f>
        <v>15</v>
      </c>
      <c r="R3" s="479" t="n">
        <f aca="false">'Book Income Statement'!R3</f>
        <v>16</v>
      </c>
    </row>
    <row r="4" customFormat="false" ht="12.75" hidden="false" customHeight="false" outlineLevel="0" collapsed="false">
      <c r="C4" s="346" t="n">
        <f aca="false">'Book Income Statement'!C4</f>
        <v>2000</v>
      </c>
      <c r="D4" s="346" t="n">
        <f aca="false">'Book Income Statement'!D4</f>
        <v>2001</v>
      </c>
      <c r="E4" s="346" t="n">
        <f aca="false">'Book Income Statement'!E4</f>
        <v>2002</v>
      </c>
      <c r="F4" s="346" t="n">
        <f aca="false">'Book Income Statement'!F4</f>
        <v>2003</v>
      </c>
      <c r="G4" s="346" t="n">
        <f aca="false">'Book Income Statement'!G4</f>
        <v>2004</v>
      </c>
      <c r="H4" s="346" t="n">
        <f aca="false">'Book Income Statement'!H4</f>
        <v>2005</v>
      </c>
      <c r="I4" s="346" t="n">
        <f aca="false">'Book Income Statement'!I4</f>
        <v>2006</v>
      </c>
      <c r="J4" s="346" t="n">
        <f aca="false">'Book Income Statement'!J4</f>
        <v>2007</v>
      </c>
      <c r="K4" s="346" t="n">
        <f aca="false">'Book Income Statement'!K4</f>
        <v>2008</v>
      </c>
      <c r="L4" s="346" t="n">
        <f aca="false">'Book Income Statement'!L4</f>
        <v>2009</v>
      </c>
      <c r="M4" s="346" t="n">
        <f aca="false">'Book Income Statement'!M4</f>
        <v>2010</v>
      </c>
      <c r="N4" s="346" t="n">
        <f aca="false">'Book Income Statement'!N4</f>
        <v>2011</v>
      </c>
      <c r="O4" s="346" t="n">
        <f aca="false">'Book Income Statement'!O4</f>
        <v>2012</v>
      </c>
      <c r="P4" s="346" t="n">
        <f aca="false">'Book Income Statement'!P4</f>
        <v>2013</v>
      </c>
      <c r="Q4" s="346" t="n">
        <f aca="false">'Book Income Statement'!Q4</f>
        <v>2014</v>
      </c>
      <c r="R4" s="346" t="n">
        <f aca="false">'Book Income Statement'!R4</f>
        <v>2015</v>
      </c>
    </row>
    <row r="5" customFormat="false" ht="12.6" hidden="false" customHeight="true" outlineLevel="0" collapsed="false">
      <c r="A5" s="246" t="s">
        <v>315</v>
      </c>
      <c r="B5" s="242"/>
      <c r="C5" s="480" t="n">
        <f aca="false">'Book Income Statement'!C5</f>
        <v>6.325</v>
      </c>
      <c r="D5" s="480" t="n">
        <f aca="false">'Book Income Statement'!D5</f>
        <v>12</v>
      </c>
      <c r="E5" s="480" t="n">
        <f aca="false">'Book Income Statement'!E5</f>
        <v>12</v>
      </c>
      <c r="F5" s="480" t="n">
        <f aca="false">'Book Income Statement'!F5</f>
        <v>12</v>
      </c>
      <c r="G5" s="480" t="n">
        <f aca="false">'Book Income Statement'!G5</f>
        <v>12</v>
      </c>
      <c r="H5" s="480" t="n">
        <f aca="false">'Book Income Statement'!H5</f>
        <v>12</v>
      </c>
      <c r="I5" s="480" t="n">
        <f aca="false">'Book Income Statement'!I5</f>
        <v>12</v>
      </c>
      <c r="J5" s="480" t="n">
        <f aca="false">'Book Income Statement'!J5</f>
        <v>12</v>
      </c>
      <c r="K5" s="480" t="n">
        <f aca="false">'Book Income Statement'!K5</f>
        <v>12</v>
      </c>
      <c r="L5" s="480" t="n">
        <f aca="false">'Book Income Statement'!L5</f>
        <v>12</v>
      </c>
      <c r="M5" s="480" t="n">
        <f aca="false">'Book Income Statement'!M5</f>
        <v>12</v>
      </c>
      <c r="N5" s="480" t="n">
        <f aca="false">'Book Income Statement'!N5</f>
        <v>12</v>
      </c>
      <c r="O5" s="480" t="n">
        <f aca="false">'Book Income Statement'!O5</f>
        <v>12</v>
      </c>
      <c r="P5" s="480" t="n">
        <f aca="false">'Book Income Statement'!P5</f>
        <v>12</v>
      </c>
      <c r="Q5" s="480" t="n">
        <f aca="false">'Book Income Statement'!Q5</f>
        <v>12</v>
      </c>
      <c r="R5" s="480" t="n">
        <f aca="false">'Book Income Statement'!R5</f>
        <v>8</v>
      </c>
      <c r="AB5" s="291"/>
      <c r="AC5" s="291"/>
      <c r="AD5" s="184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</row>
    <row r="6" customFormat="false" ht="15.75" hidden="false" customHeight="false" outlineLevel="0" collapsed="false">
      <c r="A6" s="490" t="s">
        <v>499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</row>
    <row r="7" customFormat="false" ht="12.6" hidden="false" customHeight="true" outlineLevel="0" collapsed="false">
      <c r="A7" s="491" t="s">
        <v>500</v>
      </c>
      <c r="B7" s="491"/>
      <c r="C7" s="492" t="n">
        <f aca="false">'Project Assumptions'!$I$28</f>
        <v>2.938</v>
      </c>
      <c r="D7" s="493" t="n">
        <f aca="false">IF(D3&gt;'Project Assumptions'!$I$15+1,0,C7*(1+D8))</f>
        <v>2.938</v>
      </c>
      <c r="E7" s="493" t="n">
        <f aca="false">IF(E3&gt;'Project Assumptions'!$I$15+1,0,D7*(1+E8))</f>
        <v>2.938</v>
      </c>
      <c r="F7" s="493" t="n">
        <f aca="false">IF(F3&gt;'Project Assumptions'!$I$15+1,0,E7*(1+F8))</f>
        <v>2.938</v>
      </c>
      <c r="G7" s="493" t="n">
        <f aca="false">IF(G3&gt;'Project Assumptions'!$I$15+1,0,F7*(1+G8))</f>
        <v>2.938</v>
      </c>
      <c r="H7" s="493" t="n">
        <f aca="false">IF(H3&gt;'Project Assumptions'!$I$15+1,0,G7*(1+H8))</f>
        <v>2.938</v>
      </c>
      <c r="I7" s="493" t="n">
        <f aca="false">IF(I3&gt;'Project Assumptions'!$I$15+1,0,H7*(1+I8))</f>
        <v>2.938</v>
      </c>
      <c r="J7" s="493" t="n">
        <f aca="false">IF(J3&gt;'Project Assumptions'!$I$15+1,0,I7*(1+J8))</f>
        <v>2.938</v>
      </c>
      <c r="K7" s="493" t="n">
        <f aca="false">IF(K3&gt;'Project Assumptions'!$I$15+1,0,J7*(1+K8))</f>
        <v>2.938</v>
      </c>
      <c r="L7" s="493" t="n">
        <f aca="false">IF(L3&gt;'Project Assumptions'!$I$15+1,0,K7*(1+L8))</f>
        <v>2.938</v>
      </c>
      <c r="M7" s="493" t="n">
        <f aca="false">IF(M3&gt;'Project Assumptions'!$I$15+1,0,L7*(1+M8))</f>
        <v>2.938</v>
      </c>
      <c r="N7" s="493" t="n">
        <f aca="false">IF(N3&gt;'Project Assumptions'!$I$15+1,0,M7*(1+N8))</f>
        <v>2.938</v>
      </c>
      <c r="O7" s="493" t="n">
        <f aca="false">IF(O3&gt;'Project Assumptions'!$I$15+1,0,N7*(1+O8))</f>
        <v>2.938</v>
      </c>
      <c r="P7" s="493" t="n">
        <f aca="false">IF(P3&gt;'Project Assumptions'!$I$15+1,0,O7*(1+P8))</f>
        <v>2.938</v>
      </c>
      <c r="Q7" s="493" t="n">
        <f aca="false">IF(Q3&gt;'Project Assumptions'!$I$15+1,0,P7*(1+Q8))</f>
        <v>2.938</v>
      </c>
      <c r="R7" s="493" t="n">
        <f aca="false">IF(R3&gt;'Project Assumptions'!$I$15+1,0,Q7*(1+R8))</f>
        <v>2.938</v>
      </c>
    </row>
    <row r="8" customFormat="false" ht="12.6" hidden="false" customHeight="true" outlineLevel="0" collapsed="false">
      <c r="A8" s="491" t="s">
        <v>501</v>
      </c>
      <c r="B8" s="491"/>
      <c r="C8" s="493"/>
      <c r="D8" s="492" t="n">
        <f aca="false">'Project Assumptions'!$I$29</f>
        <v>0</v>
      </c>
      <c r="E8" s="493" t="n">
        <f aca="false">IF(E3&gt;'Project Assumptions'!$I$15+1,0,D8)</f>
        <v>0</v>
      </c>
      <c r="F8" s="493" t="n">
        <f aca="false">IF(F3&gt;'Project Assumptions'!$I$15+1,0,E8)</f>
        <v>0</v>
      </c>
      <c r="G8" s="493" t="n">
        <f aca="false">IF(G3&gt;'Project Assumptions'!$I$15+1,0,F8)</f>
        <v>0</v>
      </c>
      <c r="H8" s="493" t="n">
        <f aca="false">IF(H3&gt;'Project Assumptions'!$I$15+1,0,G8)</f>
        <v>0</v>
      </c>
      <c r="I8" s="493" t="n">
        <f aca="false">IF(I3&gt;'Project Assumptions'!$I$15+1,0,H8)</f>
        <v>0</v>
      </c>
      <c r="J8" s="493" t="n">
        <f aca="false">IF(J3&gt;'Project Assumptions'!$I$15+1,0,I8)</f>
        <v>0</v>
      </c>
      <c r="K8" s="493" t="n">
        <f aca="false">IF(K3&gt;'Project Assumptions'!$I$15+1,0,J8)</f>
        <v>0</v>
      </c>
      <c r="L8" s="493" t="n">
        <f aca="false">IF(L3&gt;'Project Assumptions'!$I$15+1,0,K8)</f>
        <v>0</v>
      </c>
      <c r="M8" s="493" t="n">
        <f aca="false">IF(M3&gt;'Project Assumptions'!$I$15+1,0,L8)</f>
        <v>0</v>
      </c>
      <c r="N8" s="493" t="n">
        <f aca="false">IF(N3&gt;'Project Assumptions'!$I$15+1,0,M8)</f>
        <v>0</v>
      </c>
      <c r="O8" s="493" t="n">
        <f aca="false">IF(O3&gt;'Project Assumptions'!$I$15+1,0,N8)</f>
        <v>0</v>
      </c>
      <c r="P8" s="493" t="n">
        <f aca="false">IF(P3&gt;'Project Assumptions'!$I$15+1,0,O8)</f>
        <v>0</v>
      </c>
      <c r="Q8" s="493" t="n">
        <f aca="false">IF(Q3&gt;'Project Assumptions'!$I$15+1,0,P8)</f>
        <v>0</v>
      </c>
      <c r="R8" s="493" t="n">
        <f aca="false">IF(R3&gt;'Project Assumptions'!$I$15+1,0,Q8)</f>
        <v>0</v>
      </c>
    </row>
    <row r="9" customFormat="false" ht="12" hidden="false" customHeight="true" outlineLevel="0" collapsed="false">
      <c r="A9" s="491"/>
      <c r="B9" s="491"/>
      <c r="C9" s="494"/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</row>
    <row r="10" customFormat="false" ht="15.75" hidden="false" customHeight="false" outlineLevel="0" collapsed="false">
      <c r="A10" s="490" t="s">
        <v>502</v>
      </c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6"/>
    </row>
    <row r="11" customFormat="false" ht="12.6" hidden="false" customHeight="true" outlineLevel="0" collapsed="false">
      <c r="A11" s="497" t="s">
        <v>503</v>
      </c>
      <c r="B11" s="498"/>
      <c r="C11" s="499" t="n">
        <f aca="false">IF(C3&gt;'Project Assumptions'!$I$15+1,0,IF(Operations!C17=0,0,(Operations!C21)/Operations!C17*1000))</f>
        <v>27.2272827380952</v>
      </c>
      <c r="D11" s="499" t="n">
        <f aca="false">IF(D3&gt;'Project Assumptions'!$I$15+1,0,IF(Operations!D17=0,0,(Operations!D21)/Operations!D17*1000))</f>
        <v>27.5887068452381</v>
      </c>
      <c r="E11" s="499" t="n">
        <f aca="false">IF(E3&gt;'Project Assumptions'!$I$15+1,0,IF(Operations!E17=0,0,(Operations!E21)/Operations!E17*1000))</f>
        <v>28.1910803571429</v>
      </c>
      <c r="F11" s="499" t="n">
        <f aca="false">IF(F3&gt;'Project Assumptions'!$I$15+1,0,IF(Operations!F17=0,0,(Operations!F21)/Operations!F17*1000))</f>
        <v>28.5525044642857</v>
      </c>
      <c r="G11" s="499" t="n">
        <f aca="false">IF(G3&gt;'Project Assumptions'!$I$15+1,0,IF(Operations!G17=0,0,(Operations!G21)/Operations!G17*1000))</f>
        <v>29.1548779761905</v>
      </c>
      <c r="H11" s="499" t="n">
        <f aca="false">IF(H3&gt;'Project Assumptions'!$I$15+1,0,IF(Operations!H17=0,0,(Operations!H21)/Operations!H17*1000))</f>
        <v>29.5163020833333</v>
      </c>
      <c r="I11" s="499" t="n">
        <f aca="false">IF(I3&gt;'Project Assumptions'!$I$15+1,0,IF(Operations!I17=0,0,(Operations!I21)/Operations!I17*1000))</f>
        <v>30.359625</v>
      </c>
      <c r="J11" s="499" t="n">
        <f aca="false">IF(J3&gt;'Project Assumptions'!$I$15+1,0,IF(Operations!J17=0,0,(Operations!J21)/Operations!J17*1000))</f>
        <v>31.3234226190476</v>
      </c>
      <c r="K11" s="499" t="n">
        <f aca="false">IF(K3&gt;'Project Assumptions'!$I$15+1,0,IF(Operations!K17=0,0,(Operations!K21)/Operations!K17*1000))</f>
        <v>32.0462708333333</v>
      </c>
      <c r="L11" s="499" t="n">
        <f aca="false">IF(L3&gt;'Project Assumptions'!$I$15+1,0,IF(Operations!L17=0,0,(Operations!L21)/Operations!L17*1000))</f>
        <v>33.010068452381</v>
      </c>
      <c r="M11" s="499" t="n">
        <f aca="false">IF(M3&gt;'Project Assumptions'!$I$15+1,0,IF(Operations!M17=0,0,(Operations!M21)/Operations!M17*1000))</f>
        <v>33.9738660714286</v>
      </c>
      <c r="N11" s="499" t="n">
        <f aca="false">IF(N3&gt;'Project Assumptions'!$I$15+1,0,IF(Operations!N17=0,0,(Operations!N21)/Operations!N17*1000))</f>
        <v>35.0581383928571</v>
      </c>
      <c r="O11" s="499" t="n">
        <f aca="false">IF(O3&gt;'Project Assumptions'!$I$15+1,0,IF(Operations!O17=0,0,(Operations!O21)/Operations!O17*1000))</f>
        <v>36.0219360119048</v>
      </c>
      <c r="P11" s="499" t="n">
        <f aca="false">IF(P3&gt;'Project Assumptions'!$I$15+1,0,IF(Operations!P17=0,0,(Operations!P21)/Operations!P17*1000))</f>
        <v>36.9857336309524</v>
      </c>
      <c r="Q11" s="499" t="n">
        <f aca="false">IF(Q3&gt;'Project Assumptions'!$I$15+1,0,IF(Operations!Q17=0,0,(Operations!Q21)/Operations!Q17*1000))</f>
        <v>38.0700059523809</v>
      </c>
      <c r="R11" s="499" t="n">
        <f aca="false">IF(R3&gt;'Project Assumptions'!$I$15+1,0,IF(Operations!R17=0,0,(Operations!R21)/Operations!R17*1000))</f>
        <v>0</v>
      </c>
    </row>
    <row r="12" customFormat="false" ht="12.6" hidden="false" customHeight="true" outlineLevel="0" collapsed="false">
      <c r="A12" s="500" t="s">
        <v>504</v>
      </c>
      <c r="B12" s="498" t="str">
        <f aca="false">IF('Project Assumptions'!$C$72="Assumed","Off","On")</f>
        <v>On</v>
      </c>
      <c r="C12" s="501" t="n">
        <f aca="false">IF($B$12="Off","",IF(C3&gt;'Project Assumptions'!$I$15+1,0,IF(Operations!C17=0,0,('Book Income Statement'!C19+'Book Income Statement'!C22)/Operations!C17*1000)))</f>
        <v>1.76071428571429</v>
      </c>
      <c r="D12" s="501" t="n">
        <f aca="false">IF($B$12="Off","",IF(D3&gt;'Project Assumptions'!$I$15+1,0,IF(Operations!D17=0,0,('Book Income Statement'!D19+'Book Income Statement'!D22)/Operations!D17*1000)))</f>
        <v>1.79592857142857</v>
      </c>
      <c r="E12" s="501" t="n">
        <f aca="false">IF($B$12="Off","",IF(E3&gt;'Project Assumptions'!$I$15+1,0,IF(Operations!E17=0,0,('Book Income Statement'!E19+'Book Income Statement'!E22)/Operations!E17*1000)))</f>
        <v>1.83184714285714</v>
      </c>
      <c r="F12" s="501" t="n">
        <f aca="false">IF($B$12="Off","",IF(F3&gt;'Project Assumptions'!$I$15+1,0,IF(Operations!F17=0,0,('Book Income Statement'!F19+'Book Income Statement'!F22)/Operations!F17*1000)))</f>
        <v>1.86848408571429</v>
      </c>
      <c r="G12" s="501" t="n">
        <f aca="false">IF($B$12="Off","",IF(G3&gt;'Project Assumptions'!$I$15+1,0,IF(Operations!G17=0,0,('Book Income Statement'!G19+'Book Income Statement'!G22)/Operations!G17*1000)))</f>
        <v>1.90585376742857</v>
      </c>
      <c r="H12" s="501" t="n">
        <f aca="false">IF($B$12="Off","",IF(H3&gt;'Project Assumptions'!$I$15+1,0,IF(Operations!H17=0,0,('Book Income Statement'!H19+'Book Income Statement'!H22)/Operations!H17*1000)))</f>
        <v>1.94397084277714</v>
      </c>
      <c r="I12" s="501" t="n">
        <f aca="false">IF($B$12="Off","",IF(I3&gt;'Project Assumptions'!$I$15+1,0,IF(Operations!I17=0,0,('Book Income Statement'!I19+'Book Income Statement'!I22)/Operations!I17*1000)))</f>
        <v>1.98285025963269</v>
      </c>
      <c r="J12" s="501" t="n">
        <f aca="false">IF($B$12="Off","",IF(J3&gt;'Project Assumptions'!$I$15+1,0,IF(Operations!J17=0,0,('Book Income Statement'!J19+'Book Income Statement'!J22)/Operations!J17*1000)))</f>
        <v>2.02250726482534</v>
      </c>
      <c r="K12" s="501" t="n">
        <f aca="false">IF($B$12="Off","",IF(K3&gt;'Project Assumptions'!$I$15+1,0,IF(Operations!K17=0,0,('Book Income Statement'!K19+'Book Income Statement'!K22)/Operations!K17*1000)))</f>
        <v>2.06295741012185</v>
      </c>
      <c r="L12" s="501" t="n">
        <f aca="false">IF($B$12="Off","",IF(L3&gt;'Project Assumptions'!$I$15+1,0,IF(Operations!L17=0,0,('Book Income Statement'!L19+'Book Income Statement'!L22)/Operations!L17*1000)))</f>
        <v>2.10421655832428</v>
      </c>
      <c r="M12" s="501" t="n">
        <f aca="false">IF($B$12="Off","",IF(M3&gt;'Project Assumptions'!$I$15+1,0,IF(Operations!M17=0,0,('Book Income Statement'!M19+'Book Income Statement'!M22)/Operations!M17*1000)))</f>
        <v>2.14630088949077</v>
      </c>
      <c r="N12" s="501" t="n">
        <f aca="false">IF($B$12="Off","",IF(N3&gt;'Project Assumptions'!$I$15+1,0,IF(Operations!N17=0,0,('Book Income Statement'!N19+'Book Income Statement'!N22)/Operations!N17*1000)))</f>
        <v>2.18922690728059</v>
      </c>
      <c r="O12" s="501" t="n">
        <f aca="false">IF($B$12="Off","",IF(O3&gt;'Project Assumptions'!$I$15+1,0,IF(Operations!O17=0,0,('Book Income Statement'!O19+'Book Income Statement'!O22)/Operations!O17*1000)))</f>
        <v>2.2330114454262</v>
      </c>
      <c r="P12" s="501" t="n">
        <f aca="false">IF($B$12="Off","",IF(P3&gt;'Project Assumptions'!$I$15+1,0,IF(Operations!P17=0,0,('Book Income Statement'!P19+'Book Income Statement'!P22)/Operations!P17*1000)))</f>
        <v>2.27767167433472</v>
      </c>
      <c r="Q12" s="501" t="n">
        <f aca="false">IF($B$12="Off","",IF(Q3&gt;'Project Assumptions'!$I$15+1,0,IF(Operations!Q17=0,0,('Book Income Statement'!Q19+'Book Income Statement'!Q22)/Operations!Q17*1000)))</f>
        <v>2.32322510782142</v>
      </c>
      <c r="R12" s="501" t="n">
        <f aca="false">IF($B$12="Off","",IF(R3&gt;'Project Assumptions'!$I$15+1,0,IF(Operations!R17=0,0,('Book Income Statement'!R19+'Book Income Statement'!R22)/Operations!R17*1000)))</f>
        <v>0</v>
      </c>
    </row>
    <row r="13" customFormat="false" ht="12.6" hidden="false" customHeight="true" outlineLevel="0" collapsed="false">
      <c r="A13" s="497" t="s">
        <v>505</v>
      </c>
      <c r="B13" s="498" t="str">
        <f aca="false">IF('Project Assumptions'!$C$72="Assumed","On","Off")</f>
        <v>Off</v>
      </c>
      <c r="C13" s="501" t="str">
        <f aca="false">IF($B$13="Off","",'Project Assumptions'!$C$73)</f>
        <v/>
      </c>
      <c r="D13" s="501" t="str">
        <f aca="false">IF($B$13="Off","",IF(D3&gt;'Project Assumptions'!$I$15+1,0,C13*(1+'Project Assumptions'!$C$74)))</f>
        <v/>
      </c>
      <c r="E13" s="501" t="str">
        <f aca="false">IF($B$13="Off","",IF(E3&gt;'Project Assumptions'!$I$15+1,0,D13*(1+'Project Assumptions'!$C$74)))</f>
        <v/>
      </c>
      <c r="F13" s="501" t="str">
        <f aca="false">IF($B$13="Off","",IF(F3&gt;'Project Assumptions'!$I$15+1,0,E13*(1+'Project Assumptions'!$C$74)))</f>
        <v/>
      </c>
      <c r="G13" s="501" t="str">
        <f aca="false">IF($B$13="Off","",IF(G3&gt;'Project Assumptions'!$I$15+1,0,F13*(1+'Project Assumptions'!$C$74)))</f>
        <v/>
      </c>
      <c r="H13" s="501" t="str">
        <f aca="false">IF($B$13="Off","",IF(H3&gt;'Project Assumptions'!$I$15+1,0,G13*(1+'Project Assumptions'!$C$74)))</f>
        <v/>
      </c>
      <c r="I13" s="501" t="str">
        <f aca="false">IF($B$13="Off","",IF(I3&gt;'Project Assumptions'!$I$15+1,0,H13*(1+'Project Assumptions'!$C$74)))</f>
        <v/>
      </c>
      <c r="J13" s="501" t="str">
        <f aca="false">IF($B$13="Off","",IF(J3&gt;'Project Assumptions'!$I$15+1,0,I13*(1+'Project Assumptions'!$C$74)))</f>
        <v/>
      </c>
      <c r="K13" s="501" t="str">
        <f aca="false">IF($B$13="Off","",IF(K3&gt;'Project Assumptions'!$I$15+1,0,J13*(1+'Project Assumptions'!$C$74)))</f>
        <v/>
      </c>
      <c r="L13" s="501" t="str">
        <f aca="false">IF($B$13="Off","",IF(L3&gt;'Project Assumptions'!$I$15+1,0,K13*(1+'Project Assumptions'!$C$74)))</f>
        <v/>
      </c>
      <c r="M13" s="501" t="str">
        <f aca="false">IF($B$13="Off","",IF(M3&gt;'Project Assumptions'!$I$15+1,0,L13*(1+'Project Assumptions'!$C$74)))</f>
        <v/>
      </c>
      <c r="N13" s="501" t="str">
        <f aca="false">IF($B$13="Off","",IF(N3&gt;'Project Assumptions'!$I$15+1,0,M13*(1+'Project Assumptions'!$C$74)))</f>
        <v/>
      </c>
      <c r="O13" s="501" t="str">
        <f aca="false">IF($B$13="Off","",IF(O3&gt;'Project Assumptions'!$I$15+1,0,N13*(1+'Project Assumptions'!$C$74)))</f>
        <v/>
      </c>
      <c r="P13" s="501" t="str">
        <f aca="false">IF($B$13="Off","",IF(P3&gt;'Project Assumptions'!$I$15+1,0,O13*(1+'Project Assumptions'!$C$74)))</f>
        <v/>
      </c>
      <c r="Q13" s="501" t="str">
        <f aca="false">IF($B$13="Off","",IF(Q3&gt;'Project Assumptions'!$I$15+1,0,P13*(1+'Project Assumptions'!$C$74)))</f>
        <v/>
      </c>
      <c r="R13" s="501" t="str">
        <f aca="false">IF($B$13="Off","",IF(R3&gt;'Project Assumptions'!$I$15+1,0,Q13*(1+'Project Assumptions'!$C$74)))</f>
        <v/>
      </c>
    </row>
    <row r="14" customFormat="false" ht="12.6" hidden="false" customHeight="true" outlineLevel="0" collapsed="false">
      <c r="A14" s="497" t="s">
        <v>506</v>
      </c>
      <c r="B14" s="498"/>
      <c r="C14" s="499" t="n">
        <f aca="false">SUM(C11:C13)</f>
        <v>28.9879970238095</v>
      </c>
      <c r="D14" s="499" t="n">
        <f aca="false">SUM(D11:D13)</f>
        <v>29.3846354166667</v>
      </c>
      <c r="E14" s="499" t="n">
        <f aca="false">SUM(E11:E13)</f>
        <v>30.0229275</v>
      </c>
      <c r="F14" s="499" t="n">
        <f aca="false">SUM(F11:F13)</f>
        <v>30.42098855</v>
      </c>
      <c r="G14" s="499" t="n">
        <f aca="false">SUM(G11:G13)</f>
        <v>31.060731743619</v>
      </c>
      <c r="H14" s="499" t="n">
        <f aca="false">SUM(H11:H13)</f>
        <v>31.4602729261105</v>
      </c>
      <c r="I14" s="499" t="n">
        <f aca="false">SUM(I11:I13)</f>
        <v>32.3424752596327</v>
      </c>
      <c r="J14" s="499" t="n">
        <f aca="false">SUM(J11:J13)</f>
        <v>33.345929883873</v>
      </c>
      <c r="K14" s="499" t="n">
        <f aca="false">SUM(K11:K13)</f>
        <v>34.1092282434552</v>
      </c>
      <c r="L14" s="499" t="n">
        <f aca="false">SUM(L11:L13)</f>
        <v>35.1142850107052</v>
      </c>
      <c r="M14" s="499" t="n">
        <f aca="false">SUM(M11:M13)</f>
        <v>36.1201669609193</v>
      </c>
      <c r="N14" s="499" t="n">
        <f aca="false">SUM(N11:N13)</f>
        <v>37.2473653001377</v>
      </c>
      <c r="O14" s="499" t="n">
        <f aca="false">SUM(O11:O13)</f>
        <v>38.254947457331</v>
      </c>
      <c r="P14" s="499" t="n">
        <f aca="false">SUM(P11:P13)</f>
        <v>39.2634053052871</v>
      </c>
      <c r="Q14" s="499" t="n">
        <f aca="false">SUM(Q11:Q13)</f>
        <v>40.3932310602024</v>
      </c>
      <c r="R14" s="499" t="n">
        <f aca="false">SUM(R11:R13)</f>
        <v>0</v>
      </c>
    </row>
    <row r="15" customFormat="false" ht="12.6" hidden="false" customHeight="true" outlineLevel="0" collapsed="false">
      <c r="A15" s="497"/>
      <c r="B15" s="498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</row>
    <row r="16" customFormat="false" ht="12.6" hidden="false" customHeight="true" outlineLevel="0" collapsed="false">
      <c r="A16" s="491" t="s">
        <v>507</v>
      </c>
      <c r="B16" s="491"/>
      <c r="C16" s="493" t="n">
        <f aca="false">IF(AND('Project Assumptions'!$C$72="Actual",'Project Assumptions'!$C$71="Yes"),C$14,IF(AND('Project Assumptions'!$C$72="None",'Project Assumptions'!$C$71="No"),C$11,IF('Project Assumptions'!$C$72="Assumed",C$13+C$11,IF('Project Assumptions'!$C$72="Actual",C$11+C$12,C$11+C$15))))</f>
        <v>28.9879970238095</v>
      </c>
      <c r="D16" s="493" t="n">
        <f aca="false">IF(AND('Project Assumptions'!$C$72="Actual",'Project Assumptions'!$C$71="Yes"),D$14,IF(AND('Project Assumptions'!$C$72="None",'Project Assumptions'!$C$71="No"),D$11,IF('Project Assumptions'!$C$72="Assumed",D$13+D$11,IF('Project Assumptions'!$C$72="Actual",D$11+D$12,D$11+D$15))))</f>
        <v>29.3846354166667</v>
      </c>
      <c r="E16" s="493" t="n">
        <f aca="false">IF(AND('Project Assumptions'!$C$72="Actual",'Project Assumptions'!$C$71="Yes"),E$14,IF(AND('Project Assumptions'!$C$72="None",'Project Assumptions'!$C$71="No"),E$11,IF('Project Assumptions'!$C$72="Assumed",E$13+E$11,IF('Project Assumptions'!$C$72="Actual",E$11+E$12,E$11+E$15))))</f>
        <v>30.0229275</v>
      </c>
      <c r="F16" s="493" t="n">
        <f aca="false">IF(AND('Project Assumptions'!$C$72="Actual",'Project Assumptions'!$C$71="Yes"),F$14,IF(AND('Project Assumptions'!$C$72="None",'Project Assumptions'!$C$71="No"),F$11,IF('Project Assumptions'!$C$72="Assumed",F$13+F$11,IF('Project Assumptions'!$C$72="Actual",F$11+F$12,F$11+F$15))))</f>
        <v>30.42098855</v>
      </c>
      <c r="G16" s="493" t="n">
        <f aca="false">IF(AND('Project Assumptions'!$C$72="Actual",'Project Assumptions'!$C$71="Yes"),G$14,IF(AND('Project Assumptions'!$C$72="None",'Project Assumptions'!$C$71="No"),G$11,IF('Project Assumptions'!$C$72="Assumed",G$13+G$11,IF('Project Assumptions'!$C$72="Actual",G$11+G$12,G$11+G$15))))</f>
        <v>31.060731743619</v>
      </c>
      <c r="H16" s="493" t="n">
        <f aca="false">IF(AND('Project Assumptions'!$C$72="Actual",'Project Assumptions'!$C$71="Yes"),H$14,IF(AND('Project Assumptions'!$C$72="None",'Project Assumptions'!$C$71="No"),H$11,IF('Project Assumptions'!$C$72="Assumed",H$13+H$11,IF('Project Assumptions'!$C$72="Actual",H$11+H$12,H$11+H$15))))</f>
        <v>31.4602729261105</v>
      </c>
      <c r="I16" s="493" t="n">
        <f aca="false">IF(AND('Project Assumptions'!$C$72="Actual",'Project Assumptions'!$C$71="Yes"),I$14,IF(AND('Project Assumptions'!$C$72="None",'Project Assumptions'!$C$71="No"),I$11,IF('Project Assumptions'!$C$72="Assumed",I$13+I$11,IF('Project Assumptions'!$C$72="Actual",I$11+I$12,I$11+I$15))))</f>
        <v>32.3424752596327</v>
      </c>
      <c r="J16" s="493" t="n">
        <f aca="false">IF(AND('Project Assumptions'!$C$72="Actual",'Project Assumptions'!$C$71="Yes"),J$14,IF(AND('Project Assumptions'!$C$72="None",'Project Assumptions'!$C$71="No"),J$11,IF('Project Assumptions'!$C$72="Assumed",J$13+J$11,IF('Project Assumptions'!$C$72="Actual",J$11+J$12,J$11+J$15))))</f>
        <v>33.345929883873</v>
      </c>
      <c r="K16" s="493" t="n">
        <f aca="false">IF(AND('Project Assumptions'!$C$72="Actual",'Project Assumptions'!$C$71="Yes"),K$14,IF(AND('Project Assumptions'!$C$72="None",'Project Assumptions'!$C$71="No"),K$11,IF('Project Assumptions'!$C$72="Assumed",K$13+K$11,IF('Project Assumptions'!$C$72="Actual",K$11+K$12,K$11+K$15))))</f>
        <v>34.1092282434552</v>
      </c>
      <c r="L16" s="493" t="n">
        <f aca="false">IF(AND('Project Assumptions'!$C$72="Actual",'Project Assumptions'!$C$71="Yes"),L$14,IF(AND('Project Assumptions'!$C$72="None",'Project Assumptions'!$C$71="No"),L$11,IF('Project Assumptions'!$C$72="Assumed",L$13+L$11,IF('Project Assumptions'!$C$72="Actual",L$11+L$12,L$11+L$15))))</f>
        <v>35.1142850107052</v>
      </c>
      <c r="M16" s="493" t="n">
        <f aca="false">IF(AND('Project Assumptions'!$C$72="Actual",'Project Assumptions'!$C$71="Yes"),M$14,IF(AND('Project Assumptions'!$C$72="None",'Project Assumptions'!$C$71="No"),M$11,IF('Project Assumptions'!$C$72="Assumed",M$13+M$11,IF('Project Assumptions'!$C$72="Actual",M$11+M$12,M$11+M$15))))</f>
        <v>36.1201669609193</v>
      </c>
      <c r="N16" s="493" t="n">
        <f aca="false">IF(AND('Project Assumptions'!$C$72="Actual",'Project Assumptions'!$C$71="Yes"),N$14,IF(AND('Project Assumptions'!$C$72="None",'Project Assumptions'!$C$71="No"),N$11,IF('Project Assumptions'!$C$72="Assumed",N$13+N$11,IF('Project Assumptions'!$C$72="Actual",N$11+N$12,N$11+N$15))))</f>
        <v>37.2473653001377</v>
      </c>
      <c r="O16" s="493" t="n">
        <f aca="false">IF(AND('Project Assumptions'!$C$72="Actual",'Project Assumptions'!$C$71="Yes"),O$14,IF(AND('Project Assumptions'!$C$72="None",'Project Assumptions'!$C$71="No"),O$11,IF('Project Assumptions'!$C$72="Assumed",O$13+O$11,IF('Project Assumptions'!$C$72="Actual",O$11+O$12,O$11+O$15))))</f>
        <v>38.254947457331</v>
      </c>
      <c r="P16" s="493" t="n">
        <f aca="false">IF(AND('Project Assumptions'!$C$72="Actual",'Project Assumptions'!$C$71="Yes"),P$14,IF(AND('Project Assumptions'!$C$72="None",'Project Assumptions'!$C$71="No"),P$11,IF('Project Assumptions'!$C$72="Assumed",P$13+P$11,IF('Project Assumptions'!$C$72="Actual",P$11+P$12,P$11+P$15))))</f>
        <v>39.2634053052871</v>
      </c>
      <c r="Q16" s="493" t="n">
        <f aca="false">IF(AND('Project Assumptions'!$C$72="Actual",'Project Assumptions'!$C$71="Yes"),Q$14,IF(AND('Project Assumptions'!$C$72="None",'Project Assumptions'!$C$71="No"),Q$11,IF('Project Assumptions'!$C$72="Assumed",Q$13+Q$11,IF('Project Assumptions'!$C$72="Actual",Q$11+Q$12,Q$11+Q$15))))</f>
        <v>40.3932310602024</v>
      </c>
      <c r="R16" s="493" t="n">
        <f aca="false">IF(AND('Project Assumptions'!$C$72="Actual",'Project Assumptions'!$C$71="Yes"),R$14,IF(AND('Project Assumptions'!$C$72="None",'Project Assumptions'!$C$71="No"),R$11,IF('Project Assumptions'!$C$72="Assumed",R$13+R$11,IF('Project Assumptions'!$C$72="Actual",R$11+R$12,R$11+R$15))))</f>
        <v>0</v>
      </c>
    </row>
    <row r="17" customFormat="false" ht="12.6" hidden="false" customHeight="true" outlineLevel="0" collapsed="false">
      <c r="A17" s="491" t="s">
        <v>508</v>
      </c>
      <c r="B17" s="491"/>
      <c r="C17" s="501" t="n">
        <f aca="false">('Book Income Statement'!C7+'Book Income Statement'!C86)*1000/Operations!C14</f>
        <v>15.8484463213144</v>
      </c>
      <c r="D17" s="501" t="n">
        <f aca="false">('Book Income Statement'!D7+'Book Income Statement'!D86)*1000/Operations!D14</f>
        <v>30.7241733790455</v>
      </c>
      <c r="E17" s="501" t="n">
        <f aca="false">('Book Income Statement'!E7+'Book Income Statement'!E86)*1000/Operations!E14</f>
        <v>30.9353167469384</v>
      </c>
      <c r="F17" s="501" t="n">
        <f aca="false">('Book Income Statement'!F7+'Book Income Statement'!F86)*1000/Operations!F14</f>
        <v>31.1327751857543</v>
      </c>
      <c r="G17" s="501" t="n">
        <f aca="false">('Book Income Statement'!G7+'Book Income Statement'!G86)*1000/Operations!G14</f>
        <v>31.2358820566934</v>
      </c>
      <c r="H17" s="501" t="n">
        <f aca="false">('Book Income Statement'!H7+'Book Income Statement'!H86)*1000/Operations!H14</f>
        <v>31.3330578855267</v>
      </c>
      <c r="I17" s="501" t="n">
        <f aca="false">('Book Income Statement'!I7+'Book Income Statement'!I86)*1000/Operations!I14</f>
        <v>31.424337766403</v>
      </c>
      <c r="J17" s="501" t="n">
        <f aca="false">('Book Income Statement'!J7+'Book Income Statement'!J86)*1000/Operations!J14</f>
        <v>31.4405857494682</v>
      </c>
      <c r="K17" s="501" t="n">
        <f aca="false">('Book Income Statement'!K7+'Book Income Statement'!K86)*1000/Operations!K14</f>
        <v>31.4586958421032</v>
      </c>
      <c r="L17" s="501" t="n">
        <f aca="false">('Book Income Statement'!L7+'Book Income Statement'!L86)*1000/Operations!L14</f>
        <v>31.4787052864996</v>
      </c>
      <c r="M17" s="501" t="n">
        <f aca="false">('Book Income Statement'!M7+'Book Income Statement'!M86)*1000/Operations!M14</f>
        <v>31.5006520696924</v>
      </c>
      <c r="N17" s="501" t="n">
        <f aca="false">('Book Income Statement'!N7+'Book Income Statement'!N86)*1000/Operations!N14</f>
        <v>31.5245749384577</v>
      </c>
      <c r="O17" s="501" t="n">
        <f aca="false">('Book Income Statement'!O7+'Book Income Statement'!O86)*1000/Operations!O14</f>
        <v>31.5505134145069</v>
      </c>
      <c r="P17" s="501" t="n">
        <f aca="false">('Book Income Statement'!P7+'Book Income Statement'!P86)*1000/Operations!P14</f>
        <v>31.5785078099856</v>
      </c>
      <c r="Q17" s="501" t="n">
        <f aca="false">('Book Income Statement'!Q7+'Book Income Statement'!Q86)*1000/Operations!Q14</f>
        <v>31.6085992432824</v>
      </c>
      <c r="R17" s="501" t="e">
        <f aca="false">('Book Income Statement'!R7+'Book Income Statement'!R86)*1000/Operations!R14</f>
        <v>#DIV/0!</v>
      </c>
    </row>
    <row r="18" customFormat="false" ht="12.6" hidden="false" customHeight="true" outlineLevel="0" collapsed="false">
      <c r="A18" s="497" t="s">
        <v>509</v>
      </c>
      <c r="B18" s="491"/>
      <c r="C18" s="493" t="n">
        <f aca="false">SUM(C16:C17)</f>
        <v>44.8364433451239</v>
      </c>
      <c r="D18" s="493" t="n">
        <f aca="false">SUM(D16:D17)</f>
        <v>60.1088087957122</v>
      </c>
      <c r="E18" s="493" t="n">
        <f aca="false">SUM(E16:E17)</f>
        <v>60.9582442469384</v>
      </c>
      <c r="F18" s="493" t="n">
        <f aca="false">SUM(F16:F17)</f>
        <v>61.5537637357543</v>
      </c>
      <c r="G18" s="493" t="n">
        <f aca="false">SUM(G16:G17)</f>
        <v>62.2966138003125</v>
      </c>
      <c r="H18" s="493" t="n">
        <f aca="false">SUM(H16:H17)</f>
        <v>62.7933308116372</v>
      </c>
      <c r="I18" s="493" t="n">
        <f aca="false">SUM(I16:I17)</f>
        <v>63.7668130260357</v>
      </c>
      <c r="J18" s="493" t="n">
        <f aca="false">SUM(J16:J17)</f>
        <v>64.7865156333411</v>
      </c>
      <c r="K18" s="493" t="n">
        <f aca="false">SUM(K16:K17)</f>
        <v>65.5679240855584</v>
      </c>
      <c r="L18" s="493" t="n">
        <f aca="false">SUM(L16:L17)</f>
        <v>66.5929902972048</v>
      </c>
      <c r="M18" s="493" t="n">
        <f aca="false">SUM(M16:M17)</f>
        <v>67.6208190306118</v>
      </c>
      <c r="N18" s="493" t="n">
        <f aca="false">SUM(N16:N17)</f>
        <v>68.7719402385955</v>
      </c>
      <c r="O18" s="493" t="n">
        <f aca="false">SUM(O16:O17)</f>
        <v>69.8054608718378</v>
      </c>
      <c r="P18" s="493" t="n">
        <f aca="false">SUM(P16:P17)</f>
        <v>70.8419131152727</v>
      </c>
      <c r="Q18" s="493" t="n">
        <f aca="false">SUM(Q16:Q17)</f>
        <v>72.0018303034848</v>
      </c>
      <c r="R18" s="493" t="e">
        <f aca="false">SUM(R16:R17)</f>
        <v>#DIV/0!</v>
      </c>
    </row>
    <row r="19" customFormat="false" ht="12.6" hidden="false" customHeight="true" outlineLevel="0" collapsed="false">
      <c r="A19" s="491"/>
      <c r="B19" s="491"/>
      <c r="C19" s="495"/>
      <c r="D19" s="495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</row>
    <row r="20" customFormat="false" ht="15.75" hidden="false" customHeight="false" outlineLevel="0" collapsed="false">
      <c r="A20" s="490" t="s">
        <v>510</v>
      </c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</row>
    <row r="21" customFormat="false" ht="12.6" hidden="false" customHeight="true" outlineLevel="0" collapsed="false">
      <c r="A21" s="497" t="s">
        <v>511</v>
      </c>
      <c r="B21" s="502"/>
      <c r="C21" s="503" t="n">
        <v>2.35</v>
      </c>
      <c r="D21" s="504" t="n">
        <v>2.37797619047619</v>
      </c>
      <c r="E21" s="504" t="n">
        <v>2.42460317460318</v>
      </c>
      <c r="F21" s="504" t="n">
        <v>2.45257936507937</v>
      </c>
      <c r="G21" s="504" t="n">
        <v>2.49920634920635</v>
      </c>
      <c r="H21" s="504" t="n">
        <v>2.52718253968254</v>
      </c>
      <c r="I21" s="504" t="n">
        <v>2.59246031746032</v>
      </c>
      <c r="J21" s="504" t="n">
        <v>2.66706349206349</v>
      </c>
      <c r="K21" s="504" t="n">
        <v>2.72301587301587</v>
      </c>
      <c r="L21" s="504" t="n">
        <v>2.79761904761905</v>
      </c>
      <c r="M21" s="504" t="n">
        <v>2.87222222222222</v>
      </c>
      <c r="N21" s="504" t="n">
        <v>2.9561507936508</v>
      </c>
      <c r="O21" s="504" t="n">
        <v>3.03075396825397</v>
      </c>
      <c r="P21" s="504" t="n">
        <v>3.10535714285714</v>
      </c>
      <c r="Q21" s="504" t="n">
        <v>3.18928571428572</v>
      </c>
      <c r="R21" s="504" t="n">
        <v>3.18928571428572</v>
      </c>
      <c r="AC21" s="491"/>
    </row>
    <row r="22" customFormat="false" ht="12.6" hidden="false" customHeight="true" outlineLevel="0" collapsed="false">
      <c r="A22" s="460"/>
      <c r="B22" s="460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</row>
    <row r="23" customFormat="false" ht="12.6" hidden="false" customHeight="true" outlineLevel="0" collapsed="false">
      <c r="A23" s="497" t="s">
        <v>512</v>
      </c>
      <c r="C23" s="504" t="n">
        <v>2.22</v>
      </c>
      <c r="D23" s="504" t="n">
        <v>2.25</v>
      </c>
      <c r="E23" s="504" t="n">
        <v>2.3</v>
      </c>
      <c r="F23" s="504" t="n">
        <v>2.33</v>
      </c>
      <c r="G23" s="504" t="n">
        <v>2.38</v>
      </c>
      <c r="H23" s="504" t="n">
        <v>2.41</v>
      </c>
      <c r="I23" s="504" t="n">
        <v>2.48</v>
      </c>
      <c r="J23" s="504" t="n">
        <v>2.56</v>
      </c>
      <c r="K23" s="504" t="n">
        <v>2.62</v>
      </c>
      <c r="L23" s="504" t="n">
        <v>2.7</v>
      </c>
      <c r="M23" s="504" t="n">
        <v>2.78</v>
      </c>
      <c r="N23" s="504" t="n">
        <v>2.87</v>
      </c>
      <c r="O23" s="504" t="n">
        <v>2.95</v>
      </c>
      <c r="P23" s="504" t="n">
        <v>3.03</v>
      </c>
      <c r="Q23" s="504" t="n">
        <v>3.12</v>
      </c>
      <c r="R23" s="506" t="n">
        <f aca="false">Q23*AVERAGE(D24:Q24)</f>
        <v>3.19684536632754</v>
      </c>
    </row>
    <row r="24" customFormat="false" ht="12.6" hidden="true" customHeight="true" outlineLevel="0" collapsed="false">
      <c r="A24" s="507"/>
      <c r="C24" s="504"/>
      <c r="D24" s="426" t="n">
        <f aca="false">D23/C23</f>
        <v>1.01351351351351</v>
      </c>
      <c r="E24" s="426" t="n">
        <f aca="false">E23/D23</f>
        <v>1.02222222222222</v>
      </c>
      <c r="F24" s="426" t="n">
        <f aca="false">F23/E23</f>
        <v>1.01304347826087</v>
      </c>
      <c r="G24" s="426" t="n">
        <f aca="false">G23/F23</f>
        <v>1.02145922746781</v>
      </c>
      <c r="H24" s="426" t="n">
        <f aca="false">H23/G23</f>
        <v>1.01260504201681</v>
      </c>
      <c r="I24" s="426" t="n">
        <f aca="false">I23/H23</f>
        <v>1.02904564315353</v>
      </c>
      <c r="J24" s="426" t="n">
        <f aca="false">J23/I23</f>
        <v>1.03225806451613</v>
      </c>
      <c r="K24" s="426" t="n">
        <f aca="false">K23/J23</f>
        <v>1.0234375</v>
      </c>
      <c r="L24" s="426" t="n">
        <f aca="false">L23/K23</f>
        <v>1.03053435114504</v>
      </c>
      <c r="M24" s="426" t="n">
        <f aca="false">M23/L23</f>
        <v>1.02962962962963</v>
      </c>
      <c r="N24" s="426" t="n">
        <f aca="false">N23/M23</f>
        <v>1.03237410071942</v>
      </c>
      <c r="O24" s="426" t="n">
        <f aca="false">O23/N23</f>
        <v>1.02787456445993</v>
      </c>
      <c r="P24" s="426" t="n">
        <f aca="false">P23/O23</f>
        <v>1.0271186440678</v>
      </c>
      <c r="Q24" s="426" t="n">
        <f aca="false">Q23/P23</f>
        <v>1.02970297029703</v>
      </c>
      <c r="R24" s="426" t="n">
        <f aca="false">R23/Q23</f>
        <v>1.02462992510498</v>
      </c>
    </row>
    <row r="25" customFormat="false" ht="12.6" hidden="false" customHeight="true" outlineLevel="0" collapsed="false">
      <c r="A25" s="497" t="s">
        <v>513</v>
      </c>
      <c r="B25" s="236"/>
      <c r="C25" s="508" t="n">
        <v>0.04</v>
      </c>
      <c r="D25" s="508" t="n">
        <v>0.04</v>
      </c>
      <c r="E25" s="508" t="n">
        <v>0.04</v>
      </c>
      <c r="F25" s="508" t="n">
        <v>0.04</v>
      </c>
      <c r="G25" s="508" t="n">
        <v>0.04</v>
      </c>
      <c r="H25" s="508" t="n">
        <v>0.04</v>
      </c>
      <c r="I25" s="508" t="n">
        <v>0.04</v>
      </c>
      <c r="J25" s="508" t="n">
        <v>0.04</v>
      </c>
      <c r="K25" s="508" t="n">
        <v>0.04</v>
      </c>
      <c r="L25" s="508" t="n">
        <v>0.04</v>
      </c>
      <c r="M25" s="508" t="n">
        <v>0.04</v>
      </c>
      <c r="N25" s="508" t="n">
        <v>0.04</v>
      </c>
      <c r="O25" s="508" t="n">
        <v>0.04</v>
      </c>
      <c r="P25" s="508" t="n">
        <v>0.04</v>
      </c>
      <c r="Q25" s="508" t="n">
        <v>0.04</v>
      </c>
      <c r="R25" s="508" t="n">
        <v>0.04</v>
      </c>
    </row>
    <row r="26" customFormat="false" ht="12.75" hidden="false" customHeight="false" outlineLevel="0" collapsed="false">
      <c r="A26" s="497" t="s">
        <v>514</v>
      </c>
      <c r="C26" s="503" t="n">
        <f aca="false">C23+C25</f>
        <v>2.26</v>
      </c>
      <c r="D26" s="503" t="n">
        <f aca="false">D23+D25</f>
        <v>2.29</v>
      </c>
      <c r="E26" s="503" t="n">
        <f aca="false">E23+E25</f>
        <v>2.34</v>
      </c>
      <c r="F26" s="503" t="n">
        <f aca="false">F23+F25</f>
        <v>2.37</v>
      </c>
      <c r="G26" s="503" t="n">
        <f aca="false">G23+G25</f>
        <v>2.42</v>
      </c>
      <c r="H26" s="503" t="n">
        <f aca="false">H23+H25</f>
        <v>2.45</v>
      </c>
      <c r="I26" s="503" t="n">
        <f aca="false">I23+I25</f>
        <v>2.52</v>
      </c>
      <c r="J26" s="503" t="n">
        <f aca="false">J23+J25</f>
        <v>2.6</v>
      </c>
      <c r="K26" s="503" t="n">
        <f aca="false">K23+K25</f>
        <v>2.66</v>
      </c>
      <c r="L26" s="503" t="n">
        <f aca="false">L23+L25</f>
        <v>2.74</v>
      </c>
      <c r="M26" s="503" t="n">
        <f aca="false">M23+M25</f>
        <v>2.82</v>
      </c>
      <c r="N26" s="503" t="n">
        <f aca="false">N23+N25</f>
        <v>2.91</v>
      </c>
      <c r="O26" s="503" t="n">
        <f aca="false">O23+O25</f>
        <v>2.99</v>
      </c>
      <c r="P26" s="503" t="n">
        <f aca="false">P23+P25</f>
        <v>3.07</v>
      </c>
      <c r="Q26" s="503" t="n">
        <f aca="false">Q23+Q25</f>
        <v>3.16</v>
      </c>
      <c r="R26" s="503" t="n">
        <f aca="false">R23+R25</f>
        <v>3.23684536632754</v>
      </c>
    </row>
    <row r="27" customFormat="false" ht="12.75" hidden="false" customHeight="false" outlineLevel="0" collapsed="false"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509"/>
      <c r="N27" s="509"/>
      <c r="O27" s="509"/>
      <c r="P27" s="509"/>
      <c r="Q27" s="509"/>
      <c r="R27" s="509"/>
    </row>
    <row r="28" customFormat="false" ht="12.6" hidden="false" customHeight="true" outlineLevel="0" collapsed="false">
      <c r="C28" s="510"/>
      <c r="D28" s="511"/>
      <c r="E28" s="511"/>
      <c r="F28" s="511"/>
      <c r="G28" s="511"/>
      <c r="H28" s="511"/>
      <c r="I28" s="511"/>
      <c r="J28" s="511"/>
      <c r="K28" s="511"/>
      <c r="L28" s="511"/>
      <c r="M28" s="512"/>
      <c r="N28" s="512"/>
      <c r="O28" s="512"/>
      <c r="P28" s="512"/>
      <c r="Q28" s="512"/>
      <c r="R28" s="512"/>
    </row>
    <row r="29" customFormat="false" ht="15.75" hidden="false" customHeight="false" outlineLevel="0" collapsed="false">
      <c r="A29" s="490"/>
      <c r="C29" s="506"/>
      <c r="D29" s="513"/>
      <c r="E29" s="513"/>
      <c r="F29" s="513"/>
      <c r="G29" s="513"/>
      <c r="H29" s="513"/>
      <c r="I29" s="513"/>
      <c r="J29" s="513"/>
      <c r="K29" s="513"/>
      <c r="L29" s="513"/>
      <c r="M29" s="512"/>
      <c r="N29" s="512"/>
      <c r="O29" s="512"/>
      <c r="P29" s="512"/>
      <c r="Q29" s="512"/>
      <c r="R29" s="512"/>
    </row>
    <row r="30" customFormat="false" ht="15.75" hidden="false" customHeight="false" outlineLevel="0" collapsed="false">
      <c r="A30" s="490"/>
      <c r="C30" s="512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2"/>
      <c r="O30" s="512"/>
      <c r="P30" s="512"/>
      <c r="Q30" s="512"/>
      <c r="R30" s="512"/>
    </row>
    <row r="31" customFormat="false" ht="15.75" hidden="false" customHeight="false" outlineLevel="0" collapsed="false">
      <c r="A31" s="490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2"/>
      <c r="N31" s="512"/>
      <c r="O31" s="512"/>
      <c r="P31" s="512"/>
      <c r="Q31" s="512"/>
      <c r="R31" s="512"/>
    </row>
    <row r="32" customFormat="false" ht="15.75" hidden="false" customHeight="false" outlineLevel="0" collapsed="false">
      <c r="A32" s="490"/>
      <c r="C32" s="512"/>
      <c r="D32" s="512"/>
      <c r="E32" s="512"/>
      <c r="F32" s="512"/>
      <c r="G32" s="512"/>
      <c r="H32" s="512"/>
      <c r="I32" s="512"/>
      <c r="J32" s="512"/>
      <c r="K32" s="512"/>
      <c r="L32" s="267"/>
      <c r="M32" s="512"/>
      <c r="N32" s="512"/>
      <c r="O32" s="512"/>
      <c r="P32" s="512"/>
      <c r="Q32" s="512"/>
      <c r="R32" s="512"/>
    </row>
    <row r="33" customFormat="false" ht="12.75" hidden="false" customHeight="false" outlineLevel="0" collapsed="false">
      <c r="A33" s="466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515"/>
      <c r="N33" s="515"/>
      <c r="O33" s="515"/>
    </row>
    <row r="34" customFormat="false" ht="12.6" hidden="false" customHeight="true" outlineLevel="0" collapsed="false">
      <c r="A34" s="466"/>
      <c r="D34" s="512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</row>
    <row r="35" customFormat="false" ht="12.6" hidden="false" customHeight="true" outlineLevel="0" collapsed="false">
      <c r="D35" s="512"/>
      <c r="E35" s="512"/>
    </row>
    <row r="36" customFormat="false" ht="12.6" hidden="false" customHeight="true" outlineLevel="0" collapsed="false">
      <c r="A36" s="497"/>
      <c r="B36" s="498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</row>
    <row r="37" customFormat="false" ht="12.6" hidden="false" customHeight="true" outlineLevel="0" collapsed="false">
      <c r="D37" s="512"/>
      <c r="E37" s="512"/>
    </row>
    <row r="38" customFormat="false" ht="12" hidden="false" customHeight="true" outlineLevel="0" collapsed="false">
      <c r="A38" s="491"/>
      <c r="B38" s="491"/>
      <c r="C38" s="494"/>
      <c r="D38" s="495"/>
      <c r="E38" s="495"/>
      <c r="F38" s="495"/>
      <c r="G38" s="495"/>
      <c r="H38" s="495"/>
      <c r="I38" s="495"/>
      <c r="J38" s="495"/>
      <c r="K38" s="495"/>
      <c r="L38" s="495"/>
      <c r="M38" s="495"/>
      <c r="N38" s="495"/>
      <c r="O38" s="495"/>
      <c r="P38" s="495"/>
      <c r="Q38" s="495"/>
      <c r="R38" s="495"/>
    </row>
    <row r="39" customFormat="false" ht="12.6" hidden="false" customHeight="true" outlineLevel="0" collapsed="false">
      <c r="A39" s="497"/>
      <c r="B39" s="498"/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</row>
    <row r="40" customFormat="false" ht="12.6" hidden="false" customHeight="true" outlineLevel="0" collapsed="false">
      <c r="A40" s="497"/>
      <c r="B40" s="498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</row>
    <row r="41" customFormat="false" ht="12" hidden="false" customHeight="true" outlineLevel="0" collapsed="false">
      <c r="A41" s="491"/>
      <c r="B41" s="491"/>
      <c r="C41" s="495"/>
      <c r="D41" s="495"/>
      <c r="E41" s="495"/>
      <c r="F41" s="495"/>
      <c r="G41" s="495"/>
      <c r="H41" s="495"/>
      <c r="I41" s="495"/>
      <c r="J41" s="495"/>
      <c r="K41" s="495"/>
      <c r="L41" s="495"/>
      <c r="M41" s="495"/>
      <c r="N41" s="495"/>
      <c r="O41" s="495"/>
      <c r="P41" s="495"/>
      <c r="Q41" s="495"/>
      <c r="R41" s="495"/>
    </row>
    <row r="42" customFormat="false" ht="12.6" hidden="false" customHeight="true" outlineLevel="0" collapsed="false">
      <c r="A42" s="497"/>
      <c r="B42" s="498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</row>
    <row r="43" customFormat="false" ht="12.6" hidden="false" customHeight="true" outlineLevel="0" collapsed="false">
      <c r="A43" s="497"/>
      <c r="B43" s="498"/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</row>
    <row r="44" customFormat="false" ht="12.6" hidden="false" customHeight="true" outlineLevel="0" collapsed="false"/>
    <row r="45" customFormat="false" ht="12.6" hidden="false" customHeight="true" outlineLevel="0" collapsed="false">
      <c r="F45" s="512"/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</row>
    <row r="46" customFormat="false" ht="12.6" hidden="false" customHeight="true" outlineLevel="0" collapsed="false">
      <c r="K46" s="512"/>
    </row>
    <row r="47" customFormat="false" ht="12.6" hidden="false" customHeight="true" outlineLevel="0" collapsed="false">
      <c r="F47" s="512"/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</row>
    <row r="48" customFormat="false" ht="12.6" hidden="false" customHeight="true" outlineLevel="0" collapsed="false">
      <c r="F48" s="512"/>
      <c r="G48" s="512"/>
      <c r="K48" s="512"/>
    </row>
    <row r="49" customFormat="false" ht="12.6" hidden="false" customHeight="true" outlineLevel="0" collapsed="false">
      <c r="B49" s="516"/>
      <c r="C49" s="512"/>
      <c r="D49" s="512"/>
      <c r="E49" s="512"/>
      <c r="F49" s="512"/>
      <c r="G49" s="512"/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</row>
    <row r="50" customFormat="false" ht="12.6" hidden="false" customHeight="true" outlineLevel="0" collapsed="false">
      <c r="K50" s="512"/>
    </row>
    <row r="51" customFormat="false" ht="12.6" hidden="false" customHeight="true" outlineLevel="0" collapsed="false">
      <c r="B51" s="516"/>
      <c r="C51" s="512"/>
      <c r="D51" s="512"/>
      <c r="E51" s="512"/>
      <c r="F51" s="512"/>
      <c r="G51" s="512"/>
      <c r="H51" s="512"/>
      <c r="I51" s="512"/>
      <c r="J51" s="512"/>
      <c r="K51" s="512"/>
      <c r="L51" s="512"/>
      <c r="M51" s="512"/>
      <c r="N51" s="512"/>
      <c r="O51" s="512"/>
      <c r="P51" s="512"/>
      <c r="Q51" s="512"/>
    </row>
    <row r="52" customFormat="false" ht="12.6" hidden="false" customHeight="true" outlineLevel="0" collapsed="false">
      <c r="A52" s="429"/>
      <c r="B52" s="517"/>
      <c r="C52" s="459"/>
      <c r="D52" s="459"/>
      <c r="E52" s="459"/>
      <c r="F52" s="459"/>
      <c r="G52" s="459"/>
      <c r="H52" s="459"/>
      <c r="I52" s="459"/>
      <c r="J52" s="459"/>
      <c r="K52" s="512"/>
      <c r="L52" s="459"/>
      <c r="M52" s="459"/>
      <c r="N52" s="459"/>
      <c r="O52" s="459"/>
      <c r="P52" s="459"/>
      <c r="Q52" s="459"/>
      <c r="R52" s="459"/>
    </row>
    <row r="53" customFormat="false" ht="12.6" hidden="false" customHeight="true" outlineLevel="0" collapsed="false">
      <c r="A53" s="518"/>
      <c r="B53" s="516"/>
      <c r="C53" s="512"/>
      <c r="D53" s="429"/>
      <c r="E53" s="512"/>
      <c r="F53" s="429"/>
      <c r="G53" s="512"/>
      <c r="H53" s="429"/>
      <c r="I53" s="512"/>
      <c r="J53" s="429"/>
      <c r="K53" s="512"/>
      <c r="L53" s="429"/>
      <c r="M53" s="429"/>
      <c r="N53" s="429"/>
      <c r="O53" s="429"/>
      <c r="P53" s="429"/>
      <c r="Q53" s="429"/>
      <c r="R53" s="429"/>
    </row>
    <row r="54" customFormat="false" ht="12.75" hidden="false" customHeight="false" outlineLevel="0" collapsed="false">
      <c r="C54" s="516"/>
      <c r="D54" s="512"/>
      <c r="E54" s="512"/>
      <c r="F54" s="519"/>
      <c r="K54" s="512"/>
    </row>
    <row r="55" customFormat="false" ht="12.75" hidden="false" customHeight="false" outlineLevel="0" collapsed="false">
      <c r="B55" s="516"/>
      <c r="C55" s="516"/>
      <c r="D55" s="512"/>
      <c r="E55" s="512"/>
      <c r="F55" s="519"/>
      <c r="G55" s="512"/>
      <c r="I55" s="512"/>
      <c r="K55" s="512"/>
    </row>
    <row r="56" customFormat="false" ht="12.75" hidden="false" customHeight="false" outlineLevel="0" collapsed="false">
      <c r="C56" s="516"/>
      <c r="D56" s="512"/>
      <c r="E56" s="512"/>
      <c r="F56" s="519"/>
      <c r="K56" s="512"/>
    </row>
    <row r="57" customFormat="false" ht="12.75" hidden="false" customHeight="false" outlineLevel="0" collapsed="false">
      <c r="B57" s="516"/>
      <c r="C57" s="516"/>
      <c r="D57" s="512"/>
      <c r="E57" s="512"/>
      <c r="F57" s="519"/>
      <c r="G57" s="512"/>
      <c r="I57" s="512"/>
      <c r="K57" s="512"/>
    </row>
    <row r="58" customFormat="false" ht="12.75" hidden="false" customHeight="false" outlineLevel="0" collapsed="false">
      <c r="C58" s="512"/>
      <c r="D58" s="512"/>
      <c r="E58" s="512"/>
      <c r="G58" s="512"/>
      <c r="K58" s="512"/>
    </row>
    <row r="59" customFormat="false" ht="12.75" hidden="false" customHeight="false" outlineLevel="0" collapsed="false">
      <c r="B59" s="516"/>
      <c r="C59" s="512"/>
      <c r="E59" s="512"/>
      <c r="G59" s="512"/>
      <c r="I59" s="512"/>
      <c r="K59" s="512"/>
    </row>
    <row r="60" customFormat="false" ht="12.75" hidden="false" customHeight="false" outlineLevel="0" collapsed="false">
      <c r="C60" s="512"/>
      <c r="K60" s="512"/>
    </row>
    <row r="61" customFormat="false" ht="12.75" hidden="false" customHeight="false" outlineLevel="0" collapsed="false">
      <c r="B61" s="516"/>
      <c r="C61" s="512"/>
      <c r="E61" s="512"/>
      <c r="G61" s="512"/>
      <c r="I61" s="512"/>
      <c r="K61" s="512"/>
    </row>
    <row r="62" customFormat="false" ht="12.75" hidden="false" customHeight="false" outlineLevel="0" collapsed="false">
      <c r="C62" s="512"/>
      <c r="K62" s="512"/>
    </row>
    <row r="63" customFormat="false" ht="12.75" hidden="false" customHeight="false" outlineLevel="0" collapsed="false">
      <c r="B63" s="516"/>
      <c r="C63" s="512"/>
      <c r="E63" s="512"/>
      <c r="G63" s="512"/>
      <c r="I63" s="512"/>
      <c r="K63" s="512"/>
    </row>
    <row r="64" customFormat="false" ht="12.75" hidden="false" customHeight="false" outlineLevel="0" collapsed="false">
      <c r="C64" s="512"/>
      <c r="K64" s="512"/>
    </row>
    <row r="65" customFormat="false" ht="12.75" hidden="false" customHeight="false" outlineLevel="0" collapsed="false">
      <c r="B65" s="516"/>
      <c r="C65" s="512"/>
      <c r="E65" s="512"/>
      <c r="G65" s="512"/>
      <c r="I65" s="512"/>
      <c r="K65" s="512"/>
    </row>
    <row r="66" customFormat="false" ht="12.75" hidden="false" customHeight="false" outlineLevel="0" collapsed="false">
      <c r="K66" s="512"/>
    </row>
    <row r="67" customFormat="false" ht="12.75" hidden="false" customHeight="false" outlineLevel="0" collapsed="false">
      <c r="B67" s="516"/>
      <c r="C67" s="512"/>
      <c r="E67" s="512"/>
      <c r="G67" s="512"/>
      <c r="I67" s="512"/>
      <c r="K67" s="512"/>
    </row>
    <row r="68" customFormat="false" ht="12.75" hidden="false" customHeight="false" outlineLevel="0" collapsed="false">
      <c r="K68" s="512"/>
    </row>
    <row r="69" customFormat="false" ht="12.75" hidden="false" customHeight="false" outlineLevel="0" collapsed="false">
      <c r="B69" s="516"/>
      <c r="C69" s="512"/>
      <c r="E69" s="512"/>
      <c r="G69" s="512"/>
      <c r="I69" s="512"/>
      <c r="K69" s="512"/>
    </row>
    <row r="70" customFormat="false" ht="12.75" hidden="false" customHeight="false" outlineLevel="0" collapsed="false">
      <c r="K70" s="512"/>
    </row>
    <row r="71" customFormat="false" ht="12.75" hidden="false" customHeight="false" outlineLevel="0" collapsed="false">
      <c r="B71" s="516"/>
      <c r="C71" s="512"/>
      <c r="E71" s="512"/>
      <c r="G71" s="512"/>
      <c r="I71" s="512"/>
      <c r="K71" s="512"/>
    </row>
    <row r="72" customFormat="false" ht="12.75" hidden="false" customHeight="false" outlineLevel="0" collapsed="false">
      <c r="K72" s="512"/>
    </row>
    <row r="73" customFormat="false" ht="12.75" hidden="false" customHeight="false" outlineLevel="0" collapsed="false">
      <c r="B73" s="516"/>
      <c r="C73" s="512"/>
      <c r="E73" s="512"/>
      <c r="G73" s="512"/>
      <c r="I73" s="512"/>
      <c r="K73" s="512"/>
    </row>
    <row r="74" customFormat="false" ht="12.75" hidden="false" customHeight="false" outlineLevel="0" collapsed="false">
      <c r="K74" s="512"/>
    </row>
    <row r="75" customFormat="false" ht="12.75" hidden="false" customHeight="false" outlineLevel="0" collapsed="false">
      <c r="B75" s="516"/>
      <c r="C75" s="512"/>
      <c r="E75" s="512"/>
      <c r="G75" s="512"/>
      <c r="I75" s="512"/>
      <c r="K75" s="512"/>
    </row>
    <row r="76" customFormat="false" ht="12.75" hidden="false" customHeight="false" outlineLevel="0" collapsed="false">
      <c r="K76" s="512"/>
    </row>
    <row r="77" customFormat="false" ht="12.75" hidden="false" customHeight="false" outlineLevel="0" collapsed="false">
      <c r="B77" s="516"/>
      <c r="C77" s="512"/>
      <c r="E77" s="512"/>
      <c r="G77" s="512"/>
      <c r="I77" s="512"/>
      <c r="K77" s="512"/>
    </row>
    <row r="78" customFormat="false" ht="12.75" hidden="false" customHeight="false" outlineLevel="0" collapsed="false">
      <c r="K78" s="512"/>
    </row>
    <row r="79" customFormat="false" ht="12.75" hidden="false" customHeight="false" outlineLevel="0" collapsed="false">
      <c r="B79" s="516"/>
      <c r="C79" s="512"/>
      <c r="E79" s="512"/>
      <c r="G79" s="512"/>
      <c r="I79" s="512"/>
      <c r="K79" s="512"/>
    </row>
    <row r="80" customFormat="false" ht="12.75" hidden="false" customHeight="false" outlineLevel="0" collapsed="false">
      <c r="K80" s="512"/>
    </row>
    <row r="81" customFormat="false" ht="12.75" hidden="false" customHeight="false" outlineLevel="0" collapsed="false">
      <c r="B81" s="516"/>
      <c r="C81" s="512"/>
      <c r="E81" s="512"/>
      <c r="G81" s="512"/>
      <c r="I81" s="512"/>
      <c r="K81" s="512"/>
    </row>
    <row r="82" customFormat="false" ht="12.75" hidden="false" customHeight="false" outlineLevel="0" collapsed="false">
      <c r="K82" s="512"/>
    </row>
    <row r="83" customFormat="false" ht="12.75" hidden="false" customHeight="false" outlineLevel="0" collapsed="false">
      <c r="B83" s="516"/>
      <c r="C83" s="512"/>
      <c r="E83" s="512"/>
      <c r="G83" s="512"/>
      <c r="I83" s="512"/>
      <c r="K83" s="512"/>
    </row>
    <row r="84" customFormat="false" ht="12.75" hidden="false" customHeight="false" outlineLevel="0" collapsed="false">
      <c r="K84" s="512"/>
    </row>
    <row r="85" customFormat="false" ht="12.75" hidden="false" customHeight="false" outlineLevel="0" collapsed="false">
      <c r="B85" s="516"/>
      <c r="C85" s="512"/>
      <c r="E85" s="512"/>
      <c r="G85" s="512"/>
      <c r="I85" s="512"/>
      <c r="K85" s="512"/>
    </row>
    <row r="86" customFormat="false" ht="12.75" hidden="false" customHeight="false" outlineLevel="0" collapsed="false">
      <c r="K86" s="512"/>
    </row>
    <row r="87" customFormat="false" ht="12.75" hidden="false" customHeight="false" outlineLevel="0" collapsed="false">
      <c r="B87" s="516"/>
      <c r="C87" s="512"/>
      <c r="E87" s="512"/>
      <c r="G87" s="512"/>
      <c r="I87" s="512"/>
      <c r="K87" s="512"/>
    </row>
    <row r="88" customFormat="false" ht="12.75" hidden="false" customHeight="false" outlineLevel="0" collapsed="false">
      <c r="K88" s="512"/>
    </row>
    <row r="89" customFormat="false" ht="12.75" hidden="false" customHeight="false" outlineLevel="0" collapsed="false">
      <c r="B89" s="516"/>
      <c r="C89" s="512"/>
      <c r="E89" s="512"/>
      <c r="G89" s="512"/>
      <c r="I89" s="512"/>
      <c r="K89" s="512"/>
    </row>
    <row r="90" customFormat="false" ht="12.75" hidden="false" customHeight="false" outlineLevel="0" collapsed="false">
      <c r="K90" s="512"/>
    </row>
    <row r="91" customFormat="false" ht="12.75" hidden="false" customHeight="false" outlineLevel="0" collapsed="false">
      <c r="B91" s="516"/>
      <c r="C91" s="512"/>
      <c r="E91" s="512"/>
      <c r="G91" s="512"/>
      <c r="I91" s="512"/>
      <c r="K91" s="512"/>
    </row>
    <row r="92" customFormat="false" ht="12.75" hidden="false" customHeight="false" outlineLevel="0" collapsed="false">
      <c r="K92" s="512"/>
    </row>
    <row r="93" customFormat="false" ht="12.75" hidden="false" customHeight="false" outlineLevel="0" collapsed="false">
      <c r="B93" s="516"/>
      <c r="C93" s="512"/>
      <c r="E93" s="512"/>
      <c r="G93" s="512"/>
      <c r="I93" s="512"/>
      <c r="K93" s="512"/>
    </row>
    <row r="94" customFormat="false" ht="12.75" hidden="false" customHeight="false" outlineLevel="0" collapsed="false">
      <c r="K94" s="512"/>
    </row>
    <row r="95" customFormat="false" ht="12.75" hidden="false" customHeight="false" outlineLevel="0" collapsed="false">
      <c r="B95" s="516"/>
      <c r="C95" s="512"/>
      <c r="E95" s="512"/>
      <c r="G95" s="512"/>
      <c r="I95" s="512"/>
      <c r="K95" s="512"/>
    </row>
    <row r="96" customFormat="false" ht="12.75" hidden="false" customHeight="false" outlineLevel="0" collapsed="false">
      <c r="K96" s="512"/>
    </row>
    <row r="97" customFormat="false" ht="12.75" hidden="false" customHeight="false" outlineLevel="0" collapsed="false">
      <c r="B97" s="516"/>
      <c r="C97" s="512"/>
      <c r="E97" s="512"/>
      <c r="G97" s="512"/>
      <c r="I97" s="512"/>
      <c r="K97" s="512"/>
    </row>
    <row r="98" customFormat="false" ht="12.75" hidden="false" customHeight="false" outlineLevel="0" collapsed="false">
      <c r="K98" s="512"/>
    </row>
    <row r="99" customFormat="false" ht="12.75" hidden="false" customHeight="false" outlineLevel="0" collapsed="false">
      <c r="B99" s="516"/>
      <c r="C99" s="512"/>
      <c r="E99" s="512"/>
      <c r="G99" s="512"/>
      <c r="I99" s="512"/>
      <c r="K99" s="512"/>
    </row>
    <row r="100" customFormat="false" ht="12.75" hidden="false" customHeight="false" outlineLevel="0" collapsed="false">
      <c r="K100" s="512"/>
    </row>
    <row r="101" customFormat="false" ht="12.75" hidden="false" customHeight="false" outlineLevel="0" collapsed="false">
      <c r="B101" s="516"/>
      <c r="C101" s="512"/>
      <c r="E101" s="512"/>
      <c r="G101" s="512"/>
      <c r="I101" s="512"/>
      <c r="K101" s="512"/>
    </row>
    <row r="102" customFormat="false" ht="12.75" hidden="false" customHeight="false" outlineLevel="0" collapsed="false">
      <c r="K102" s="512"/>
    </row>
    <row r="103" customFormat="false" ht="12.75" hidden="false" customHeight="false" outlineLevel="0" collapsed="false">
      <c r="B103" s="516"/>
      <c r="C103" s="512"/>
      <c r="E103" s="512"/>
      <c r="G103" s="512"/>
      <c r="I103" s="512"/>
      <c r="K103" s="512"/>
    </row>
    <row r="104" customFormat="false" ht="12.75" hidden="false" customHeight="false" outlineLevel="0" collapsed="false">
      <c r="K104" s="512"/>
    </row>
    <row r="105" customFormat="false" ht="12.75" hidden="false" customHeight="false" outlineLevel="0" collapsed="false">
      <c r="B105" s="516"/>
      <c r="C105" s="512"/>
      <c r="E105" s="512"/>
      <c r="G105" s="512"/>
      <c r="I105" s="512"/>
      <c r="K105" s="512"/>
    </row>
    <row r="106" customFormat="false" ht="12.75" hidden="false" customHeight="false" outlineLevel="0" collapsed="false">
      <c r="K106" s="512"/>
    </row>
    <row r="107" customFormat="false" ht="12.75" hidden="false" customHeight="false" outlineLevel="0" collapsed="false">
      <c r="B107" s="516"/>
      <c r="C107" s="512"/>
      <c r="E107" s="512"/>
      <c r="G107" s="512"/>
      <c r="I107" s="512"/>
      <c r="K107" s="512"/>
    </row>
    <row r="108" customFormat="false" ht="12.75" hidden="false" customHeight="false" outlineLevel="0" collapsed="false">
      <c r="K108" s="512"/>
    </row>
    <row r="109" customFormat="false" ht="12.75" hidden="false" customHeight="false" outlineLevel="0" collapsed="false">
      <c r="B109" s="516"/>
      <c r="C109" s="512"/>
      <c r="E109" s="512"/>
      <c r="G109" s="512"/>
      <c r="I109" s="512"/>
      <c r="K109" s="512"/>
    </row>
    <row r="110" customFormat="false" ht="12.75" hidden="false" customHeight="false" outlineLevel="0" collapsed="false">
      <c r="K110" s="512"/>
    </row>
    <row r="111" customFormat="false" ht="12.75" hidden="false" customHeight="false" outlineLevel="0" collapsed="false">
      <c r="B111" s="516"/>
      <c r="C111" s="512"/>
      <c r="E111" s="512"/>
      <c r="G111" s="512"/>
      <c r="I111" s="512"/>
      <c r="K111" s="512"/>
    </row>
    <row r="112" customFormat="false" ht="12.75" hidden="false" customHeight="false" outlineLevel="0" collapsed="false">
      <c r="K112" s="512"/>
    </row>
    <row r="113" customFormat="false" ht="12.75" hidden="false" customHeight="false" outlineLevel="0" collapsed="false">
      <c r="B113" s="516"/>
      <c r="C113" s="512"/>
      <c r="E113" s="512"/>
      <c r="G113" s="512"/>
      <c r="I113" s="512"/>
      <c r="K113" s="512"/>
    </row>
    <row r="114" customFormat="false" ht="12.75" hidden="false" customHeight="false" outlineLevel="0" collapsed="false">
      <c r="K114" s="512"/>
    </row>
    <row r="115" customFormat="false" ht="12.75" hidden="false" customHeight="false" outlineLevel="0" collapsed="false">
      <c r="B115" s="516"/>
      <c r="C115" s="512"/>
      <c r="E115" s="512"/>
      <c r="G115" s="512"/>
      <c r="I115" s="512"/>
      <c r="K115" s="512"/>
    </row>
    <row r="116" customFormat="false" ht="12.75" hidden="false" customHeight="false" outlineLevel="0" collapsed="false">
      <c r="I116" s="512"/>
      <c r="K116" s="512"/>
    </row>
    <row r="117" customFormat="false" ht="12.75" hidden="false" customHeight="false" outlineLevel="0" collapsed="false">
      <c r="B117" s="516"/>
      <c r="C117" s="512"/>
      <c r="E117" s="512"/>
      <c r="G117" s="512"/>
      <c r="I117" s="512"/>
      <c r="K117" s="512"/>
    </row>
    <row r="118" customFormat="false" ht="12.75" hidden="false" customHeight="false" outlineLevel="0" collapsed="false">
      <c r="K118" s="512"/>
    </row>
    <row r="119" customFormat="false" ht="12.75" hidden="false" customHeight="false" outlineLevel="0" collapsed="false">
      <c r="B119" s="516"/>
      <c r="C119" s="512"/>
      <c r="E119" s="512"/>
      <c r="G119" s="512"/>
      <c r="I119" s="512"/>
      <c r="K119" s="512"/>
    </row>
    <row r="120" customFormat="false" ht="12.75" hidden="false" customHeight="false" outlineLevel="0" collapsed="false">
      <c r="K120" s="512"/>
    </row>
    <row r="121" customFormat="false" ht="12.75" hidden="false" customHeight="false" outlineLevel="0" collapsed="false">
      <c r="B121" s="516"/>
      <c r="C121" s="512"/>
      <c r="E121" s="512"/>
      <c r="G121" s="512"/>
      <c r="I121" s="512"/>
      <c r="K121" s="512"/>
    </row>
    <row r="122" customFormat="false" ht="12.75" hidden="false" customHeight="false" outlineLevel="0" collapsed="false">
      <c r="K122" s="512"/>
    </row>
    <row r="123" customFormat="false" ht="12.75" hidden="false" customHeight="false" outlineLevel="0" collapsed="false">
      <c r="B123" s="516"/>
      <c r="C123" s="512"/>
      <c r="E123" s="512"/>
      <c r="G123" s="512"/>
      <c r="I123" s="512"/>
      <c r="K123" s="512"/>
    </row>
    <row r="125" customFormat="false" ht="12.75" hidden="false" customHeight="false" outlineLevel="0" collapsed="false">
      <c r="B125" s="516"/>
      <c r="C125" s="512"/>
      <c r="E125" s="512"/>
      <c r="G125" s="512"/>
      <c r="I125" s="512"/>
      <c r="K125" s="512"/>
    </row>
    <row r="127" customFormat="false" ht="12.75" hidden="false" customHeight="false" outlineLevel="0" collapsed="false">
      <c r="B127" s="516"/>
      <c r="C127" s="512"/>
      <c r="E127" s="512"/>
      <c r="G127" s="512"/>
      <c r="I127" s="512"/>
      <c r="K127" s="512"/>
    </row>
    <row r="129" customFormat="false" ht="12.75" hidden="false" customHeight="false" outlineLevel="0" collapsed="false">
      <c r="B129" s="516"/>
      <c r="C129" s="512"/>
      <c r="E129" s="512"/>
      <c r="G129" s="512"/>
      <c r="I129" s="512"/>
      <c r="K129" s="512"/>
    </row>
    <row r="131" customFormat="false" ht="12.75" hidden="false" customHeight="false" outlineLevel="0" collapsed="false">
      <c r="B131" s="516"/>
      <c r="C131" s="512"/>
      <c r="E131" s="512"/>
      <c r="G131" s="512"/>
      <c r="I131" s="512"/>
      <c r="K131" s="512"/>
    </row>
    <row r="133" customFormat="false" ht="12.75" hidden="false" customHeight="false" outlineLevel="0" collapsed="false">
      <c r="B133" s="516"/>
      <c r="C133" s="512"/>
      <c r="E133" s="512"/>
      <c r="G133" s="512"/>
      <c r="I133" s="512"/>
      <c r="K133" s="512"/>
    </row>
    <row r="135" customFormat="false" ht="12.75" hidden="false" customHeight="false" outlineLevel="0" collapsed="false">
      <c r="B135" s="516"/>
      <c r="C135" s="512"/>
      <c r="E135" s="512"/>
      <c r="G135" s="512"/>
      <c r="I135" s="512"/>
      <c r="K135" s="512"/>
    </row>
    <row r="137" customFormat="false" ht="12.75" hidden="false" customHeight="false" outlineLevel="0" collapsed="false">
      <c r="B137" s="516"/>
      <c r="C137" s="512"/>
      <c r="E137" s="512"/>
      <c r="G137" s="512"/>
      <c r="I137" s="512"/>
      <c r="K137" s="512"/>
    </row>
    <row r="139" customFormat="false" ht="12.75" hidden="false" customHeight="false" outlineLevel="0" collapsed="false">
      <c r="B139" s="516"/>
      <c r="C139" s="512"/>
      <c r="E139" s="512"/>
      <c r="G139" s="512"/>
      <c r="I139" s="512"/>
      <c r="K139" s="512"/>
    </row>
    <row r="141" customFormat="false" ht="12.75" hidden="false" customHeight="false" outlineLevel="0" collapsed="false">
      <c r="B141" s="516"/>
      <c r="C141" s="512"/>
      <c r="E141" s="512"/>
      <c r="G141" s="512"/>
      <c r="I141" s="512"/>
      <c r="K141" s="512"/>
    </row>
    <row r="143" customFormat="false" ht="12.75" hidden="false" customHeight="false" outlineLevel="0" collapsed="false">
      <c r="B143" s="516"/>
      <c r="C143" s="512"/>
      <c r="E143" s="512"/>
      <c r="G143" s="512"/>
      <c r="I143" s="512"/>
      <c r="K143" s="512"/>
    </row>
    <row r="145" customFormat="false" ht="12.75" hidden="false" customHeight="false" outlineLevel="0" collapsed="false">
      <c r="B145" s="516"/>
      <c r="C145" s="512"/>
      <c r="E145" s="512"/>
      <c r="G145" s="512"/>
      <c r="I145" s="512"/>
      <c r="K145" s="512"/>
    </row>
    <row r="147" customFormat="false" ht="12.75" hidden="false" customHeight="false" outlineLevel="0" collapsed="false">
      <c r="B147" s="516"/>
      <c r="C147" s="512"/>
      <c r="E147" s="512"/>
      <c r="G147" s="512"/>
      <c r="I147" s="512"/>
      <c r="K147" s="512"/>
    </row>
    <row r="149" customFormat="false" ht="12.75" hidden="false" customHeight="false" outlineLevel="0" collapsed="false">
      <c r="B149" s="516"/>
      <c r="C149" s="512"/>
      <c r="E149" s="512"/>
      <c r="G149" s="512"/>
      <c r="I149" s="512"/>
      <c r="K149" s="512"/>
    </row>
    <row r="151" customFormat="false" ht="12.75" hidden="false" customHeight="false" outlineLevel="0" collapsed="false">
      <c r="B151" s="516"/>
      <c r="C151" s="512"/>
      <c r="E151" s="512"/>
      <c r="G151" s="512"/>
      <c r="I151" s="512"/>
      <c r="K151" s="512"/>
    </row>
    <row r="153" customFormat="false" ht="12.75" hidden="false" customHeight="false" outlineLevel="0" collapsed="false">
      <c r="B153" s="516"/>
      <c r="C153" s="512"/>
      <c r="E153" s="512"/>
      <c r="G153" s="512"/>
      <c r="I153" s="512"/>
      <c r="K153" s="512"/>
    </row>
    <row r="155" customFormat="false" ht="12.75" hidden="false" customHeight="false" outlineLevel="0" collapsed="false">
      <c r="B155" s="516"/>
      <c r="C155" s="512"/>
      <c r="E155" s="512"/>
      <c r="G155" s="512"/>
      <c r="I155" s="512"/>
      <c r="K155" s="512"/>
    </row>
    <row r="157" customFormat="false" ht="12.75" hidden="false" customHeight="false" outlineLevel="0" collapsed="false">
      <c r="B157" s="516"/>
      <c r="C157" s="512"/>
      <c r="E157" s="512"/>
      <c r="G157" s="512"/>
      <c r="I157" s="512"/>
      <c r="K157" s="512"/>
    </row>
    <row r="159" customFormat="false" ht="12.75" hidden="false" customHeight="false" outlineLevel="0" collapsed="false">
      <c r="B159" s="516"/>
      <c r="C159" s="512"/>
      <c r="E159" s="512"/>
      <c r="G159" s="512"/>
      <c r="I159" s="512"/>
      <c r="K159" s="512"/>
    </row>
    <row r="161" customFormat="false" ht="12.75" hidden="false" customHeight="false" outlineLevel="0" collapsed="false">
      <c r="B161" s="516"/>
      <c r="C161" s="512"/>
      <c r="E161" s="512"/>
      <c r="G161" s="512"/>
      <c r="I161" s="512"/>
      <c r="K161" s="512"/>
    </row>
    <row r="162" customFormat="false" ht="12.75" hidden="false" customHeight="false" outlineLevel="0" collapsed="false">
      <c r="B162" s="516"/>
      <c r="C162" s="512"/>
      <c r="E162" s="512"/>
      <c r="G162" s="512"/>
      <c r="I162" s="512"/>
      <c r="K162" s="512"/>
    </row>
    <row r="163" customFormat="false" ht="12.75" hidden="false" customHeight="false" outlineLevel="0" collapsed="false">
      <c r="B163" s="516"/>
      <c r="C163" s="512"/>
      <c r="E163" s="512"/>
      <c r="G163" s="512"/>
      <c r="I163" s="512"/>
      <c r="K163" s="512"/>
    </row>
    <row r="165" customFormat="false" ht="12.75" hidden="false" customHeight="false" outlineLevel="0" collapsed="false">
      <c r="B165" s="516"/>
      <c r="C165" s="512"/>
      <c r="E165" s="512"/>
      <c r="G165" s="512"/>
      <c r="I165" s="512"/>
      <c r="K165" s="512"/>
    </row>
    <row r="167" customFormat="false" ht="12.75" hidden="false" customHeight="false" outlineLevel="0" collapsed="false">
      <c r="B167" s="516"/>
      <c r="C167" s="512"/>
      <c r="E167" s="512"/>
      <c r="G167" s="512"/>
      <c r="I167" s="512"/>
      <c r="K167" s="512"/>
    </row>
    <row r="169" customFormat="false" ht="12.75" hidden="false" customHeight="false" outlineLevel="0" collapsed="false">
      <c r="B169" s="516"/>
      <c r="C169" s="512"/>
      <c r="E169" s="512"/>
      <c r="G169" s="512"/>
      <c r="I169" s="512"/>
      <c r="K169" s="512"/>
    </row>
    <row r="171" customFormat="false" ht="12.75" hidden="false" customHeight="false" outlineLevel="0" collapsed="false">
      <c r="B171" s="516"/>
      <c r="C171" s="512"/>
      <c r="E171" s="512"/>
      <c r="G171" s="512"/>
      <c r="I171" s="512"/>
      <c r="K171" s="512"/>
    </row>
    <row r="173" customFormat="false" ht="12.75" hidden="false" customHeight="false" outlineLevel="0" collapsed="false">
      <c r="B173" s="516"/>
      <c r="C173" s="512"/>
      <c r="E173" s="512"/>
      <c r="G173" s="512"/>
      <c r="I173" s="512"/>
      <c r="K173" s="512"/>
    </row>
    <row r="175" customFormat="false" ht="12.75" hidden="false" customHeight="false" outlineLevel="0" collapsed="false">
      <c r="B175" s="516"/>
      <c r="C175" s="512"/>
      <c r="E175" s="512"/>
      <c r="G175" s="512"/>
      <c r="I175" s="512"/>
      <c r="K175" s="512"/>
    </row>
    <row r="177" customFormat="false" ht="12.75" hidden="false" customHeight="false" outlineLevel="0" collapsed="false">
      <c r="B177" s="516"/>
      <c r="C177" s="512"/>
      <c r="E177" s="512"/>
      <c r="G177" s="512"/>
      <c r="I177" s="512"/>
      <c r="K177" s="512"/>
    </row>
    <row r="179" customFormat="false" ht="12.75" hidden="false" customHeight="false" outlineLevel="0" collapsed="false">
      <c r="B179" s="516"/>
      <c r="C179" s="512"/>
      <c r="E179" s="512"/>
      <c r="G179" s="512"/>
      <c r="I179" s="512"/>
      <c r="K179" s="512"/>
    </row>
    <row r="181" customFormat="false" ht="12.75" hidden="false" customHeight="false" outlineLevel="0" collapsed="false">
      <c r="B181" s="516"/>
      <c r="C181" s="512"/>
      <c r="E181" s="512"/>
      <c r="G181" s="512"/>
      <c r="I181" s="512"/>
      <c r="K181" s="512"/>
    </row>
    <row r="183" customFormat="false" ht="12.75" hidden="false" customHeight="false" outlineLevel="0" collapsed="false">
      <c r="B183" s="516"/>
      <c r="C183" s="512"/>
      <c r="E183" s="512"/>
      <c r="G183" s="512"/>
      <c r="I183" s="512"/>
      <c r="K183" s="512"/>
    </row>
    <row r="185" customFormat="false" ht="12.75" hidden="false" customHeight="false" outlineLevel="0" collapsed="false">
      <c r="B185" s="516"/>
      <c r="C185" s="512"/>
      <c r="E185" s="512"/>
      <c r="G185" s="512"/>
      <c r="I185" s="512"/>
      <c r="K185" s="512"/>
    </row>
  </sheetData>
  <printOptions headings="false" gridLines="false" gridLinesSet="true" horizontalCentered="true" verticalCentered="true"/>
  <pageMargins left="0.747916666666667" right="0.747916666666667" top="0.340277777777778" bottom="1.64027777777778" header="0.511811023622047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&amp;L&amp;D   &amp;T&amp;RO:\Naes\GenSvcs\TVA\TVA Model\&amp;F
&amp;A &amp;P</oddFooter>
  </headerFooter>
  <colBreaks count="1" manualBreakCount="1">
    <brk id="15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61" width="26.99"/>
    <col collapsed="false" customWidth="false" hidden="false" outlineLevel="0" max="2" min="2" style="161" width="8.7"/>
    <col collapsed="false" customWidth="true" hidden="false" outlineLevel="0" max="4" min="3" style="161" width="6.56"/>
    <col collapsed="false" customWidth="true" hidden="false" outlineLevel="0" max="5" min="5" style="161" width="6.99"/>
    <col collapsed="false" customWidth="true" hidden="false" outlineLevel="0" max="6" min="6" style="161" width="6.56"/>
    <col collapsed="false" customWidth="true" hidden="false" outlineLevel="0" max="9" min="7" style="161" width="6.99"/>
    <col collapsed="false" customWidth="true" hidden="false" outlineLevel="0" max="10" min="10" style="161" width="6.7"/>
    <col collapsed="false" customWidth="true" hidden="false" outlineLevel="0" max="11" min="11" style="161" width="6.99"/>
    <col collapsed="false" customWidth="true" hidden="false" outlineLevel="0" max="12" min="12" style="161" width="6.7"/>
    <col collapsed="false" customWidth="true" hidden="false" outlineLevel="0" max="14" min="13" style="161" width="6.99"/>
    <col collapsed="false" customWidth="true" hidden="false" outlineLevel="0" max="15" min="15" style="161" width="6.56"/>
    <col collapsed="false" customWidth="true" hidden="false" outlineLevel="0" max="16" min="16" style="161" width="6.28"/>
    <col collapsed="false" customWidth="true" hidden="false" outlineLevel="0" max="19" min="17" style="161" width="6.56"/>
    <col collapsed="false" customWidth="true" hidden="false" outlineLevel="0" max="20" min="20" style="161" width="6.41"/>
    <col collapsed="false" customWidth="true" hidden="false" outlineLevel="0" max="21" min="21" style="161" width="6.56"/>
    <col collapsed="false" customWidth="true" hidden="false" outlineLevel="0" max="22" min="22" style="161" width="6.41"/>
    <col collapsed="false" customWidth="true" hidden="false" outlineLevel="0" max="24" min="23" style="161" width="6.56"/>
    <col collapsed="false" customWidth="true" hidden="false" outlineLevel="0" max="25" min="25" style="161" width="6.99"/>
    <col collapsed="false" customWidth="true" hidden="false" outlineLevel="0" max="26" min="26" style="161" width="6.56"/>
    <col collapsed="false" customWidth="true" hidden="false" outlineLevel="0" max="28" min="27" style="161" width="6.99"/>
    <col collapsed="false" customWidth="false" hidden="false" outlineLevel="0" max="257" min="29" style="161" width="8.7"/>
  </cols>
  <sheetData>
    <row r="1" customFormat="false" ht="26.25" hidden="false" customHeight="false" outlineLevel="0" collapsed="false">
      <c r="A1" s="160" t="str">
        <f aca="false">'Project Assumptions'!$A$2</f>
        <v>PROJECT DOYLE</v>
      </c>
    </row>
    <row r="2" customFormat="false" ht="18" hidden="false" customHeight="false" outlineLevel="0" collapsed="false">
      <c r="A2" s="162" t="s">
        <v>515</v>
      </c>
    </row>
    <row r="3" customFormat="false" ht="11.25" hidden="false" customHeight="true" outlineLevel="0" collapsed="false">
      <c r="A3" s="520"/>
      <c r="B3" s="520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  <c r="AQ3" s="520"/>
      <c r="AR3" s="520"/>
      <c r="AS3" s="520"/>
      <c r="AT3" s="520"/>
      <c r="AU3" s="520"/>
      <c r="AV3" s="520"/>
      <c r="AW3" s="520"/>
      <c r="AX3" s="520"/>
      <c r="AY3" s="520"/>
      <c r="AZ3" s="520"/>
      <c r="BA3" s="520"/>
      <c r="BB3" s="520"/>
      <c r="BC3" s="520"/>
      <c r="BD3" s="520"/>
      <c r="BE3" s="520"/>
      <c r="BF3" s="520"/>
      <c r="BG3" s="520"/>
      <c r="BH3" s="520"/>
      <c r="BI3" s="520"/>
      <c r="BJ3" s="520"/>
      <c r="BK3" s="520"/>
      <c r="BL3" s="520"/>
      <c r="BM3" s="520"/>
      <c r="BN3" s="520"/>
      <c r="BO3" s="520"/>
      <c r="BP3" s="520"/>
      <c r="BQ3" s="520"/>
      <c r="BR3" s="520"/>
      <c r="BS3" s="520"/>
      <c r="BT3" s="520"/>
      <c r="BU3" s="520"/>
      <c r="BV3" s="520"/>
      <c r="BW3" s="520"/>
      <c r="BX3" s="520"/>
      <c r="BY3" s="520"/>
      <c r="BZ3" s="520"/>
      <c r="CA3" s="520"/>
      <c r="CB3" s="520"/>
      <c r="CC3" s="520"/>
      <c r="CD3" s="520"/>
      <c r="CE3" s="520"/>
      <c r="CF3" s="520"/>
      <c r="CG3" s="520"/>
      <c r="CH3" s="520"/>
      <c r="CI3" s="520"/>
      <c r="CJ3" s="520"/>
      <c r="CK3" s="520"/>
      <c r="CL3" s="520"/>
      <c r="CM3" s="520"/>
      <c r="CN3" s="520"/>
      <c r="CO3" s="520"/>
      <c r="CP3" s="520"/>
      <c r="CQ3" s="520"/>
      <c r="CR3" s="520"/>
      <c r="CS3" s="520"/>
      <c r="CT3" s="520"/>
      <c r="CU3" s="520"/>
      <c r="CV3" s="520"/>
      <c r="CW3" s="520"/>
      <c r="CX3" s="520"/>
      <c r="CY3" s="520"/>
      <c r="CZ3" s="520"/>
      <c r="DA3" s="520"/>
      <c r="DB3" s="520"/>
      <c r="DC3" s="520"/>
      <c r="DD3" s="520"/>
      <c r="DE3" s="520"/>
      <c r="DF3" s="520"/>
      <c r="DG3" s="520"/>
      <c r="DH3" s="520"/>
      <c r="DI3" s="520"/>
      <c r="DJ3" s="520"/>
      <c r="DK3" s="520"/>
      <c r="DL3" s="520"/>
      <c r="DM3" s="520"/>
      <c r="DN3" s="520"/>
      <c r="DO3" s="520"/>
      <c r="DP3" s="520"/>
      <c r="DQ3" s="520"/>
      <c r="DR3" s="520"/>
      <c r="DS3" s="520"/>
      <c r="DT3" s="520"/>
      <c r="DU3" s="520"/>
      <c r="DV3" s="520"/>
      <c r="DW3" s="520"/>
      <c r="DX3" s="520"/>
      <c r="DY3" s="520"/>
      <c r="DZ3" s="520"/>
      <c r="EA3" s="520"/>
      <c r="EB3" s="520"/>
      <c r="EC3" s="520"/>
      <c r="ED3" s="520"/>
      <c r="EE3" s="520"/>
      <c r="EF3" s="520"/>
      <c r="EG3" s="520"/>
      <c r="EH3" s="520"/>
      <c r="EI3" s="520"/>
      <c r="EJ3" s="520"/>
      <c r="EK3" s="520"/>
      <c r="EL3" s="520"/>
      <c r="EM3" s="520"/>
      <c r="EN3" s="520"/>
      <c r="EO3" s="520"/>
      <c r="EP3" s="520"/>
      <c r="EQ3" s="520"/>
      <c r="ER3" s="520"/>
      <c r="ES3" s="520"/>
      <c r="ET3" s="520"/>
      <c r="EU3" s="520"/>
      <c r="EV3" s="520"/>
      <c r="EW3" s="520"/>
      <c r="EX3" s="520"/>
      <c r="EY3" s="520"/>
      <c r="EZ3" s="520"/>
      <c r="FA3" s="520"/>
      <c r="FB3" s="520"/>
      <c r="FC3" s="520"/>
      <c r="FD3" s="520"/>
      <c r="FE3" s="520"/>
      <c r="FF3" s="520"/>
      <c r="FG3" s="520"/>
      <c r="FH3" s="520"/>
      <c r="FI3" s="520"/>
      <c r="FJ3" s="520"/>
      <c r="FK3" s="520"/>
      <c r="FL3" s="520"/>
      <c r="FM3" s="520"/>
      <c r="FN3" s="520"/>
      <c r="FO3" s="520"/>
      <c r="FP3" s="520"/>
      <c r="FQ3" s="520"/>
      <c r="FR3" s="520"/>
      <c r="FS3" s="520"/>
      <c r="FT3" s="520"/>
      <c r="FU3" s="520"/>
      <c r="FV3" s="520"/>
      <c r="FW3" s="520"/>
      <c r="FX3" s="520"/>
      <c r="FY3" s="520"/>
      <c r="FZ3" s="520"/>
      <c r="GA3" s="520"/>
      <c r="GB3" s="520"/>
      <c r="GC3" s="520"/>
      <c r="GD3" s="520"/>
      <c r="GE3" s="520"/>
      <c r="GF3" s="520"/>
      <c r="GG3" s="520"/>
      <c r="GH3" s="520"/>
      <c r="GI3" s="520"/>
      <c r="GJ3" s="520"/>
      <c r="GK3" s="520"/>
      <c r="GL3" s="520"/>
      <c r="GM3" s="520"/>
      <c r="GN3" s="520"/>
      <c r="GO3" s="520"/>
      <c r="GP3" s="520"/>
      <c r="GQ3" s="520"/>
      <c r="GR3" s="520"/>
      <c r="GS3" s="520"/>
      <c r="GT3" s="520"/>
      <c r="GU3" s="520"/>
      <c r="GV3" s="520"/>
      <c r="GW3" s="520"/>
      <c r="GX3" s="520"/>
      <c r="GY3" s="520"/>
      <c r="GZ3" s="520"/>
      <c r="HA3" s="520"/>
      <c r="HB3" s="520"/>
      <c r="HC3" s="520"/>
      <c r="HD3" s="520"/>
      <c r="HE3" s="520"/>
      <c r="HF3" s="520"/>
      <c r="HG3" s="520"/>
      <c r="HH3" s="520"/>
      <c r="HI3" s="520"/>
      <c r="HJ3" s="520"/>
      <c r="HK3" s="520"/>
      <c r="HL3" s="520"/>
      <c r="HM3" s="520"/>
      <c r="HN3" s="520"/>
      <c r="HO3" s="520"/>
      <c r="HP3" s="520"/>
      <c r="HQ3" s="520"/>
      <c r="HR3" s="520"/>
      <c r="HS3" s="520"/>
      <c r="HT3" s="520"/>
      <c r="HU3" s="520"/>
      <c r="HV3" s="520"/>
      <c r="HW3" s="520"/>
      <c r="HX3" s="520"/>
      <c r="HY3" s="520"/>
      <c r="HZ3" s="520"/>
      <c r="IA3" s="520"/>
      <c r="IB3" s="520"/>
      <c r="IC3" s="520"/>
      <c r="ID3" s="520"/>
      <c r="IE3" s="520"/>
      <c r="IF3" s="520"/>
      <c r="IG3" s="520"/>
      <c r="IH3" s="520"/>
      <c r="II3" s="520"/>
      <c r="IJ3" s="520"/>
      <c r="IK3" s="520"/>
      <c r="IL3" s="520"/>
      <c r="IM3" s="520"/>
      <c r="IN3" s="520"/>
      <c r="IO3" s="520"/>
      <c r="IP3" s="520"/>
      <c r="IQ3" s="520"/>
      <c r="IR3" s="520"/>
      <c r="IS3" s="520"/>
      <c r="IT3" s="520"/>
      <c r="IU3" s="520"/>
      <c r="IV3" s="520"/>
      <c r="IW3" s="520"/>
    </row>
    <row r="4" customFormat="false" ht="11.25" hidden="false" customHeight="true" outlineLevel="0" collapsed="false">
      <c r="A4" s="429"/>
      <c r="B4" s="429"/>
      <c r="C4" s="236" t="n">
        <v>0</v>
      </c>
      <c r="D4" s="236" t="n">
        <v>1</v>
      </c>
      <c r="E4" s="236" t="n">
        <v>2</v>
      </c>
      <c r="F4" s="236" t="n">
        <v>3</v>
      </c>
      <c r="G4" s="236" t="n">
        <v>4</v>
      </c>
      <c r="H4" s="236" t="n">
        <v>5</v>
      </c>
      <c r="I4" s="236" t="n">
        <v>6</v>
      </c>
      <c r="J4" s="463" t="n">
        <v>7</v>
      </c>
      <c r="K4" s="236" t="n">
        <v>8</v>
      </c>
      <c r="L4" s="236" t="n">
        <v>9</v>
      </c>
      <c r="M4" s="236" t="n">
        <v>10</v>
      </c>
      <c r="N4" s="236" t="n">
        <v>11</v>
      </c>
      <c r="O4" s="236" t="n">
        <v>12</v>
      </c>
      <c r="P4" s="463" t="n">
        <v>13</v>
      </c>
      <c r="Q4" s="236" t="n">
        <v>14</v>
      </c>
      <c r="R4" s="236" t="n">
        <v>15</v>
      </c>
      <c r="S4" s="236" t="n">
        <v>16</v>
      </c>
      <c r="T4" s="236" t="n">
        <v>17</v>
      </c>
      <c r="U4" s="236" t="n">
        <v>18</v>
      </c>
      <c r="V4" s="463" t="n">
        <v>19</v>
      </c>
      <c r="W4" s="236" t="n">
        <v>20</v>
      </c>
      <c r="X4" s="236" t="n">
        <v>21</v>
      </c>
      <c r="Y4" s="236" t="n">
        <v>22</v>
      </c>
      <c r="Z4" s="236" t="n">
        <v>23</v>
      </c>
      <c r="AA4" s="236" t="n">
        <v>24</v>
      </c>
      <c r="AB4" s="463" t="n">
        <v>25</v>
      </c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429"/>
      <c r="AO4" s="429"/>
      <c r="AP4" s="429"/>
      <c r="AQ4" s="429"/>
      <c r="AR4" s="429"/>
      <c r="AS4" s="429"/>
      <c r="AT4" s="429"/>
      <c r="AU4" s="429"/>
      <c r="AV4" s="429"/>
      <c r="AW4" s="429"/>
      <c r="AX4" s="429"/>
      <c r="AY4" s="429"/>
      <c r="AZ4" s="429"/>
      <c r="BA4" s="429"/>
      <c r="BB4" s="429"/>
      <c r="BC4" s="429"/>
      <c r="BD4" s="429"/>
      <c r="BE4" s="429"/>
      <c r="BF4" s="429"/>
      <c r="BG4" s="429"/>
      <c r="BH4" s="429"/>
      <c r="BI4" s="429"/>
      <c r="BJ4" s="429"/>
      <c r="BK4" s="429"/>
      <c r="BL4" s="429"/>
      <c r="BM4" s="429"/>
      <c r="BN4" s="429"/>
      <c r="BO4" s="429"/>
      <c r="BP4" s="429"/>
      <c r="BQ4" s="429"/>
      <c r="BR4" s="429"/>
      <c r="BS4" s="429"/>
      <c r="BT4" s="429"/>
      <c r="BU4" s="429"/>
      <c r="BV4" s="429"/>
      <c r="BW4" s="429"/>
      <c r="BX4" s="429"/>
      <c r="BY4" s="429"/>
      <c r="BZ4" s="429"/>
      <c r="CA4" s="429"/>
      <c r="CB4" s="429"/>
      <c r="CC4" s="429"/>
      <c r="CD4" s="429"/>
      <c r="CE4" s="429"/>
      <c r="CF4" s="429"/>
      <c r="CG4" s="429"/>
      <c r="CH4" s="429"/>
      <c r="CI4" s="429"/>
      <c r="CJ4" s="429"/>
      <c r="CK4" s="429"/>
      <c r="CL4" s="429"/>
      <c r="CM4" s="429"/>
      <c r="CN4" s="429"/>
      <c r="CO4" s="429"/>
      <c r="CP4" s="429"/>
      <c r="CQ4" s="429"/>
      <c r="CR4" s="429"/>
      <c r="CS4" s="429"/>
      <c r="CT4" s="429"/>
      <c r="CU4" s="429"/>
      <c r="CV4" s="429"/>
      <c r="CW4" s="429"/>
      <c r="CX4" s="429"/>
      <c r="CY4" s="429"/>
      <c r="CZ4" s="429"/>
      <c r="DA4" s="429"/>
      <c r="DB4" s="429"/>
      <c r="DC4" s="429"/>
      <c r="DD4" s="429"/>
      <c r="DE4" s="429"/>
      <c r="DF4" s="429"/>
      <c r="DG4" s="429"/>
      <c r="DH4" s="429"/>
      <c r="DI4" s="429"/>
      <c r="DJ4" s="429"/>
      <c r="DK4" s="429"/>
      <c r="DL4" s="429"/>
      <c r="DM4" s="429"/>
      <c r="DN4" s="429"/>
      <c r="DO4" s="429"/>
      <c r="DP4" s="429"/>
      <c r="DQ4" s="429"/>
      <c r="DR4" s="429"/>
      <c r="DS4" s="429"/>
      <c r="DT4" s="429"/>
      <c r="DU4" s="429"/>
      <c r="DV4" s="429"/>
      <c r="DW4" s="429"/>
      <c r="DX4" s="429"/>
      <c r="DY4" s="429"/>
      <c r="DZ4" s="429"/>
      <c r="EA4" s="429"/>
      <c r="EB4" s="429"/>
      <c r="EC4" s="429"/>
      <c r="ED4" s="429"/>
      <c r="EE4" s="429"/>
      <c r="EF4" s="429"/>
      <c r="EG4" s="429"/>
      <c r="EH4" s="429"/>
      <c r="EI4" s="429"/>
      <c r="EJ4" s="429"/>
      <c r="EK4" s="429"/>
      <c r="EL4" s="429"/>
      <c r="EM4" s="429"/>
      <c r="EN4" s="429"/>
      <c r="EO4" s="429"/>
      <c r="EP4" s="429"/>
      <c r="EQ4" s="429"/>
      <c r="ER4" s="429"/>
      <c r="ES4" s="429"/>
      <c r="ET4" s="429"/>
      <c r="EU4" s="429"/>
      <c r="EV4" s="429"/>
      <c r="EW4" s="429"/>
      <c r="EX4" s="429"/>
      <c r="EY4" s="429"/>
      <c r="EZ4" s="429"/>
      <c r="FA4" s="429"/>
      <c r="FB4" s="429"/>
      <c r="FC4" s="429"/>
      <c r="FD4" s="429"/>
      <c r="FE4" s="429"/>
      <c r="FF4" s="429"/>
      <c r="FG4" s="429"/>
      <c r="FH4" s="429"/>
      <c r="FI4" s="429"/>
      <c r="FJ4" s="429"/>
      <c r="FK4" s="429"/>
      <c r="FL4" s="429"/>
      <c r="FM4" s="429"/>
      <c r="FN4" s="429"/>
      <c r="FO4" s="429"/>
      <c r="FP4" s="429"/>
      <c r="FQ4" s="429"/>
      <c r="FR4" s="429"/>
      <c r="FS4" s="429"/>
      <c r="FT4" s="429"/>
      <c r="FU4" s="429"/>
      <c r="FV4" s="429"/>
      <c r="FW4" s="429"/>
      <c r="FX4" s="429"/>
      <c r="FY4" s="429"/>
      <c r="FZ4" s="429"/>
      <c r="GA4" s="429"/>
      <c r="GB4" s="429"/>
      <c r="GC4" s="429"/>
      <c r="GD4" s="429"/>
      <c r="GE4" s="429"/>
      <c r="GF4" s="429"/>
      <c r="GG4" s="429"/>
      <c r="GH4" s="429"/>
      <c r="GI4" s="429"/>
      <c r="GJ4" s="429"/>
      <c r="GK4" s="429"/>
      <c r="GL4" s="429"/>
      <c r="GM4" s="429"/>
      <c r="GN4" s="429"/>
      <c r="GO4" s="429"/>
      <c r="GP4" s="429"/>
      <c r="GQ4" s="429"/>
      <c r="GR4" s="429"/>
      <c r="GS4" s="429"/>
      <c r="GT4" s="429"/>
      <c r="GU4" s="429"/>
      <c r="GV4" s="429"/>
      <c r="GW4" s="429"/>
      <c r="GX4" s="429"/>
      <c r="GY4" s="429"/>
      <c r="GZ4" s="429"/>
      <c r="HA4" s="429"/>
      <c r="HB4" s="429"/>
      <c r="HC4" s="429"/>
      <c r="HD4" s="429"/>
      <c r="HE4" s="429"/>
      <c r="HF4" s="429"/>
      <c r="HG4" s="429"/>
      <c r="HH4" s="429"/>
      <c r="HI4" s="429"/>
      <c r="HJ4" s="429"/>
      <c r="HK4" s="429"/>
      <c r="HL4" s="429"/>
      <c r="HM4" s="429"/>
      <c r="HN4" s="429"/>
      <c r="HO4" s="429"/>
      <c r="HP4" s="429"/>
      <c r="HQ4" s="429"/>
      <c r="HR4" s="429"/>
      <c r="HS4" s="429"/>
      <c r="HT4" s="429"/>
      <c r="HU4" s="429"/>
      <c r="HV4" s="429"/>
      <c r="HW4" s="429"/>
      <c r="HX4" s="429"/>
      <c r="HY4" s="429"/>
      <c r="HZ4" s="429"/>
      <c r="IA4" s="429"/>
      <c r="IB4" s="429"/>
      <c r="IC4" s="429"/>
      <c r="ID4" s="429"/>
      <c r="IE4" s="429"/>
      <c r="IF4" s="429"/>
      <c r="IG4" s="429"/>
      <c r="IH4" s="429"/>
      <c r="II4" s="429"/>
      <c r="IJ4" s="429"/>
      <c r="IK4" s="429"/>
      <c r="IL4" s="429"/>
      <c r="IM4" s="429"/>
      <c r="IN4" s="429"/>
      <c r="IO4" s="429"/>
      <c r="IP4" s="429"/>
      <c r="IQ4" s="429"/>
      <c r="IR4" s="429"/>
      <c r="IS4" s="429"/>
      <c r="IT4" s="429"/>
      <c r="IU4" s="429"/>
      <c r="IV4" s="429"/>
      <c r="IW4" s="429"/>
    </row>
    <row r="5" customFormat="false" ht="11.25" hidden="false" customHeight="true" outlineLevel="0" collapsed="false">
      <c r="A5" s="429"/>
      <c r="B5" s="429"/>
      <c r="C5" s="522" t="n">
        <f aca="false">D5-1</f>
        <v>1999</v>
      </c>
      <c r="D5" s="522" t="n">
        <f aca="false">+YEAR('Project Assumptions'!$I$16)</f>
        <v>2000</v>
      </c>
      <c r="E5" s="522" t="n">
        <f aca="false">D5+1</f>
        <v>2001</v>
      </c>
      <c r="F5" s="522" t="n">
        <f aca="false">E5+1</f>
        <v>2002</v>
      </c>
      <c r="G5" s="522" t="n">
        <f aca="false">F5+1</f>
        <v>2003</v>
      </c>
      <c r="H5" s="522" t="n">
        <f aca="false">G5+1</f>
        <v>2004</v>
      </c>
      <c r="I5" s="522" t="n">
        <f aca="false">H5+1</f>
        <v>2005</v>
      </c>
      <c r="J5" s="522" t="n">
        <f aca="false">I5+1</f>
        <v>2006</v>
      </c>
      <c r="K5" s="522" t="n">
        <f aca="false">J5+1</f>
        <v>2007</v>
      </c>
      <c r="L5" s="522" t="n">
        <f aca="false">K5+1</f>
        <v>2008</v>
      </c>
      <c r="M5" s="522" t="n">
        <f aca="false">L5+1</f>
        <v>2009</v>
      </c>
      <c r="N5" s="522" t="n">
        <f aca="false">M5+1</f>
        <v>2010</v>
      </c>
      <c r="O5" s="522" t="n">
        <f aca="false">N5+1</f>
        <v>2011</v>
      </c>
      <c r="P5" s="522" t="n">
        <f aca="false">O5+1</f>
        <v>2012</v>
      </c>
      <c r="Q5" s="522" t="n">
        <f aca="false">P5+1</f>
        <v>2013</v>
      </c>
      <c r="R5" s="522" t="n">
        <f aca="false">Q5+1</f>
        <v>2014</v>
      </c>
      <c r="S5" s="522" t="n">
        <f aca="false">R5+1</f>
        <v>2015</v>
      </c>
      <c r="T5" s="522" t="n">
        <f aca="false">S5+1</f>
        <v>2016</v>
      </c>
      <c r="U5" s="522" t="n">
        <f aca="false">T5+1</f>
        <v>2017</v>
      </c>
      <c r="V5" s="522" t="n">
        <f aca="false">U5+1</f>
        <v>2018</v>
      </c>
      <c r="W5" s="522" t="n">
        <f aca="false">V5+1</f>
        <v>2019</v>
      </c>
      <c r="X5" s="522" t="n">
        <f aca="false">W5+1</f>
        <v>2020</v>
      </c>
      <c r="Y5" s="522" t="n">
        <f aca="false">X5+1</f>
        <v>2021</v>
      </c>
      <c r="Z5" s="522" t="n">
        <f aca="false">Y5+1</f>
        <v>2022</v>
      </c>
      <c r="AA5" s="522" t="n">
        <f aca="false">Z5+1</f>
        <v>2023</v>
      </c>
      <c r="AB5" s="522" t="n">
        <f aca="false">AA5+1</f>
        <v>2024</v>
      </c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  <c r="AV5" s="429"/>
      <c r="AW5" s="429"/>
      <c r="AX5" s="429"/>
      <c r="AY5" s="429"/>
      <c r="AZ5" s="429"/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29"/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29"/>
      <c r="BX5" s="429"/>
      <c r="BY5" s="429"/>
      <c r="BZ5" s="429"/>
      <c r="CA5" s="429"/>
      <c r="CB5" s="429"/>
      <c r="CC5" s="429"/>
      <c r="CD5" s="429"/>
      <c r="CE5" s="429"/>
      <c r="CF5" s="429"/>
      <c r="CG5" s="429"/>
      <c r="CH5" s="429"/>
      <c r="CI5" s="429"/>
      <c r="CJ5" s="429"/>
      <c r="CK5" s="429"/>
      <c r="CL5" s="429"/>
      <c r="CM5" s="429"/>
      <c r="CN5" s="429"/>
      <c r="CO5" s="429"/>
      <c r="CP5" s="429"/>
      <c r="CQ5" s="429"/>
      <c r="CR5" s="429"/>
      <c r="CS5" s="429"/>
      <c r="CT5" s="429"/>
      <c r="CU5" s="429"/>
      <c r="CV5" s="429"/>
      <c r="CW5" s="429"/>
      <c r="CX5" s="429"/>
      <c r="CY5" s="429"/>
      <c r="CZ5" s="429"/>
      <c r="DA5" s="429"/>
      <c r="DB5" s="429"/>
      <c r="DC5" s="429"/>
      <c r="DD5" s="429"/>
      <c r="DE5" s="429"/>
      <c r="DF5" s="429"/>
      <c r="DG5" s="429"/>
      <c r="DH5" s="429"/>
      <c r="DI5" s="429"/>
      <c r="DJ5" s="429"/>
      <c r="DK5" s="429"/>
      <c r="DL5" s="429"/>
      <c r="DM5" s="429"/>
      <c r="DN5" s="429"/>
      <c r="DO5" s="429"/>
      <c r="DP5" s="429"/>
      <c r="DQ5" s="429"/>
      <c r="DR5" s="429"/>
      <c r="DS5" s="429"/>
      <c r="DT5" s="429"/>
      <c r="DU5" s="429"/>
      <c r="DV5" s="429"/>
      <c r="DW5" s="429"/>
      <c r="DX5" s="429"/>
      <c r="DY5" s="429"/>
      <c r="DZ5" s="429"/>
      <c r="EA5" s="429"/>
      <c r="EB5" s="429"/>
      <c r="EC5" s="429"/>
      <c r="ED5" s="429"/>
      <c r="EE5" s="429"/>
      <c r="EF5" s="429"/>
      <c r="EG5" s="429"/>
      <c r="EH5" s="429"/>
      <c r="EI5" s="429"/>
      <c r="EJ5" s="429"/>
      <c r="EK5" s="429"/>
      <c r="EL5" s="429"/>
      <c r="EM5" s="429"/>
      <c r="EN5" s="429"/>
      <c r="EO5" s="429"/>
      <c r="EP5" s="429"/>
      <c r="EQ5" s="429"/>
      <c r="ER5" s="429"/>
      <c r="ES5" s="429"/>
      <c r="ET5" s="429"/>
      <c r="EU5" s="429"/>
      <c r="EV5" s="429"/>
      <c r="EW5" s="429"/>
      <c r="EX5" s="429"/>
      <c r="EY5" s="429"/>
      <c r="EZ5" s="429"/>
      <c r="FA5" s="429"/>
      <c r="FB5" s="429"/>
      <c r="FC5" s="429"/>
      <c r="FD5" s="429"/>
      <c r="FE5" s="429"/>
      <c r="FF5" s="429"/>
      <c r="FG5" s="429"/>
      <c r="FH5" s="429"/>
      <c r="FI5" s="429"/>
      <c r="FJ5" s="429"/>
      <c r="FK5" s="429"/>
      <c r="FL5" s="429"/>
      <c r="FM5" s="429"/>
      <c r="FN5" s="429"/>
      <c r="FO5" s="429"/>
      <c r="FP5" s="429"/>
      <c r="FQ5" s="429"/>
      <c r="FR5" s="429"/>
      <c r="FS5" s="429"/>
      <c r="FT5" s="429"/>
      <c r="FU5" s="429"/>
      <c r="FV5" s="429"/>
      <c r="FW5" s="429"/>
      <c r="FX5" s="429"/>
      <c r="FY5" s="429"/>
      <c r="FZ5" s="429"/>
      <c r="GA5" s="429"/>
      <c r="GB5" s="429"/>
      <c r="GC5" s="429"/>
      <c r="GD5" s="429"/>
      <c r="GE5" s="429"/>
      <c r="GF5" s="429"/>
      <c r="GG5" s="429"/>
      <c r="GH5" s="429"/>
      <c r="GI5" s="429"/>
      <c r="GJ5" s="429"/>
      <c r="GK5" s="429"/>
      <c r="GL5" s="429"/>
      <c r="GM5" s="429"/>
      <c r="GN5" s="429"/>
      <c r="GO5" s="429"/>
      <c r="GP5" s="429"/>
      <c r="GQ5" s="429"/>
      <c r="GR5" s="429"/>
      <c r="GS5" s="429"/>
      <c r="GT5" s="429"/>
      <c r="GU5" s="429"/>
      <c r="GV5" s="429"/>
      <c r="GW5" s="429"/>
      <c r="GX5" s="429"/>
      <c r="GY5" s="429"/>
      <c r="GZ5" s="429"/>
      <c r="HA5" s="429"/>
      <c r="HB5" s="429"/>
      <c r="HC5" s="429"/>
      <c r="HD5" s="429"/>
      <c r="HE5" s="429"/>
      <c r="HF5" s="429"/>
      <c r="HG5" s="429"/>
      <c r="HH5" s="429"/>
      <c r="HI5" s="429"/>
      <c r="HJ5" s="429"/>
      <c r="HK5" s="429"/>
      <c r="HL5" s="429"/>
      <c r="HM5" s="429"/>
      <c r="HN5" s="429"/>
      <c r="HO5" s="429"/>
      <c r="HP5" s="429"/>
      <c r="HQ5" s="429"/>
      <c r="HR5" s="429"/>
      <c r="HS5" s="429"/>
      <c r="HT5" s="429"/>
      <c r="HU5" s="429"/>
      <c r="HV5" s="429"/>
      <c r="HW5" s="429"/>
      <c r="HX5" s="429"/>
      <c r="HY5" s="429"/>
      <c r="HZ5" s="429"/>
      <c r="IA5" s="429"/>
      <c r="IB5" s="429"/>
      <c r="IC5" s="429"/>
      <c r="ID5" s="429"/>
      <c r="IE5" s="429"/>
      <c r="IF5" s="429"/>
      <c r="IG5" s="429"/>
      <c r="IH5" s="429"/>
      <c r="II5" s="429"/>
      <c r="IJ5" s="429"/>
      <c r="IK5" s="429"/>
      <c r="IL5" s="429"/>
      <c r="IM5" s="429"/>
      <c r="IN5" s="429"/>
      <c r="IO5" s="429"/>
      <c r="IP5" s="429"/>
      <c r="IQ5" s="429"/>
      <c r="IR5" s="429"/>
      <c r="IS5" s="429"/>
      <c r="IT5" s="429"/>
      <c r="IU5" s="429"/>
      <c r="IV5" s="429"/>
      <c r="IW5" s="429"/>
    </row>
    <row r="6" customFormat="false" ht="11.25" hidden="false" customHeight="true" outlineLevel="0" collapsed="false">
      <c r="A6" s="429"/>
      <c r="B6" s="523"/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5"/>
      <c r="Y6" s="525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9"/>
      <c r="AX6" s="429"/>
      <c r="AY6" s="429"/>
      <c r="AZ6" s="429"/>
      <c r="BA6" s="429"/>
      <c r="BB6" s="429"/>
      <c r="BC6" s="429"/>
      <c r="BD6" s="429"/>
      <c r="BE6" s="429"/>
      <c r="BF6" s="429"/>
      <c r="BG6" s="429"/>
      <c r="BH6" s="429"/>
      <c r="BI6" s="429"/>
      <c r="BJ6" s="429"/>
      <c r="BK6" s="429"/>
      <c r="BL6" s="429"/>
      <c r="BM6" s="429"/>
      <c r="BN6" s="429"/>
      <c r="BO6" s="429"/>
      <c r="BP6" s="429"/>
      <c r="BQ6" s="429"/>
      <c r="BR6" s="429"/>
      <c r="BS6" s="429"/>
      <c r="BT6" s="429"/>
      <c r="BU6" s="429"/>
      <c r="BV6" s="429"/>
      <c r="BW6" s="429"/>
      <c r="BX6" s="429"/>
      <c r="BY6" s="429"/>
      <c r="BZ6" s="429"/>
      <c r="CA6" s="429"/>
      <c r="CB6" s="429"/>
      <c r="CC6" s="429"/>
      <c r="CD6" s="429"/>
      <c r="CE6" s="429"/>
      <c r="CF6" s="429"/>
      <c r="CG6" s="429"/>
      <c r="CH6" s="429"/>
      <c r="CI6" s="429"/>
      <c r="CJ6" s="429"/>
      <c r="CK6" s="429"/>
      <c r="CL6" s="429"/>
      <c r="CM6" s="429"/>
      <c r="CN6" s="429"/>
      <c r="CO6" s="429"/>
      <c r="CP6" s="429"/>
      <c r="CQ6" s="429"/>
      <c r="CR6" s="429"/>
      <c r="CS6" s="429"/>
      <c r="CT6" s="429"/>
      <c r="CU6" s="429"/>
      <c r="CV6" s="429"/>
      <c r="CW6" s="429"/>
      <c r="CX6" s="429"/>
      <c r="CY6" s="429"/>
      <c r="CZ6" s="429"/>
      <c r="DA6" s="429"/>
      <c r="DB6" s="429"/>
      <c r="DC6" s="429"/>
      <c r="DD6" s="429"/>
      <c r="DE6" s="429"/>
      <c r="DF6" s="429"/>
      <c r="DG6" s="429"/>
      <c r="DH6" s="429"/>
      <c r="DI6" s="429"/>
      <c r="DJ6" s="429"/>
      <c r="DK6" s="429"/>
      <c r="DL6" s="429"/>
      <c r="DM6" s="429"/>
      <c r="DN6" s="429"/>
      <c r="DO6" s="429"/>
      <c r="DP6" s="429"/>
      <c r="DQ6" s="429"/>
      <c r="DR6" s="429"/>
      <c r="DS6" s="429"/>
      <c r="DT6" s="429"/>
      <c r="DU6" s="429"/>
      <c r="DV6" s="429"/>
      <c r="DW6" s="429"/>
      <c r="DX6" s="429"/>
      <c r="DY6" s="429"/>
      <c r="DZ6" s="429"/>
      <c r="EA6" s="429"/>
      <c r="EB6" s="429"/>
      <c r="EC6" s="429"/>
      <c r="ED6" s="429"/>
      <c r="EE6" s="429"/>
      <c r="EF6" s="429"/>
      <c r="EG6" s="429"/>
      <c r="EH6" s="429"/>
      <c r="EI6" s="429"/>
      <c r="EJ6" s="429"/>
      <c r="EK6" s="429"/>
      <c r="EL6" s="429"/>
      <c r="EM6" s="429"/>
      <c r="EN6" s="429"/>
      <c r="EO6" s="429"/>
      <c r="EP6" s="429"/>
      <c r="EQ6" s="429"/>
      <c r="ER6" s="429"/>
      <c r="ES6" s="429"/>
      <c r="ET6" s="429"/>
      <c r="EU6" s="429"/>
      <c r="EV6" s="429"/>
      <c r="EW6" s="429"/>
      <c r="EX6" s="429"/>
      <c r="EY6" s="429"/>
      <c r="EZ6" s="429"/>
      <c r="FA6" s="429"/>
      <c r="FB6" s="429"/>
      <c r="FC6" s="429"/>
      <c r="FD6" s="429"/>
      <c r="FE6" s="429"/>
      <c r="FF6" s="429"/>
      <c r="FG6" s="429"/>
      <c r="FH6" s="429"/>
      <c r="FI6" s="429"/>
      <c r="FJ6" s="429"/>
      <c r="FK6" s="429"/>
      <c r="FL6" s="429"/>
      <c r="FM6" s="429"/>
      <c r="FN6" s="429"/>
      <c r="FO6" s="429"/>
      <c r="FP6" s="429"/>
      <c r="FQ6" s="429"/>
      <c r="FR6" s="429"/>
      <c r="FS6" s="429"/>
      <c r="FT6" s="429"/>
      <c r="FU6" s="429"/>
      <c r="FV6" s="429"/>
      <c r="FW6" s="429"/>
      <c r="FX6" s="429"/>
      <c r="FY6" s="429"/>
      <c r="FZ6" s="429"/>
      <c r="GA6" s="429"/>
      <c r="GB6" s="429"/>
      <c r="GC6" s="429"/>
      <c r="GD6" s="429"/>
      <c r="GE6" s="429"/>
      <c r="GF6" s="429"/>
      <c r="GG6" s="429"/>
      <c r="GH6" s="429"/>
      <c r="GI6" s="429"/>
      <c r="GJ6" s="429"/>
      <c r="GK6" s="429"/>
      <c r="GL6" s="429"/>
      <c r="GM6" s="429"/>
      <c r="GN6" s="429"/>
      <c r="GO6" s="429"/>
      <c r="GP6" s="429"/>
      <c r="GQ6" s="429"/>
      <c r="GR6" s="429"/>
      <c r="GS6" s="429"/>
      <c r="GT6" s="429"/>
      <c r="GU6" s="429"/>
      <c r="GV6" s="429"/>
      <c r="GW6" s="429"/>
      <c r="GX6" s="429"/>
      <c r="GY6" s="429"/>
      <c r="GZ6" s="429"/>
      <c r="HA6" s="429"/>
      <c r="HB6" s="429"/>
      <c r="HC6" s="429"/>
      <c r="HD6" s="429"/>
      <c r="HE6" s="429"/>
      <c r="HF6" s="429"/>
      <c r="HG6" s="429"/>
      <c r="HH6" s="429"/>
      <c r="HI6" s="429"/>
      <c r="HJ6" s="429"/>
      <c r="HK6" s="429"/>
      <c r="HL6" s="429"/>
      <c r="HM6" s="429"/>
      <c r="HN6" s="429"/>
      <c r="HO6" s="429"/>
      <c r="HP6" s="429"/>
      <c r="HQ6" s="429"/>
      <c r="HR6" s="429"/>
      <c r="HS6" s="429"/>
      <c r="HT6" s="429"/>
      <c r="HU6" s="429"/>
      <c r="HV6" s="429"/>
      <c r="HW6" s="429"/>
      <c r="HX6" s="429"/>
      <c r="HY6" s="429"/>
      <c r="HZ6" s="429"/>
      <c r="IA6" s="429"/>
      <c r="IB6" s="429"/>
      <c r="IC6" s="429"/>
      <c r="ID6" s="429"/>
      <c r="IE6" s="429"/>
      <c r="IF6" s="429"/>
      <c r="IG6" s="429"/>
      <c r="IH6" s="429"/>
      <c r="II6" s="429"/>
      <c r="IJ6" s="429"/>
      <c r="IK6" s="429"/>
      <c r="IL6" s="429"/>
      <c r="IM6" s="429"/>
      <c r="IN6" s="429"/>
      <c r="IO6" s="429"/>
      <c r="IP6" s="429"/>
      <c r="IQ6" s="429"/>
      <c r="IR6" s="429"/>
      <c r="IS6" s="429"/>
      <c r="IT6" s="429"/>
      <c r="IU6" s="429"/>
      <c r="IV6" s="429"/>
      <c r="IW6" s="429"/>
    </row>
    <row r="7" customFormat="false" ht="11.25" hidden="false" customHeight="true" outlineLevel="0" collapsed="false">
      <c r="A7" s="429" t="s">
        <v>516</v>
      </c>
      <c r="B7" s="429"/>
      <c r="C7" s="526"/>
      <c r="D7" s="527" t="n">
        <f aca="false">'Project Assumptions'!$N$34</f>
        <v>110</v>
      </c>
      <c r="E7" s="527" t="n">
        <f aca="false">'Project Assumptions'!$N$34*('Book Income Statement'!D5/12)</f>
        <v>110</v>
      </c>
      <c r="F7" s="527" t="n">
        <f aca="false">'Project Assumptions'!$N$34*('Book Income Statement'!E5/12)</f>
        <v>110</v>
      </c>
      <c r="G7" s="527" t="n">
        <f aca="false">'Project Assumptions'!$N$34*('Book Income Statement'!F5/12)</f>
        <v>110</v>
      </c>
      <c r="H7" s="527" t="n">
        <f aca="false">'Project Assumptions'!$N$34*('Book Income Statement'!G5/12)</f>
        <v>110</v>
      </c>
      <c r="I7" s="527" t="n">
        <f aca="false">'Project Assumptions'!$N$34*('Book Income Statement'!H5/12)</f>
        <v>110</v>
      </c>
      <c r="J7" s="527" t="n">
        <f aca="false">'Project Assumptions'!$N$34*('Book Income Statement'!I5/12)</f>
        <v>110</v>
      </c>
      <c r="K7" s="527" t="n">
        <f aca="false">'Project Assumptions'!$N$34*('Book Income Statement'!J5/12)</f>
        <v>110</v>
      </c>
      <c r="L7" s="527" t="n">
        <f aca="false">'Project Assumptions'!$N$34*('Book Income Statement'!K5/12)</f>
        <v>110</v>
      </c>
      <c r="M7" s="527" t="n">
        <f aca="false">'Project Assumptions'!$N$34*('Book Income Statement'!L5/12)</f>
        <v>110</v>
      </c>
      <c r="N7" s="527" t="n">
        <f aca="false">'Project Assumptions'!$N$34*('Book Income Statement'!M5/12)</f>
        <v>110</v>
      </c>
      <c r="O7" s="527" t="n">
        <f aca="false">'Project Assumptions'!$N$34*('Book Income Statement'!N5/12)</f>
        <v>110</v>
      </c>
      <c r="P7" s="527" t="n">
        <f aca="false">'Project Assumptions'!$N$34*('Book Income Statement'!O5/12)</f>
        <v>110</v>
      </c>
      <c r="Q7" s="527" t="n">
        <f aca="false">'Project Assumptions'!$N$34*('Book Income Statement'!P5/12)</f>
        <v>110</v>
      </c>
      <c r="R7" s="527" t="n">
        <f aca="false">'Project Assumptions'!$N$34*('Book Income Statement'!Q5/12)</f>
        <v>110</v>
      </c>
      <c r="S7" s="527" t="n">
        <f aca="false">'Project Assumptions'!$N$34*('Book Income Statement'!R5/12)</f>
        <v>73.3333333333333</v>
      </c>
      <c r="T7" s="527" t="n">
        <f aca="false">'Project Assumptions'!$N$34*('Book Income Statement'!S5/12)</f>
        <v>0</v>
      </c>
      <c r="U7" s="527" t="n">
        <f aca="false">'Project Assumptions'!$N$34*('Book Income Statement'!T5/12)</f>
        <v>0</v>
      </c>
      <c r="V7" s="527" t="n">
        <f aca="false">'Project Assumptions'!$N$34*('Book Income Statement'!U5/12)</f>
        <v>0</v>
      </c>
      <c r="W7" s="527" t="n">
        <f aca="false">'Project Assumptions'!$N$34*('Book Income Statement'!V5/12)</f>
        <v>0</v>
      </c>
      <c r="X7" s="527" t="n">
        <f aca="false">'Project Assumptions'!$N$34*('Book Income Statement'!W5/12)</f>
        <v>0</v>
      </c>
      <c r="Y7" s="527" t="n">
        <f aca="false">'Project Assumptions'!$N$34*('Book Income Statement'!X5/12)</f>
        <v>0</v>
      </c>
      <c r="Z7" s="527" t="n">
        <f aca="false">'Project Assumptions'!$N$34*('Book Income Statement'!Y5/12)</f>
        <v>0</v>
      </c>
      <c r="AA7" s="527" t="n">
        <f aca="false">'Project Assumptions'!$N$34*('Book Income Statement'!Z5/12)</f>
        <v>0</v>
      </c>
      <c r="AB7" s="527" t="n">
        <f aca="false">'Project Assumptions'!$N$34*('Book Income Statement'!AA5/12)</f>
        <v>0</v>
      </c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29"/>
      <c r="BF7" s="429"/>
      <c r="BG7" s="429"/>
      <c r="BH7" s="429"/>
      <c r="BI7" s="429"/>
      <c r="BJ7" s="429"/>
      <c r="BK7" s="429"/>
      <c r="BL7" s="429"/>
      <c r="BM7" s="429"/>
      <c r="BN7" s="429"/>
      <c r="BO7" s="429"/>
      <c r="BP7" s="429"/>
      <c r="BQ7" s="429"/>
      <c r="BR7" s="429"/>
      <c r="BS7" s="429"/>
      <c r="BT7" s="429"/>
      <c r="BU7" s="429"/>
      <c r="BV7" s="429"/>
      <c r="BW7" s="429"/>
      <c r="BX7" s="429"/>
      <c r="BY7" s="429"/>
      <c r="BZ7" s="429"/>
      <c r="CA7" s="429"/>
      <c r="CB7" s="429"/>
      <c r="CC7" s="429"/>
      <c r="CD7" s="429"/>
      <c r="CE7" s="429"/>
      <c r="CF7" s="429"/>
      <c r="CG7" s="429"/>
      <c r="CH7" s="429"/>
      <c r="CI7" s="429"/>
      <c r="CJ7" s="429"/>
      <c r="CK7" s="429"/>
      <c r="CL7" s="429"/>
      <c r="CM7" s="429"/>
      <c r="CN7" s="429"/>
      <c r="CO7" s="429"/>
      <c r="CP7" s="429"/>
      <c r="CQ7" s="429"/>
      <c r="CR7" s="429"/>
      <c r="CS7" s="429"/>
      <c r="CT7" s="429"/>
      <c r="CU7" s="429"/>
      <c r="CV7" s="429"/>
      <c r="CW7" s="429"/>
      <c r="CX7" s="429"/>
      <c r="CY7" s="429"/>
      <c r="CZ7" s="429"/>
      <c r="DA7" s="429"/>
      <c r="DB7" s="429"/>
      <c r="DC7" s="429"/>
      <c r="DD7" s="429"/>
      <c r="DE7" s="429"/>
      <c r="DF7" s="429"/>
      <c r="DG7" s="429"/>
      <c r="DH7" s="429"/>
      <c r="DI7" s="429"/>
      <c r="DJ7" s="429"/>
      <c r="DK7" s="429"/>
      <c r="DL7" s="429"/>
      <c r="DM7" s="429"/>
      <c r="DN7" s="429"/>
      <c r="DO7" s="429"/>
      <c r="DP7" s="429"/>
      <c r="DQ7" s="429"/>
      <c r="DR7" s="429"/>
      <c r="DS7" s="429"/>
      <c r="DT7" s="429"/>
      <c r="DU7" s="429"/>
      <c r="DV7" s="429"/>
      <c r="DW7" s="429"/>
      <c r="DX7" s="429"/>
      <c r="DY7" s="429"/>
      <c r="DZ7" s="429"/>
      <c r="EA7" s="429"/>
      <c r="EB7" s="429"/>
      <c r="EC7" s="429"/>
      <c r="ED7" s="429"/>
      <c r="EE7" s="429"/>
      <c r="EF7" s="429"/>
      <c r="EG7" s="429"/>
      <c r="EH7" s="429"/>
      <c r="EI7" s="429"/>
      <c r="EJ7" s="429"/>
      <c r="EK7" s="429"/>
      <c r="EL7" s="429"/>
      <c r="EM7" s="429"/>
      <c r="EN7" s="429"/>
      <c r="EO7" s="429"/>
      <c r="EP7" s="429"/>
      <c r="EQ7" s="429"/>
      <c r="ER7" s="429"/>
      <c r="ES7" s="429"/>
      <c r="ET7" s="429"/>
      <c r="EU7" s="429"/>
      <c r="EV7" s="429"/>
      <c r="EW7" s="429"/>
      <c r="EX7" s="429"/>
      <c r="EY7" s="429"/>
      <c r="EZ7" s="429"/>
      <c r="FA7" s="429"/>
      <c r="FB7" s="429"/>
      <c r="FC7" s="429"/>
      <c r="FD7" s="429"/>
      <c r="FE7" s="429"/>
      <c r="FF7" s="429"/>
      <c r="FG7" s="429"/>
      <c r="FH7" s="429"/>
      <c r="FI7" s="429"/>
      <c r="FJ7" s="429"/>
      <c r="FK7" s="429"/>
      <c r="FL7" s="429"/>
      <c r="FM7" s="429"/>
      <c r="FN7" s="429"/>
      <c r="FO7" s="429"/>
      <c r="FP7" s="429"/>
      <c r="FQ7" s="429"/>
      <c r="FR7" s="429"/>
      <c r="FS7" s="429"/>
      <c r="FT7" s="429"/>
      <c r="FU7" s="429"/>
      <c r="FV7" s="429"/>
      <c r="FW7" s="429"/>
      <c r="FX7" s="429"/>
      <c r="FY7" s="429"/>
      <c r="FZ7" s="429"/>
      <c r="GA7" s="429"/>
      <c r="GB7" s="429"/>
      <c r="GC7" s="429"/>
      <c r="GD7" s="429"/>
      <c r="GE7" s="429"/>
      <c r="GF7" s="429"/>
      <c r="GG7" s="429"/>
      <c r="GH7" s="429"/>
      <c r="GI7" s="429"/>
      <c r="GJ7" s="429"/>
      <c r="GK7" s="429"/>
      <c r="GL7" s="429"/>
      <c r="GM7" s="429"/>
      <c r="GN7" s="429"/>
      <c r="GO7" s="429"/>
      <c r="GP7" s="429"/>
      <c r="GQ7" s="429"/>
      <c r="GR7" s="429"/>
      <c r="GS7" s="429"/>
      <c r="GT7" s="429"/>
      <c r="GU7" s="429"/>
      <c r="GV7" s="429"/>
      <c r="GW7" s="429"/>
      <c r="GX7" s="429"/>
      <c r="GY7" s="429"/>
      <c r="GZ7" s="429"/>
      <c r="HA7" s="429"/>
      <c r="HB7" s="429"/>
      <c r="HC7" s="429"/>
      <c r="HD7" s="429"/>
      <c r="HE7" s="429"/>
      <c r="HF7" s="429"/>
      <c r="HG7" s="429"/>
      <c r="HH7" s="429"/>
      <c r="HI7" s="429"/>
      <c r="HJ7" s="429"/>
      <c r="HK7" s="429"/>
      <c r="HL7" s="429"/>
      <c r="HM7" s="429"/>
      <c r="HN7" s="429"/>
      <c r="HO7" s="429"/>
      <c r="HP7" s="429"/>
      <c r="HQ7" s="429"/>
      <c r="HR7" s="429"/>
      <c r="HS7" s="429"/>
      <c r="HT7" s="429"/>
      <c r="HU7" s="429"/>
      <c r="HV7" s="429"/>
      <c r="HW7" s="429"/>
      <c r="HX7" s="429"/>
      <c r="HY7" s="429"/>
      <c r="HZ7" s="429"/>
      <c r="IA7" s="429"/>
      <c r="IB7" s="429"/>
      <c r="IC7" s="429"/>
      <c r="ID7" s="429"/>
      <c r="IE7" s="429"/>
      <c r="IF7" s="429"/>
      <c r="IG7" s="429"/>
      <c r="IH7" s="429"/>
      <c r="II7" s="429"/>
      <c r="IJ7" s="429"/>
      <c r="IK7" s="429"/>
      <c r="IL7" s="429"/>
      <c r="IM7" s="429"/>
      <c r="IN7" s="429"/>
      <c r="IO7" s="429"/>
      <c r="IP7" s="429"/>
      <c r="IQ7" s="429"/>
      <c r="IR7" s="429"/>
      <c r="IS7" s="429"/>
      <c r="IT7" s="429"/>
      <c r="IU7" s="429"/>
      <c r="IV7" s="429"/>
      <c r="IW7" s="429"/>
    </row>
    <row r="8" customFormat="false" ht="11.25" hidden="false" customHeight="true" outlineLevel="0" collapsed="false">
      <c r="A8" s="429" t="s">
        <v>517</v>
      </c>
      <c r="B8" s="528"/>
      <c r="C8" s="526"/>
      <c r="D8" s="527" t="n">
        <f aca="false">D7</f>
        <v>110</v>
      </c>
      <c r="E8" s="527" t="n">
        <f aca="false">D8+E7</f>
        <v>220</v>
      </c>
      <c r="F8" s="527" t="n">
        <f aca="false">E8+F7</f>
        <v>330</v>
      </c>
      <c r="G8" s="527" t="n">
        <f aca="false">F8+G7</f>
        <v>440</v>
      </c>
      <c r="H8" s="527" t="n">
        <f aca="false">G8+H7</f>
        <v>550</v>
      </c>
      <c r="I8" s="527" t="n">
        <f aca="false">H8+I7</f>
        <v>660</v>
      </c>
      <c r="J8" s="527" t="n">
        <f aca="false">I8+J7</f>
        <v>770</v>
      </c>
      <c r="K8" s="527" t="n">
        <f aca="false">J8+K7</f>
        <v>880</v>
      </c>
      <c r="L8" s="527" t="n">
        <f aca="false">K8+L7</f>
        <v>990</v>
      </c>
      <c r="M8" s="527" t="n">
        <f aca="false">L8+M7</f>
        <v>1100</v>
      </c>
      <c r="N8" s="527" t="n">
        <f aca="false">M8+N7</f>
        <v>1210</v>
      </c>
      <c r="O8" s="527" t="n">
        <f aca="false">N8+O7</f>
        <v>1320</v>
      </c>
      <c r="P8" s="527" t="n">
        <f aca="false">O8+P7</f>
        <v>1430</v>
      </c>
      <c r="Q8" s="527" t="n">
        <f aca="false">P8+Q7</f>
        <v>1540</v>
      </c>
      <c r="R8" s="527" t="n">
        <f aca="false">Q8+R7</f>
        <v>1650</v>
      </c>
      <c r="S8" s="527" t="n">
        <f aca="false">R8+S7</f>
        <v>1723.33333333333</v>
      </c>
      <c r="T8" s="527" t="n">
        <f aca="false">S8+T7</f>
        <v>1723.33333333333</v>
      </c>
      <c r="U8" s="527" t="n">
        <f aca="false">T8+U7</f>
        <v>1723.33333333333</v>
      </c>
      <c r="V8" s="527" t="n">
        <f aca="false">U8+V7</f>
        <v>1723.33333333333</v>
      </c>
      <c r="W8" s="527" t="n">
        <f aca="false">V8+W7</f>
        <v>1723.33333333333</v>
      </c>
      <c r="X8" s="527" t="n">
        <f aca="false">W8+X7</f>
        <v>1723.33333333333</v>
      </c>
      <c r="Y8" s="527" t="n">
        <f aca="false">X8+Y7</f>
        <v>1723.33333333333</v>
      </c>
      <c r="Z8" s="527" t="n">
        <f aca="false">Y8+Z7</f>
        <v>1723.33333333333</v>
      </c>
      <c r="AA8" s="527" t="n">
        <f aca="false">Z8+AA7</f>
        <v>1723.33333333333</v>
      </c>
      <c r="AB8" s="527" t="n">
        <f aca="false">AA8+AB7</f>
        <v>1723.33333333333</v>
      </c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U8" s="429"/>
      <c r="AV8" s="429"/>
      <c r="AW8" s="429"/>
      <c r="AX8" s="429"/>
      <c r="AY8" s="429"/>
      <c r="AZ8" s="429"/>
      <c r="BA8" s="429"/>
      <c r="BB8" s="429"/>
      <c r="BC8" s="429"/>
      <c r="BD8" s="429"/>
      <c r="BE8" s="429"/>
      <c r="BF8" s="429"/>
      <c r="BG8" s="429"/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429"/>
      <c r="BS8" s="429"/>
      <c r="BT8" s="429"/>
      <c r="BU8" s="429"/>
      <c r="BV8" s="429"/>
      <c r="BW8" s="429"/>
      <c r="BX8" s="429"/>
      <c r="BY8" s="429"/>
      <c r="BZ8" s="429"/>
      <c r="CA8" s="429"/>
      <c r="CB8" s="429"/>
      <c r="CC8" s="429"/>
      <c r="CD8" s="429"/>
      <c r="CE8" s="429"/>
      <c r="CF8" s="429"/>
      <c r="CG8" s="429"/>
      <c r="CH8" s="429"/>
      <c r="CI8" s="429"/>
      <c r="CJ8" s="429"/>
      <c r="CK8" s="429"/>
      <c r="CL8" s="429"/>
      <c r="CM8" s="429"/>
      <c r="CN8" s="429"/>
      <c r="CO8" s="429"/>
      <c r="CP8" s="429"/>
      <c r="CQ8" s="429"/>
      <c r="CR8" s="429"/>
      <c r="CS8" s="429"/>
      <c r="CT8" s="429"/>
      <c r="CU8" s="429"/>
      <c r="CV8" s="429"/>
      <c r="CW8" s="429"/>
      <c r="CX8" s="429"/>
      <c r="CY8" s="429"/>
      <c r="CZ8" s="429"/>
      <c r="DA8" s="429"/>
      <c r="DB8" s="429"/>
      <c r="DC8" s="429"/>
      <c r="DD8" s="429"/>
      <c r="DE8" s="429"/>
      <c r="DF8" s="429"/>
      <c r="DG8" s="429"/>
      <c r="DH8" s="429"/>
      <c r="DI8" s="429"/>
      <c r="DJ8" s="429"/>
      <c r="DK8" s="429"/>
      <c r="DL8" s="429"/>
      <c r="DM8" s="429"/>
      <c r="DN8" s="429"/>
      <c r="DO8" s="429"/>
      <c r="DP8" s="429"/>
      <c r="DQ8" s="429"/>
      <c r="DR8" s="429"/>
      <c r="DS8" s="429"/>
      <c r="DT8" s="429"/>
      <c r="DU8" s="429"/>
      <c r="DV8" s="429"/>
      <c r="DW8" s="429"/>
      <c r="DX8" s="429"/>
      <c r="DY8" s="429"/>
      <c r="DZ8" s="429"/>
      <c r="EA8" s="429"/>
      <c r="EB8" s="429"/>
      <c r="EC8" s="429"/>
      <c r="ED8" s="429"/>
      <c r="EE8" s="429"/>
      <c r="EF8" s="429"/>
      <c r="EG8" s="429"/>
      <c r="EH8" s="429"/>
      <c r="EI8" s="429"/>
      <c r="EJ8" s="429"/>
      <c r="EK8" s="429"/>
      <c r="EL8" s="429"/>
      <c r="EM8" s="429"/>
      <c r="EN8" s="429"/>
      <c r="EO8" s="429"/>
      <c r="EP8" s="429"/>
      <c r="EQ8" s="429"/>
      <c r="ER8" s="429"/>
      <c r="ES8" s="429"/>
      <c r="ET8" s="429"/>
      <c r="EU8" s="429"/>
      <c r="EV8" s="429"/>
      <c r="EW8" s="429"/>
      <c r="EX8" s="429"/>
      <c r="EY8" s="429"/>
      <c r="EZ8" s="429"/>
      <c r="FA8" s="429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29"/>
      <c r="FM8" s="429"/>
      <c r="FN8" s="429"/>
      <c r="FO8" s="429"/>
      <c r="FP8" s="429"/>
      <c r="FQ8" s="429"/>
      <c r="FR8" s="429"/>
      <c r="FS8" s="429"/>
      <c r="FT8" s="429"/>
      <c r="FU8" s="429"/>
      <c r="FV8" s="429"/>
      <c r="FW8" s="429"/>
      <c r="FX8" s="429"/>
      <c r="FY8" s="429"/>
      <c r="FZ8" s="429"/>
      <c r="GA8" s="429"/>
      <c r="GB8" s="429"/>
      <c r="GC8" s="429"/>
      <c r="GD8" s="429"/>
      <c r="GE8" s="429"/>
      <c r="GF8" s="429"/>
      <c r="GG8" s="429"/>
      <c r="GH8" s="429"/>
      <c r="GI8" s="429"/>
      <c r="GJ8" s="429"/>
      <c r="GK8" s="429"/>
      <c r="GL8" s="429"/>
      <c r="GM8" s="429"/>
      <c r="GN8" s="429"/>
      <c r="GO8" s="429"/>
      <c r="GP8" s="429"/>
      <c r="GQ8" s="429"/>
      <c r="GR8" s="429"/>
      <c r="GS8" s="429"/>
      <c r="GT8" s="429"/>
      <c r="GU8" s="429"/>
      <c r="GV8" s="429"/>
      <c r="GW8" s="429"/>
      <c r="GX8" s="429"/>
      <c r="GY8" s="429"/>
      <c r="GZ8" s="429"/>
      <c r="HA8" s="429"/>
      <c r="HB8" s="429"/>
      <c r="HC8" s="429"/>
      <c r="HD8" s="429"/>
      <c r="HE8" s="429"/>
      <c r="HF8" s="429"/>
      <c r="HG8" s="429"/>
      <c r="HH8" s="429"/>
      <c r="HI8" s="429"/>
      <c r="HJ8" s="429"/>
      <c r="HK8" s="429"/>
      <c r="HL8" s="429"/>
      <c r="HM8" s="429"/>
      <c r="HN8" s="429"/>
      <c r="HO8" s="429"/>
      <c r="HP8" s="429"/>
      <c r="HQ8" s="429"/>
      <c r="HR8" s="429"/>
      <c r="HS8" s="429"/>
      <c r="HT8" s="429"/>
      <c r="HU8" s="429"/>
      <c r="HV8" s="429"/>
      <c r="HW8" s="429"/>
      <c r="HX8" s="429"/>
      <c r="HY8" s="429"/>
      <c r="HZ8" s="429"/>
      <c r="IA8" s="429"/>
      <c r="IB8" s="429"/>
      <c r="IC8" s="429"/>
      <c r="ID8" s="429"/>
      <c r="IE8" s="429"/>
      <c r="IF8" s="429"/>
      <c r="IG8" s="429"/>
      <c r="IH8" s="429"/>
      <c r="II8" s="429"/>
      <c r="IJ8" s="429"/>
      <c r="IK8" s="429"/>
      <c r="IL8" s="429"/>
      <c r="IM8" s="429"/>
      <c r="IN8" s="429"/>
      <c r="IO8" s="429"/>
      <c r="IP8" s="429"/>
      <c r="IQ8" s="429"/>
      <c r="IR8" s="429"/>
      <c r="IS8" s="429"/>
      <c r="IT8" s="429"/>
      <c r="IU8" s="429"/>
      <c r="IV8" s="429"/>
      <c r="IW8" s="429"/>
    </row>
    <row r="9" customFormat="false" ht="11.25" hidden="false" customHeight="true" outlineLevel="0" collapsed="false">
      <c r="A9" s="429" t="s">
        <v>518</v>
      </c>
      <c r="B9" s="528"/>
      <c r="C9" s="526"/>
      <c r="D9" s="527" t="n">
        <f aca="false">IF((C9+D7)&gt;'Maintenance Reserves'!$C$11,C9+D7-('Maintenance Reserves'!$C$11),C9+D7)</f>
        <v>110</v>
      </c>
      <c r="E9" s="527" t="n">
        <f aca="false">IF((D9+E7)&gt;'Maintenance Reserves'!$C$11,D9+E7-('Maintenance Reserves'!$C$11),D9+E7)</f>
        <v>220</v>
      </c>
      <c r="F9" s="527" t="n">
        <f aca="false">IF((E9+F7)&gt;'Maintenance Reserves'!$C$11,E9+F7-('Maintenance Reserves'!$C$11),E9+F7)</f>
        <v>330</v>
      </c>
      <c r="G9" s="527" t="n">
        <f aca="false">IF((F9+G7)&gt;'Maintenance Reserves'!$C$11,F9+G7-('Maintenance Reserves'!$C$11),F9+G7)</f>
        <v>40</v>
      </c>
      <c r="H9" s="527" t="n">
        <f aca="false">IF((G9+H7)&gt;'Maintenance Reserves'!$C$11,G9+H7-('Maintenance Reserves'!$C$11),G9+H7)</f>
        <v>150</v>
      </c>
      <c r="I9" s="527" t="n">
        <f aca="false">IF((H9+I7)&gt;'Maintenance Reserves'!$C$11,H9+I7-('Maintenance Reserves'!$C$11),H9+I7)</f>
        <v>260</v>
      </c>
      <c r="J9" s="527" t="n">
        <f aca="false">IF((I9+J7)&gt;'Maintenance Reserves'!$C$11,I9+J7-('Maintenance Reserves'!$C$11),I9+J7)</f>
        <v>370</v>
      </c>
      <c r="K9" s="527" t="n">
        <f aca="false">IF((J9+K7)&gt;'Maintenance Reserves'!$C$11,J9+K7-('Maintenance Reserves'!$C$11),J9+K7)</f>
        <v>80</v>
      </c>
      <c r="L9" s="527" t="n">
        <f aca="false">IF((K9+L7)&gt;'Maintenance Reserves'!$C$11,K9+L7-('Maintenance Reserves'!$C$11),K9+L7)</f>
        <v>190</v>
      </c>
      <c r="M9" s="527" t="n">
        <f aca="false">IF((L9+M7)&gt;'Maintenance Reserves'!$C$11,L9+M7-('Maintenance Reserves'!$C$11),L9+M7)</f>
        <v>300</v>
      </c>
      <c r="N9" s="527" t="n">
        <f aca="false">IF((M9+N7)&gt;'Maintenance Reserves'!$C$11,M9+N7-('Maintenance Reserves'!$C$11),M9+N7)</f>
        <v>10</v>
      </c>
      <c r="O9" s="527" t="n">
        <f aca="false">IF((N9+O7)&gt;'Maintenance Reserves'!$C$11,N9+O7-('Maintenance Reserves'!$C$11),N9+O7)</f>
        <v>120</v>
      </c>
      <c r="P9" s="527" t="n">
        <f aca="false">IF((O9+P7)&gt;'Maintenance Reserves'!$C$11,O9+P7-('Maintenance Reserves'!$C$11),O9+P7)</f>
        <v>230</v>
      </c>
      <c r="Q9" s="527" t="n">
        <f aca="false">IF((P9+Q7)&gt;'Maintenance Reserves'!$C$11,P9+Q7-('Maintenance Reserves'!$C$11),P9+Q7)</f>
        <v>340</v>
      </c>
      <c r="R9" s="527" t="n">
        <f aca="false">IF((Q9+R7)&gt;'Maintenance Reserves'!$C$11,Q9+R7-('Maintenance Reserves'!$C$11),Q9+R7)</f>
        <v>50</v>
      </c>
      <c r="S9" s="527" t="n">
        <f aca="false">IF((R9+S7)&gt;'Maintenance Reserves'!$C$11,R9+S7-('Maintenance Reserves'!$C$11),R9+S7)</f>
        <v>123.333333333333</v>
      </c>
      <c r="T9" s="527" t="n">
        <f aca="false">IF((S9+T7)&gt;'Maintenance Reserves'!$C$11,S9+T7-('Maintenance Reserves'!$C$11),S9+T7)</f>
        <v>123.333333333333</v>
      </c>
      <c r="U9" s="527" t="n">
        <f aca="false">IF((T9+U7)&gt;'Maintenance Reserves'!$C$11,T9+U7-('Maintenance Reserves'!$C$11),T9+U7)</f>
        <v>123.333333333333</v>
      </c>
      <c r="V9" s="527" t="n">
        <f aca="false">IF((U9+V7)&gt;'Maintenance Reserves'!$C$11,U9+V7-('Maintenance Reserves'!$C$11),U9+V7)</f>
        <v>123.333333333333</v>
      </c>
      <c r="W9" s="527" t="n">
        <f aca="false">IF((V9+W7)&gt;'Maintenance Reserves'!$C$11,V9+W7-('Maintenance Reserves'!$C$11),V9+W7)</f>
        <v>123.333333333333</v>
      </c>
      <c r="X9" s="527" t="n">
        <f aca="false">IF((W9+X7)&gt;'Maintenance Reserves'!$C$11,W9+X7-('Maintenance Reserves'!$C$11),W9+X7)</f>
        <v>123.333333333333</v>
      </c>
      <c r="Y9" s="527" t="n">
        <f aca="false">IF((X9+Y7)&gt;'Maintenance Reserves'!$C$11,X9+Y7-('Maintenance Reserves'!$C$11),X9+Y7)</f>
        <v>123.333333333333</v>
      </c>
      <c r="Z9" s="527" t="n">
        <f aca="false">IF((Y9+Z7)&gt;'Maintenance Reserves'!$C$11,Y9+Z7-('Maintenance Reserves'!$C$11),Y9+Z7)</f>
        <v>123.333333333333</v>
      </c>
      <c r="AA9" s="527" t="n">
        <f aca="false">IF((Z9+AA7)&gt;'Maintenance Reserves'!$C$11,Z9+AA7-('Maintenance Reserves'!$C$11),Z9+AA7)</f>
        <v>123.333333333333</v>
      </c>
      <c r="AB9" s="527" t="n">
        <f aca="false">IF((AA9+AB7)&gt;'Maintenance Reserves'!$C$11,AA9+AB7-('Maintenance Reserves'!$C$11),AA9+AB7)</f>
        <v>123.333333333333</v>
      </c>
      <c r="AC9" s="429"/>
      <c r="AD9" s="429"/>
      <c r="AE9" s="429"/>
      <c r="AF9" s="429"/>
      <c r="AG9" s="429"/>
      <c r="AH9" s="429"/>
      <c r="AI9" s="429"/>
      <c r="AJ9" s="429"/>
      <c r="AK9" s="429"/>
      <c r="AL9" s="429"/>
      <c r="AM9" s="429"/>
      <c r="AN9" s="429"/>
      <c r="AO9" s="429"/>
      <c r="AP9" s="429"/>
      <c r="AQ9" s="429"/>
      <c r="AR9" s="429"/>
      <c r="AS9" s="429"/>
      <c r="AT9" s="429"/>
      <c r="AU9" s="429"/>
      <c r="AV9" s="429"/>
      <c r="AW9" s="429"/>
      <c r="AX9" s="429"/>
      <c r="AY9" s="429"/>
      <c r="AZ9" s="429"/>
      <c r="BA9" s="429"/>
      <c r="BB9" s="429"/>
      <c r="BC9" s="429"/>
      <c r="BD9" s="429"/>
      <c r="BE9" s="429"/>
      <c r="BF9" s="429"/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429"/>
      <c r="BS9" s="429"/>
      <c r="BT9" s="429"/>
      <c r="BU9" s="429"/>
      <c r="BV9" s="429"/>
      <c r="BW9" s="429"/>
      <c r="BX9" s="429"/>
      <c r="BY9" s="429"/>
      <c r="BZ9" s="429"/>
      <c r="CA9" s="429"/>
      <c r="CB9" s="429"/>
      <c r="CC9" s="429"/>
      <c r="CD9" s="429"/>
      <c r="CE9" s="429"/>
      <c r="CF9" s="429"/>
      <c r="CG9" s="429"/>
      <c r="CH9" s="429"/>
      <c r="CI9" s="429"/>
      <c r="CJ9" s="429"/>
      <c r="CK9" s="429"/>
      <c r="CL9" s="429"/>
      <c r="CM9" s="429"/>
      <c r="CN9" s="429"/>
      <c r="CO9" s="429"/>
      <c r="CP9" s="429"/>
      <c r="CQ9" s="429"/>
      <c r="CR9" s="429"/>
      <c r="CS9" s="429"/>
      <c r="CT9" s="429"/>
      <c r="CU9" s="429"/>
      <c r="CV9" s="429"/>
      <c r="CW9" s="429"/>
      <c r="CX9" s="429"/>
      <c r="CY9" s="429"/>
      <c r="CZ9" s="429"/>
      <c r="DA9" s="429"/>
      <c r="DB9" s="429"/>
      <c r="DC9" s="429"/>
      <c r="DD9" s="429"/>
      <c r="DE9" s="429"/>
      <c r="DF9" s="429"/>
      <c r="DG9" s="429"/>
      <c r="DH9" s="429"/>
      <c r="DI9" s="429"/>
      <c r="DJ9" s="429"/>
      <c r="DK9" s="429"/>
      <c r="DL9" s="429"/>
      <c r="DM9" s="429"/>
      <c r="DN9" s="429"/>
      <c r="DO9" s="429"/>
      <c r="DP9" s="429"/>
      <c r="DQ9" s="429"/>
      <c r="DR9" s="429"/>
      <c r="DS9" s="429"/>
      <c r="DT9" s="429"/>
      <c r="DU9" s="429"/>
      <c r="DV9" s="429"/>
      <c r="DW9" s="429"/>
      <c r="DX9" s="429"/>
      <c r="DY9" s="429"/>
      <c r="DZ9" s="429"/>
      <c r="EA9" s="429"/>
      <c r="EB9" s="429"/>
      <c r="EC9" s="429"/>
      <c r="ED9" s="429"/>
      <c r="EE9" s="429"/>
      <c r="EF9" s="429"/>
      <c r="EG9" s="429"/>
      <c r="EH9" s="429"/>
      <c r="EI9" s="429"/>
      <c r="EJ9" s="429"/>
      <c r="EK9" s="429"/>
      <c r="EL9" s="429"/>
      <c r="EM9" s="429"/>
      <c r="EN9" s="429"/>
      <c r="EO9" s="429"/>
      <c r="EP9" s="429"/>
      <c r="EQ9" s="429"/>
      <c r="ER9" s="429"/>
      <c r="ES9" s="429"/>
      <c r="ET9" s="429"/>
      <c r="EU9" s="429"/>
      <c r="EV9" s="429"/>
      <c r="EW9" s="429"/>
      <c r="EX9" s="429"/>
      <c r="EY9" s="429"/>
      <c r="EZ9" s="429"/>
      <c r="FA9" s="429"/>
      <c r="FB9" s="429"/>
      <c r="FC9" s="429"/>
      <c r="FD9" s="429"/>
      <c r="FE9" s="429"/>
      <c r="FF9" s="429"/>
      <c r="FG9" s="429"/>
      <c r="FH9" s="429"/>
      <c r="FI9" s="429"/>
      <c r="FJ9" s="429"/>
      <c r="FK9" s="429"/>
      <c r="FL9" s="429"/>
      <c r="FM9" s="429"/>
      <c r="FN9" s="429"/>
      <c r="FO9" s="429"/>
      <c r="FP9" s="429"/>
      <c r="FQ9" s="429"/>
      <c r="FR9" s="429"/>
      <c r="FS9" s="429"/>
      <c r="FT9" s="429"/>
      <c r="FU9" s="429"/>
      <c r="FV9" s="429"/>
      <c r="FW9" s="429"/>
      <c r="FX9" s="429"/>
      <c r="FY9" s="429"/>
      <c r="FZ9" s="429"/>
      <c r="GA9" s="429"/>
      <c r="GB9" s="429"/>
      <c r="GC9" s="429"/>
      <c r="GD9" s="429"/>
      <c r="GE9" s="429"/>
      <c r="GF9" s="429"/>
      <c r="GG9" s="429"/>
      <c r="GH9" s="429"/>
      <c r="GI9" s="429"/>
      <c r="GJ9" s="429"/>
      <c r="GK9" s="429"/>
      <c r="GL9" s="429"/>
      <c r="GM9" s="429"/>
      <c r="GN9" s="429"/>
      <c r="GO9" s="429"/>
      <c r="GP9" s="429"/>
      <c r="GQ9" s="429"/>
      <c r="GR9" s="429"/>
      <c r="GS9" s="429"/>
      <c r="GT9" s="429"/>
      <c r="GU9" s="429"/>
      <c r="GV9" s="429"/>
      <c r="GW9" s="429"/>
      <c r="GX9" s="429"/>
      <c r="GY9" s="429"/>
      <c r="GZ9" s="429"/>
      <c r="HA9" s="429"/>
      <c r="HB9" s="429"/>
      <c r="HC9" s="429"/>
      <c r="HD9" s="429"/>
      <c r="HE9" s="429"/>
      <c r="HF9" s="429"/>
      <c r="HG9" s="429"/>
      <c r="HH9" s="429"/>
      <c r="HI9" s="429"/>
      <c r="HJ9" s="429"/>
      <c r="HK9" s="429"/>
      <c r="HL9" s="429"/>
      <c r="HM9" s="429"/>
      <c r="HN9" s="429"/>
      <c r="HO9" s="429"/>
      <c r="HP9" s="429"/>
      <c r="HQ9" s="429"/>
      <c r="HR9" s="429"/>
      <c r="HS9" s="429"/>
      <c r="HT9" s="429"/>
      <c r="HU9" s="429"/>
      <c r="HV9" s="429"/>
      <c r="HW9" s="429"/>
      <c r="HX9" s="429"/>
      <c r="HY9" s="429"/>
      <c r="HZ9" s="429"/>
      <c r="IA9" s="429"/>
      <c r="IB9" s="429"/>
      <c r="IC9" s="429"/>
      <c r="ID9" s="429"/>
      <c r="IE9" s="429"/>
      <c r="IF9" s="429"/>
      <c r="IG9" s="429"/>
      <c r="IH9" s="429"/>
      <c r="II9" s="429"/>
      <c r="IJ9" s="429"/>
      <c r="IK9" s="429"/>
      <c r="IL9" s="429"/>
      <c r="IM9" s="429"/>
      <c r="IN9" s="429"/>
      <c r="IO9" s="429"/>
      <c r="IP9" s="429"/>
      <c r="IQ9" s="429"/>
      <c r="IR9" s="429"/>
      <c r="IS9" s="429"/>
      <c r="IT9" s="429"/>
      <c r="IU9" s="429"/>
      <c r="IV9" s="429"/>
      <c r="IW9" s="429"/>
    </row>
    <row r="10" customFormat="false" ht="11.25" hidden="false" customHeight="true" outlineLevel="0" collapsed="false">
      <c r="A10" s="429"/>
      <c r="B10" s="528"/>
      <c r="C10" s="526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  <c r="Z10" s="527"/>
      <c r="AA10" s="527"/>
      <c r="AB10" s="527"/>
      <c r="AC10" s="429"/>
      <c r="AD10" s="429"/>
      <c r="AE10" s="429"/>
      <c r="AF10" s="429"/>
      <c r="AG10" s="429"/>
      <c r="AH10" s="429"/>
      <c r="AI10" s="429"/>
      <c r="AJ10" s="429"/>
      <c r="AK10" s="429"/>
      <c r="AL10" s="429"/>
      <c r="AM10" s="429"/>
      <c r="AN10" s="429"/>
      <c r="AO10" s="429"/>
      <c r="AP10" s="429"/>
      <c r="AQ10" s="429"/>
      <c r="AR10" s="429"/>
      <c r="AS10" s="429"/>
      <c r="AT10" s="429"/>
      <c r="AU10" s="429"/>
      <c r="AV10" s="429"/>
      <c r="AW10" s="429"/>
      <c r="AX10" s="429"/>
      <c r="AY10" s="429"/>
      <c r="AZ10" s="429"/>
      <c r="BA10" s="429"/>
      <c r="BB10" s="429"/>
      <c r="BC10" s="429"/>
      <c r="BD10" s="429"/>
      <c r="BE10" s="429"/>
      <c r="BF10" s="429"/>
      <c r="BG10" s="429"/>
      <c r="BH10" s="429"/>
      <c r="BI10" s="429"/>
      <c r="BJ10" s="429"/>
      <c r="BK10" s="429"/>
      <c r="BL10" s="429"/>
      <c r="BM10" s="429"/>
      <c r="BN10" s="429"/>
      <c r="BO10" s="429"/>
      <c r="BP10" s="429"/>
      <c r="BQ10" s="429"/>
      <c r="BR10" s="429"/>
      <c r="BS10" s="429"/>
      <c r="BT10" s="429"/>
      <c r="BU10" s="429"/>
      <c r="BV10" s="429"/>
      <c r="BW10" s="429"/>
      <c r="BX10" s="429"/>
      <c r="BY10" s="429"/>
      <c r="BZ10" s="429"/>
      <c r="CA10" s="429"/>
      <c r="CB10" s="429"/>
      <c r="CC10" s="429"/>
      <c r="CD10" s="429"/>
      <c r="CE10" s="429"/>
      <c r="CF10" s="429"/>
      <c r="CG10" s="429"/>
      <c r="CH10" s="429"/>
      <c r="CI10" s="429"/>
      <c r="CJ10" s="429"/>
      <c r="CK10" s="429"/>
      <c r="CL10" s="429"/>
      <c r="CM10" s="429"/>
      <c r="CN10" s="429"/>
      <c r="CO10" s="429"/>
      <c r="CP10" s="429"/>
      <c r="CQ10" s="429"/>
      <c r="CR10" s="429"/>
      <c r="CS10" s="429"/>
      <c r="CT10" s="429"/>
      <c r="CU10" s="429"/>
      <c r="CV10" s="429"/>
      <c r="CW10" s="429"/>
      <c r="CX10" s="429"/>
      <c r="CY10" s="429"/>
      <c r="CZ10" s="429"/>
      <c r="DA10" s="429"/>
      <c r="DB10" s="429"/>
      <c r="DC10" s="429"/>
      <c r="DD10" s="429"/>
      <c r="DE10" s="429"/>
      <c r="DF10" s="429"/>
      <c r="DG10" s="429"/>
      <c r="DH10" s="429"/>
      <c r="DI10" s="429"/>
      <c r="DJ10" s="429"/>
      <c r="DK10" s="429"/>
      <c r="DL10" s="429"/>
      <c r="DM10" s="429"/>
      <c r="DN10" s="429"/>
      <c r="DO10" s="429"/>
      <c r="DP10" s="429"/>
      <c r="DQ10" s="429"/>
      <c r="DR10" s="429"/>
      <c r="DS10" s="429"/>
      <c r="DT10" s="429"/>
      <c r="DU10" s="429"/>
      <c r="DV10" s="429"/>
      <c r="DW10" s="429"/>
      <c r="DX10" s="429"/>
      <c r="DY10" s="429"/>
      <c r="DZ10" s="429"/>
      <c r="EA10" s="429"/>
      <c r="EB10" s="429"/>
      <c r="EC10" s="429"/>
      <c r="ED10" s="429"/>
      <c r="EE10" s="429"/>
      <c r="EF10" s="429"/>
      <c r="EG10" s="429"/>
      <c r="EH10" s="429"/>
      <c r="EI10" s="429"/>
      <c r="EJ10" s="429"/>
      <c r="EK10" s="429"/>
      <c r="EL10" s="429"/>
      <c r="EM10" s="429"/>
      <c r="EN10" s="429"/>
      <c r="EO10" s="429"/>
      <c r="EP10" s="429"/>
      <c r="EQ10" s="429"/>
      <c r="ER10" s="429"/>
      <c r="ES10" s="429"/>
      <c r="ET10" s="429"/>
      <c r="EU10" s="429"/>
      <c r="EV10" s="429"/>
      <c r="EW10" s="429"/>
      <c r="EX10" s="429"/>
      <c r="EY10" s="429"/>
      <c r="EZ10" s="429"/>
      <c r="FA10" s="429"/>
      <c r="FB10" s="429"/>
      <c r="FC10" s="429"/>
      <c r="FD10" s="429"/>
      <c r="FE10" s="429"/>
      <c r="FF10" s="429"/>
      <c r="FG10" s="429"/>
      <c r="FH10" s="429"/>
      <c r="FI10" s="429"/>
      <c r="FJ10" s="429"/>
      <c r="FK10" s="429"/>
      <c r="FL10" s="429"/>
      <c r="FM10" s="429"/>
      <c r="FN10" s="429"/>
      <c r="FO10" s="429"/>
      <c r="FP10" s="429"/>
      <c r="FQ10" s="429"/>
      <c r="FR10" s="429"/>
      <c r="FS10" s="429"/>
      <c r="FT10" s="429"/>
      <c r="FU10" s="429"/>
      <c r="FV10" s="429"/>
      <c r="FW10" s="429"/>
      <c r="FX10" s="429"/>
      <c r="FY10" s="429"/>
      <c r="FZ10" s="429"/>
      <c r="GA10" s="429"/>
      <c r="GB10" s="429"/>
      <c r="GC10" s="429"/>
      <c r="GD10" s="429"/>
      <c r="GE10" s="429"/>
      <c r="GF10" s="429"/>
      <c r="GG10" s="429"/>
      <c r="GH10" s="429"/>
      <c r="GI10" s="429"/>
      <c r="GJ10" s="429"/>
      <c r="GK10" s="429"/>
      <c r="GL10" s="429"/>
      <c r="GM10" s="429"/>
      <c r="GN10" s="429"/>
      <c r="GO10" s="429"/>
      <c r="GP10" s="429"/>
      <c r="GQ10" s="429"/>
      <c r="GR10" s="429"/>
      <c r="GS10" s="429"/>
      <c r="GT10" s="429"/>
      <c r="GU10" s="429"/>
      <c r="GV10" s="429"/>
      <c r="GW10" s="429"/>
      <c r="GX10" s="429"/>
      <c r="GY10" s="429"/>
      <c r="GZ10" s="429"/>
      <c r="HA10" s="429"/>
      <c r="HB10" s="429"/>
      <c r="HC10" s="429"/>
      <c r="HD10" s="429"/>
      <c r="HE10" s="429"/>
      <c r="HF10" s="429"/>
      <c r="HG10" s="429"/>
      <c r="HH10" s="429"/>
      <c r="HI10" s="429"/>
      <c r="HJ10" s="429"/>
      <c r="HK10" s="429"/>
      <c r="HL10" s="429"/>
      <c r="HM10" s="429"/>
      <c r="HN10" s="429"/>
      <c r="HO10" s="429"/>
      <c r="HP10" s="429"/>
      <c r="HQ10" s="429"/>
      <c r="HR10" s="429"/>
      <c r="HS10" s="429"/>
      <c r="HT10" s="429"/>
      <c r="HU10" s="429"/>
      <c r="HV10" s="429"/>
      <c r="HW10" s="429"/>
      <c r="HX10" s="429"/>
      <c r="HY10" s="429"/>
      <c r="HZ10" s="429"/>
      <c r="IA10" s="429"/>
      <c r="IB10" s="429"/>
      <c r="IC10" s="429"/>
      <c r="ID10" s="429"/>
      <c r="IE10" s="429"/>
      <c r="IF10" s="429"/>
      <c r="IG10" s="429"/>
      <c r="IH10" s="429"/>
      <c r="II10" s="429"/>
      <c r="IJ10" s="429"/>
      <c r="IK10" s="429"/>
      <c r="IL10" s="429"/>
      <c r="IM10" s="429"/>
      <c r="IN10" s="429"/>
      <c r="IO10" s="429"/>
      <c r="IP10" s="429"/>
      <c r="IQ10" s="429"/>
      <c r="IR10" s="429"/>
      <c r="IS10" s="429"/>
      <c r="IT10" s="429"/>
      <c r="IU10" s="429"/>
      <c r="IV10" s="429"/>
      <c r="IW10" s="429"/>
    </row>
    <row r="11" customFormat="false" ht="11.25" hidden="false" customHeight="true" outlineLevel="0" collapsed="false">
      <c r="A11" s="1" t="s">
        <v>519</v>
      </c>
      <c r="B11" s="1"/>
      <c r="C11" s="529" t="n">
        <v>400</v>
      </c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29"/>
      <c r="AE11" s="429"/>
      <c r="AF11" s="429"/>
      <c r="AG11" s="429"/>
      <c r="AH11" s="429"/>
      <c r="AI11" s="429"/>
      <c r="AJ11" s="429"/>
      <c r="AK11" s="429"/>
      <c r="AL11" s="429"/>
      <c r="AM11" s="429"/>
      <c r="AN11" s="429"/>
      <c r="AO11" s="429"/>
      <c r="AP11" s="429"/>
      <c r="AQ11" s="429"/>
      <c r="AR11" s="429"/>
      <c r="AS11" s="429"/>
      <c r="AT11" s="429"/>
      <c r="AU11" s="429"/>
      <c r="AV11" s="429"/>
      <c r="AW11" s="429"/>
      <c r="AX11" s="429"/>
      <c r="AY11" s="429"/>
      <c r="AZ11" s="429"/>
      <c r="BA11" s="429"/>
      <c r="BB11" s="429"/>
      <c r="BC11" s="429"/>
      <c r="BD11" s="429"/>
      <c r="BE11" s="429"/>
      <c r="BF11" s="429"/>
      <c r="BG11" s="429"/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429"/>
      <c r="BS11" s="429"/>
      <c r="BT11" s="429"/>
      <c r="BU11" s="429"/>
      <c r="BV11" s="429"/>
      <c r="BW11" s="429"/>
      <c r="BX11" s="429"/>
      <c r="BY11" s="429"/>
      <c r="BZ11" s="429"/>
      <c r="CA11" s="429"/>
      <c r="CB11" s="429"/>
      <c r="CC11" s="429"/>
      <c r="CD11" s="429"/>
      <c r="CE11" s="429"/>
      <c r="CF11" s="429"/>
      <c r="CG11" s="429"/>
      <c r="CH11" s="429"/>
      <c r="CI11" s="429"/>
      <c r="CJ11" s="429"/>
      <c r="CK11" s="429"/>
      <c r="CL11" s="429"/>
      <c r="CM11" s="429"/>
      <c r="CN11" s="429"/>
      <c r="CO11" s="429"/>
      <c r="CP11" s="429"/>
      <c r="CQ11" s="429"/>
      <c r="CR11" s="429"/>
      <c r="CS11" s="429"/>
      <c r="CT11" s="429"/>
      <c r="CU11" s="429"/>
      <c r="CV11" s="429"/>
      <c r="CW11" s="429"/>
      <c r="CX11" s="429"/>
      <c r="CY11" s="429"/>
      <c r="CZ11" s="429"/>
      <c r="DA11" s="429"/>
      <c r="DB11" s="429"/>
      <c r="DC11" s="429"/>
      <c r="DD11" s="429"/>
      <c r="DE11" s="429"/>
      <c r="DF11" s="429"/>
      <c r="DG11" s="429"/>
      <c r="DH11" s="429"/>
      <c r="DI11" s="429"/>
      <c r="DJ11" s="429"/>
      <c r="DK11" s="429"/>
      <c r="DL11" s="429"/>
      <c r="DM11" s="429"/>
      <c r="DN11" s="429"/>
      <c r="DO11" s="429"/>
      <c r="DP11" s="429"/>
      <c r="DQ11" s="429"/>
      <c r="DR11" s="429"/>
      <c r="DS11" s="429"/>
      <c r="DT11" s="429"/>
      <c r="DU11" s="429"/>
      <c r="DV11" s="429"/>
      <c r="DW11" s="429"/>
      <c r="DX11" s="429"/>
      <c r="DY11" s="429"/>
      <c r="DZ11" s="429"/>
      <c r="EA11" s="429"/>
      <c r="EB11" s="429"/>
      <c r="EC11" s="429"/>
      <c r="ED11" s="429"/>
      <c r="EE11" s="429"/>
      <c r="EF11" s="429"/>
      <c r="EG11" s="429"/>
      <c r="EH11" s="429"/>
      <c r="EI11" s="429"/>
      <c r="EJ11" s="429"/>
      <c r="EK11" s="429"/>
      <c r="EL11" s="429"/>
      <c r="EM11" s="429"/>
      <c r="EN11" s="429"/>
      <c r="EO11" s="429"/>
      <c r="EP11" s="429"/>
      <c r="EQ11" s="429"/>
      <c r="ER11" s="429"/>
      <c r="ES11" s="429"/>
      <c r="ET11" s="429"/>
      <c r="EU11" s="429"/>
      <c r="EV11" s="429"/>
      <c r="EW11" s="429"/>
      <c r="EX11" s="429"/>
      <c r="EY11" s="429"/>
      <c r="EZ11" s="429"/>
      <c r="FA11" s="429"/>
      <c r="FB11" s="429"/>
      <c r="FC11" s="429"/>
      <c r="FD11" s="429"/>
      <c r="FE11" s="429"/>
      <c r="FF11" s="429"/>
      <c r="FG11" s="429"/>
      <c r="FH11" s="429"/>
      <c r="FI11" s="429"/>
      <c r="FJ11" s="429"/>
      <c r="FK11" s="429"/>
      <c r="FL11" s="429"/>
      <c r="FM11" s="429"/>
      <c r="FN11" s="429"/>
      <c r="FO11" s="429"/>
      <c r="FP11" s="429"/>
      <c r="FQ11" s="429"/>
      <c r="FR11" s="429"/>
      <c r="FS11" s="429"/>
      <c r="FT11" s="429"/>
      <c r="FU11" s="429"/>
      <c r="FV11" s="429"/>
      <c r="FW11" s="429"/>
      <c r="FX11" s="429"/>
      <c r="FY11" s="429"/>
      <c r="FZ11" s="429"/>
      <c r="GA11" s="429"/>
      <c r="GB11" s="429"/>
      <c r="GC11" s="429"/>
      <c r="GD11" s="429"/>
      <c r="GE11" s="429"/>
      <c r="GF11" s="429"/>
      <c r="GG11" s="429"/>
      <c r="GH11" s="429"/>
      <c r="GI11" s="429"/>
      <c r="GJ11" s="429"/>
      <c r="GK11" s="429"/>
      <c r="GL11" s="429"/>
      <c r="GM11" s="429"/>
      <c r="GN11" s="429"/>
      <c r="GO11" s="429"/>
      <c r="GP11" s="429"/>
      <c r="GQ11" s="429"/>
      <c r="GR11" s="429"/>
      <c r="GS11" s="429"/>
      <c r="GT11" s="429"/>
      <c r="GU11" s="429"/>
      <c r="GV11" s="429"/>
      <c r="GW11" s="429"/>
      <c r="GX11" s="429"/>
      <c r="GY11" s="429"/>
      <c r="GZ11" s="429"/>
      <c r="HA11" s="429"/>
      <c r="HB11" s="429"/>
      <c r="HC11" s="429"/>
      <c r="HD11" s="429"/>
      <c r="HE11" s="429"/>
      <c r="HF11" s="429"/>
      <c r="HG11" s="429"/>
      <c r="HH11" s="429"/>
      <c r="HI11" s="429"/>
      <c r="HJ11" s="429"/>
      <c r="HK11" s="429"/>
      <c r="HL11" s="429"/>
      <c r="HM11" s="429"/>
      <c r="HN11" s="429"/>
      <c r="HO11" s="429"/>
      <c r="HP11" s="429"/>
      <c r="HQ11" s="429"/>
      <c r="HR11" s="429"/>
      <c r="HS11" s="429"/>
      <c r="HT11" s="429"/>
      <c r="HU11" s="429"/>
      <c r="HV11" s="429"/>
      <c r="HW11" s="429"/>
      <c r="HX11" s="429"/>
      <c r="HY11" s="429"/>
      <c r="HZ11" s="429"/>
      <c r="IA11" s="429"/>
      <c r="IB11" s="429"/>
      <c r="IC11" s="429"/>
      <c r="ID11" s="429"/>
      <c r="IE11" s="429"/>
      <c r="IF11" s="429"/>
      <c r="IG11" s="429"/>
      <c r="IH11" s="429"/>
      <c r="II11" s="429"/>
      <c r="IJ11" s="429"/>
      <c r="IK11" s="429"/>
      <c r="IL11" s="429"/>
      <c r="IM11" s="429"/>
      <c r="IN11" s="429"/>
      <c r="IO11" s="429"/>
      <c r="IP11" s="429"/>
      <c r="IQ11" s="429"/>
      <c r="IR11" s="429"/>
      <c r="IS11" s="429"/>
      <c r="IT11" s="429"/>
      <c r="IU11" s="429"/>
      <c r="IV11" s="429"/>
      <c r="IW11" s="429"/>
    </row>
    <row r="12" customFormat="false" ht="11.25" hidden="false" customHeight="true" outlineLevel="0" collapsed="false">
      <c r="A12" s="1"/>
      <c r="B12" s="1"/>
      <c r="C12" s="48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29"/>
      <c r="AE12" s="429"/>
      <c r="AF12" s="429"/>
      <c r="AG12" s="429"/>
      <c r="AH12" s="429"/>
      <c r="AI12" s="429"/>
      <c r="AJ12" s="429"/>
      <c r="AK12" s="429"/>
      <c r="AL12" s="429"/>
      <c r="AM12" s="429"/>
      <c r="AN12" s="429"/>
      <c r="AO12" s="429"/>
      <c r="AP12" s="429"/>
      <c r="AQ12" s="429"/>
      <c r="AR12" s="429"/>
      <c r="AS12" s="429"/>
      <c r="AT12" s="429"/>
      <c r="AU12" s="429"/>
      <c r="AV12" s="429"/>
      <c r="AW12" s="429"/>
      <c r="AX12" s="429"/>
      <c r="AY12" s="429"/>
      <c r="AZ12" s="429"/>
      <c r="BA12" s="429"/>
      <c r="BB12" s="429"/>
      <c r="BC12" s="429"/>
      <c r="BD12" s="429"/>
      <c r="BE12" s="429"/>
      <c r="BF12" s="429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429"/>
      <c r="BS12" s="429"/>
      <c r="BT12" s="429"/>
      <c r="BU12" s="429"/>
      <c r="BV12" s="429"/>
      <c r="BW12" s="429"/>
      <c r="BX12" s="429"/>
      <c r="BY12" s="429"/>
      <c r="BZ12" s="429"/>
      <c r="CA12" s="429"/>
      <c r="CB12" s="429"/>
      <c r="CC12" s="429"/>
      <c r="CD12" s="429"/>
      <c r="CE12" s="429"/>
      <c r="CF12" s="429"/>
      <c r="CG12" s="429"/>
      <c r="CH12" s="429"/>
      <c r="CI12" s="429"/>
      <c r="CJ12" s="429"/>
      <c r="CK12" s="429"/>
      <c r="CL12" s="429"/>
      <c r="CM12" s="429"/>
      <c r="CN12" s="429"/>
      <c r="CO12" s="429"/>
      <c r="CP12" s="429"/>
      <c r="CQ12" s="429"/>
      <c r="CR12" s="429"/>
      <c r="CS12" s="429"/>
      <c r="CT12" s="429"/>
      <c r="CU12" s="429"/>
      <c r="CV12" s="429"/>
      <c r="CW12" s="429"/>
      <c r="CX12" s="429"/>
      <c r="CY12" s="429"/>
      <c r="CZ12" s="429"/>
      <c r="DA12" s="429"/>
      <c r="DB12" s="429"/>
      <c r="DC12" s="429"/>
      <c r="DD12" s="429"/>
      <c r="DE12" s="429"/>
      <c r="DF12" s="429"/>
      <c r="DG12" s="429"/>
      <c r="DH12" s="429"/>
      <c r="DI12" s="429"/>
      <c r="DJ12" s="429"/>
      <c r="DK12" s="429"/>
      <c r="DL12" s="429"/>
      <c r="DM12" s="429"/>
      <c r="DN12" s="429"/>
      <c r="DO12" s="429"/>
      <c r="DP12" s="429"/>
      <c r="DQ12" s="429"/>
      <c r="DR12" s="429"/>
      <c r="DS12" s="429"/>
      <c r="DT12" s="429"/>
      <c r="DU12" s="429"/>
      <c r="DV12" s="429"/>
      <c r="DW12" s="429"/>
      <c r="DX12" s="429"/>
      <c r="DY12" s="429"/>
      <c r="DZ12" s="429"/>
      <c r="EA12" s="429"/>
      <c r="EB12" s="429"/>
      <c r="EC12" s="429"/>
      <c r="ED12" s="429"/>
      <c r="EE12" s="429"/>
      <c r="EF12" s="429"/>
      <c r="EG12" s="429"/>
      <c r="EH12" s="429"/>
      <c r="EI12" s="429"/>
      <c r="EJ12" s="429"/>
      <c r="EK12" s="429"/>
      <c r="EL12" s="429"/>
      <c r="EM12" s="429"/>
      <c r="EN12" s="429"/>
      <c r="EO12" s="429"/>
      <c r="EP12" s="429"/>
      <c r="EQ12" s="429"/>
      <c r="ER12" s="429"/>
      <c r="ES12" s="429"/>
      <c r="ET12" s="429"/>
      <c r="EU12" s="429"/>
      <c r="EV12" s="429"/>
      <c r="EW12" s="429"/>
      <c r="EX12" s="429"/>
      <c r="EY12" s="429"/>
      <c r="EZ12" s="429"/>
      <c r="FA12" s="429"/>
      <c r="FB12" s="429"/>
      <c r="FC12" s="429"/>
      <c r="FD12" s="429"/>
      <c r="FE12" s="429"/>
      <c r="FF12" s="429"/>
      <c r="FG12" s="429"/>
      <c r="FH12" s="429"/>
      <c r="FI12" s="429"/>
      <c r="FJ12" s="429"/>
      <c r="FK12" s="429"/>
      <c r="FL12" s="429"/>
      <c r="FM12" s="429"/>
      <c r="FN12" s="429"/>
      <c r="FO12" s="429"/>
      <c r="FP12" s="429"/>
      <c r="FQ12" s="429"/>
      <c r="FR12" s="429"/>
      <c r="FS12" s="429"/>
      <c r="FT12" s="429"/>
      <c r="FU12" s="429"/>
      <c r="FV12" s="429"/>
      <c r="FW12" s="429"/>
      <c r="FX12" s="429"/>
      <c r="FY12" s="429"/>
      <c r="FZ12" s="429"/>
      <c r="GA12" s="429"/>
      <c r="GB12" s="429"/>
      <c r="GC12" s="429"/>
      <c r="GD12" s="429"/>
      <c r="GE12" s="429"/>
      <c r="GF12" s="429"/>
      <c r="GG12" s="429"/>
      <c r="GH12" s="429"/>
      <c r="GI12" s="429"/>
      <c r="GJ12" s="429"/>
      <c r="GK12" s="429"/>
      <c r="GL12" s="429"/>
      <c r="GM12" s="429"/>
      <c r="GN12" s="429"/>
      <c r="GO12" s="429"/>
      <c r="GP12" s="429"/>
      <c r="GQ12" s="429"/>
      <c r="GR12" s="429"/>
      <c r="GS12" s="429"/>
      <c r="GT12" s="429"/>
      <c r="GU12" s="429"/>
      <c r="GV12" s="429"/>
      <c r="GW12" s="429"/>
      <c r="GX12" s="429"/>
      <c r="GY12" s="429"/>
      <c r="GZ12" s="429"/>
      <c r="HA12" s="429"/>
      <c r="HB12" s="429"/>
      <c r="HC12" s="429"/>
      <c r="HD12" s="429"/>
      <c r="HE12" s="429"/>
      <c r="HF12" s="429"/>
      <c r="HG12" s="429"/>
      <c r="HH12" s="429"/>
      <c r="HI12" s="429"/>
      <c r="HJ12" s="429"/>
      <c r="HK12" s="429"/>
      <c r="HL12" s="429"/>
      <c r="HM12" s="429"/>
      <c r="HN12" s="429"/>
      <c r="HO12" s="429"/>
      <c r="HP12" s="429"/>
      <c r="HQ12" s="429"/>
      <c r="HR12" s="429"/>
      <c r="HS12" s="429"/>
      <c r="HT12" s="429"/>
      <c r="HU12" s="429"/>
      <c r="HV12" s="429"/>
      <c r="HW12" s="429"/>
      <c r="HX12" s="429"/>
      <c r="HY12" s="429"/>
      <c r="HZ12" s="429"/>
      <c r="IA12" s="429"/>
      <c r="IB12" s="429"/>
      <c r="IC12" s="429"/>
      <c r="ID12" s="429"/>
      <c r="IE12" s="429"/>
      <c r="IF12" s="429"/>
      <c r="IG12" s="429"/>
      <c r="IH12" s="429"/>
      <c r="II12" s="429"/>
      <c r="IJ12" s="429"/>
      <c r="IK12" s="429"/>
      <c r="IL12" s="429"/>
      <c r="IM12" s="429"/>
      <c r="IN12" s="429"/>
      <c r="IO12" s="429"/>
      <c r="IP12" s="429"/>
      <c r="IQ12" s="429"/>
      <c r="IR12" s="429"/>
      <c r="IS12" s="429"/>
      <c r="IT12" s="429"/>
      <c r="IU12" s="429"/>
      <c r="IV12" s="429"/>
      <c r="IW12" s="429"/>
    </row>
    <row r="13" customFormat="false" ht="11.25" hidden="false" customHeight="true" outlineLevel="0" collapsed="false">
      <c r="A13" s="429" t="s">
        <v>520</v>
      </c>
      <c r="B13" s="429"/>
      <c r="C13" s="524"/>
      <c r="D13" s="527" t="n">
        <f aca="false">'Book Income Statement'!C22</f>
        <v>544.884</v>
      </c>
      <c r="E13" s="527" t="n">
        <f aca="false">'Book Income Statement'!D22</f>
        <v>555.78168</v>
      </c>
      <c r="F13" s="527" t="n">
        <f aca="false">'Book Income Statement'!E22</f>
        <v>566.8973136</v>
      </c>
      <c r="G13" s="527" t="n">
        <f aca="false">'Book Income Statement'!F22</f>
        <v>578.235259872</v>
      </c>
      <c r="H13" s="527" t="n">
        <f aca="false">'Book Income Statement'!G22</f>
        <v>589.79996506944</v>
      </c>
      <c r="I13" s="527" t="n">
        <f aca="false">'Book Income Statement'!H22</f>
        <v>601.595964370829</v>
      </c>
      <c r="J13" s="527" t="n">
        <f aca="false">'Book Income Statement'!I22</f>
        <v>613.627883658246</v>
      </c>
      <c r="K13" s="527" t="n">
        <f aca="false">'Book Income Statement'!J22</f>
        <v>625.900441331411</v>
      </c>
      <c r="L13" s="527" t="n">
        <f aca="false">'Book Income Statement'!K22</f>
        <v>638.418450158039</v>
      </c>
      <c r="M13" s="527" t="n">
        <f aca="false">'Book Income Statement'!L22</f>
        <v>651.1868191612</v>
      </c>
      <c r="N13" s="527" t="n">
        <f aca="false">'Book Income Statement'!M22</f>
        <v>664.210555544424</v>
      </c>
      <c r="O13" s="527" t="n">
        <f aca="false">'Book Income Statement'!N22</f>
        <v>677.494766655312</v>
      </c>
      <c r="P13" s="527" t="n">
        <f aca="false">'Book Income Statement'!O22</f>
        <v>691.044661988418</v>
      </c>
      <c r="Q13" s="527" t="n">
        <f aca="false">'Book Income Statement'!P22</f>
        <v>704.865555228187</v>
      </c>
      <c r="R13" s="527" t="n">
        <f aca="false">'Book Income Statement'!Q22</f>
        <v>718.962866332751</v>
      </c>
      <c r="S13" s="527" t="n">
        <f aca="false">'Book Income Statement'!R22</f>
        <v>0</v>
      </c>
      <c r="T13" s="527" t="n">
        <f aca="false">'Book Income Statement'!S22</f>
        <v>0</v>
      </c>
      <c r="U13" s="527" t="n">
        <f aca="false">'Book Income Statement'!T22</f>
        <v>0</v>
      </c>
      <c r="V13" s="527" t="n">
        <f aca="false">'Book Income Statement'!U22</f>
        <v>0</v>
      </c>
      <c r="W13" s="527" t="n">
        <f aca="false">'Book Income Statement'!V22</f>
        <v>0</v>
      </c>
      <c r="X13" s="527" t="n">
        <f aca="false">'Book Income Statement'!W22</f>
        <v>0</v>
      </c>
      <c r="Y13" s="527" t="n">
        <f aca="false">'Book Income Statement'!X22</f>
        <v>0</v>
      </c>
      <c r="Z13" s="527" t="n">
        <f aca="false">'Book Income Statement'!Y22</f>
        <v>0</v>
      </c>
      <c r="AA13" s="527" t="n">
        <f aca="false">'Book Income Statement'!Z22</f>
        <v>0</v>
      </c>
      <c r="AB13" s="527" t="n">
        <f aca="false">'Book Income Statement'!AA22</f>
        <v>0</v>
      </c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  <c r="AO13" s="429"/>
      <c r="AP13" s="429"/>
      <c r="AQ13" s="429"/>
      <c r="AR13" s="429"/>
      <c r="AS13" s="429"/>
      <c r="AT13" s="429"/>
      <c r="AU13" s="429"/>
      <c r="AV13" s="429"/>
      <c r="AW13" s="429"/>
      <c r="AX13" s="429"/>
      <c r="AY13" s="429"/>
      <c r="AZ13" s="429"/>
      <c r="BA13" s="429"/>
      <c r="BB13" s="429"/>
      <c r="BC13" s="429"/>
      <c r="BD13" s="429"/>
      <c r="BE13" s="429"/>
      <c r="BF13" s="429"/>
      <c r="BG13" s="429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429"/>
      <c r="BS13" s="429"/>
      <c r="BT13" s="429"/>
      <c r="BU13" s="429"/>
      <c r="BV13" s="429"/>
      <c r="BW13" s="429"/>
      <c r="BX13" s="429"/>
      <c r="BY13" s="429"/>
      <c r="BZ13" s="429"/>
      <c r="CA13" s="429"/>
      <c r="CB13" s="429"/>
      <c r="CC13" s="429"/>
      <c r="CD13" s="429"/>
      <c r="CE13" s="429"/>
      <c r="CF13" s="429"/>
      <c r="CG13" s="429"/>
      <c r="CH13" s="429"/>
      <c r="CI13" s="429"/>
      <c r="CJ13" s="429"/>
      <c r="CK13" s="429"/>
      <c r="CL13" s="429"/>
      <c r="CM13" s="429"/>
      <c r="CN13" s="429"/>
      <c r="CO13" s="429"/>
      <c r="CP13" s="429"/>
      <c r="CQ13" s="429"/>
      <c r="CR13" s="429"/>
      <c r="CS13" s="429"/>
      <c r="CT13" s="429"/>
      <c r="CU13" s="429"/>
      <c r="CV13" s="429"/>
      <c r="CW13" s="429"/>
      <c r="CX13" s="429"/>
      <c r="CY13" s="429"/>
      <c r="CZ13" s="429"/>
      <c r="DA13" s="429"/>
      <c r="DB13" s="429"/>
      <c r="DC13" s="429"/>
      <c r="DD13" s="429"/>
      <c r="DE13" s="429"/>
      <c r="DF13" s="429"/>
      <c r="DG13" s="429"/>
      <c r="DH13" s="429"/>
      <c r="DI13" s="429"/>
      <c r="DJ13" s="429"/>
      <c r="DK13" s="429"/>
      <c r="DL13" s="429"/>
      <c r="DM13" s="429"/>
      <c r="DN13" s="429"/>
      <c r="DO13" s="429"/>
      <c r="DP13" s="429"/>
      <c r="DQ13" s="429"/>
      <c r="DR13" s="429"/>
      <c r="DS13" s="429"/>
      <c r="DT13" s="429"/>
      <c r="DU13" s="429"/>
      <c r="DV13" s="429"/>
      <c r="DW13" s="429"/>
      <c r="DX13" s="429"/>
      <c r="DY13" s="429"/>
      <c r="DZ13" s="429"/>
      <c r="EA13" s="429"/>
      <c r="EB13" s="429"/>
      <c r="EC13" s="429"/>
      <c r="ED13" s="429"/>
      <c r="EE13" s="429"/>
      <c r="EF13" s="429"/>
      <c r="EG13" s="429"/>
      <c r="EH13" s="429"/>
      <c r="EI13" s="429"/>
      <c r="EJ13" s="429"/>
      <c r="EK13" s="429"/>
      <c r="EL13" s="429"/>
      <c r="EM13" s="429"/>
      <c r="EN13" s="429"/>
      <c r="EO13" s="429"/>
      <c r="EP13" s="429"/>
      <c r="EQ13" s="429"/>
      <c r="ER13" s="429"/>
      <c r="ES13" s="429"/>
      <c r="ET13" s="429"/>
      <c r="EU13" s="429"/>
      <c r="EV13" s="429"/>
      <c r="EW13" s="429"/>
      <c r="EX13" s="429"/>
      <c r="EY13" s="429"/>
      <c r="EZ13" s="429"/>
      <c r="FA13" s="429"/>
      <c r="FB13" s="429"/>
      <c r="FC13" s="429"/>
      <c r="FD13" s="429"/>
      <c r="FE13" s="429"/>
      <c r="FF13" s="429"/>
      <c r="FG13" s="429"/>
      <c r="FH13" s="429"/>
      <c r="FI13" s="429"/>
      <c r="FJ13" s="429"/>
      <c r="FK13" s="429"/>
      <c r="FL13" s="429"/>
      <c r="FM13" s="429"/>
      <c r="FN13" s="429"/>
      <c r="FO13" s="429"/>
      <c r="FP13" s="429"/>
      <c r="FQ13" s="429"/>
      <c r="FR13" s="429"/>
      <c r="FS13" s="429"/>
      <c r="FT13" s="429"/>
      <c r="FU13" s="429"/>
      <c r="FV13" s="429"/>
      <c r="FW13" s="429"/>
      <c r="FX13" s="429"/>
      <c r="FY13" s="429"/>
      <c r="FZ13" s="429"/>
      <c r="GA13" s="429"/>
      <c r="GB13" s="429"/>
      <c r="GC13" s="429"/>
      <c r="GD13" s="429"/>
      <c r="GE13" s="429"/>
      <c r="GF13" s="429"/>
      <c r="GG13" s="429"/>
      <c r="GH13" s="429"/>
      <c r="GI13" s="429"/>
      <c r="GJ13" s="429"/>
      <c r="GK13" s="429"/>
      <c r="GL13" s="429"/>
      <c r="GM13" s="429"/>
      <c r="GN13" s="429"/>
      <c r="GO13" s="429"/>
      <c r="GP13" s="429"/>
      <c r="GQ13" s="429"/>
      <c r="GR13" s="429"/>
      <c r="GS13" s="429"/>
      <c r="GT13" s="429"/>
      <c r="GU13" s="429"/>
      <c r="GV13" s="429"/>
      <c r="GW13" s="429"/>
      <c r="GX13" s="429"/>
      <c r="GY13" s="429"/>
      <c r="GZ13" s="429"/>
      <c r="HA13" s="429"/>
      <c r="HB13" s="429"/>
      <c r="HC13" s="429"/>
      <c r="HD13" s="429"/>
      <c r="HE13" s="429"/>
      <c r="HF13" s="429"/>
      <c r="HG13" s="429"/>
      <c r="HH13" s="429"/>
      <c r="HI13" s="429"/>
      <c r="HJ13" s="429"/>
      <c r="HK13" s="429"/>
      <c r="HL13" s="429"/>
      <c r="HM13" s="429"/>
      <c r="HN13" s="429"/>
      <c r="HO13" s="429"/>
      <c r="HP13" s="429"/>
      <c r="HQ13" s="429"/>
      <c r="HR13" s="429"/>
      <c r="HS13" s="429"/>
      <c r="HT13" s="429"/>
      <c r="HU13" s="429"/>
      <c r="HV13" s="429"/>
      <c r="HW13" s="429"/>
      <c r="HX13" s="429"/>
      <c r="HY13" s="429"/>
      <c r="HZ13" s="429"/>
      <c r="IA13" s="429"/>
      <c r="IB13" s="429"/>
      <c r="IC13" s="429"/>
      <c r="ID13" s="429"/>
      <c r="IE13" s="429"/>
      <c r="IF13" s="429"/>
      <c r="IG13" s="429"/>
      <c r="IH13" s="429"/>
      <c r="II13" s="429"/>
      <c r="IJ13" s="429"/>
      <c r="IK13" s="429"/>
      <c r="IL13" s="429"/>
      <c r="IM13" s="429"/>
      <c r="IN13" s="429"/>
      <c r="IO13" s="429"/>
      <c r="IP13" s="429"/>
      <c r="IQ13" s="429"/>
      <c r="IR13" s="429"/>
      <c r="IS13" s="429"/>
      <c r="IT13" s="429"/>
      <c r="IU13" s="429"/>
      <c r="IV13" s="429"/>
      <c r="IW13" s="429"/>
    </row>
    <row r="14" customFormat="false" ht="11.25" hidden="false" customHeight="true" outlineLevel="0" collapsed="false">
      <c r="A14" s="429" t="s">
        <v>521</v>
      </c>
      <c r="B14" s="429"/>
      <c r="C14" s="524"/>
      <c r="D14" s="527" t="n">
        <f aca="false">D13</f>
        <v>544.884</v>
      </c>
      <c r="E14" s="527" t="n">
        <f aca="false">IF(AND(D9&gt;=300,E9&lt;100),E13,D14+E13)</f>
        <v>1100.66568</v>
      </c>
      <c r="F14" s="527" t="n">
        <f aca="false">IF(AND(E9&gt;=300,F9&lt;100),F13,E14+F13)</f>
        <v>1667.5629936</v>
      </c>
      <c r="G14" s="527" t="n">
        <f aca="false">IF(AND(F9&gt;=300,G9&lt;100),G13,F14+G13)</f>
        <v>578.235259872</v>
      </c>
      <c r="H14" s="527" t="n">
        <f aca="false">IF(AND(G9&gt;=300,H9&lt;100),H13,G14+H13)</f>
        <v>1168.03522494144</v>
      </c>
      <c r="I14" s="527" t="n">
        <f aca="false">IF(AND(H9&gt;=300,I9&lt;100),I13,H14+I13)</f>
        <v>1769.63118931227</v>
      </c>
      <c r="J14" s="527" t="n">
        <f aca="false">IF(AND(I9&gt;=300,J9&lt;100),J13,I14+J13)</f>
        <v>2383.25907297052</v>
      </c>
      <c r="K14" s="527" t="n">
        <f aca="false">IF(AND(J9&gt;=300,K9&lt;100),K13,J14+K13)</f>
        <v>625.900441331411</v>
      </c>
      <c r="L14" s="527" t="n">
        <f aca="false">IF(AND(K9&gt;=300,L9&lt;100),L13,K14+L13)</f>
        <v>1264.31889148945</v>
      </c>
      <c r="M14" s="527" t="n">
        <f aca="false">IF(AND(L9&gt;=300,M9&lt;100),M13,L14+M13)</f>
        <v>1915.50571065065</v>
      </c>
      <c r="N14" s="527" t="n">
        <f aca="false">IF(AND(M9&gt;=300,N9&lt;100),N13,M14+N13)</f>
        <v>664.210555544424</v>
      </c>
      <c r="O14" s="527" t="n">
        <f aca="false">IF(AND(N9&gt;=300,O9&lt;100),O13,N14+O13)</f>
        <v>1341.70532219974</v>
      </c>
      <c r="P14" s="527" t="n">
        <f aca="false">IF(AND(O9&gt;=300,P9&lt;100),P13,O14+P13)</f>
        <v>2032.74998418815</v>
      </c>
      <c r="Q14" s="527" t="n">
        <f aca="false">IF(AND(P9&gt;=300,Q9&lt;100),Q13,P14+Q13)</f>
        <v>2737.61553941634</v>
      </c>
      <c r="R14" s="527" t="n">
        <f aca="false">IF(AND(Q9&gt;=300,R9&lt;100),R13,Q14+R13)</f>
        <v>718.962866332751</v>
      </c>
      <c r="S14" s="527" t="n">
        <f aca="false">IF(AND(R9&gt;=300,S9&lt;100),S13,R14+S13)</f>
        <v>718.962866332751</v>
      </c>
      <c r="T14" s="527" t="n">
        <f aca="false">IF(AND(S9&gt;=300,T9&lt;100),T13,S14+T13)</f>
        <v>718.962866332751</v>
      </c>
      <c r="U14" s="527" t="n">
        <f aca="false">IF(AND(T9&gt;=300,U9&lt;100),U13,T14+U13)</f>
        <v>718.962866332751</v>
      </c>
      <c r="V14" s="527" t="n">
        <f aca="false">IF(AND(U9&gt;=300,V9&lt;100),V13,U14+V13)</f>
        <v>718.962866332751</v>
      </c>
      <c r="W14" s="527" t="n">
        <f aca="false">IF(AND(V9&gt;=300,W9&lt;100),W13,V14+W13)</f>
        <v>718.962866332751</v>
      </c>
      <c r="X14" s="527" t="n">
        <f aca="false">IF(AND(W9&gt;=300,X9&lt;100),X13,W14+X13)</f>
        <v>718.962866332751</v>
      </c>
      <c r="Y14" s="527" t="n">
        <f aca="false">IF(AND(X9&gt;=300,Y9&lt;100),Y13,X14+Y13)</f>
        <v>718.962866332751</v>
      </c>
      <c r="Z14" s="527" t="n">
        <f aca="false">IF(AND(Y9&gt;=300,Z9&lt;100),Z13,Y14+Z13)</f>
        <v>718.962866332751</v>
      </c>
      <c r="AA14" s="527" t="n">
        <f aca="false">IF(AND(Z9&gt;=300,AA9&lt;100),AA13,Z14+AA13)</f>
        <v>718.962866332751</v>
      </c>
      <c r="AB14" s="527" t="n">
        <f aca="false">IF(AND(AA9&gt;=300,AB9&lt;100),AB13,AA14+AB13)</f>
        <v>718.962866332751</v>
      </c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29"/>
      <c r="BE14" s="429"/>
      <c r="BF14" s="429"/>
      <c r="BG14" s="429"/>
      <c r="BH14" s="429"/>
      <c r="BI14" s="429"/>
      <c r="BJ14" s="429"/>
      <c r="BK14" s="429"/>
      <c r="BL14" s="429"/>
      <c r="BM14" s="429"/>
      <c r="BN14" s="429"/>
      <c r="BO14" s="429"/>
      <c r="BP14" s="429"/>
      <c r="BQ14" s="429"/>
      <c r="BR14" s="429"/>
      <c r="BS14" s="429"/>
      <c r="BT14" s="429"/>
      <c r="BU14" s="429"/>
      <c r="BV14" s="429"/>
      <c r="BW14" s="429"/>
      <c r="BX14" s="429"/>
      <c r="BY14" s="429"/>
      <c r="BZ14" s="429"/>
      <c r="CA14" s="429"/>
      <c r="CB14" s="429"/>
      <c r="CC14" s="429"/>
      <c r="CD14" s="429"/>
      <c r="CE14" s="429"/>
      <c r="CF14" s="429"/>
      <c r="CG14" s="429"/>
      <c r="CH14" s="429"/>
      <c r="CI14" s="429"/>
      <c r="CJ14" s="429"/>
      <c r="CK14" s="429"/>
      <c r="CL14" s="429"/>
      <c r="CM14" s="429"/>
      <c r="CN14" s="429"/>
      <c r="CO14" s="429"/>
      <c r="CP14" s="429"/>
      <c r="CQ14" s="429"/>
      <c r="CR14" s="429"/>
      <c r="CS14" s="429"/>
      <c r="CT14" s="429"/>
      <c r="CU14" s="429"/>
      <c r="CV14" s="429"/>
      <c r="CW14" s="429"/>
      <c r="CX14" s="429"/>
      <c r="CY14" s="429"/>
      <c r="CZ14" s="429"/>
      <c r="DA14" s="429"/>
      <c r="DB14" s="429"/>
      <c r="DC14" s="429"/>
      <c r="DD14" s="429"/>
      <c r="DE14" s="429"/>
      <c r="DF14" s="429"/>
      <c r="DG14" s="429"/>
      <c r="DH14" s="429"/>
      <c r="DI14" s="429"/>
      <c r="DJ14" s="429"/>
      <c r="DK14" s="429"/>
      <c r="DL14" s="429"/>
      <c r="DM14" s="429"/>
      <c r="DN14" s="429"/>
      <c r="DO14" s="429"/>
      <c r="DP14" s="429"/>
      <c r="DQ14" s="429"/>
      <c r="DR14" s="429"/>
      <c r="DS14" s="429"/>
      <c r="DT14" s="429"/>
      <c r="DU14" s="429"/>
      <c r="DV14" s="429"/>
      <c r="DW14" s="429"/>
      <c r="DX14" s="429"/>
      <c r="DY14" s="429"/>
      <c r="DZ14" s="429"/>
      <c r="EA14" s="429"/>
      <c r="EB14" s="429"/>
      <c r="EC14" s="429"/>
      <c r="ED14" s="429"/>
      <c r="EE14" s="429"/>
      <c r="EF14" s="429"/>
      <c r="EG14" s="429"/>
      <c r="EH14" s="429"/>
      <c r="EI14" s="429"/>
      <c r="EJ14" s="429"/>
      <c r="EK14" s="429"/>
      <c r="EL14" s="429"/>
      <c r="EM14" s="429"/>
      <c r="EN14" s="429"/>
      <c r="EO14" s="429"/>
      <c r="EP14" s="429"/>
      <c r="EQ14" s="429"/>
      <c r="ER14" s="429"/>
      <c r="ES14" s="429"/>
      <c r="ET14" s="429"/>
      <c r="EU14" s="429"/>
      <c r="EV14" s="429"/>
      <c r="EW14" s="429"/>
      <c r="EX14" s="429"/>
      <c r="EY14" s="429"/>
      <c r="EZ14" s="429"/>
      <c r="FA14" s="429"/>
      <c r="FB14" s="429"/>
      <c r="FC14" s="429"/>
      <c r="FD14" s="429"/>
      <c r="FE14" s="429"/>
      <c r="FF14" s="429"/>
      <c r="FG14" s="429"/>
      <c r="FH14" s="429"/>
      <c r="FI14" s="429"/>
      <c r="FJ14" s="429"/>
      <c r="FK14" s="429"/>
      <c r="FL14" s="429"/>
      <c r="FM14" s="429"/>
      <c r="FN14" s="429"/>
      <c r="FO14" s="429"/>
      <c r="FP14" s="429"/>
      <c r="FQ14" s="429"/>
      <c r="FR14" s="429"/>
      <c r="FS14" s="429"/>
      <c r="FT14" s="429"/>
      <c r="FU14" s="429"/>
      <c r="FV14" s="429"/>
      <c r="FW14" s="429"/>
      <c r="FX14" s="429"/>
      <c r="FY14" s="429"/>
      <c r="FZ14" s="429"/>
      <c r="GA14" s="429"/>
      <c r="GB14" s="429"/>
      <c r="GC14" s="429"/>
      <c r="GD14" s="429"/>
      <c r="GE14" s="429"/>
      <c r="GF14" s="429"/>
      <c r="GG14" s="429"/>
      <c r="GH14" s="429"/>
      <c r="GI14" s="429"/>
      <c r="GJ14" s="429"/>
      <c r="GK14" s="429"/>
      <c r="GL14" s="429"/>
      <c r="GM14" s="429"/>
      <c r="GN14" s="429"/>
      <c r="GO14" s="429"/>
      <c r="GP14" s="429"/>
      <c r="GQ14" s="429"/>
      <c r="GR14" s="429"/>
      <c r="GS14" s="429"/>
      <c r="GT14" s="429"/>
      <c r="GU14" s="429"/>
      <c r="GV14" s="429"/>
      <c r="GW14" s="429"/>
      <c r="GX14" s="429"/>
      <c r="GY14" s="429"/>
      <c r="GZ14" s="429"/>
      <c r="HA14" s="429"/>
      <c r="HB14" s="429"/>
      <c r="HC14" s="429"/>
      <c r="HD14" s="429"/>
      <c r="HE14" s="429"/>
      <c r="HF14" s="429"/>
      <c r="HG14" s="429"/>
      <c r="HH14" s="429"/>
      <c r="HI14" s="429"/>
      <c r="HJ14" s="429"/>
      <c r="HK14" s="429"/>
      <c r="HL14" s="429"/>
      <c r="HM14" s="429"/>
      <c r="HN14" s="429"/>
      <c r="HO14" s="429"/>
      <c r="HP14" s="429"/>
      <c r="HQ14" s="429"/>
      <c r="HR14" s="429"/>
      <c r="HS14" s="429"/>
      <c r="HT14" s="429"/>
      <c r="HU14" s="429"/>
      <c r="HV14" s="429"/>
      <c r="HW14" s="429"/>
      <c r="HX14" s="429"/>
      <c r="HY14" s="429"/>
      <c r="HZ14" s="429"/>
      <c r="IA14" s="429"/>
      <c r="IB14" s="429"/>
      <c r="IC14" s="429"/>
      <c r="ID14" s="429"/>
      <c r="IE14" s="429"/>
      <c r="IF14" s="429"/>
      <c r="IG14" s="429"/>
      <c r="IH14" s="429"/>
      <c r="II14" s="429"/>
      <c r="IJ14" s="429"/>
      <c r="IK14" s="429"/>
      <c r="IL14" s="429"/>
      <c r="IM14" s="429"/>
      <c r="IN14" s="429"/>
      <c r="IO14" s="429"/>
      <c r="IP14" s="429"/>
      <c r="IQ14" s="429"/>
      <c r="IR14" s="429"/>
      <c r="IS14" s="429"/>
      <c r="IT14" s="429"/>
      <c r="IU14" s="429"/>
      <c r="IV14" s="429"/>
      <c r="IW14" s="429"/>
    </row>
    <row r="15" customFormat="false" ht="11.25" hidden="false" customHeight="false" outlineLevel="0" collapsed="false">
      <c r="A15" s="429" t="s">
        <v>522</v>
      </c>
      <c r="B15" s="429"/>
      <c r="C15" s="429"/>
      <c r="D15" s="530" t="n">
        <f aca="false">D14*'Project Assumptions'!$N$58</f>
        <v>8.17326</v>
      </c>
      <c r="E15" s="530" t="n">
        <f aca="false">E14*'Project Assumptions'!$N$58</f>
        <v>16.5099852</v>
      </c>
      <c r="F15" s="530" t="n">
        <f aca="false">F14*'Project Assumptions'!$N$58</f>
        <v>25.013444904</v>
      </c>
      <c r="G15" s="530" t="n">
        <f aca="false">G14*'Project Assumptions'!$N$58</f>
        <v>8.67352889808</v>
      </c>
      <c r="H15" s="530" t="n">
        <f aca="false">H14*'Project Assumptions'!$N$58</f>
        <v>17.5205283741216</v>
      </c>
      <c r="I15" s="530" t="n">
        <f aca="false">I14*'Project Assumptions'!$N$58</f>
        <v>26.544467839684</v>
      </c>
      <c r="J15" s="530" t="n">
        <f aca="false">J14*'Project Assumptions'!$N$58</f>
        <v>35.7488860945577</v>
      </c>
      <c r="K15" s="530" t="n">
        <f aca="false">K14*'Project Assumptions'!$N$58</f>
        <v>9.38850661997116</v>
      </c>
      <c r="L15" s="530" t="n">
        <f aca="false">L14*'Project Assumptions'!$N$58</f>
        <v>18.9647833723417</v>
      </c>
      <c r="M15" s="530" t="n">
        <f aca="false">M14*'Project Assumptions'!$N$58</f>
        <v>28.7325856597597</v>
      </c>
      <c r="N15" s="530" t="n">
        <f aca="false">N14*'Project Assumptions'!$N$58</f>
        <v>9.96315833316636</v>
      </c>
      <c r="O15" s="530" t="n">
        <f aca="false">O14*'Project Assumptions'!$N$58</f>
        <v>20.125579832996</v>
      </c>
      <c r="P15" s="530" t="n">
        <f aca="false">P14*'Project Assumptions'!$N$58</f>
        <v>30.4912497628223</v>
      </c>
      <c r="Q15" s="530" t="n">
        <f aca="false">Q14*'Project Assumptions'!$N$58</f>
        <v>41.0642330912451</v>
      </c>
      <c r="R15" s="530" t="n">
        <f aca="false">R14*'Project Assumptions'!$N$58</f>
        <v>10.7844429949913</v>
      </c>
      <c r="S15" s="530" t="n">
        <f aca="false">S14*'Project Assumptions'!$N$58</f>
        <v>10.7844429949913</v>
      </c>
      <c r="T15" s="530" t="n">
        <f aca="false">T14*'Project Assumptions'!$N$58</f>
        <v>10.7844429949913</v>
      </c>
      <c r="U15" s="530" t="n">
        <f aca="false">U14*'Project Assumptions'!$N$58</f>
        <v>10.7844429949913</v>
      </c>
      <c r="V15" s="530" t="n">
        <f aca="false">V14*'Project Assumptions'!$N$58</f>
        <v>10.7844429949913</v>
      </c>
      <c r="W15" s="530" t="n">
        <f aca="false">W14*'Project Assumptions'!$N$58</f>
        <v>10.7844429949913</v>
      </c>
      <c r="X15" s="530" t="n">
        <f aca="false">X14*'Project Assumptions'!$N$58</f>
        <v>10.7844429949913</v>
      </c>
      <c r="Y15" s="530" t="n">
        <f aca="false">Y14*'Project Assumptions'!$N$58</f>
        <v>10.7844429949913</v>
      </c>
      <c r="Z15" s="530" t="n">
        <f aca="false">Z14*'Project Assumptions'!$N$58</f>
        <v>10.7844429949913</v>
      </c>
      <c r="AA15" s="530" t="n">
        <f aca="false">AA14*'Project Assumptions'!$N$58</f>
        <v>10.7844429949913</v>
      </c>
      <c r="AB15" s="530" t="n">
        <f aca="false">AB14*'Project Assumptions'!$N$58</f>
        <v>10.7844429949913</v>
      </c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  <c r="EF15" s="429"/>
      <c r="EG15" s="429"/>
      <c r="EH15" s="429"/>
      <c r="EI15" s="429"/>
      <c r="EJ15" s="429"/>
      <c r="EK15" s="429"/>
      <c r="EL15" s="429"/>
      <c r="EM15" s="429"/>
      <c r="EN15" s="429"/>
      <c r="EO15" s="429"/>
      <c r="EP15" s="429"/>
      <c r="EQ15" s="429"/>
      <c r="ER15" s="429"/>
      <c r="ES15" s="429"/>
      <c r="ET15" s="429"/>
      <c r="EU15" s="429"/>
      <c r="EV15" s="429"/>
      <c r="EW15" s="429"/>
      <c r="EX15" s="429"/>
      <c r="EY15" s="429"/>
      <c r="EZ15" s="429"/>
      <c r="FA15" s="429"/>
      <c r="FB15" s="429"/>
      <c r="FC15" s="429"/>
      <c r="FD15" s="429"/>
      <c r="FE15" s="429"/>
      <c r="FF15" s="429"/>
      <c r="FG15" s="429"/>
      <c r="FH15" s="429"/>
      <c r="FI15" s="429"/>
      <c r="FJ15" s="429"/>
      <c r="FK15" s="429"/>
      <c r="FL15" s="429"/>
      <c r="FM15" s="429"/>
      <c r="FN15" s="429"/>
      <c r="FO15" s="429"/>
      <c r="FP15" s="429"/>
      <c r="FQ15" s="429"/>
      <c r="FR15" s="429"/>
      <c r="FS15" s="429"/>
      <c r="FT15" s="429"/>
      <c r="FU15" s="429"/>
      <c r="FV15" s="429"/>
      <c r="FW15" s="429"/>
      <c r="FX15" s="429"/>
      <c r="FY15" s="429"/>
      <c r="FZ15" s="429"/>
      <c r="GA15" s="429"/>
      <c r="GB15" s="429"/>
      <c r="GC15" s="429"/>
      <c r="GD15" s="429"/>
      <c r="GE15" s="429"/>
      <c r="GF15" s="429"/>
      <c r="GG15" s="429"/>
      <c r="GH15" s="429"/>
      <c r="GI15" s="429"/>
      <c r="GJ15" s="429"/>
      <c r="GK15" s="429"/>
      <c r="GL15" s="429"/>
      <c r="GM15" s="429"/>
      <c r="GN15" s="429"/>
      <c r="GO15" s="429"/>
      <c r="GP15" s="429"/>
      <c r="GQ15" s="429"/>
      <c r="GR15" s="429"/>
      <c r="GS15" s="429"/>
      <c r="GT15" s="429"/>
      <c r="GU15" s="429"/>
      <c r="GV15" s="429"/>
      <c r="GW15" s="429"/>
      <c r="GX15" s="429"/>
      <c r="GY15" s="429"/>
      <c r="GZ15" s="429"/>
      <c r="HA15" s="429"/>
      <c r="HB15" s="429"/>
      <c r="HC15" s="429"/>
      <c r="HD15" s="429"/>
      <c r="HE15" s="429"/>
      <c r="HF15" s="429"/>
      <c r="HG15" s="429"/>
      <c r="HH15" s="429"/>
      <c r="HI15" s="429"/>
      <c r="HJ15" s="429"/>
      <c r="HK15" s="429"/>
      <c r="HL15" s="429"/>
      <c r="HM15" s="429"/>
      <c r="HN15" s="429"/>
      <c r="HO15" s="429"/>
      <c r="HP15" s="429"/>
      <c r="HQ15" s="429"/>
      <c r="HR15" s="429"/>
      <c r="HS15" s="429"/>
      <c r="HT15" s="429"/>
      <c r="HU15" s="429"/>
      <c r="HV15" s="429"/>
      <c r="HW15" s="429"/>
      <c r="HX15" s="429"/>
      <c r="HY15" s="429"/>
      <c r="HZ15" s="429"/>
      <c r="IA15" s="429"/>
      <c r="IB15" s="429"/>
      <c r="IC15" s="429"/>
      <c r="ID15" s="429"/>
      <c r="IE15" s="429"/>
      <c r="IF15" s="429"/>
      <c r="IG15" s="429"/>
      <c r="IH15" s="429"/>
      <c r="II15" s="429"/>
      <c r="IJ15" s="429"/>
      <c r="IK15" s="429"/>
      <c r="IL15" s="429"/>
      <c r="IM15" s="429"/>
      <c r="IN15" s="429"/>
      <c r="IO15" s="429"/>
      <c r="IP15" s="429"/>
      <c r="IQ15" s="429"/>
      <c r="IR15" s="429"/>
      <c r="IS15" s="429"/>
      <c r="IT15" s="429"/>
      <c r="IU15" s="429"/>
      <c r="IV15" s="429"/>
      <c r="IW15" s="429"/>
    </row>
    <row r="16" customFormat="false" ht="11.25" hidden="false" customHeight="false" outlineLevel="0" collapsed="false">
      <c r="A16" s="429" t="s">
        <v>523</v>
      </c>
      <c r="B16" s="429"/>
      <c r="C16" s="429"/>
      <c r="D16" s="530" t="n">
        <f aca="false">D15</f>
        <v>8.17326</v>
      </c>
      <c r="E16" s="530" t="n">
        <f aca="false">D16+E15</f>
        <v>24.6832452</v>
      </c>
      <c r="F16" s="530" t="n">
        <f aca="false">E16+F15</f>
        <v>49.696690104</v>
      </c>
      <c r="G16" s="530" t="n">
        <f aca="false">F16+G15</f>
        <v>58.37021900208</v>
      </c>
      <c r="H16" s="530" t="n">
        <f aca="false">G16+H15</f>
        <v>75.8907473762016</v>
      </c>
      <c r="I16" s="530" t="n">
        <f aca="false">H16+I15</f>
        <v>102.435215215886</v>
      </c>
      <c r="J16" s="530" t="n">
        <f aca="false">I16+J15</f>
        <v>138.184101310443</v>
      </c>
      <c r="K16" s="530" t="n">
        <f aca="false">J16+K15</f>
        <v>147.572607930415</v>
      </c>
      <c r="L16" s="530" t="n">
        <f aca="false">K16+L15</f>
        <v>166.537391302756</v>
      </c>
      <c r="M16" s="530" t="n">
        <f aca="false">L16+M15</f>
        <v>195.269976962516</v>
      </c>
      <c r="N16" s="530" t="n">
        <f aca="false">M16+N15</f>
        <v>205.233135295682</v>
      </c>
      <c r="O16" s="530" t="n">
        <f aca="false">N16+O15</f>
        <v>225.358715128678</v>
      </c>
      <c r="P16" s="530" t="n">
        <f aca="false">O16+P15</f>
        <v>255.849964891501</v>
      </c>
      <c r="Q16" s="530" t="n">
        <f aca="false">P16+Q15</f>
        <v>296.914197982746</v>
      </c>
      <c r="R16" s="530" t="n">
        <f aca="false">Q16+R15</f>
        <v>307.698640977737</v>
      </c>
      <c r="S16" s="530" t="n">
        <f aca="false">R16+S15</f>
        <v>318.483083972728</v>
      </c>
      <c r="T16" s="530" t="n">
        <f aca="false">S16+T15</f>
        <v>329.26752696772</v>
      </c>
      <c r="U16" s="530" t="n">
        <f aca="false">T16+U15</f>
        <v>340.051969962711</v>
      </c>
      <c r="V16" s="530" t="n">
        <f aca="false">U16+V15</f>
        <v>350.836412957702</v>
      </c>
      <c r="W16" s="530" t="n">
        <f aca="false">V16+W15</f>
        <v>361.620855952693</v>
      </c>
      <c r="X16" s="530" t="n">
        <f aca="false">W16+X15</f>
        <v>372.405298947685</v>
      </c>
      <c r="Y16" s="530" t="n">
        <f aca="false">X16+Y15</f>
        <v>383.189741942676</v>
      </c>
      <c r="Z16" s="530" t="n">
        <f aca="false">Y16+Z15</f>
        <v>393.974184937667</v>
      </c>
      <c r="AA16" s="530" t="n">
        <f aca="false">Z16+AA15</f>
        <v>404.758627932658</v>
      </c>
      <c r="AB16" s="530" t="n">
        <f aca="false">AA16+AB15</f>
        <v>415.54307092765</v>
      </c>
      <c r="AC16" s="429"/>
      <c r="AD16" s="429"/>
      <c r="AE16" s="429"/>
      <c r="AF16" s="429"/>
      <c r="AG16" s="429"/>
      <c r="AH16" s="429"/>
      <c r="AI16" s="429"/>
      <c r="AJ16" s="429"/>
      <c r="AK16" s="429"/>
      <c r="AL16" s="429"/>
      <c r="AM16" s="429"/>
      <c r="AN16" s="429"/>
      <c r="AO16" s="429"/>
      <c r="AP16" s="429"/>
      <c r="AQ16" s="429"/>
      <c r="AR16" s="429"/>
      <c r="AS16" s="429"/>
      <c r="AT16" s="429"/>
      <c r="AU16" s="429"/>
      <c r="AV16" s="429"/>
      <c r="AW16" s="429"/>
      <c r="AX16" s="429"/>
      <c r="AY16" s="429"/>
      <c r="AZ16" s="429"/>
      <c r="BA16" s="429"/>
      <c r="BB16" s="429"/>
      <c r="BC16" s="429"/>
      <c r="BD16" s="429"/>
      <c r="BE16" s="429"/>
      <c r="BF16" s="429"/>
      <c r="BG16" s="429"/>
      <c r="BH16" s="429"/>
      <c r="BI16" s="429"/>
      <c r="BJ16" s="429"/>
      <c r="BK16" s="429"/>
      <c r="BL16" s="429"/>
      <c r="BM16" s="429"/>
      <c r="BN16" s="429"/>
      <c r="BO16" s="429"/>
      <c r="BP16" s="429"/>
      <c r="BQ16" s="429"/>
      <c r="BR16" s="429"/>
      <c r="BS16" s="429"/>
      <c r="BT16" s="429"/>
      <c r="BU16" s="429"/>
      <c r="BV16" s="429"/>
      <c r="BW16" s="429"/>
      <c r="BX16" s="429"/>
      <c r="BY16" s="429"/>
      <c r="BZ16" s="429"/>
      <c r="CA16" s="429"/>
      <c r="CB16" s="429"/>
      <c r="CC16" s="429"/>
      <c r="CD16" s="429"/>
      <c r="CE16" s="429"/>
      <c r="CF16" s="429"/>
      <c r="CG16" s="429"/>
      <c r="CH16" s="429"/>
      <c r="CI16" s="429"/>
      <c r="CJ16" s="429"/>
      <c r="CK16" s="429"/>
      <c r="CL16" s="429"/>
      <c r="CM16" s="429"/>
      <c r="CN16" s="429"/>
      <c r="CO16" s="429"/>
      <c r="CP16" s="429"/>
      <c r="CQ16" s="429"/>
      <c r="CR16" s="429"/>
      <c r="CS16" s="429"/>
      <c r="CT16" s="429"/>
      <c r="CU16" s="429"/>
      <c r="CV16" s="429"/>
      <c r="CW16" s="429"/>
      <c r="CX16" s="429"/>
      <c r="CY16" s="429"/>
      <c r="CZ16" s="429"/>
      <c r="DA16" s="429"/>
      <c r="DB16" s="429"/>
      <c r="DC16" s="429"/>
      <c r="DD16" s="429"/>
      <c r="DE16" s="429"/>
      <c r="DF16" s="429"/>
      <c r="DG16" s="429"/>
      <c r="DH16" s="429"/>
      <c r="DI16" s="429"/>
      <c r="DJ16" s="429"/>
      <c r="DK16" s="429"/>
      <c r="DL16" s="429"/>
      <c r="DM16" s="429"/>
      <c r="DN16" s="429"/>
      <c r="DO16" s="429"/>
      <c r="DP16" s="429"/>
      <c r="DQ16" s="429"/>
      <c r="DR16" s="429"/>
      <c r="DS16" s="429"/>
      <c r="DT16" s="429"/>
      <c r="DU16" s="429"/>
      <c r="DV16" s="429"/>
      <c r="DW16" s="429"/>
      <c r="DX16" s="429"/>
      <c r="DY16" s="429"/>
      <c r="DZ16" s="429"/>
      <c r="EA16" s="429"/>
      <c r="EB16" s="429"/>
      <c r="EC16" s="429"/>
      <c r="ED16" s="429"/>
      <c r="EE16" s="429"/>
      <c r="EF16" s="429"/>
      <c r="EG16" s="429"/>
      <c r="EH16" s="429"/>
      <c r="EI16" s="429"/>
      <c r="EJ16" s="429"/>
      <c r="EK16" s="429"/>
      <c r="EL16" s="429"/>
      <c r="EM16" s="429"/>
      <c r="EN16" s="429"/>
      <c r="EO16" s="429"/>
      <c r="EP16" s="429"/>
      <c r="EQ16" s="429"/>
      <c r="ER16" s="429"/>
      <c r="ES16" s="429"/>
      <c r="ET16" s="429"/>
      <c r="EU16" s="429"/>
      <c r="EV16" s="429"/>
      <c r="EW16" s="429"/>
      <c r="EX16" s="429"/>
      <c r="EY16" s="429"/>
      <c r="EZ16" s="429"/>
      <c r="FA16" s="429"/>
      <c r="FB16" s="429"/>
      <c r="FC16" s="429"/>
      <c r="FD16" s="429"/>
      <c r="FE16" s="429"/>
      <c r="FF16" s="429"/>
      <c r="FG16" s="429"/>
      <c r="FH16" s="429"/>
      <c r="FI16" s="429"/>
      <c r="FJ16" s="429"/>
      <c r="FK16" s="429"/>
      <c r="FL16" s="429"/>
      <c r="FM16" s="429"/>
      <c r="FN16" s="429"/>
      <c r="FO16" s="429"/>
      <c r="FP16" s="429"/>
      <c r="FQ16" s="429"/>
      <c r="FR16" s="429"/>
      <c r="FS16" s="429"/>
      <c r="FT16" s="429"/>
      <c r="FU16" s="429"/>
      <c r="FV16" s="429"/>
      <c r="FW16" s="429"/>
      <c r="FX16" s="429"/>
      <c r="FY16" s="429"/>
      <c r="FZ16" s="429"/>
      <c r="GA16" s="429"/>
      <c r="GB16" s="429"/>
      <c r="GC16" s="429"/>
      <c r="GD16" s="429"/>
      <c r="GE16" s="429"/>
      <c r="GF16" s="429"/>
      <c r="GG16" s="429"/>
      <c r="GH16" s="429"/>
      <c r="GI16" s="429"/>
      <c r="GJ16" s="429"/>
      <c r="GK16" s="429"/>
      <c r="GL16" s="429"/>
      <c r="GM16" s="429"/>
      <c r="GN16" s="429"/>
      <c r="GO16" s="429"/>
      <c r="GP16" s="429"/>
      <c r="GQ16" s="429"/>
      <c r="GR16" s="429"/>
      <c r="GS16" s="429"/>
      <c r="GT16" s="429"/>
      <c r="GU16" s="429"/>
      <c r="GV16" s="429"/>
      <c r="GW16" s="429"/>
      <c r="GX16" s="429"/>
      <c r="GY16" s="429"/>
      <c r="GZ16" s="429"/>
      <c r="HA16" s="429"/>
      <c r="HB16" s="429"/>
      <c r="HC16" s="429"/>
      <c r="HD16" s="429"/>
      <c r="HE16" s="429"/>
      <c r="HF16" s="429"/>
      <c r="HG16" s="429"/>
      <c r="HH16" s="429"/>
      <c r="HI16" s="429"/>
      <c r="HJ16" s="429"/>
      <c r="HK16" s="429"/>
      <c r="HL16" s="429"/>
      <c r="HM16" s="429"/>
      <c r="HN16" s="429"/>
      <c r="HO16" s="429"/>
      <c r="HP16" s="429"/>
      <c r="HQ16" s="429"/>
      <c r="HR16" s="429"/>
      <c r="HS16" s="429"/>
      <c r="HT16" s="429"/>
      <c r="HU16" s="429"/>
      <c r="HV16" s="429"/>
      <c r="HW16" s="429"/>
      <c r="HX16" s="429"/>
      <c r="HY16" s="429"/>
      <c r="HZ16" s="429"/>
      <c r="IA16" s="429"/>
      <c r="IB16" s="429"/>
      <c r="IC16" s="429"/>
      <c r="ID16" s="429"/>
      <c r="IE16" s="429"/>
      <c r="IF16" s="429"/>
      <c r="IG16" s="429"/>
      <c r="IH16" s="429"/>
      <c r="II16" s="429"/>
      <c r="IJ16" s="429"/>
      <c r="IK16" s="429"/>
      <c r="IL16" s="429"/>
      <c r="IM16" s="429"/>
      <c r="IN16" s="429"/>
      <c r="IO16" s="429"/>
      <c r="IP16" s="429"/>
      <c r="IQ16" s="429"/>
      <c r="IR16" s="429"/>
      <c r="IS16" s="429"/>
      <c r="IT16" s="429"/>
      <c r="IU16" s="429"/>
      <c r="IV16" s="429"/>
      <c r="IW16" s="429"/>
    </row>
    <row r="17" customFormat="false" ht="11.25" hidden="false" customHeight="false" outlineLevel="0" collapsed="false">
      <c r="A17" s="429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429"/>
      <c r="AW17" s="429"/>
      <c r="AX17" s="429"/>
      <c r="AY17" s="429"/>
      <c r="AZ17" s="429"/>
      <c r="BA17" s="429"/>
      <c r="BB17" s="429"/>
      <c r="BC17" s="429"/>
      <c r="BD17" s="429"/>
      <c r="BE17" s="429"/>
      <c r="BF17" s="429"/>
      <c r="BG17" s="429"/>
      <c r="BH17" s="429"/>
      <c r="BI17" s="429"/>
      <c r="BJ17" s="429"/>
      <c r="BK17" s="429"/>
      <c r="BL17" s="429"/>
      <c r="BM17" s="429"/>
      <c r="BN17" s="429"/>
      <c r="BO17" s="429"/>
      <c r="BP17" s="429"/>
      <c r="BQ17" s="429"/>
      <c r="BR17" s="429"/>
      <c r="BS17" s="429"/>
      <c r="BT17" s="429"/>
      <c r="BU17" s="429"/>
      <c r="BV17" s="429"/>
      <c r="BW17" s="429"/>
      <c r="BX17" s="429"/>
      <c r="BY17" s="429"/>
      <c r="BZ17" s="429"/>
      <c r="CA17" s="429"/>
      <c r="CB17" s="429"/>
      <c r="CC17" s="429"/>
      <c r="CD17" s="429"/>
      <c r="CE17" s="429"/>
      <c r="CF17" s="429"/>
      <c r="CG17" s="429"/>
      <c r="CH17" s="429"/>
      <c r="CI17" s="429"/>
      <c r="CJ17" s="429"/>
      <c r="CK17" s="429"/>
      <c r="CL17" s="429"/>
      <c r="CM17" s="429"/>
      <c r="CN17" s="429"/>
      <c r="CO17" s="429"/>
      <c r="CP17" s="429"/>
      <c r="CQ17" s="429"/>
      <c r="CR17" s="429"/>
      <c r="CS17" s="429"/>
      <c r="CT17" s="429"/>
      <c r="CU17" s="429"/>
      <c r="CV17" s="429"/>
      <c r="CW17" s="429"/>
      <c r="CX17" s="429"/>
      <c r="CY17" s="429"/>
      <c r="CZ17" s="429"/>
      <c r="DA17" s="429"/>
      <c r="DB17" s="429"/>
      <c r="DC17" s="429"/>
      <c r="DD17" s="429"/>
      <c r="DE17" s="429"/>
      <c r="DF17" s="429"/>
      <c r="DG17" s="429"/>
      <c r="DH17" s="429"/>
      <c r="DI17" s="429"/>
      <c r="DJ17" s="429"/>
      <c r="DK17" s="429"/>
      <c r="DL17" s="429"/>
      <c r="DM17" s="429"/>
      <c r="DN17" s="429"/>
      <c r="DO17" s="429"/>
      <c r="DP17" s="429"/>
      <c r="DQ17" s="429"/>
      <c r="DR17" s="429"/>
      <c r="DS17" s="429"/>
      <c r="DT17" s="429"/>
      <c r="DU17" s="429"/>
      <c r="DV17" s="429"/>
      <c r="DW17" s="429"/>
      <c r="DX17" s="429"/>
      <c r="DY17" s="429"/>
      <c r="DZ17" s="429"/>
      <c r="EA17" s="429"/>
      <c r="EB17" s="429"/>
      <c r="EC17" s="429"/>
      <c r="ED17" s="429"/>
      <c r="EE17" s="429"/>
      <c r="EF17" s="429"/>
      <c r="EG17" s="429"/>
      <c r="EH17" s="429"/>
      <c r="EI17" s="429"/>
      <c r="EJ17" s="429"/>
      <c r="EK17" s="429"/>
      <c r="EL17" s="429"/>
      <c r="EM17" s="429"/>
      <c r="EN17" s="429"/>
      <c r="EO17" s="429"/>
      <c r="EP17" s="429"/>
      <c r="EQ17" s="429"/>
      <c r="ER17" s="429"/>
      <c r="ES17" s="429"/>
      <c r="ET17" s="429"/>
      <c r="EU17" s="429"/>
      <c r="EV17" s="429"/>
      <c r="EW17" s="429"/>
      <c r="EX17" s="429"/>
      <c r="EY17" s="429"/>
      <c r="EZ17" s="429"/>
      <c r="FA17" s="429"/>
      <c r="FB17" s="429"/>
      <c r="FC17" s="429"/>
      <c r="FD17" s="429"/>
      <c r="FE17" s="429"/>
      <c r="FF17" s="429"/>
      <c r="FG17" s="429"/>
      <c r="FH17" s="429"/>
      <c r="FI17" s="429"/>
      <c r="FJ17" s="429"/>
      <c r="FK17" s="429"/>
      <c r="FL17" s="429"/>
      <c r="FM17" s="429"/>
      <c r="FN17" s="429"/>
      <c r="FO17" s="429"/>
      <c r="FP17" s="429"/>
      <c r="FQ17" s="429"/>
      <c r="FR17" s="429"/>
      <c r="FS17" s="429"/>
      <c r="FT17" s="429"/>
      <c r="FU17" s="429"/>
      <c r="FV17" s="429"/>
      <c r="FW17" s="429"/>
      <c r="FX17" s="429"/>
      <c r="FY17" s="429"/>
      <c r="FZ17" s="429"/>
      <c r="GA17" s="429"/>
      <c r="GB17" s="429"/>
      <c r="GC17" s="429"/>
      <c r="GD17" s="429"/>
      <c r="GE17" s="429"/>
      <c r="GF17" s="429"/>
      <c r="GG17" s="429"/>
      <c r="GH17" s="429"/>
      <c r="GI17" s="429"/>
      <c r="GJ17" s="429"/>
      <c r="GK17" s="429"/>
      <c r="GL17" s="429"/>
      <c r="GM17" s="429"/>
      <c r="GN17" s="429"/>
      <c r="GO17" s="429"/>
      <c r="GP17" s="429"/>
      <c r="GQ17" s="429"/>
      <c r="GR17" s="429"/>
      <c r="GS17" s="429"/>
      <c r="GT17" s="429"/>
      <c r="GU17" s="429"/>
      <c r="GV17" s="429"/>
      <c r="GW17" s="429"/>
      <c r="GX17" s="429"/>
      <c r="GY17" s="429"/>
      <c r="GZ17" s="429"/>
      <c r="HA17" s="429"/>
      <c r="HB17" s="429"/>
      <c r="HC17" s="429"/>
      <c r="HD17" s="429"/>
      <c r="HE17" s="429"/>
      <c r="HF17" s="429"/>
      <c r="HG17" s="429"/>
      <c r="HH17" s="429"/>
      <c r="HI17" s="429"/>
      <c r="HJ17" s="429"/>
      <c r="HK17" s="429"/>
      <c r="HL17" s="429"/>
      <c r="HM17" s="429"/>
      <c r="HN17" s="429"/>
      <c r="HO17" s="429"/>
      <c r="HP17" s="429"/>
      <c r="HQ17" s="429"/>
      <c r="HR17" s="429"/>
      <c r="HS17" s="429"/>
      <c r="HT17" s="429"/>
      <c r="HU17" s="429"/>
      <c r="HV17" s="429"/>
      <c r="HW17" s="429"/>
      <c r="HX17" s="429"/>
      <c r="HY17" s="429"/>
      <c r="HZ17" s="429"/>
      <c r="IA17" s="429"/>
      <c r="IB17" s="429"/>
      <c r="IC17" s="429"/>
      <c r="ID17" s="429"/>
      <c r="IE17" s="429"/>
      <c r="IF17" s="429"/>
      <c r="IG17" s="429"/>
      <c r="IH17" s="429"/>
      <c r="II17" s="429"/>
      <c r="IJ17" s="429"/>
      <c r="IK17" s="429"/>
      <c r="IL17" s="429"/>
      <c r="IM17" s="429"/>
      <c r="IN17" s="429"/>
      <c r="IO17" s="429"/>
      <c r="IP17" s="429"/>
      <c r="IQ17" s="429"/>
      <c r="IR17" s="429"/>
      <c r="IS17" s="429"/>
      <c r="IT17" s="429"/>
      <c r="IU17" s="429"/>
      <c r="IV17" s="429"/>
      <c r="IW17" s="429"/>
    </row>
    <row r="18" customFormat="false" ht="11.25" hidden="false" customHeight="false" outlineLevel="0" collapsed="false">
      <c r="A18" s="429"/>
      <c r="B18" s="429"/>
      <c r="C18" s="429"/>
      <c r="D18" s="531"/>
      <c r="E18" s="532"/>
      <c r="F18" s="532"/>
      <c r="G18" s="532"/>
      <c r="H18" s="532"/>
      <c r="I18" s="532"/>
      <c r="J18" s="532"/>
      <c r="K18" s="532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29"/>
      <c r="BE18" s="429"/>
      <c r="BF18" s="429"/>
      <c r="BG18" s="429"/>
      <c r="BH18" s="429"/>
      <c r="BI18" s="429"/>
      <c r="BJ18" s="429"/>
      <c r="BK18" s="429"/>
      <c r="BL18" s="429"/>
      <c r="BM18" s="429"/>
      <c r="BN18" s="429"/>
      <c r="BO18" s="429"/>
      <c r="BP18" s="429"/>
      <c r="BQ18" s="429"/>
      <c r="BR18" s="429"/>
      <c r="BS18" s="429"/>
      <c r="BT18" s="429"/>
      <c r="BU18" s="429"/>
      <c r="BV18" s="429"/>
      <c r="BW18" s="429"/>
      <c r="BX18" s="429"/>
      <c r="BY18" s="429"/>
      <c r="BZ18" s="429"/>
      <c r="CA18" s="429"/>
      <c r="CB18" s="429"/>
      <c r="CC18" s="429"/>
      <c r="CD18" s="429"/>
      <c r="CE18" s="429"/>
      <c r="CF18" s="429"/>
      <c r="CG18" s="429"/>
      <c r="CH18" s="429"/>
      <c r="CI18" s="429"/>
      <c r="CJ18" s="429"/>
      <c r="CK18" s="429"/>
      <c r="CL18" s="429"/>
      <c r="CM18" s="429"/>
      <c r="CN18" s="429"/>
      <c r="CO18" s="429"/>
      <c r="CP18" s="429"/>
      <c r="CQ18" s="429"/>
      <c r="CR18" s="429"/>
      <c r="CS18" s="429"/>
      <c r="CT18" s="429"/>
      <c r="CU18" s="429"/>
      <c r="CV18" s="429"/>
      <c r="CW18" s="429"/>
      <c r="CX18" s="429"/>
      <c r="CY18" s="429"/>
      <c r="CZ18" s="429"/>
      <c r="DA18" s="429"/>
      <c r="DB18" s="429"/>
      <c r="DC18" s="429"/>
      <c r="DD18" s="429"/>
      <c r="DE18" s="429"/>
      <c r="DF18" s="429"/>
      <c r="DG18" s="429"/>
      <c r="DH18" s="429"/>
      <c r="DI18" s="429"/>
      <c r="DJ18" s="429"/>
      <c r="DK18" s="429"/>
      <c r="DL18" s="429"/>
      <c r="DM18" s="429"/>
      <c r="DN18" s="429"/>
      <c r="DO18" s="429"/>
      <c r="DP18" s="429"/>
      <c r="DQ18" s="429"/>
      <c r="DR18" s="429"/>
      <c r="DS18" s="429"/>
      <c r="DT18" s="429"/>
      <c r="DU18" s="429"/>
      <c r="DV18" s="429"/>
      <c r="DW18" s="429"/>
      <c r="DX18" s="429"/>
      <c r="DY18" s="429"/>
      <c r="DZ18" s="429"/>
      <c r="EA18" s="429"/>
      <c r="EB18" s="429"/>
      <c r="EC18" s="429"/>
      <c r="ED18" s="429"/>
      <c r="EE18" s="429"/>
      <c r="EF18" s="429"/>
      <c r="EG18" s="429"/>
      <c r="EH18" s="429"/>
      <c r="EI18" s="429"/>
      <c r="EJ18" s="429"/>
      <c r="EK18" s="429"/>
      <c r="EL18" s="429"/>
      <c r="EM18" s="429"/>
      <c r="EN18" s="429"/>
      <c r="EO18" s="429"/>
      <c r="EP18" s="429"/>
      <c r="EQ18" s="429"/>
      <c r="ER18" s="429"/>
      <c r="ES18" s="429"/>
      <c r="ET18" s="429"/>
      <c r="EU18" s="429"/>
      <c r="EV18" s="429"/>
      <c r="EW18" s="429"/>
      <c r="EX18" s="429"/>
      <c r="EY18" s="429"/>
      <c r="EZ18" s="429"/>
      <c r="FA18" s="429"/>
      <c r="FB18" s="429"/>
      <c r="FC18" s="429"/>
      <c r="FD18" s="429"/>
      <c r="FE18" s="429"/>
      <c r="FF18" s="429"/>
      <c r="FG18" s="429"/>
      <c r="FH18" s="429"/>
      <c r="FI18" s="429"/>
      <c r="FJ18" s="429"/>
      <c r="FK18" s="429"/>
      <c r="FL18" s="429"/>
      <c r="FM18" s="429"/>
      <c r="FN18" s="429"/>
      <c r="FO18" s="429"/>
      <c r="FP18" s="429"/>
      <c r="FQ18" s="429"/>
      <c r="FR18" s="429"/>
      <c r="FS18" s="429"/>
      <c r="FT18" s="429"/>
      <c r="FU18" s="429"/>
      <c r="FV18" s="429"/>
      <c r="FW18" s="429"/>
      <c r="FX18" s="429"/>
      <c r="FY18" s="429"/>
      <c r="FZ18" s="429"/>
      <c r="GA18" s="429"/>
      <c r="GB18" s="429"/>
      <c r="GC18" s="429"/>
      <c r="GD18" s="429"/>
      <c r="GE18" s="429"/>
      <c r="GF18" s="429"/>
      <c r="GG18" s="429"/>
      <c r="GH18" s="429"/>
      <c r="GI18" s="429"/>
      <c r="GJ18" s="429"/>
      <c r="GK18" s="429"/>
      <c r="GL18" s="429"/>
      <c r="GM18" s="429"/>
      <c r="GN18" s="429"/>
      <c r="GO18" s="429"/>
      <c r="GP18" s="429"/>
      <c r="GQ18" s="429"/>
      <c r="GR18" s="429"/>
      <c r="GS18" s="429"/>
      <c r="GT18" s="429"/>
      <c r="GU18" s="429"/>
      <c r="GV18" s="429"/>
      <c r="GW18" s="429"/>
      <c r="GX18" s="429"/>
      <c r="GY18" s="429"/>
      <c r="GZ18" s="429"/>
      <c r="HA18" s="429"/>
      <c r="HB18" s="429"/>
      <c r="HC18" s="429"/>
      <c r="HD18" s="429"/>
      <c r="HE18" s="429"/>
      <c r="HF18" s="429"/>
      <c r="HG18" s="429"/>
      <c r="HH18" s="429"/>
      <c r="HI18" s="429"/>
      <c r="HJ18" s="429"/>
      <c r="HK18" s="429"/>
      <c r="HL18" s="429"/>
      <c r="HM18" s="429"/>
      <c r="HN18" s="429"/>
      <c r="HO18" s="429"/>
      <c r="HP18" s="429"/>
      <c r="HQ18" s="429"/>
      <c r="HR18" s="429"/>
      <c r="HS18" s="429"/>
      <c r="HT18" s="429"/>
      <c r="HU18" s="429"/>
      <c r="HV18" s="429"/>
      <c r="HW18" s="429"/>
      <c r="HX18" s="429"/>
      <c r="HY18" s="429"/>
      <c r="HZ18" s="429"/>
      <c r="IA18" s="429"/>
      <c r="IB18" s="429"/>
      <c r="IC18" s="429"/>
      <c r="ID18" s="429"/>
      <c r="IE18" s="429"/>
      <c r="IF18" s="429"/>
      <c r="IG18" s="429"/>
      <c r="IH18" s="429"/>
      <c r="II18" s="429"/>
      <c r="IJ18" s="429"/>
      <c r="IK18" s="429"/>
      <c r="IL18" s="429"/>
      <c r="IM18" s="429"/>
      <c r="IN18" s="429"/>
      <c r="IO18" s="429"/>
      <c r="IP18" s="429"/>
      <c r="IQ18" s="429"/>
      <c r="IR18" s="429"/>
      <c r="IS18" s="429"/>
      <c r="IT18" s="429"/>
      <c r="IU18" s="429"/>
      <c r="IV18" s="429"/>
      <c r="IW18" s="429"/>
    </row>
    <row r="19" customFormat="false" ht="11.25" hidden="false" customHeight="false" outlineLevel="0" collapsed="false">
      <c r="A19" s="429"/>
      <c r="B19" s="429"/>
      <c r="C19" s="429"/>
      <c r="D19" s="429"/>
      <c r="E19" s="429"/>
      <c r="F19" s="429"/>
      <c r="G19" s="532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P19" s="429"/>
      <c r="AQ19" s="429"/>
      <c r="AR19" s="429"/>
      <c r="AS19" s="429"/>
      <c r="AT19" s="429"/>
      <c r="AU19" s="429"/>
      <c r="AV19" s="429"/>
      <c r="AW19" s="429"/>
      <c r="AX19" s="429"/>
      <c r="AY19" s="429"/>
      <c r="AZ19" s="429"/>
      <c r="BA19" s="429"/>
      <c r="BB19" s="429"/>
      <c r="BC19" s="429"/>
      <c r="BD19" s="429"/>
      <c r="BE19" s="429"/>
      <c r="BF19" s="429"/>
      <c r="BG19" s="429"/>
      <c r="BH19" s="429"/>
      <c r="BI19" s="429"/>
      <c r="BJ19" s="429"/>
      <c r="BK19" s="429"/>
      <c r="BL19" s="429"/>
      <c r="BM19" s="429"/>
      <c r="BN19" s="429"/>
      <c r="BO19" s="429"/>
      <c r="BP19" s="429"/>
      <c r="BQ19" s="429"/>
      <c r="BR19" s="429"/>
      <c r="BS19" s="429"/>
      <c r="BT19" s="429"/>
      <c r="BU19" s="429"/>
      <c r="BV19" s="429"/>
      <c r="BW19" s="429"/>
      <c r="BX19" s="429"/>
      <c r="BY19" s="429"/>
      <c r="BZ19" s="429"/>
      <c r="CA19" s="429"/>
      <c r="CB19" s="429"/>
      <c r="CC19" s="429"/>
      <c r="CD19" s="429"/>
      <c r="CE19" s="429"/>
      <c r="CF19" s="429"/>
      <c r="CG19" s="429"/>
      <c r="CH19" s="429"/>
      <c r="CI19" s="429"/>
      <c r="CJ19" s="429"/>
      <c r="CK19" s="429"/>
      <c r="CL19" s="429"/>
      <c r="CM19" s="429"/>
      <c r="CN19" s="429"/>
      <c r="CO19" s="429"/>
      <c r="CP19" s="429"/>
      <c r="CQ19" s="429"/>
      <c r="CR19" s="429"/>
      <c r="CS19" s="429"/>
      <c r="CT19" s="429"/>
      <c r="CU19" s="429"/>
      <c r="CV19" s="429"/>
      <c r="CW19" s="429"/>
      <c r="CX19" s="429"/>
      <c r="CY19" s="429"/>
      <c r="CZ19" s="429"/>
      <c r="DA19" s="429"/>
      <c r="DB19" s="429"/>
      <c r="DC19" s="429"/>
      <c r="DD19" s="429"/>
      <c r="DE19" s="429"/>
      <c r="DF19" s="429"/>
      <c r="DG19" s="429"/>
      <c r="DH19" s="429"/>
      <c r="DI19" s="429"/>
      <c r="DJ19" s="429"/>
      <c r="DK19" s="429"/>
      <c r="DL19" s="429"/>
      <c r="DM19" s="429"/>
      <c r="DN19" s="429"/>
      <c r="DO19" s="429"/>
      <c r="DP19" s="429"/>
      <c r="DQ19" s="429"/>
      <c r="DR19" s="429"/>
      <c r="DS19" s="429"/>
      <c r="DT19" s="429"/>
      <c r="DU19" s="429"/>
      <c r="DV19" s="429"/>
      <c r="DW19" s="429"/>
      <c r="DX19" s="429"/>
      <c r="DY19" s="429"/>
      <c r="DZ19" s="429"/>
      <c r="EA19" s="429"/>
      <c r="EB19" s="429"/>
      <c r="EC19" s="429"/>
      <c r="ED19" s="429"/>
      <c r="EE19" s="429"/>
      <c r="EF19" s="429"/>
      <c r="EG19" s="429"/>
      <c r="EH19" s="429"/>
      <c r="EI19" s="429"/>
      <c r="EJ19" s="429"/>
      <c r="EK19" s="429"/>
      <c r="EL19" s="429"/>
      <c r="EM19" s="429"/>
      <c r="EN19" s="429"/>
      <c r="EO19" s="429"/>
      <c r="EP19" s="429"/>
      <c r="EQ19" s="429"/>
      <c r="ER19" s="429"/>
      <c r="ES19" s="429"/>
      <c r="ET19" s="429"/>
      <c r="EU19" s="429"/>
      <c r="EV19" s="429"/>
      <c r="EW19" s="429"/>
      <c r="EX19" s="429"/>
      <c r="EY19" s="429"/>
      <c r="EZ19" s="429"/>
      <c r="FA19" s="429"/>
      <c r="FB19" s="429"/>
      <c r="FC19" s="429"/>
      <c r="FD19" s="429"/>
      <c r="FE19" s="429"/>
      <c r="FF19" s="429"/>
      <c r="FG19" s="429"/>
      <c r="FH19" s="429"/>
      <c r="FI19" s="429"/>
      <c r="FJ19" s="429"/>
      <c r="FK19" s="429"/>
      <c r="FL19" s="429"/>
      <c r="FM19" s="429"/>
      <c r="FN19" s="429"/>
      <c r="FO19" s="429"/>
      <c r="FP19" s="429"/>
      <c r="FQ19" s="429"/>
      <c r="FR19" s="429"/>
      <c r="FS19" s="429"/>
      <c r="FT19" s="429"/>
      <c r="FU19" s="429"/>
      <c r="FV19" s="429"/>
      <c r="FW19" s="429"/>
      <c r="FX19" s="429"/>
      <c r="FY19" s="429"/>
      <c r="FZ19" s="429"/>
      <c r="GA19" s="429"/>
      <c r="GB19" s="429"/>
      <c r="GC19" s="429"/>
      <c r="GD19" s="429"/>
      <c r="GE19" s="429"/>
      <c r="GF19" s="429"/>
      <c r="GG19" s="429"/>
      <c r="GH19" s="429"/>
      <c r="GI19" s="429"/>
      <c r="GJ19" s="429"/>
      <c r="GK19" s="429"/>
      <c r="GL19" s="429"/>
      <c r="GM19" s="429"/>
      <c r="GN19" s="429"/>
      <c r="GO19" s="429"/>
      <c r="GP19" s="429"/>
      <c r="GQ19" s="429"/>
      <c r="GR19" s="429"/>
      <c r="GS19" s="429"/>
      <c r="GT19" s="429"/>
      <c r="GU19" s="429"/>
      <c r="GV19" s="429"/>
      <c r="GW19" s="429"/>
      <c r="GX19" s="429"/>
      <c r="GY19" s="429"/>
      <c r="GZ19" s="429"/>
      <c r="HA19" s="429"/>
      <c r="HB19" s="429"/>
      <c r="HC19" s="429"/>
      <c r="HD19" s="429"/>
      <c r="HE19" s="429"/>
      <c r="HF19" s="429"/>
      <c r="HG19" s="429"/>
      <c r="HH19" s="429"/>
      <c r="HI19" s="429"/>
      <c r="HJ19" s="429"/>
      <c r="HK19" s="429"/>
      <c r="HL19" s="429"/>
      <c r="HM19" s="429"/>
      <c r="HN19" s="429"/>
      <c r="HO19" s="429"/>
      <c r="HP19" s="429"/>
      <c r="HQ19" s="429"/>
      <c r="HR19" s="429"/>
      <c r="HS19" s="429"/>
      <c r="HT19" s="429"/>
      <c r="HU19" s="429"/>
      <c r="HV19" s="429"/>
      <c r="HW19" s="429"/>
      <c r="HX19" s="429"/>
      <c r="HY19" s="429"/>
      <c r="HZ19" s="429"/>
      <c r="IA19" s="429"/>
      <c r="IB19" s="429"/>
      <c r="IC19" s="429"/>
      <c r="ID19" s="429"/>
      <c r="IE19" s="429"/>
      <c r="IF19" s="429"/>
      <c r="IG19" s="429"/>
      <c r="IH19" s="429"/>
      <c r="II19" s="429"/>
      <c r="IJ19" s="429"/>
      <c r="IK19" s="429"/>
      <c r="IL19" s="429"/>
      <c r="IM19" s="429"/>
      <c r="IN19" s="429"/>
      <c r="IO19" s="429"/>
      <c r="IP19" s="429"/>
      <c r="IQ19" s="429"/>
      <c r="IR19" s="429"/>
      <c r="IS19" s="429"/>
      <c r="IT19" s="429"/>
      <c r="IU19" s="429"/>
      <c r="IV19" s="429"/>
      <c r="IW19" s="429"/>
    </row>
    <row r="20" customFormat="false" ht="11.25" hidden="false" customHeight="false" outlineLevel="0" collapsed="false">
      <c r="A20" s="429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29"/>
      <c r="BB20" s="429"/>
      <c r="BC20" s="429"/>
      <c r="BD20" s="429"/>
      <c r="BE20" s="429"/>
      <c r="BF20" s="429"/>
      <c r="BG20" s="429"/>
      <c r="BH20" s="429"/>
      <c r="BI20" s="429"/>
      <c r="BJ20" s="429"/>
      <c r="BK20" s="429"/>
      <c r="BL20" s="429"/>
      <c r="BM20" s="429"/>
      <c r="BN20" s="429"/>
      <c r="BO20" s="429"/>
      <c r="BP20" s="429"/>
      <c r="BQ20" s="429"/>
      <c r="BR20" s="429"/>
      <c r="BS20" s="429"/>
      <c r="BT20" s="429"/>
      <c r="BU20" s="429"/>
      <c r="BV20" s="429"/>
      <c r="BW20" s="429"/>
      <c r="BX20" s="429"/>
      <c r="BY20" s="429"/>
      <c r="BZ20" s="429"/>
      <c r="CA20" s="429"/>
      <c r="CB20" s="429"/>
      <c r="CC20" s="429"/>
      <c r="CD20" s="429"/>
      <c r="CE20" s="429"/>
      <c r="CF20" s="429"/>
      <c r="CG20" s="429"/>
      <c r="CH20" s="429"/>
      <c r="CI20" s="429"/>
      <c r="CJ20" s="429"/>
      <c r="CK20" s="429"/>
      <c r="CL20" s="429"/>
      <c r="CM20" s="429"/>
      <c r="CN20" s="429"/>
      <c r="CO20" s="429"/>
      <c r="CP20" s="429"/>
      <c r="CQ20" s="429"/>
      <c r="CR20" s="429"/>
      <c r="CS20" s="429"/>
      <c r="CT20" s="429"/>
      <c r="CU20" s="429"/>
      <c r="CV20" s="429"/>
      <c r="CW20" s="429"/>
      <c r="CX20" s="429"/>
      <c r="CY20" s="429"/>
      <c r="CZ20" s="429"/>
      <c r="DA20" s="429"/>
      <c r="DB20" s="429"/>
      <c r="DC20" s="429"/>
      <c r="DD20" s="429"/>
      <c r="DE20" s="429"/>
      <c r="DF20" s="429"/>
      <c r="DG20" s="429"/>
      <c r="DH20" s="429"/>
      <c r="DI20" s="429"/>
      <c r="DJ20" s="429"/>
      <c r="DK20" s="429"/>
      <c r="DL20" s="429"/>
      <c r="DM20" s="429"/>
      <c r="DN20" s="429"/>
      <c r="DO20" s="429"/>
      <c r="DP20" s="429"/>
      <c r="DQ20" s="429"/>
      <c r="DR20" s="429"/>
      <c r="DS20" s="429"/>
      <c r="DT20" s="429"/>
      <c r="DU20" s="429"/>
      <c r="DV20" s="429"/>
      <c r="DW20" s="429"/>
      <c r="DX20" s="429"/>
      <c r="DY20" s="429"/>
      <c r="DZ20" s="429"/>
      <c r="EA20" s="429"/>
      <c r="EB20" s="429"/>
      <c r="EC20" s="429"/>
      <c r="ED20" s="429"/>
      <c r="EE20" s="429"/>
      <c r="EF20" s="429"/>
      <c r="EG20" s="429"/>
      <c r="EH20" s="429"/>
      <c r="EI20" s="429"/>
      <c r="EJ20" s="429"/>
      <c r="EK20" s="429"/>
      <c r="EL20" s="429"/>
      <c r="EM20" s="429"/>
      <c r="EN20" s="429"/>
      <c r="EO20" s="429"/>
      <c r="EP20" s="429"/>
      <c r="EQ20" s="429"/>
      <c r="ER20" s="429"/>
      <c r="ES20" s="429"/>
      <c r="ET20" s="429"/>
      <c r="EU20" s="429"/>
      <c r="EV20" s="429"/>
      <c r="EW20" s="429"/>
      <c r="EX20" s="429"/>
      <c r="EY20" s="429"/>
      <c r="EZ20" s="429"/>
      <c r="FA20" s="429"/>
      <c r="FB20" s="429"/>
      <c r="FC20" s="429"/>
      <c r="FD20" s="429"/>
      <c r="FE20" s="429"/>
      <c r="FF20" s="429"/>
      <c r="FG20" s="429"/>
      <c r="FH20" s="429"/>
      <c r="FI20" s="429"/>
      <c r="FJ20" s="429"/>
      <c r="FK20" s="429"/>
      <c r="FL20" s="429"/>
      <c r="FM20" s="429"/>
      <c r="FN20" s="429"/>
      <c r="FO20" s="429"/>
      <c r="FP20" s="429"/>
      <c r="FQ20" s="429"/>
      <c r="FR20" s="429"/>
      <c r="FS20" s="429"/>
      <c r="FT20" s="429"/>
      <c r="FU20" s="429"/>
      <c r="FV20" s="429"/>
      <c r="FW20" s="429"/>
      <c r="FX20" s="429"/>
      <c r="FY20" s="429"/>
      <c r="FZ20" s="429"/>
      <c r="GA20" s="429"/>
      <c r="GB20" s="429"/>
      <c r="GC20" s="429"/>
      <c r="GD20" s="429"/>
      <c r="GE20" s="429"/>
      <c r="GF20" s="429"/>
      <c r="GG20" s="429"/>
      <c r="GH20" s="429"/>
      <c r="GI20" s="429"/>
      <c r="GJ20" s="429"/>
      <c r="GK20" s="429"/>
      <c r="GL20" s="429"/>
      <c r="GM20" s="429"/>
      <c r="GN20" s="429"/>
      <c r="GO20" s="429"/>
      <c r="GP20" s="429"/>
      <c r="GQ20" s="429"/>
      <c r="GR20" s="429"/>
      <c r="GS20" s="429"/>
      <c r="GT20" s="429"/>
      <c r="GU20" s="429"/>
      <c r="GV20" s="429"/>
      <c r="GW20" s="429"/>
      <c r="GX20" s="429"/>
      <c r="GY20" s="429"/>
      <c r="GZ20" s="429"/>
      <c r="HA20" s="429"/>
      <c r="HB20" s="429"/>
      <c r="HC20" s="429"/>
      <c r="HD20" s="429"/>
      <c r="HE20" s="429"/>
      <c r="HF20" s="429"/>
      <c r="HG20" s="429"/>
      <c r="HH20" s="429"/>
      <c r="HI20" s="429"/>
      <c r="HJ20" s="429"/>
      <c r="HK20" s="429"/>
      <c r="HL20" s="429"/>
      <c r="HM20" s="429"/>
      <c r="HN20" s="429"/>
      <c r="HO20" s="429"/>
      <c r="HP20" s="429"/>
      <c r="HQ20" s="429"/>
      <c r="HR20" s="429"/>
      <c r="HS20" s="429"/>
      <c r="HT20" s="429"/>
      <c r="HU20" s="429"/>
      <c r="HV20" s="429"/>
      <c r="HW20" s="429"/>
      <c r="HX20" s="429"/>
      <c r="HY20" s="429"/>
      <c r="HZ20" s="429"/>
      <c r="IA20" s="429"/>
      <c r="IB20" s="429"/>
      <c r="IC20" s="429"/>
      <c r="ID20" s="429"/>
      <c r="IE20" s="429"/>
      <c r="IF20" s="429"/>
      <c r="IG20" s="429"/>
      <c r="IH20" s="429"/>
      <c r="II20" s="429"/>
      <c r="IJ20" s="429"/>
      <c r="IK20" s="429"/>
      <c r="IL20" s="429"/>
      <c r="IM20" s="429"/>
      <c r="IN20" s="429"/>
      <c r="IO20" s="429"/>
      <c r="IP20" s="429"/>
      <c r="IQ20" s="429"/>
      <c r="IR20" s="429"/>
      <c r="IS20" s="429"/>
      <c r="IT20" s="429"/>
      <c r="IU20" s="429"/>
      <c r="IV20" s="429"/>
      <c r="IW20" s="429"/>
    </row>
    <row r="21" customFormat="false" ht="11.25" hidden="false" customHeight="false" outlineLevel="0" collapsed="false">
      <c r="A21" s="429"/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29"/>
      <c r="AQ21" s="429"/>
      <c r="AR21" s="429"/>
      <c r="AS21" s="429"/>
      <c r="AT21" s="429"/>
      <c r="AU21" s="429"/>
      <c r="AV21" s="429"/>
      <c r="AW21" s="429"/>
      <c r="AX21" s="429"/>
      <c r="AY21" s="429"/>
      <c r="AZ21" s="429"/>
      <c r="BA21" s="429"/>
      <c r="BB21" s="429"/>
      <c r="BC21" s="429"/>
      <c r="BD21" s="429"/>
      <c r="BE21" s="429"/>
      <c r="BF21" s="429"/>
      <c r="BG21" s="429"/>
      <c r="BH21" s="429"/>
      <c r="BI21" s="429"/>
      <c r="BJ21" s="429"/>
      <c r="BK21" s="429"/>
      <c r="BL21" s="429"/>
      <c r="BM21" s="429"/>
      <c r="BN21" s="429"/>
      <c r="BO21" s="429"/>
      <c r="BP21" s="429"/>
      <c r="BQ21" s="429"/>
      <c r="BR21" s="429"/>
      <c r="BS21" s="429"/>
      <c r="BT21" s="429"/>
      <c r="BU21" s="429"/>
      <c r="BV21" s="429"/>
      <c r="BW21" s="429"/>
      <c r="BX21" s="429"/>
      <c r="BY21" s="429"/>
      <c r="BZ21" s="429"/>
      <c r="CA21" s="429"/>
      <c r="CB21" s="429"/>
      <c r="CC21" s="429"/>
      <c r="CD21" s="429"/>
      <c r="CE21" s="429"/>
      <c r="CF21" s="429"/>
      <c r="CG21" s="429"/>
      <c r="CH21" s="429"/>
      <c r="CI21" s="429"/>
      <c r="CJ21" s="429"/>
      <c r="CK21" s="429"/>
      <c r="CL21" s="429"/>
      <c r="CM21" s="429"/>
      <c r="CN21" s="429"/>
      <c r="CO21" s="429"/>
      <c r="CP21" s="429"/>
      <c r="CQ21" s="429"/>
      <c r="CR21" s="429"/>
      <c r="CS21" s="429"/>
      <c r="CT21" s="429"/>
      <c r="CU21" s="429"/>
      <c r="CV21" s="429"/>
      <c r="CW21" s="429"/>
      <c r="CX21" s="429"/>
      <c r="CY21" s="429"/>
      <c r="CZ21" s="429"/>
      <c r="DA21" s="429"/>
      <c r="DB21" s="429"/>
      <c r="DC21" s="429"/>
      <c r="DD21" s="429"/>
      <c r="DE21" s="429"/>
      <c r="DF21" s="429"/>
      <c r="DG21" s="429"/>
      <c r="DH21" s="429"/>
      <c r="DI21" s="429"/>
      <c r="DJ21" s="429"/>
      <c r="DK21" s="429"/>
      <c r="DL21" s="429"/>
      <c r="DM21" s="429"/>
      <c r="DN21" s="429"/>
      <c r="DO21" s="429"/>
      <c r="DP21" s="429"/>
      <c r="DQ21" s="429"/>
      <c r="DR21" s="429"/>
      <c r="DS21" s="429"/>
      <c r="DT21" s="429"/>
      <c r="DU21" s="429"/>
      <c r="DV21" s="429"/>
      <c r="DW21" s="429"/>
      <c r="DX21" s="429"/>
      <c r="DY21" s="429"/>
      <c r="DZ21" s="429"/>
      <c r="EA21" s="429"/>
      <c r="EB21" s="429"/>
      <c r="EC21" s="429"/>
      <c r="ED21" s="429"/>
      <c r="EE21" s="429"/>
      <c r="EF21" s="429"/>
      <c r="EG21" s="429"/>
      <c r="EH21" s="429"/>
      <c r="EI21" s="429"/>
      <c r="EJ21" s="429"/>
      <c r="EK21" s="429"/>
      <c r="EL21" s="429"/>
      <c r="EM21" s="429"/>
      <c r="EN21" s="429"/>
      <c r="EO21" s="429"/>
      <c r="EP21" s="429"/>
      <c r="EQ21" s="429"/>
      <c r="ER21" s="429"/>
      <c r="ES21" s="429"/>
      <c r="ET21" s="429"/>
      <c r="EU21" s="429"/>
      <c r="EV21" s="429"/>
      <c r="EW21" s="429"/>
      <c r="EX21" s="429"/>
      <c r="EY21" s="429"/>
      <c r="EZ21" s="429"/>
      <c r="FA21" s="429"/>
      <c r="FB21" s="429"/>
      <c r="FC21" s="429"/>
      <c r="FD21" s="429"/>
      <c r="FE21" s="429"/>
      <c r="FF21" s="429"/>
      <c r="FG21" s="429"/>
      <c r="FH21" s="429"/>
      <c r="FI21" s="429"/>
      <c r="FJ21" s="429"/>
      <c r="FK21" s="429"/>
      <c r="FL21" s="429"/>
      <c r="FM21" s="429"/>
      <c r="FN21" s="429"/>
      <c r="FO21" s="429"/>
      <c r="FP21" s="429"/>
      <c r="FQ21" s="429"/>
      <c r="FR21" s="429"/>
      <c r="FS21" s="429"/>
      <c r="FT21" s="429"/>
      <c r="FU21" s="429"/>
      <c r="FV21" s="429"/>
      <c r="FW21" s="429"/>
      <c r="FX21" s="429"/>
      <c r="FY21" s="429"/>
      <c r="FZ21" s="429"/>
      <c r="GA21" s="429"/>
      <c r="GB21" s="429"/>
      <c r="GC21" s="429"/>
      <c r="GD21" s="429"/>
      <c r="GE21" s="429"/>
      <c r="GF21" s="429"/>
      <c r="GG21" s="429"/>
      <c r="GH21" s="429"/>
      <c r="GI21" s="429"/>
      <c r="GJ21" s="429"/>
      <c r="GK21" s="429"/>
      <c r="GL21" s="429"/>
      <c r="GM21" s="429"/>
      <c r="GN21" s="429"/>
      <c r="GO21" s="429"/>
      <c r="GP21" s="429"/>
      <c r="GQ21" s="429"/>
      <c r="GR21" s="429"/>
      <c r="GS21" s="429"/>
      <c r="GT21" s="429"/>
      <c r="GU21" s="429"/>
      <c r="GV21" s="429"/>
      <c r="GW21" s="429"/>
      <c r="GX21" s="429"/>
      <c r="GY21" s="429"/>
      <c r="GZ21" s="429"/>
      <c r="HA21" s="429"/>
      <c r="HB21" s="429"/>
      <c r="HC21" s="429"/>
      <c r="HD21" s="429"/>
      <c r="HE21" s="429"/>
      <c r="HF21" s="429"/>
      <c r="HG21" s="429"/>
      <c r="HH21" s="429"/>
      <c r="HI21" s="429"/>
      <c r="HJ21" s="429"/>
      <c r="HK21" s="429"/>
      <c r="HL21" s="429"/>
      <c r="HM21" s="429"/>
      <c r="HN21" s="429"/>
      <c r="HO21" s="429"/>
      <c r="HP21" s="429"/>
      <c r="HQ21" s="429"/>
      <c r="HR21" s="429"/>
      <c r="HS21" s="429"/>
      <c r="HT21" s="429"/>
      <c r="HU21" s="429"/>
      <c r="HV21" s="429"/>
      <c r="HW21" s="429"/>
      <c r="HX21" s="429"/>
      <c r="HY21" s="429"/>
      <c r="HZ21" s="429"/>
      <c r="IA21" s="429"/>
      <c r="IB21" s="429"/>
      <c r="IC21" s="429"/>
      <c r="ID21" s="429"/>
      <c r="IE21" s="429"/>
      <c r="IF21" s="429"/>
      <c r="IG21" s="429"/>
      <c r="IH21" s="429"/>
      <c r="II21" s="429"/>
      <c r="IJ21" s="429"/>
      <c r="IK21" s="429"/>
      <c r="IL21" s="429"/>
      <c r="IM21" s="429"/>
      <c r="IN21" s="429"/>
      <c r="IO21" s="429"/>
      <c r="IP21" s="429"/>
      <c r="IQ21" s="429"/>
      <c r="IR21" s="429"/>
      <c r="IS21" s="429"/>
      <c r="IT21" s="429"/>
      <c r="IU21" s="429"/>
      <c r="IV21" s="429"/>
      <c r="IW21" s="429"/>
    </row>
    <row r="22" customFormat="false" ht="11.25" hidden="false" customHeight="false" outlineLevel="0" collapsed="false">
      <c r="A22" s="429"/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429"/>
      <c r="AP22" s="429"/>
      <c r="AQ22" s="429"/>
      <c r="AR22" s="429"/>
      <c r="AS22" s="429"/>
      <c r="AT22" s="429"/>
      <c r="AU22" s="429"/>
      <c r="AV22" s="429"/>
      <c r="AW22" s="429"/>
      <c r="AX22" s="429"/>
      <c r="AY22" s="429"/>
      <c r="AZ22" s="429"/>
      <c r="BA22" s="429"/>
      <c r="BB22" s="429"/>
      <c r="BC22" s="429"/>
      <c r="BD22" s="429"/>
      <c r="BE22" s="429"/>
      <c r="BF22" s="429"/>
      <c r="BG22" s="429"/>
      <c r="BH22" s="429"/>
      <c r="BI22" s="429"/>
      <c r="BJ22" s="429"/>
      <c r="BK22" s="429"/>
      <c r="BL22" s="429"/>
      <c r="BM22" s="429"/>
      <c r="BN22" s="429"/>
      <c r="BO22" s="429"/>
      <c r="BP22" s="429"/>
      <c r="BQ22" s="429"/>
      <c r="BR22" s="429"/>
      <c r="BS22" s="429"/>
      <c r="BT22" s="429"/>
      <c r="BU22" s="429"/>
      <c r="BV22" s="429"/>
      <c r="BW22" s="429"/>
      <c r="BX22" s="429"/>
      <c r="BY22" s="429"/>
      <c r="BZ22" s="429"/>
      <c r="CA22" s="429"/>
      <c r="CB22" s="429"/>
      <c r="CC22" s="429"/>
      <c r="CD22" s="429"/>
      <c r="CE22" s="429"/>
      <c r="CF22" s="429"/>
      <c r="CG22" s="429"/>
      <c r="CH22" s="429"/>
      <c r="CI22" s="429"/>
      <c r="CJ22" s="429"/>
      <c r="CK22" s="429"/>
      <c r="CL22" s="429"/>
      <c r="CM22" s="429"/>
      <c r="CN22" s="429"/>
      <c r="CO22" s="429"/>
      <c r="CP22" s="429"/>
      <c r="CQ22" s="429"/>
      <c r="CR22" s="429"/>
      <c r="CS22" s="429"/>
      <c r="CT22" s="429"/>
      <c r="CU22" s="429"/>
      <c r="CV22" s="429"/>
      <c r="CW22" s="429"/>
      <c r="CX22" s="429"/>
      <c r="CY22" s="429"/>
      <c r="CZ22" s="429"/>
      <c r="DA22" s="429"/>
      <c r="DB22" s="429"/>
      <c r="DC22" s="429"/>
      <c r="DD22" s="429"/>
      <c r="DE22" s="429"/>
      <c r="DF22" s="429"/>
      <c r="DG22" s="429"/>
      <c r="DH22" s="429"/>
      <c r="DI22" s="429"/>
      <c r="DJ22" s="429"/>
      <c r="DK22" s="429"/>
      <c r="DL22" s="429"/>
      <c r="DM22" s="429"/>
      <c r="DN22" s="429"/>
      <c r="DO22" s="429"/>
      <c r="DP22" s="429"/>
      <c r="DQ22" s="429"/>
      <c r="DR22" s="429"/>
      <c r="DS22" s="429"/>
      <c r="DT22" s="429"/>
      <c r="DU22" s="429"/>
      <c r="DV22" s="429"/>
      <c r="DW22" s="429"/>
      <c r="DX22" s="429"/>
      <c r="DY22" s="429"/>
      <c r="DZ22" s="429"/>
      <c r="EA22" s="429"/>
      <c r="EB22" s="429"/>
      <c r="EC22" s="429"/>
      <c r="ED22" s="429"/>
      <c r="EE22" s="429"/>
      <c r="EF22" s="429"/>
      <c r="EG22" s="429"/>
      <c r="EH22" s="429"/>
      <c r="EI22" s="429"/>
      <c r="EJ22" s="429"/>
      <c r="EK22" s="429"/>
      <c r="EL22" s="429"/>
      <c r="EM22" s="429"/>
      <c r="EN22" s="429"/>
      <c r="EO22" s="429"/>
      <c r="EP22" s="429"/>
      <c r="EQ22" s="429"/>
      <c r="ER22" s="429"/>
      <c r="ES22" s="429"/>
      <c r="ET22" s="429"/>
      <c r="EU22" s="429"/>
      <c r="EV22" s="429"/>
      <c r="EW22" s="429"/>
      <c r="EX22" s="429"/>
      <c r="EY22" s="429"/>
      <c r="EZ22" s="429"/>
      <c r="FA22" s="429"/>
      <c r="FB22" s="429"/>
      <c r="FC22" s="429"/>
      <c r="FD22" s="429"/>
      <c r="FE22" s="429"/>
      <c r="FF22" s="429"/>
      <c r="FG22" s="429"/>
      <c r="FH22" s="429"/>
      <c r="FI22" s="429"/>
      <c r="FJ22" s="429"/>
      <c r="FK22" s="429"/>
      <c r="FL22" s="429"/>
      <c r="FM22" s="429"/>
      <c r="FN22" s="429"/>
      <c r="FO22" s="429"/>
      <c r="FP22" s="429"/>
      <c r="FQ22" s="429"/>
      <c r="FR22" s="429"/>
      <c r="FS22" s="429"/>
      <c r="FT22" s="429"/>
      <c r="FU22" s="429"/>
      <c r="FV22" s="429"/>
      <c r="FW22" s="429"/>
      <c r="FX22" s="429"/>
      <c r="FY22" s="429"/>
      <c r="FZ22" s="429"/>
      <c r="GA22" s="429"/>
      <c r="GB22" s="429"/>
      <c r="GC22" s="429"/>
      <c r="GD22" s="429"/>
      <c r="GE22" s="429"/>
      <c r="GF22" s="429"/>
      <c r="GG22" s="429"/>
      <c r="GH22" s="429"/>
      <c r="GI22" s="429"/>
      <c r="GJ22" s="429"/>
      <c r="GK22" s="429"/>
      <c r="GL22" s="429"/>
      <c r="GM22" s="429"/>
      <c r="GN22" s="429"/>
      <c r="GO22" s="429"/>
      <c r="GP22" s="429"/>
      <c r="GQ22" s="429"/>
      <c r="GR22" s="429"/>
      <c r="GS22" s="429"/>
      <c r="GT22" s="429"/>
      <c r="GU22" s="429"/>
      <c r="GV22" s="429"/>
      <c r="GW22" s="429"/>
      <c r="GX22" s="429"/>
      <c r="GY22" s="429"/>
      <c r="GZ22" s="429"/>
      <c r="HA22" s="429"/>
      <c r="HB22" s="429"/>
      <c r="HC22" s="429"/>
      <c r="HD22" s="429"/>
      <c r="HE22" s="429"/>
      <c r="HF22" s="429"/>
      <c r="HG22" s="429"/>
      <c r="HH22" s="429"/>
      <c r="HI22" s="429"/>
      <c r="HJ22" s="429"/>
      <c r="HK22" s="429"/>
      <c r="HL22" s="429"/>
      <c r="HM22" s="429"/>
      <c r="HN22" s="429"/>
      <c r="HO22" s="429"/>
      <c r="HP22" s="429"/>
      <c r="HQ22" s="429"/>
      <c r="HR22" s="429"/>
      <c r="HS22" s="429"/>
      <c r="HT22" s="429"/>
      <c r="HU22" s="429"/>
      <c r="HV22" s="429"/>
      <c r="HW22" s="429"/>
      <c r="HX22" s="429"/>
      <c r="HY22" s="429"/>
      <c r="HZ22" s="429"/>
      <c r="IA22" s="429"/>
      <c r="IB22" s="429"/>
      <c r="IC22" s="429"/>
      <c r="ID22" s="429"/>
      <c r="IE22" s="429"/>
      <c r="IF22" s="429"/>
      <c r="IG22" s="429"/>
      <c r="IH22" s="429"/>
      <c r="II22" s="429"/>
      <c r="IJ22" s="429"/>
      <c r="IK22" s="429"/>
      <c r="IL22" s="429"/>
      <c r="IM22" s="429"/>
      <c r="IN22" s="429"/>
      <c r="IO22" s="429"/>
      <c r="IP22" s="429"/>
      <c r="IQ22" s="429"/>
      <c r="IR22" s="429"/>
      <c r="IS22" s="429"/>
      <c r="IT22" s="429"/>
      <c r="IU22" s="429"/>
      <c r="IV22" s="429"/>
      <c r="IW22" s="429"/>
    </row>
    <row r="23" customFormat="false" ht="11.25" hidden="false" customHeight="false" outlineLevel="0" collapsed="false">
      <c r="A23" s="429"/>
      <c r="B23" s="429"/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429"/>
      <c r="AG23" s="429"/>
      <c r="AH23" s="429"/>
      <c r="AI23" s="429"/>
      <c r="AJ23" s="429"/>
      <c r="AK23" s="429"/>
      <c r="AL23" s="429"/>
      <c r="AM23" s="429"/>
      <c r="AN23" s="429"/>
      <c r="AO23" s="429"/>
      <c r="AP23" s="429"/>
      <c r="AQ23" s="429"/>
      <c r="AR23" s="429"/>
      <c r="AS23" s="429"/>
      <c r="AT23" s="429"/>
      <c r="AU23" s="429"/>
      <c r="AV23" s="429"/>
      <c r="AW23" s="429"/>
      <c r="AX23" s="429"/>
      <c r="AY23" s="429"/>
      <c r="AZ23" s="429"/>
      <c r="BA23" s="429"/>
      <c r="BB23" s="429"/>
      <c r="BC23" s="429"/>
      <c r="BD23" s="429"/>
      <c r="BE23" s="429"/>
      <c r="BF23" s="429"/>
      <c r="BG23" s="429"/>
      <c r="BH23" s="429"/>
      <c r="BI23" s="429"/>
      <c r="BJ23" s="429"/>
      <c r="BK23" s="429"/>
      <c r="BL23" s="429"/>
      <c r="BM23" s="429"/>
      <c r="BN23" s="429"/>
      <c r="BO23" s="429"/>
      <c r="BP23" s="429"/>
      <c r="BQ23" s="429"/>
      <c r="BR23" s="429"/>
      <c r="BS23" s="429"/>
      <c r="BT23" s="429"/>
      <c r="BU23" s="429"/>
      <c r="BV23" s="429"/>
      <c r="BW23" s="429"/>
      <c r="BX23" s="429"/>
      <c r="BY23" s="429"/>
      <c r="BZ23" s="429"/>
      <c r="CA23" s="429"/>
      <c r="CB23" s="429"/>
      <c r="CC23" s="429"/>
      <c r="CD23" s="429"/>
      <c r="CE23" s="429"/>
      <c r="CF23" s="429"/>
      <c r="CG23" s="429"/>
      <c r="CH23" s="429"/>
      <c r="CI23" s="429"/>
      <c r="CJ23" s="429"/>
      <c r="CK23" s="429"/>
      <c r="CL23" s="429"/>
      <c r="CM23" s="429"/>
      <c r="CN23" s="429"/>
      <c r="CO23" s="429"/>
      <c r="CP23" s="429"/>
      <c r="CQ23" s="429"/>
      <c r="CR23" s="429"/>
      <c r="CS23" s="429"/>
      <c r="CT23" s="429"/>
      <c r="CU23" s="429"/>
      <c r="CV23" s="429"/>
      <c r="CW23" s="429"/>
      <c r="CX23" s="429"/>
      <c r="CY23" s="429"/>
      <c r="CZ23" s="429"/>
      <c r="DA23" s="429"/>
      <c r="DB23" s="429"/>
      <c r="DC23" s="429"/>
      <c r="DD23" s="429"/>
      <c r="DE23" s="429"/>
      <c r="DF23" s="429"/>
      <c r="DG23" s="429"/>
      <c r="DH23" s="429"/>
      <c r="DI23" s="429"/>
      <c r="DJ23" s="429"/>
      <c r="DK23" s="429"/>
      <c r="DL23" s="429"/>
      <c r="DM23" s="429"/>
      <c r="DN23" s="429"/>
      <c r="DO23" s="429"/>
      <c r="DP23" s="429"/>
      <c r="DQ23" s="429"/>
      <c r="DR23" s="429"/>
      <c r="DS23" s="429"/>
      <c r="DT23" s="429"/>
      <c r="DU23" s="429"/>
      <c r="DV23" s="429"/>
      <c r="DW23" s="429"/>
      <c r="DX23" s="429"/>
      <c r="DY23" s="429"/>
      <c r="DZ23" s="429"/>
      <c r="EA23" s="429"/>
      <c r="EB23" s="429"/>
      <c r="EC23" s="429"/>
      <c r="ED23" s="429"/>
      <c r="EE23" s="429"/>
      <c r="EF23" s="429"/>
      <c r="EG23" s="429"/>
      <c r="EH23" s="429"/>
      <c r="EI23" s="429"/>
      <c r="EJ23" s="429"/>
      <c r="EK23" s="429"/>
      <c r="EL23" s="429"/>
      <c r="EM23" s="429"/>
      <c r="EN23" s="429"/>
      <c r="EO23" s="429"/>
      <c r="EP23" s="429"/>
      <c r="EQ23" s="429"/>
      <c r="ER23" s="429"/>
      <c r="ES23" s="429"/>
      <c r="ET23" s="429"/>
      <c r="EU23" s="429"/>
      <c r="EV23" s="429"/>
      <c r="EW23" s="429"/>
      <c r="EX23" s="429"/>
      <c r="EY23" s="429"/>
      <c r="EZ23" s="429"/>
      <c r="FA23" s="429"/>
      <c r="FB23" s="429"/>
      <c r="FC23" s="429"/>
      <c r="FD23" s="429"/>
      <c r="FE23" s="429"/>
      <c r="FF23" s="429"/>
      <c r="FG23" s="429"/>
      <c r="FH23" s="429"/>
      <c r="FI23" s="429"/>
      <c r="FJ23" s="429"/>
      <c r="FK23" s="429"/>
      <c r="FL23" s="429"/>
      <c r="FM23" s="429"/>
      <c r="FN23" s="429"/>
      <c r="FO23" s="429"/>
      <c r="FP23" s="429"/>
      <c r="FQ23" s="429"/>
      <c r="FR23" s="429"/>
      <c r="FS23" s="429"/>
      <c r="FT23" s="429"/>
      <c r="FU23" s="429"/>
      <c r="FV23" s="429"/>
      <c r="FW23" s="429"/>
      <c r="FX23" s="429"/>
      <c r="FY23" s="429"/>
      <c r="FZ23" s="429"/>
      <c r="GA23" s="429"/>
      <c r="GB23" s="429"/>
      <c r="GC23" s="429"/>
      <c r="GD23" s="429"/>
      <c r="GE23" s="429"/>
      <c r="GF23" s="429"/>
      <c r="GG23" s="429"/>
      <c r="GH23" s="429"/>
      <c r="GI23" s="429"/>
      <c r="GJ23" s="429"/>
      <c r="GK23" s="429"/>
      <c r="GL23" s="429"/>
      <c r="GM23" s="429"/>
      <c r="GN23" s="429"/>
      <c r="GO23" s="429"/>
      <c r="GP23" s="429"/>
      <c r="GQ23" s="429"/>
      <c r="GR23" s="429"/>
      <c r="GS23" s="429"/>
      <c r="GT23" s="429"/>
      <c r="GU23" s="429"/>
      <c r="GV23" s="429"/>
      <c r="GW23" s="429"/>
      <c r="GX23" s="429"/>
      <c r="GY23" s="429"/>
      <c r="GZ23" s="429"/>
      <c r="HA23" s="429"/>
      <c r="HB23" s="429"/>
      <c r="HC23" s="429"/>
      <c r="HD23" s="429"/>
      <c r="HE23" s="429"/>
      <c r="HF23" s="429"/>
      <c r="HG23" s="429"/>
      <c r="HH23" s="429"/>
      <c r="HI23" s="429"/>
      <c r="HJ23" s="429"/>
      <c r="HK23" s="429"/>
      <c r="HL23" s="429"/>
      <c r="HM23" s="429"/>
      <c r="HN23" s="429"/>
      <c r="HO23" s="429"/>
      <c r="HP23" s="429"/>
      <c r="HQ23" s="429"/>
      <c r="HR23" s="429"/>
      <c r="HS23" s="429"/>
      <c r="HT23" s="429"/>
      <c r="HU23" s="429"/>
      <c r="HV23" s="429"/>
      <c r="HW23" s="429"/>
      <c r="HX23" s="429"/>
      <c r="HY23" s="429"/>
      <c r="HZ23" s="429"/>
      <c r="IA23" s="429"/>
      <c r="IB23" s="429"/>
      <c r="IC23" s="429"/>
      <c r="ID23" s="429"/>
      <c r="IE23" s="429"/>
      <c r="IF23" s="429"/>
      <c r="IG23" s="429"/>
      <c r="IH23" s="429"/>
      <c r="II23" s="429"/>
      <c r="IJ23" s="429"/>
      <c r="IK23" s="429"/>
      <c r="IL23" s="429"/>
      <c r="IM23" s="429"/>
      <c r="IN23" s="429"/>
      <c r="IO23" s="429"/>
      <c r="IP23" s="429"/>
      <c r="IQ23" s="429"/>
      <c r="IR23" s="429"/>
      <c r="IS23" s="429"/>
      <c r="IT23" s="429"/>
      <c r="IU23" s="429"/>
      <c r="IV23" s="429"/>
      <c r="IW23" s="429"/>
    </row>
    <row r="24" customFormat="false" ht="11.25" hidden="false" customHeight="false" outlineLevel="0" collapsed="false">
      <c r="A24" s="429"/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  <c r="AM24" s="429"/>
      <c r="AN24" s="429"/>
      <c r="AO24" s="429"/>
      <c r="AP24" s="429"/>
      <c r="AQ24" s="429"/>
      <c r="AR24" s="429"/>
      <c r="AS24" s="429"/>
      <c r="AT24" s="429"/>
      <c r="AU24" s="429"/>
      <c r="AV24" s="429"/>
      <c r="AW24" s="429"/>
      <c r="AX24" s="429"/>
      <c r="AY24" s="429"/>
      <c r="AZ24" s="429"/>
      <c r="BA24" s="429"/>
      <c r="BB24" s="429"/>
      <c r="BC24" s="429"/>
      <c r="BD24" s="429"/>
      <c r="BE24" s="429"/>
      <c r="BF24" s="429"/>
      <c r="BG24" s="429"/>
      <c r="BH24" s="429"/>
      <c r="BI24" s="429"/>
      <c r="BJ24" s="429"/>
      <c r="BK24" s="429"/>
      <c r="BL24" s="429"/>
      <c r="BM24" s="429"/>
      <c r="BN24" s="429"/>
      <c r="BO24" s="429"/>
      <c r="BP24" s="429"/>
      <c r="BQ24" s="429"/>
      <c r="BR24" s="429"/>
      <c r="BS24" s="429"/>
      <c r="BT24" s="429"/>
      <c r="BU24" s="429"/>
      <c r="BV24" s="429"/>
      <c r="BW24" s="429"/>
      <c r="BX24" s="429"/>
      <c r="BY24" s="429"/>
      <c r="BZ24" s="429"/>
      <c r="CA24" s="429"/>
      <c r="CB24" s="429"/>
      <c r="CC24" s="429"/>
      <c r="CD24" s="429"/>
      <c r="CE24" s="429"/>
      <c r="CF24" s="429"/>
      <c r="CG24" s="429"/>
      <c r="CH24" s="429"/>
      <c r="CI24" s="429"/>
      <c r="CJ24" s="429"/>
      <c r="CK24" s="429"/>
      <c r="CL24" s="429"/>
      <c r="CM24" s="429"/>
      <c r="CN24" s="429"/>
      <c r="CO24" s="429"/>
      <c r="CP24" s="429"/>
      <c r="CQ24" s="429"/>
      <c r="CR24" s="429"/>
      <c r="CS24" s="429"/>
      <c r="CT24" s="429"/>
      <c r="CU24" s="429"/>
      <c r="CV24" s="429"/>
      <c r="CW24" s="429"/>
      <c r="CX24" s="429"/>
      <c r="CY24" s="429"/>
      <c r="CZ24" s="429"/>
      <c r="DA24" s="429"/>
      <c r="DB24" s="429"/>
      <c r="DC24" s="429"/>
      <c r="DD24" s="429"/>
      <c r="DE24" s="429"/>
      <c r="DF24" s="429"/>
      <c r="DG24" s="429"/>
      <c r="DH24" s="429"/>
      <c r="DI24" s="429"/>
      <c r="DJ24" s="429"/>
      <c r="DK24" s="429"/>
      <c r="DL24" s="429"/>
      <c r="DM24" s="429"/>
      <c r="DN24" s="429"/>
      <c r="DO24" s="429"/>
      <c r="DP24" s="429"/>
      <c r="DQ24" s="429"/>
      <c r="DR24" s="429"/>
      <c r="DS24" s="429"/>
      <c r="DT24" s="429"/>
      <c r="DU24" s="429"/>
      <c r="DV24" s="429"/>
      <c r="DW24" s="429"/>
      <c r="DX24" s="429"/>
      <c r="DY24" s="429"/>
      <c r="DZ24" s="429"/>
      <c r="EA24" s="429"/>
      <c r="EB24" s="429"/>
      <c r="EC24" s="429"/>
      <c r="ED24" s="429"/>
      <c r="EE24" s="429"/>
      <c r="EF24" s="429"/>
      <c r="EG24" s="429"/>
      <c r="EH24" s="429"/>
      <c r="EI24" s="429"/>
      <c r="EJ24" s="429"/>
      <c r="EK24" s="429"/>
      <c r="EL24" s="429"/>
      <c r="EM24" s="429"/>
      <c r="EN24" s="429"/>
      <c r="EO24" s="429"/>
      <c r="EP24" s="429"/>
      <c r="EQ24" s="429"/>
      <c r="ER24" s="429"/>
      <c r="ES24" s="429"/>
      <c r="ET24" s="429"/>
      <c r="EU24" s="429"/>
      <c r="EV24" s="429"/>
      <c r="EW24" s="429"/>
      <c r="EX24" s="429"/>
      <c r="EY24" s="429"/>
      <c r="EZ24" s="429"/>
      <c r="FA24" s="429"/>
      <c r="FB24" s="429"/>
      <c r="FC24" s="429"/>
      <c r="FD24" s="429"/>
      <c r="FE24" s="429"/>
      <c r="FF24" s="429"/>
      <c r="FG24" s="429"/>
      <c r="FH24" s="429"/>
      <c r="FI24" s="429"/>
      <c r="FJ24" s="429"/>
      <c r="FK24" s="429"/>
      <c r="FL24" s="429"/>
      <c r="FM24" s="429"/>
      <c r="FN24" s="429"/>
      <c r="FO24" s="429"/>
      <c r="FP24" s="429"/>
      <c r="FQ24" s="429"/>
      <c r="FR24" s="429"/>
      <c r="FS24" s="429"/>
      <c r="FT24" s="429"/>
      <c r="FU24" s="429"/>
      <c r="FV24" s="429"/>
      <c r="FW24" s="429"/>
      <c r="FX24" s="429"/>
      <c r="FY24" s="429"/>
      <c r="FZ24" s="429"/>
      <c r="GA24" s="429"/>
      <c r="GB24" s="429"/>
      <c r="GC24" s="429"/>
      <c r="GD24" s="429"/>
      <c r="GE24" s="429"/>
      <c r="GF24" s="429"/>
      <c r="GG24" s="429"/>
      <c r="GH24" s="429"/>
      <c r="GI24" s="429"/>
      <c r="GJ24" s="429"/>
      <c r="GK24" s="429"/>
      <c r="GL24" s="429"/>
      <c r="GM24" s="429"/>
      <c r="GN24" s="429"/>
      <c r="GO24" s="429"/>
      <c r="GP24" s="429"/>
      <c r="GQ24" s="429"/>
      <c r="GR24" s="429"/>
      <c r="GS24" s="429"/>
      <c r="GT24" s="429"/>
      <c r="GU24" s="429"/>
      <c r="GV24" s="429"/>
      <c r="GW24" s="429"/>
      <c r="GX24" s="429"/>
      <c r="GY24" s="429"/>
      <c r="GZ24" s="429"/>
      <c r="HA24" s="429"/>
      <c r="HB24" s="429"/>
      <c r="HC24" s="429"/>
      <c r="HD24" s="429"/>
      <c r="HE24" s="429"/>
      <c r="HF24" s="429"/>
      <c r="HG24" s="429"/>
      <c r="HH24" s="429"/>
      <c r="HI24" s="429"/>
      <c r="HJ24" s="429"/>
      <c r="HK24" s="429"/>
      <c r="HL24" s="429"/>
      <c r="HM24" s="429"/>
      <c r="HN24" s="429"/>
      <c r="HO24" s="429"/>
      <c r="HP24" s="429"/>
      <c r="HQ24" s="429"/>
      <c r="HR24" s="429"/>
      <c r="HS24" s="429"/>
      <c r="HT24" s="429"/>
      <c r="HU24" s="429"/>
      <c r="HV24" s="429"/>
      <c r="HW24" s="429"/>
      <c r="HX24" s="429"/>
      <c r="HY24" s="429"/>
      <c r="HZ24" s="429"/>
      <c r="IA24" s="429"/>
      <c r="IB24" s="429"/>
      <c r="IC24" s="429"/>
      <c r="ID24" s="429"/>
      <c r="IE24" s="429"/>
      <c r="IF24" s="429"/>
      <c r="IG24" s="429"/>
      <c r="IH24" s="429"/>
      <c r="II24" s="429"/>
      <c r="IJ24" s="429"/>
      <c r="IK24" s="429"/>
      <c r="IL24" s="429"/>
      <c r="IM24" s="429"/>
      <c r="IN24" s="429"/>
      <c r="IO24" s="429"/>
      <c r="IP24" s="429"/>
      <c r="IQ24" s="429"/>
      <c r="IR24" s="429"/>
      <c r="IS24" s="429"/>
      <c r="IT24" s="429"/>
      <c r="IU24" s="429"/>
      <c r="IV24" s="429"/>
      <c r="IW24" s="429"/>
    </row>
    <row r="25" customFormat="false" ht="11.25" hidden="false" customHeight="false" outlineLevel="0" collapsed="false">
      <c r="A25" s="429"/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29"/>
      <c r="AQ25" s="429"/>
      <c r="AR25" s="429"/>
      <c r="AS25" s="429"/>
      <c r="AT25" s="429"/>
      <c r="AU25" s="429"/>
      <c r="AV25" s="429"/>
      <c r="AW25" s="429"/>
      <c r="AX25" s="429"/>
      <c r="AY25" s="429"/>
      <c r="AZ25" s="429"/>
      <c r="BA25" s="429"/>
      <c r="BB25" s="429"/>
      <c r="BC25" s="429"/>
      <c r="BD25" s="429"/>
      <c r="BE25" s="429"/>
      <c r="BF25" s="429"/>
      <c r="BG25" s="429"/>
      <c r="BH25" s="429"/>
      <c r="BI25" s="429"/>
      <c r="BJ25" s="429"/>
      <c r="BK25" s="429"/>
      <c r="BL25" s="429"/>
      <c r="BM25" s="429"/>
      <c r="BN25" s="429"/>
      <c r="BO25" s="429"/>
      <c r="BP25" s="429"/>
      <c r="BQ25" s="429"/>
      <c r="BR25" s="429"/>
      <c r="BS25" s="429"/>
      <c r="BT25" s="429"/>
      <c r="BU25" s="429"/>
      <c r="BV25" s="429"/>
      <c r="BW25" s="429"/>
      <c r="BX25" s="429"/>
      <c r="BY25" s="429"/>
      <c r="BZ25" s="429"/>
      <c r="CA25" s="429"/>
      <c r="CB25" s="429"/>
      <c r="CC25" s="429"/>
      <c r="CD25" s="429"/>
      <c r="CE25" s="429"/>
      <c r="CF25" s="429"/>
      <c r="CG25" s="429"/>
      <c r="CH25" s="429"/>
      <c r="CI25" s="429"/>
      <c r="CJ25" s="429"/>
      <c r="CK25" s="429"/>
      <c r="CL25" s="429"/>
      <c r="CM25" s="429"/>
      <c r="CN25" s="429"/>
      <c r="CO25" s="429"/>
      <c r="CP25" s="429"/>
      <c r="CQ25" s="429"/>
      <c r="CR25" s="429"/>
      <c r="CS25" s="429"/>
      <c r="CT25" s="429"/>
      <c r="CU25" s="429"/>
      <c r="CV25" s="429"/>
      <c r="CW25" s="429"/>
      <c r="CX25" s="429"/>
      <c r="CY25" s="429"/>
      <c r="CZ25" s="429"/>
      <c r="DA25" s="429"/>
      <c r="DB25" s="429"/>
      <c r="DC25" s="429"/>
      <c r="DD25" s="429"/>
      <c r="DE25" s="429"/>
      <c r="DF25" s="429"/>
      <c r="DG25" s="429"/>
      <c r="DH25" s="429"/>
      <c r="DI25" s="429"/>
      <c r="DJ25" s="429"/>
      <c r="DK25" s="429"/>
      <c r="DL25" s="429"/>
      <c r="DM25" s="429"/>
      <c r="DN25" s="429"/>
      <c r="DO25" s="429"/>
      <c r="DP25" s="429"/>
      <c r="DQ25" s="429"/>
      <c r="DR25" s="429"/>
      <c r="DS25" s="429"/>
      <c r="DT25" s="429"/>
      <c r="DU25" s="429"/>
      <c r="DV25" s="429"/>
      <c r="DW25" s="429"/>
      <c r="DX25" s="429"/>
      <c r="DY25" s="429"/>
      <c r="DZ25" s="429"/>
      <c r="EA25" s="429"/>
      <c r="EB25" s="429"/>
      <c r="EC25" s="429"/>
      <c r="ED25" s="429"/>
      <c r="EE25" s="429"/>
      <c r="EF25" s="429"/>
      <c r="EG25" s="429"/>
      <c r="EH25" s="429"/>
      <c r="EI25" s="429"/>
      <c r="EJ25" s="429"/>
      <c r="EK25" s="429"/>
      <c r="EL25" s="429"/>
      <c r="EM25" s="429"/>
      <c r="EN25" s="429"/>
      <c r="EO25" s="429"/>
      <c r="EP25" s="429"/>
      <c r="EQ25" s="429"/>
      <c r="ER25" s="429"/>
      <c r="ES25" s="429"/>
      <c r="ET25" s="429"/>
      <c r="EU25" s="429"/>
      <c r="EV25" s="429"/>
      <c r="EW25" s="429"/>
      <c r="EX25" s="429"/>
      <c r="EY25" s="429"/>
      <c r="EZ25" s="429"/>
      <c r="FA25" s="429"/>
      <c r="FB25" s="429"/>
      <c r="FC25" s="429"/>
      <c r="FD25" s="429"/>
      <c r="FE25" s="429"/>
      <c r="FF25" s="429"/>
      <c r="FG25" s="429"/>
      <c r="FH25" s="429"/>
      <c r="FI25" s="429"/>
      <c r="FJ25" s="429"/>
      <c r="FK25" s="429"/>
      <c r="FL25" s="429"/>
      <c r="FM25" s="429"/>
      <c r="FN25" s="429"/>
      <c r="FO25" s="429"/>
      <c r="FP25" s="429"/>
      <c r="FQ25" s="429"/>
      <c r="FR25" s="429"/>
      <c r="FS25" s="429"/>
      <c r="FT25" s="429"/>
      <c r="FU25" s="429"/>
      <c r="FV25" s="429"/>
      <c r="FW25" s="429"/>
      <c r="FX25" s="429"/>
      <c r="FY25" s="429"/>
      <c r="FZ25" s="429"/>
      <c r="GA25" s="429"/>
      <c r="GB25" s="429"/>
      <c r="GC25" s="429"/>
      <c r="GD25" s="429"/>
      <c r="GE25" s="429"/>
      <c r="GF25" s="429"/>
      <c r="GG25" s="429"/>
      <c r="GH25" s="429"/>
      <c r="GI25" s="429"/>
      <c r="GJ25" s="429"/>
      <c r="GK25" s="429"/>
      <c r="GL25" s="429"/>
      <c r="GM25" s="429"/>
      <c r="GN25" s="429"/>
      <c r="GO25" s="429"/>
      <c r="GP25" s="429"/>
      <c r="GQ25" s="429"/>
      <c r="GR25" s="429"/>
      <c r="GS25" s="429"/>
      <c r="GT25" s="429"/>
      <c r="GU25" s="429"/>
      <c r="GV25" s="429"/>
      <c r="GW25" s="429"/>
      <c r="GX25" s="429"/>
      <c r="GY25" s="429"/>
      <c r="GZ25" s="429"/>
      <c r="HA25" s="429"/>
      <c r="HB25" s="429"/>
      <c r="HC25" s="429"/>
      <c r="HD25" s="429"/>
      <c r="HE25" s="429"/>
      <c r="HF25" s="429"/>
      <c r="HG25" s="429"/>
      <c r="HH25" s="429"/>
      <c r="HI25" s="429"/>
      <c r="HJ25" s="429"/>
      <c r="HK25" s="429"/>
      <c r="HL25" s="429"/>
      <c r="HM25" s="429"/>
      <c r="HN25" s="429"/>
      <c r="HO25" s="429"/>
      <c r="HP25" s="429"/>
      <c r="HQ25" s="429"/>
      <c r="HR25" s="429"/>
      <c r="HS25" s="429"/>
      <c r="HT25" s="429"/>
      <c r="HU25" s="429"/>
      <c r="HV25" s="429"/>
      <c r="HW25" s="429"/>
      <c r="HX25" s="429"/>
      <c r="HY25" s="429"/>
      <c r="HZ25" s="429"/>
      <c r="IA25" s="429"/>
      <c r="IB25" s="429"/>
      <c r="IC25" s="429"/>
      <c r="ID25" s="429"/>
      <c r="IE25" s="429"/>
      <c r="IF25" s="429"/>
      <c r="IG25" s="429"/>
      <c r="IH25" s="429"/>
      <c r="II25" s="429"/>
      <c r="IJ25" s="429"/>
      <c r="IK25" s="429"/>
      <c r="IL25" s="429"/>
      <c r="IM25" s="429"/>
      <c r="IN25" s="429"/>
      <c r="IO25" s="429"/>
      <c r="IP25" s="429"/>
      <c r="IQ25" s="429"/>
      <c r="IR25" s="429"/>
      <c r="IS25" s="429"/>
      <c r="IT25" s="429"/>
      <c r="IU25" s="429"/>
      <c r="IV25" s="429"/>
      <c r="IW25" s="429"/>
    </row>
    <row r="26" customFormat="false" ht="11.25" hidden="false" customHeight="false" outlineLevel="0" collapsed="false">
      <c r="A26" s="429"/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429"/>
      <c r="AP26" s="429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29"/>
      <c r="BB26" s="429"/>
      <c r="BC26" s="429"/>
      <c r="BD26" s="429"/>
      <c r="BE26" s="429"/>
      <c r="BF26" s="429"/>
      <c r="BG26" s="429"/>
      <c r="BH26" s="429"/>
      <c r="BI26" s="429"/>
      <c r="BJ26" s="429"/>
      <c r="BK26" s="429"/>
      <c r="BL26" s="429"/>
      <c r="BM26" s="429"/>
      <c r="BN26" s="429"/>
      <c r="BO26" s="429"/>
      <c r="BP26" s="429"/>
      <c r="BQ26" s="429"/>
      <c r="BR26" s="429"/>
      <c r="BS26" s="429"/>
      <c r="BT26" s="429"/>
      <c r="BU26" s="429"/>
      <c r="BV26" s="429"/>
      <c r="BW26" s="429"/>
      <c r="BX26" s="429"/>
      <c r="BY26" s="429"/>
      <c r="BZ26" s="429"/>
      <c r="CA26" s="429"/>
      <c r="CB26" s="429"/>
      <c r="CC26" s="429"/>
      <c r="CD26" s="429"/>
      <c r="CE26" s="429"/>
      <c r="CF26" s="429"/>
      <c r="CG26" s="429"/>
      <c r="CH26" s="429"/>
      <c r="CI26" s="429"/>
      <c r="CJ26" s="429"/>
      <c r="CK26" s="429"/>
      <c r="CL26" s="429"/>
      <c r="CM26" s="429"/>
      <c r="CN26" s="429"/>
      <c r="CO26" s="429"/>
      <c r="CP26" s="429"/>
      <c r="CQ26" s="429"/>
      <c r="CR26" s="429"/>
      <c r="CS26" s="429"/>
      <c r="CT26" s="429"/>
      <c r="CU26" s="429"/>
      <c r="CV26" s="429"/>
      <c r="CW26" s="429"/>
      <c r="CX26" s="429"/>
      <c r="CY26" s="429"/>
      <c r="CZ26" s="429"/>
      <c r="DA26" s="429"/>
      <c r="DB26" s="429"/>
      <c r="DC26" s="429"/>
      <c r="DD26" s="429"/>
      <c r="DE26" s="429"/>
      <c r="DF26" s="429"/>
      <c r="DG26" s="429"/>
      <c r="DH26" s="429"/>
      <c r="DI26" s="429"/>
      <c r="DJ26" s="429"/>
      <c r="DK26" s="429"/>
      <c r="DL26" s="429"/>
      <c r="DM26" s="429"/>
      <c r="DN26" s="429"/>
      <c r="DO26" s="429"/>
      <c r="DP26" s="429"/>
      <c r="DQ26" s="429"/>
      <c r="DR26" s="429"/>
      <c r="DS26" s="429"/>
      <c r="DT26" s="429"/>
      <c r="DU26" s="429"/>
      <c r="DV26" s="429"/>
      <c r="DW26" s="429"/>
      <c r="DX26" s="429"/>
      <c r="DY26" s="429"/>
      <c r="DZ26" s="429"/>
      <c r="EA26" s="429"/>
      <c r="EB26" s="429"/>
      <c r="EC26" s="429"/>
      <c r="ED26" s="429"/>
      <c r="EE26" s="429"/>
      <c r="EF26" s="429"/>
      <c r="EG26" s="429"/>
      <c r="EH26" s="429"/>
      <c r="EI26" s="429"/>
      <c r="EJ26" s="429"/>
      <c r="EK26" s="429"/>
      <c r="EL26" s="429"/>
      <c r="EM26" s="429"/>
      <c r="EN26" s="429"/>
      <c r="EO26" s="429"/>
      <c r="EP26" s="429"/>
      <c r="EQ26" s="429"/>
      <c r="ER26" s="429"/>
      <c r="ES26" s="429"/>
      <c r="ET26" s="429"/>
      <c r="EU26" s="429"/>
      <c r="EV26" s="429"/>
      <c r="EW26" s="429"/>
      <c r="EX26" s="429"/>
      <c r="EY26" s="429"/>
      <c r="EZ26" s="429"/>
      <c r="FA26" s="429"/>
      <c r="FB26" s="429"/>
      <c r="FC26" s="429"/>
      <c r="FD26" s="429"/>
      <c r="FE26" s="429"/>
      <c r="FF26" s="429"/>
      <c r="FG26" s="429"/>
      <c r="FH26" s="429"/>
      <c r="FI26" s="429"/>
      <c r="FJ26" s="429"/>
      <c r="FK26" s="429"/>
      <c r="FL26" s="429"/>
      <c r="FM26" s="429"/>
      <c r="FN26" s="429"/>
      <c r="FO26" s="429"/>
      <c r="FP26" s="429"/>
      <c r="FQ26" s="429"/>
      <c r="FR26" s="429"/>
      <c r="FS26" s="429"/>
      <c r="FT26" s="429"/>
      <c r="FU26" s="429"/>
      <c r="FV26" s="429"/>
      <c r="FW26" s="429"/>
      <c r="FX26" s="429"/>
      <c r="FY26" s="429"/>
      <c r="FZ26" s="429"/>
      <c r="GA26" s="429"/>
      <c r="GB26" s="429"/>
      <c r="GC26" s="429"/>
      <c r="GD26" s="429"/>
      <c r="GE26" s="429"/>
      <c r="GF26" s="429"/>
      <c r="GG26" s="429"/>
      <c r="GH26" s="429"/>
      <c r="GI26" s="429"/>
      <c r="GJ26" s="429"/>
      <c r="GK26" s="429"/>
      <c r="GL26" s="429"/>
      <c r="GM26" s="429"/>
      <c r="GN26" s="429"/>
      <c r="GO26" s="429"/>
      <c r="GP26" s="429"/>
      <c r="GQ26" s="429"/>
      <c r="GR26" s="429"/>
      <c r="GS26" s="429"/>
      <c r="GT26" s="429"/>
      <c r="GU26" s="429"/>
      <c r="GV26" s="429"/>
      <c r="GW26" s="429"/>
      <c r="GX26" s="429"/>
      <c r="GY26" s="429"/>
      <c r="GZ26" s="429"/>
      <c r="HA26" s="429"/>
      <c r="HB26" s="429"/>
      <c r="HC26" s="429"/>
      <c r="HD26" s="429"/>
      <c r="HE26" s="429"/>
      <c r="HF26" s="429"/>
      <c r="HG26" s="429"/>
      <c r="HH26" s="429"/>
      <c r="HI26" s="429"/>
      <c r="HJ26" s="429"/>
      <c r="HK26" s="429"/>
      <c r="HL26" s="429"/>
      <c r="HM26" s="429"/>
      <c r="HN26" s="429"/>
      <c r="HO26" s="429"/>
      <c r="HP26" s="429"/>
      <c r="HQ26" s="429"/>
      <c r="HR26" s="429"/>
      <c r="HS26" s="429"/>
      <c r="HT26" s="429"/>
      <c r="HU26" s="429"/>
      <c r="HV26" s="429"/>
      <c r="HW26" s="429"/>
      <c r="HX26" s="429"/>
      <c r="HY26" s="429"/>
      <c r="HZ26" s="429"/>
      <c r="IA26" s="429"/>
      <c r="IB26" s="429"/>
      <c r="IC26" s="429"/>
      <c r="ID26" s="429"/>
      <c r="IE26" s="429"/>
      <c r="IF26" s="429"/>
      <c r="IG26" s="429"/>
      <c r="IH26" s="429"/>
      <c r="II26" s="429"/>
      <c r="IJ26" s="429"/>
      <c r="IK26" s="429"/>
      <c r="IL26" s="429"/>
      <c r="IM26" s="429"/>
      <c r="IN26" s="429"/>
      <c r="IO26" s="429"/>
      <c r="IP26" s="429"/>
      <c r="IQ26" s="429"/>
      <c r="IR26" s="429"/>
      <c r="IS26" s="429"/>
      <c r="IT26" s="429"/>
      <c r="IU26" s="429"/>
      <c r="IV26" s="429"/>
      <c r="IW26" s="429"/>
    </row>
    <row r="27" customFormat="false" ht="11.25" hidden="false" customHeight="false" outlineLevel="0" collapsed="false">
      <c r="A27" s="429"/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29"/>
      <c r="AW27" s="429"/>
      <c r="AX27" s="429"/>
      <c r="AY27" s="429"/>
      <c r="AZ27" s="429"/>
      <c r="BA27" s="429"/>
      <c r="BB27" s="429"/>
      <c r="BC27" s="429"/>
      <c r="BD27" s="429"/>
      <c r="BE27" s="429"/>
      <c r="BF27" s="429"/>
      <c r="BG27" s="429"/>
      <c r="BH27" s="429"/>
      <c r="BI27" s="429"/>
      <c r="BJ27" s="429"/>
      <c r="BK27" s="429"/>
      <c r="BL27" s="429"/>
      <c r="BM27" s="429"/>
      <c r="BN27" s="429"/>
      <c r="BO27" s="429"/>
      <c r="BP27" s="429"/>
      <c r="BQ27" s="429"/>
      <c r="BR27" s="429"/>
      <c r="BS27" s="429"/>
      <c r="BT27" s="429"/>
      <c r="BU27" s="429"/>
      <c r="BV27" s="429"/>
      <c r="BW27" s="429"/>
      <c r="BX27" s="429"/>
      <c r="BY27" s="429"/>
      <c r="BZ27" s="429"/>
      <c r="CA27" s="429"/>
      <c r="CB27" s="429"/>
      <c r="CC27" s="429"/>
      <c r="CD27" s="429"/>
      <c r="CE27" s="429"/>
      <c r="CF27" s="429"/>
      <c r="CG27" s="429"/>
      <c r="CH27" s="429"/>
      <c r="CI27" s="429"/>
      <c r="CJ27" s="429"/>
      <c r="CK27" s="429"/>
      <c r="CL27" s="429"/>
      <c r="CM27" s="429"/>
      <c r="CN27" s="429"/>
      <c r="CO27" s="429"/>
      <c r="CP27" s="429"/>
      <c r="CQ27" s="429"/>
      <c r="CR27" s="429"/>
      <c r="CS27" s="429"/>
      <c r="CT27" s="429"/>
      <c r="CU27" s="429"/>
      <c r="CV27" s="429"/>
      <c r="CW27" s="429"/>
      <c r="CX27" s="429"/>
      <c r="CY27" s="429"/>
      <c r="CZ27" s="429"/>
      <c r="DA27" s="429"/>
      <c r="DB27" s="429"/>
      <c r="DC27" s="429"/>
      <c r="DD27" s="429"/>
      <c r="DE27" s="429"/>
      <c r="DF27" s="429"/>
      <c r="DG27" s="429"/>
      <c r="DH27" s="429"/>
      <c r="DI27" s="429"/>
      <c r="DJ27" s="429"/>
      <c r="DK27" s="429"/>
      <c r="DL27" s="429"/>
      <c r="DM27" s="429"/>
      <c r="DN27" s="429"/>
      <c r="DO27" s="429"/>
      <c r="DP27" s="429"/>
      <c r="DQ27" s="429"/>
      <c r="DR27" s="429"/>
      <c r="DS27" s="429"/>
      <c r="DT27" s="429"/>
      <c r="DU27" s="429"/>
      <c r="DV27" s="429"/>
      <c r="DW27" s="429"/>
      <c r="DX27" s="429"/>
      <c r="DY27" s="429"/>
      <c r="DZ27" s="429"/>
      <c r="EA27" s="429"/>
      <c r="EB27" s="429"/>
      <c r="EC27" s="429"/>
      <c r="ED27" s="429"/>
      <c r="EE27" s="429"/>
      <c r="EF27" s="429"/>
      <c r="EG27" s="429"/>
      <c r="EH27" s="429"/>
      <c r="EI27" s="429"/>
      <c r="EJ27" s="429"/>
      <c r="EK27" s="429"/>
      <c r="EL27" s="429"/>
      <c r="EM27" s="429"/>
      <c r="EN27" s="429"/>
      <c r="EO27" s="429"/>
      <c r="EP27" s="429"/>
      <c r="EQ27" s="429"/>
      <c r="ER27" s="429"/>
      <c r="ES27" s="429"/>
      <c r="ET27" s="429"/>
      <c r="EU27" s="429"/>
      <c r="EV27" s="429"/>
      <c r="EW27" s="429"/>
      <c r="EX27" s="429"/>
      <c r="EY27" s="429"/>
      <c r="EZ27" s="429"/>
      <c r="FA27" s="429"/>
      <c r="FB27" s="429"/>
      <c r="FC27" s="429"/>
      <c r="FD27" s="429"/>
      <c r="FE27" s="429"/>
      <c r="FF27" s="429"/>
      <c r="FG27" s="429"/>
      <c r="FH27" s="429"/>
      <c r="FI27" s="429"/>
      <c r="FJ27" s="429"/>
      <c r="FK27" s="429"/>
      <c r="FL27" s="429"/>
      <c r="FM27" s="429"/>
      <c r="FN27" s="429"/>
      <c r="FO27" s="429"/>
      <c r="FP27" s="429"/>
      <c r="FQ27" s="429"/>
      <c r="FR27" s="429"/>
      <c r="FS27" s="429"/>
      <c r="FT27" s="429"/>
      <c r="FU27" s="429"/>
      <c r="FV27" s="429"/>
      <c r="FW27" s="429"/>
      <c r="FX27" s="429"/>
      <c r="FY27" s="429"/>
      <c r="FZ27" s="429"/>
      <c r="GA27" s="429"/>
      <c r="GB27" s="429"/>
      <c r="GC27" s="429"/>
      <c r="GD27" s="429"/>
      <c r="GE27" s="429"/>
      <c r="GF27" s="429"/>
      <c r="GG27" s="429"/>
      <c r="GH27" s="429"/>
      <c r="GI27" s="429"/>
      <c r="GJ27" s="429"/>
      <c r="GK27" s="429"/>
      <c r="GL27" s="429"/>
      <c r="GM27" s="429"/>
      <c r="GN27" s="429"/>
      <c r="GO27" s="429"/>
      <c r="GP27" s="429"/>
      <c r="GQ27" s="429"/>
      <c r="GR27" s="429"/>
      <c r="GS27" s="429"/>
      <c r="GT27" s="429"/>
      <c r="GU27" s="429"/>
      <c r="GV27" s="429"/>
      <c r="GW27" s="429"/>
      <c r="GX27" s="429"/>
      <c r="GY27" s="429"/>
      <c r="GZ27" s="429"/>
      <c r="HA27" s="429"/>
      <c r="HB27" s="429"/>
      <c r="HC27" s="429"/>
      <c r="HD27" s="429"/>
      <c r="HE27" s="429"/>
      <c r="HF27" s="429"/>
      <c r="HG27" s="429"/>
      <c r="HH27" s="429"/>
      <c r="HI27" s="429"/>
      <c r="HJ27" s="429"/>
      <c r="HK27" s="429"/>
      <c r="HL27" s="429"/>
      <c r="HM27" s="429"/>
      <c r="HN27" s="429"/>
      <c r="HO27" s="429"/>
      <c r="HP27" s="429"/>
      <c r="HQ27" s="429"/>
      <c r="HR27" s="429"/>
      <c r="HS27" s="429"/>
      <c r="HT27" s="429"/>
      <c r="HU27" s="429"/>
      <c r="HV27" s="429"/>
      <c r="HW27" s="429"/>
      <c r="HX27" s="429"/>
      <c r="HY27" s="429"/>
      <c r="HZ27" s="429"/>
      <c r="IA27" s="429"/>
      <c r="IB27" s="429"/>
      <c r="IC27" s="429"/>
      <c r="ID27" s="429"/>
      <c r="IE27" s="429"/>
      <c r="IF27" s="429"/>
      <c r="IG27" s="429"/>
      <c r="IH27" s="429"/>
      <c r="II27" s="429"/>
      <c r="IJ27" s="429"/>
      <c r="IK27" s="429"/>
      <c r="IL27" s="429"/>
      <c r="IM27" s="429"/>
      <c r="IN27" s="429"/>
      <c r="IO27" s="429"/>
      <c r="IP27" s="429"/>
      <c r="IQ27" s="429"/>
      <c r="IR27" s="429"/>
      <c r="IS27" s="429"/>
      <c r="IT27" s="429"/>
      <c r="IU27" s="429"/>
      <c r="IV27" s="429"/>
      <c r="IW27" s="429"/>
    </row>
    <row r="28" customFormat="false" ht="11.25" hidden="true" customHeight="false" outlineLevel="0" collapsed="false">
      <c r="A28" s="533"/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  <c r="BK28" s="429"/>
      <c r="BL28" s="429"/>
      <c r="BM28" s="429"/>
      <c r="BN28" s="429"/>
      <c r="BO28" s="429"/>
      <c r="BP28" s="429"/>
      <c r="BQ28" s="429"/>
      <c r="BR28" s="429"/>
      <c r="BS28" s="429"/>
      <c r="BT28" s="429"/>
      <c r="BU28" s="429"/>
      <c r="BV28" s="429"/>
      <c r="BW28" s="429"/>
      <c r="BX28" s="429"/>
      <c r="BY28" s="429"/>
      <c r="BZ28" s="429"/>
      <c r="CA28" s="429"/>
      <c r="CB28" s="429"/>
      <c r="CC28" s="429"/>
      <c r="CD28" s="429"/>
      <c r="CE28" s="429"/>
      <c r="CF28" s="429"/>
      <c r="CG28" s="429"/>
      <c r="CH28" s="429"/>
      <c r="CI28" s="429"/>
      <c r="CJ28" s="429"/>
      <c r="CK28" s="429"/>
      <c r="CL28" s="429"/>
      <c r="CM28" s="429"/>
      <c r="CN28" s="429"/>
      <c r="CO28" s="429"/>
      <c r="CP28" s="429"/>
      <c r="CQ28" s="429"/>
      <c r="CR28" s="429"/>
      <c r="CS28" s="429"/>
      <c r="CT28" s="429"/>
      <c r="CU28" s="429"/>
      <c r="CV28" s="429"/>
      <c r="CW28" s="429"/>
      <c r="CX28" s="429"/>
      <c r="CY28" s="429"/>
      <c r="CZ28" s="429"/>
      <c r="DA28" s="429"/>
      <c r="DB28" s="429"/>
      <c r="DC28" s="429"/>
      <c r="DD28" s="429"/>
      <c r="DE28" s="429"/>
      <c r="DF28" s="429"/>
      <c r="DG28" s="429"/>
      <c r="DH28" s="429"/>
      <c r="DI28" s="429"/>
      <c r="DJ28" s="429"/>
      <c r="DK28" s="429"/>
      <c r="DL28" s="429"/>
      <c r="DM28" s="429"/>
      <c r="DN28" s="429"/>
      <c r="DO28" s="429"/>
      <c r="DP28" s="429"/>
      <c r="DQ28" s="429"/>
      <c r="DR28" s="429"/>
      <c r="DS28" s="429"/>
      <c r="DT28" s="429"/>
      <c r="DU28" s="429"/>
      <c r="DV28" s="429"/>
      <c r="DW28" s="429"/>
      <c r="DX28" s="429"/>
      <c r="DY28" s="429"/>
      <c r="DZ28" s="429"/>
      <c r="EA28" s="429"/>
      <c r="EB28" s="429"/>
      <c r="EC28" s="429"/>
      <c r="ED28" s="429"/>
      <c r="EE28" s="429"/>
      <c r="EF28" s="429"/>
      <c r="EG28" s="429"/>
      <c r="EH28" s="429"/>
      <c r="EI28" s="429"/>
      <c r="EJ28" s="429"/>
      <c r="EK28" s="429"/>
      <c r="EL28" s="429"/>
      <c r="EM28" s="429"/>
      <c r="EN28" s="429"/>
      <c r="EO28" s="429"/>
      <c r="EP28" s="429"/>
      <c r="EQ28" s="429"/>
      <c r="ER28" s="429"/>
      <c r="ES28" s="429"/>
      <c r="ET28" s="429"/>
      <c r="EU28" s="429"/>
      <c r="EV28" s="429"/>
      <c r="EW28" s="429"/>
      <c r="EX28" s="429"/>
      <c r="EY28" s="429"/>
      <c r="EZ28" s="429"/>
      <c r="FA28" s="429"/>
      <c r="FB28" s="429"/>
      <c r="FC28" s="429"/>
      <c r="FD28" s="429"/>
      <c r="FE28" s="429"/>
      <c r="FF28" s="429"/>
      <c r="FG28" s="429"/>
      <c r="FH28" s="429"/>
      <c r="FI28" s="429"/>
      <c r="FJ28" s="429"/>
      <c r="FK28" s="429"/>
      <c r="FL28" s="429"/>
      <c r="FM28" s="429"/>
      <c r="FN28" s="429"/>
      <c r="FO28" s="429"/>
      <c r="FP28" s="429"/>
      <c r="FQ28" s="429"/>
      <c r="FR28" s="429"/>
      <c r="FS28" s="429"/>
      <c r="FT28" s="429"/>
      <c r="FU28" s="429"/>
      <c r="FV28" s="429"/>
      <c r="FW28" s="429"/>
      <c r="FX28" s="429"/>
      <c r="FY28" s="429"/>
      <c r="FZ28" s="429"/>
      <c r="GA28" s="429"/>
      <c r="GB28" s="429"/>
      <c r="GC28" s="429"/>
      <c r="GD28" s="429"/>
      <c r="GE28" s="429"/>
      <c r="GF28" s="429"/>
      <c r="GG28" s="429"/>
      <c r="GH28" s="429"/>
      <c r="GI28" s="429"/>
      <c r="GJ28" s="429"/>
      <c r="GK28" s="429"/>
      <c r="GL28" s="429"/>
      <c r="GM28" s="429"/>
      <c r="GN28" s="429"/>
      <c r="GO28" s="429"/>
      <c r="GP28" s="429"/>
      <c r="GQ28" s="429"/>
      <c r="GR28" s="429"/>
      <c r="GS28" s="429"/>
      <c r="GT28" s="429"/>
      <c r="GU28" s="429"/>
      <c r="GV28" s="429"/>
      <c r="GW28" s="429"/>
      <c r="GX28" s="429"/>
      <c r="GY28" s="429"/>
      <c r="GZ28" s="429"/>
      <c r="HA28" s="429"/>
      <c r="HB28" s="429"/>
      <c r="HC28" s="429"/>
      <c r="HD28" s="429"/>
      <c r="HE28" s="429"/>
      <c r="HF28" s="429"/>
      <c r="HG28" s="429"/>
      <c r="HH28" s="429"/>
      <c r="HI28" s="429"/>
      <c r="HJ28" s="429"/>
      <c r="HK28" s="429"/>
      <c r="HL28" s="429"/>
      <c r="HM28" s="429"/>
      <c r="HN28" s="429"/>
      <c r="HO28" s="429"/>
      <c r="HP28" s="429"/>
      <c r="HQ28" s="429"/>
      <c r="HR28" s="429"/>
      <c r="HS28" s="429"/>
      <c r="HT28" s="429"/>
      <c r="HU28" s="429"/>
      <c r="HV28" s="429"/>
      <c r="HW28" s="429"/>
      <c r="HX28" s="429"/>
      <c r="HY28" s="429"/>
      <c r="HZ28" s="429"/>
      <c r="IA28" s="429"/>
      <c r="IB28" s="429"/>
      <c r="IC28" s="429"/>
      <c r="ID28" s="429"/>
      <c r="IE28" s="429"/>
      <c r="IF28" s="429"/>
      <c r="IG28" s="429"/>
      <c r="IH28" s="429"/>
      <c r="II28" s="429"/>
      <c r="IJ28" s="429"/>
      <c r="IK28" s="429"/>
      <c r="IL28" s="429"/>
      <c r="IM28" s="429"/>
      <c r="IN28" s="429"/>
      <c r="IO28" s="429"/>
      <c r="IP28" s="429"/>
      <c r="IQ28" s="429"/>
      <c r="IR28" s="429"/>
      <c r="IS28" s="429"/>
      <c r="IT28" s="429"/>
      <c r="IU28" s="429"/>
      <c r="IV28" s="429"/>
      <c r="IW28" s="429"/>
    </row>
    <row r="29" customFormat="false" ht="11.25" hidden="true" customHeight="false" outlineLevel="0" collapsed="false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  <c r="AJ29" s="429"/>
      <c r="AK29" s="429"/>
      <c r="AL29" s="429"/>
      <c r="AM29" s="429"/>
      <c r="AN29" s="429"/>
      <c r="AO29" s="429"/>
      <c r="AP29" s="429"/>
      <c r="AQ29" s="429"/>
      <c r="AR29" s="429"/>
      <c r="AS29" s="429"/>
      <c r="AT29" s="429"/>
      <c r="AU29" s="429"/>
      <c r="AV29" s="429"/>
      <c r="AW29" s="429"/>
      <c r="AX29" s="429"/>
      <c r="AY29" s="429"/>
      <c r="AZ29" s="429"/>
      <c r="BA29" s="429"/>
      <c r="BB29" s="429"/>
      <c r="BC29" s="429"/>
      <c r="BD29" s="429"/>
      <c r="BE29" s="429"/>
      <c r="BF29" s="429"/>
      <c r="BG29" s="429"/>
      <c r="BH29" s="429"/>
      <c r="BI29" s="429"/>
      <c r="BJ29" s="429"/>
      <c r="BK29" s="429"/>
      <c r="BL29" s="429"/>
      <c r="BM29" s="429"/>
      <c r="BN29" s="429"/>
      <c r="BO29" s="429"/>
      <c r="BP29" s="429"/>
      <c r="BQ29" s="429"/>
      <c r="BR29" s="429"/>
      <c r="BS29" s="429"/>
      <c r="BT29" s="429"/>
      <c r="BU29" s="429"/>
      <c r="BV29" s="429"/>
      <c r="BW29" s="429"/>
      <c r="BX29" s="429"/>
      <c r="BY29" s="429"/>
      <c r="BZ29" s="429"/>
      <c r="CA29" s="429"/>
      <c r="CB29" s="429"/>
      <c r="CC29" s="429"/>
      <c r="CD29" s="429"/>
      <c r="CE29" s="429"/>
      <c r="CF29" s="429"/>
      <c r="CG29" s="429"/>
      <c r="CH29" s="429"/>
      <c r="CI29" s="429"/>
      <c r="CJ29" s="429"/>
      <c r="CK29" s="429"/>
      <c r="CL29" s="429"/>
      <c r="CM29" s="429"/>
      <c r="CN29" s="429"/>
      <c r="CO29" s="429"/>
      <c r="CP29" s="429"/>
      <c r="CQ29" s="429"/>
      <c r="CR29" s="429"/>
      <c r="CS29" s="429"/>
      <c r="CT29" s="429"/>
      <c r="CU29" s="429"/>
      <c r="CV29" s="429"/>
      <c r="CW29" s="429"/>
      <c r="CX29" s="429"/>
      <c r="CY29" s="429"/>
      <c r="CZ29" s="429"/>
      <c r="DA29" s="429"/>
      <c r="DB29" s="429"/>
      <c r="DC29" s="429"/>
      <c r="DD29" s="429"/>
      <c r="DE29" s="429"/>
      <c r="DF29" s="429"/>
      <c r="DG29" s="429"/>
      <c r="DH29" s="429"/>
      <c r="DI29" s="429"/>
      <c r="DJ29" s="429"/>
      <c r="DK29" s="429"/>
      <c r="DL29" s="429"/>
      <c r="DM29" s="429"/>
      <c r="DN29" s="429"/>
      <c r="DO29" s="429"/>
      <c r="DP29" s="429"/>
      <c r="DQ29" s="429"/>
      <c r="DR29" s="429"/>
      <c r="DS29" s="429"/>
      <c r="DT29" s="429"/>
      <c r="DU29" s="429"/>
      <c r="DV29" s="429"/>
      <c r="DW29" s="429"/>
      <c r="DX29" s="429"/>
      <c r="DY29" s="429"/>
      <c r="DZ29" s="429"/>
      <c r="EA29" s="429"/>
      <c r="EB29" s="429"/>
      <c r="EC29" s="429"/>
      <c r="ED29" s="429"/>
      <c r="EE29" s="429"/>
      <c r="EF29" s="429"/>
      <c r="EG29" s="429"/>
      <c r="EH29" s="429"/>
      <c r="EI29" s="429"/>
      <c r="EJ29" s="429"/>
      <c r="EK29" s="429"/>
      <c r="EL29" s="429"/>
      <c r="EM29" s="429"/>
      <c r="EN29" s="429"/>
      <c r="EO29" s="429"/>
      <c r="EP29" s="429"/>
      <c r="EQ29" s="429"/>
      <c r="ER29" s="429"/>
      <c r="ES29" s="429"/>
      <c r="ET29" s="429"/>
      <c r="EU29" s="429"/>
      <c r="EV29" s="429"/>
      <c r="EW29" s="429"/>
      <c r="EX29" s="429"/>
      <c r="EY29" s="429"/>
      <c r="EZ29" s="429"/>
      <c r="FA29" s="429"/>
      <c r="FB29" s="429"/>
      <c r="FC29" s="429"/>
      <c r="FD29" s="429"/>
      <c r="FE29" s="429"/>
      <c r="FF29" s="429"/>
      <c r="FG29" s="429"/>
      <c r="FH29" s="429"/>
      <c r="FI29" s="429"/>
      <c r="FJ29" s="429"/>
      <c r="FK29" s="429"/>
      <c r="FL29" s="429"/>
      <c r="FM29" s="429"/>
      <c r="FN29" s="429"/>
      <c r="FO29" s="429"/>
      <c r="FP29" s="429"/>
      <c r="FQ29" s="429"/>
      <c r="FR29" s="429"/>
      <c r="FS29" s="429"/>
      <c r="FT29" s="429"/>
      <c r="FU29" s="429"/>
      <c r="FV29" s="429"/>
      <c r="FW29" s="429"/>
      <c r="FX29" s="429"/>
      <c r="FY29" s="429"/>
      <c r="FZ29" s="429"/>
      <c r="GA29" s="429"/>
      <c r="GB29" s="429"/>
      <c r="GC29" s="429"/>
      <c r="GD29" s="429"/>
      <c r="GE29" s="429"/>
      <c r="GF29" s="429"/>
      <c r="GG29" s="429"/>
      <c r="GH29" s="429"/>
      <c r="GI29" s="429"/>
      <c r="GJ29" s="429"/>
      <c r="GK29" s="429"/>
      <c r="GL29" s="429"/>
      <c r="GM29" s="429"/>
      <c r="GN29" s="429"/>
      <c r="GO29" s="429"/>
      <c r="GP29" s="429"/>
      <c r="GQ29" s="429"/>
      <c r="GR29" s="429"/>
      <c r="GS29" s="429"/>
      <c r="GT29" s="429"/>
      <c r="GU29" s="429"/>
      <c r="GV29" s="429"/>
      <c r="GW29" s="429"/>
      <c r="GX29" s="429"/>
      <c r="GY29" s="429"/>
      <c r="GZ29" s="429"/>
      <c r="HA29" s="429"/>
      <c r="HB29" s="429"/>
      <c r="HC29" s="429"/>
      <c r="HD29" s="429"/>
      <c r="HE29" s="429"/>
      <c r="HF29" s="429"/>
      <c r="HG29" s="429"/>
      <c r="HH29" s="429"/>
      <c r="HI29" s="429"/>
      <c r="HJ29" s="429"/>
      <c r="HK29" s="429"/>
      <c r="HL29" s="429"/>
      <c r="HM29" s="429"/>
      <c r="HN29" s="429"/>
      <c r="HO29" s="429"/>
      <c r="HP29" s="429"/>
      <c r="HQ29" s="429"/>
      <c r="HR29" s="429"/>
      <c r="HS29" s="429"/>
      <c r="HT29" s="429"/>
      <c r="HU29" s="429"/>
      <c r="HV29" s="429"/>
      <c r="HW29" s="429"/>
      <c r="HX29" s="429"/>
      <c r="HY29" s="429"/>
      <c r="HZ29" s="429"/>
      <c r="IA29" s="429"/>
      <c r="IB29" s="429"/>
      <c r="IC29" s="429"/>
      <c r="ID29" s="429"/>
      <c r="IE29" s="429"/>
      <c r="IF29" s="429"/>
      <c r="IG29" s="429"/>
      <c r="IH29" s="429"/>
      <c r="II29" s="429"/>
      <c r="IJ29" s="429"/>
      <c r="IK29" s="429"/>
      <c r="IL29" s="429"/>
      <c r="IM29" s="429"/>
      <c r="IN29" s="429"/>
      <c r="IO29" s="429"/>
      <c r="IP29" s="429"/>
      <c r="IQ29" s="429"/>
      <c r="IR29" s="429"/>
      <c r="IS29" s="429"/>
      <c r="IT29" s="429"/>
      <c r="IU29" s="429"/>
      <c r="IV29" s="429"/>
      <c r="IW29" s="429"/>
    </row>
    <row r="30" customFormat="false" ht="11.25" hidden="true" customHeight="false" outlineLevel="0" collapsed="false">
      <c r="A30" s="429"/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29"/>
      <c r="AA30" s="429"/>
      <c r="AB30" s="429"/>
      <c r="AC30" s="429"/>
      <c r="AD30" s="429"/>
      <c r="AE30" s="429"/>
      <c r="AF30" s="429"/>
      <c r="AG30" s="429"/>
      <c r="AH30" s="429"/>
      <c r="AI30" s="429"/>
      <c r="AJ30" s="429"/>
      <c r="AK30" s="429"/>
      <c r="AL30" s="429"/>
      <c r="AM30" s="429"/>
      <c r="AN30" s="429"/>
      <c r="AO30" s="429"/>
      <c r="AP30" s="429"/>
      <c r="AQ30" s="429"/>
      <c r="AR30" s="429"/>
      <c r="AS30" s="429"/>
      <c r="AT30" s="429"/>
      <c r="AU30" s="429"/>
      <c r="AV30" s="429"/>
      <c r="AW30" s="429"/>
      <c r="AX30" s="429"/>
      <c r="AY30" s="429"/>
      <c r="AZ30" s="429"/>
      <c r="BA30" s="429"/>
      <c r="BB30" s="429"/>
      <c r="BC30" s="429"/>
      <c r="BD30" s="429"/>
      <c r="BE30" s="429"/>
      <c r="BF30" s="429"/>
      <c r="BG30" s="429"/>
      <c r="BH30" s="429"/>
      <c r="BI30" s="429"/>
      <c r="BJ30" s="429"/>
      <c r="BK30" s="429"/>
      <c r="BL30" s="429"/>
      <c r="BM30" s="429"/>
      <c r="BN30" s="429"/>
      <c r="BO30" s="429"/>
      <c r="BP30" s="429"/>
      <c r="BQ30" s="429"/>
      <c r="BR30" s="429"/>
      <c r="BS30" s="429"/>
      <c r="BT30" s="429"/>
      <c r="BU30" s="429"/>
      <c r="BV30" s="429"/>
      <c r="BW30" s="429"/>
      <c r="BX30" s="429"/>
      <c r="BY30" s="429"/>
      <c r="BZ30" s="429"/>
      <c r="CA30" s="429"/>
      <c r="CB30" s="429"/>
      <c r="CC30" s="429"/>
      <c r="CD30" s="429"/>
      <c r="CE30" s="429"/>
      <c r="CF30" s="429"/>
      <c r="CG30" s="429"/>
      <c r="CH30" s="429"/>
      <c r="CI30" s="429"/>
      <c r="CJ30" s="429"/>
      <c r="CK30" s="429"/>
      <c r="CL30" s="429"/>
      <c r="CM30" s="429"/>
      <c r="CN30" s="429"/>
      <c r="CO30" s="429"/>
      <c r="CP30" s="429"/>
      <c r="CQ30" s="429"/>
      <c r="CR30" s="429"/>
      <c r="CS30" s="429"/>
      <c r="CT30" s="429"/>
      <c r="CU30" s="429"/>
      <c r="CV30" s="429"/>
      <c r="CW30" s="429"/>
      <c r="CX30" s="429"/>
      <c r="CY30" s="429"/>
      <c r="CZ30" s="429"/>
      <c r="DA30" s="429"/>
      <c r="DB30" s="429"/>
      <c r="DC30" s="429"/>
      <c r="DD30" s="429"/>
      <c r="DE30" s="429"/>
      <c r="DF30" s="429"/>
      <c r="DG30" s="429"/>
      <c r="DH30" s="429"/>
      <c r="DI30" s="429"/>
      <c r="DJ30" s="429"/>
      <c r="DK30" s="429"/>
      <c r="DL30" s="429"/>
      <c r="DM30" s="429"/>
      <c r="DN30" s="429"/>
      <c r="DO30" s="429"/>
      <c r="DP30" s="429"/>
      <c r="DQ30" s="429"/>
      <c r="DR30" s="429"/>
      <c r="DS30" s="429"/>
      <c r="DT30" s="429"/>
      <c r="DU30" s="429"/>
      <c r="DV30" s="429"/>
      <c r="DW30" s="429"/>
      <c r="DX30" s="429"/>
      <c r="DY30" s="429"/>
      <c r="DZ30" s="429"/>
      <c r="EA30" s="429"/>
      <c r="EB30" s="429"/>
      <c r="EC30" s="429"/>
      <c r="ED30" s="429"/>
      <c r="EE30" s="429"/>
      <c r="EF30" s="429"/>
      <c r="EG30" s="429"/>
      <c r="EH30" s="429"/>
      <c r="EI30" s="429"/>
      <c r="EJ30" s="429"/>
      <c r="EK30" s="429"/>
      <c r="EL30" s="429"/>
      <c r="EM30" s="429"/>
      <c r="EN30" s="429"/>
      <c r="EO30" s="429"/>
      <c r="EP30" s="429"/>
      <c r="EQ30" s="429"/>
      <c r="ER30" s="429"/>
      <c r="ES30" s="429"/>
      <c r="ET30" s="429"/>
      <c r="EU30" s="429"/>
      <c r="EV30" s="429"/>
      <c r="EW30" s="429"/>
      <c r="EX30" s="429"/>
      <c r="EY30" s="429"/>
      <c r="EZ30" s="429"/>
      <c r="FA30" s="429"/>
      <c r="FB30" s="429"/>
      <c r="FC30" s="429"/>
      <c r="FD30" s="429"/>
      <c r="FE30" s="429"/>
      <c r="FF30" s="429"/>
      <c r="FG30" s="429"/>
      <c r="FH30" s="429"/>
      <c r="FI30" s="429"/>
      <c r="FJ30" s="429"/>
      <c r="FK30" s="429"/>
      <c r="FL30" s="429"/>
      <c r="FM30" s="429"/>
      <c r="FN30" s="429"/>
      <c r="FO30" s="429"/>
      <c r="FP30" s="429"/>
      <c r="FQ30" s="429"/>
      <c r="FR30" s="429"/>
      <c r="FS30" s="429"/>
      <c r="FT30" s="429"/>
      <c r="FU30" s="429"/>
      <c r="FV30" s="429"/>
      <c r="FW30" s="429"/>
      <c r="FX30" s="429"/>
      <c r="FY30" s="429"/>
      <c r="FZ30" s="429"/>
      <c r="GA30" s="429"/>
      <c r="GB30" s="429"/>
      <c r="GC30" s="429"/>
      <c r="GD30" s="429"/>
      <c r="GE30" s="429"/>
      <c r="GF30" s="429"/>
      <c r="GG30" s="429"/>
      <c r="GH30" s="429"/>
      <c r="GI30" s="429"/>
      <c r="GJ30" s="429"/>
      <c r="GK30" s="429"/>
      <c r="GL30" s="429"/>
      <c r="GM30" s="429"/>
      <c r="GN30" s="429"/>
      <c r="GO30" s="429"/>
      <c r="GP30" s="429"/>
      <c r="GQ30" s="429"/>
      <c r="GR30" s="429"/>
      <c r="GS30" s="429"/>
      <c r="GT30" s="429"/>
      <c r="GU30" s="429"/>
      <c r="GV30" s="429"/>
      <c r="GW30" s="429"/>
      <c r="GX30" s="429"/>
      <c r="GY30" s="429"/>
      <c r="GZ30" s="429"/>
      <c r="HA30" s="429"/>
      <c r="HB30" s="429"/>
      <c r="HC30" s="429"/>
      <c r="HD30" s="429"/>
      <c r="HE30" s="429"/>
      <c r="HF30" s="429"/>
      <c r="HG30" s="429"/>
      <c r="HH30" s="429"/>
      <c r="HI30" s="429"/>
      <c r="HJ30" s="429"/>
      <c r="HK30" s="429"/>
      <c r="HL30" s="429"/>
      <c r="HM30" s="429"/>
      <c r="HN30" s="429"/>
      <c r="HO30" s="429"/>
      <c r="HP30" s="429"/>
      <c r="HQ30" s="429"/>
      <c r="HR30" s="429"/>
      <c r="HS30" s="429"/>
      <c r="HT30" s="429"/>
      <c r="HU30" s="429"/>
      <c r="HV30" s="429"/>
      <c r="HW30" s="429"/>
      <c r="HX30" s="429"/>
      <c r="HY30" s="429"/>
      <c r="HZ30" s="429"/>
      <c r="IA30" s="429"/>
      <c r="IB30" s="429"/>
      <c r="IC30" s="429"/>
      <c r="ID30" s="429"/>
      <c r="IE30" s="429"/>
      <c r="IF30" s="429"/>
      <c r="IG30" s="429"/>
      <c r="IH30" s="429"/>
      <c r="II30" s="429"/>
      <c r="IJ30" s="429"/>
      <c r="IK30" s="429"/>
      <c r="IL30" s="429"/>
      <c r="IM30" s="429"/>
      <c r="IN30" s="429"/>
      <c r="IO30" s="429"/>
      <c r="IP30" s="429"/>
      <c r="IQ30" s="429"/>
      <c r="IR30" s="429"/>
      <c r="IS30" s="429"/>
      <c r="IT30" s="429"/>
      <c r="IU30" s="429"/>
      <c r="IV30" s="429"/>
      <c r="IW30" s="429"/>
    </row>
    <row r="31" customFormat="false" ht="11.25" hidden="true" customHeight="false" outlineLevel="0" collapsed="false">
      <c r="A31" s="429"/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29"/>
      <c r="AC31" s="429"/>
      <c r="AD31" s="429"/>
      <c r="AE31" s="429"/>
      <c r="AF31" s="429"/>
      <c r="AG31" s="429"/>
      <c r="AH31" s="429"/>
      <c r="AI31" s="429"/>
      <c r="AJ31" s="429"/>
      <c r="AK31" s="429"/>
      <c r="AL31" s="429"/>
      <c r="AM31" s="429"/>
      <c r="AN31" s="429"/>
      <c r="AO31" s="429"/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29"/>
      <c r="BB31" s="429"/>
      <c r="BC31" s="429"/>
      <c r="BD31" s="429"/>
      <c r="BE31" s="429"/>
      <c r="BF31" s="429"/>
      <c r="BG31" s="429"/>
      <c r="BH31" s="429"/>
      <c r="BI31" s="429"/>
      <c r="BJ31" s="429"/>
      <c r="BK31" s="429"/>
      <c r="BL31" s="429"/>
      <c r="BM31" s="429"/>
      <c r="BN31" s="429"/>
      <c r="BO31" s="429"/>
      <c r="BP31" s="429"/>
      <c r="BQ31" s="429"/>
      <c r="BR31" s="429"/>
      <c r="BS31" s="429"/>
      <c r="BT31" s="429"/>
      <c r="BU31" s="429"/>
      <c r="BV31" s="429"/>
      <c r="BW31" s="429"/>
      <c r="BX31" s="429"/>
      <c r="BY31" s="429"/>
      <c r="BZ31" s="429"/>
      <c r="CA31" s="429"/>
      <c r="CB31" s="429"/>
      <c r="CC31" s="429"/>
      <c r="CD31" s="429"/>
      <c r="CE31" s="429"/>
      <c r="CF31" s="429"/>
      <c r="CG31" s="429"/>
      <c r="CH31" s="429"/>
      <c r="CI31" s="429"/>
      <c r="CJ31" s="429"/>
      <c r="CK31" s="429"/>
      <c r="CL31" s="429"/>
      <c r="CM31" s="429"/>
      <c r="CN31" s="429"/>
      <c r="CO31" s="429"/>
      <c r="CP31" s="429"/>
      <c r="CQ31" s="429"/>
      <c r="CR31" s="429"/>
      <c r="CS31" s="429"/>
      <c r="CT31" s="429"/>
      <c r="CU31" s="429"/>
      <c r="CV31" s="429"/>
      <c r="CW31" s="429"/>
      <c r="CX31" s="429"/>
      <c r="CY31" s="429"/>
      <c r="CZ31" s="429"/>
      <c r="DA31" s="429"/>
      <c r="DB31" s="429"/>
      <c r="DC31" s="429"/>
      <c r="DD31" s="429"/>
      <c r="DE31" s="429"/>
      <c r="DF31" s="429"/>
      <c r="DG31" s="429"/>
      <c r="DH31" s="429"/>
      <c r="DI31" s="429"/>
      <c r="DJ31" s="429"/>
      <c r="DK31" s="429"/>
      <c r="DL31" s="429"/>
      <c r="DM31" s="429"/>
      <c r="DN31" s="429"/>
      <c r="DO31" s="429"/>
      <c r="DP31" s="429"/>
      <c r="DQ31" s="429"/>
      <c r="DR31" s="429"/>
      <c r="DS31" s="429"/>
      <c r="DT31" s="429"/>
      <c r="DU31" s="429"/>
      <c r="DV31" s="429"/>
      <c r="DW31" s="429"/>
      <c r="DX31" s="429"/>
      <c r="DY31" s="429"/>
      <c r="DZ31" s="429"/>
      <c r="EA31" s="429"/>
      <c r="EB31" s="429"/>
      <c r="EC31" s="429"/>
      <c r="ED31" s="429"/>
      <c r="EE31" s="429"/>
      <c r="EF31" s="429"/>
      <c r="EG31" s="429"/>
      <c r="EH31" s="429"/>
      <c r="EI31" s="429"/>
      <c r="EJ31" s="429"/>
      <c r="EK31" s="429"/>
      <c r="EL31" s="429"/>
      <c r="EM31" s="429"/>
      <c r="EN31" s="429"/>
      <c r="EO31" s="429"/>
      <c r="EP31" s="429"/>
      <c r="EQ31" s="429"/>
      <c r="ER31" s="429"/>
      <c r="ES31" s="429"/>
      <c r="ET31" s="429"/>
      <c r="EU31" s="429"/>
      <c r="EV31" s="429"/>
      <c r="EW31" s="429"/>
      <c r="EX31" s="429"/>
      <c r="EY31" s="429"/>
      <c r="EZ31" s="429"/>
      <c r="FA31" s="429"/>
      <c r="FB31" s="429"/>
      <c r="FC31" s="429"/>
      <c r="FD31" s="429"/>
      <c r="FE31" s="429"/>
      <c r="FF31" s="429"/>
      <c r="FG31" s="429"/>
      <c r="FH31" s="429"/>
      <c r="FI31" s="429"/>
      <c r="FJ31" s="429"/>
      <c r="FK31" s="429"/>
      <c r="FL31" s="429"/>
      <c r="FM31" s="429"/>
      <c r="FN31" s="429"/>
      <c r="FO31" s="429"/>
      <c r="FP31" s="429"/>
      <c r="FQ31" s="429"/>
      <c r="FR31" s="429"/>
      <c r="FS31" s="429"/>
      <c r="FT31" s="429"/>
      <c r="FU31" s="429"/>
      <c r="FV31" s="429"/>
      <c r="FW31" s="429"/>
      <c r="FX31" s="429"/>
      <c r="FY31" s="429"/>
      <c r="FZ31" s="429"/>
      <c r="GA31" s="429"/>
      <c r="GB31" s="429"/>
      <c r="GC31" s="429"/>
      <c r="GD31" s="429"/>
      <c r="GE31" s="429"/>
      <c r="GF31" s="429"/>
      <c r="GG31" s="429"/>
      <c r="GH31" s="429"/>
      <c r="GI31" s="429"/>
      <c r="GJ31" s="429"/>
      <c r="GK31" s="429"/>
      <c r="GL31" s="429"/>
      <c r="GM31" s="429"/>
      <c r="GN31" s="429"/>
      <c r="GO31" s="429"/>
      <c r="GP31" s="429"/>
      <c r="GQ31" s="429"/>
      <c r="GR31" s="429"/>
      <c r="GS31" s="429"/>
      <c r="GT31" s="429"/>
      <c r="GU31" s="429"/>
      <c r="GV31" s="429"/>
      <c r="GW31" s="429"/>
      <c r="GX31" s="429"/>
      <c r="GY31" s="429"/>
      <c r="GZ31" s="429"/>
      <c r="HA31" s="429"/>
      <c r="HB31" s="429"/>
      <c r="HC31" s="429"/>
      <c r="HD31" s="429"/>
      <c r="HE31" s="429"/>
      <c r="HF31" s="429"/>
      <c r="HG31" s="429"/>
      <c r="HH31" s="429"/>
      <c r="HI31" s="429"/>
      <c r="HJ31" s="429"/>
      <c r="HK31" s="429"/>
      <c r="HL31" s="429"/>
      <c r="HM31" s="429"/>
      <c r="HN31" s="429"/>
      <c r="HO31" s="429"/>
      <c r="HP31" s="429"/>
      <c r="HQ31" s="429"/>
      <c r="HR31" s="429"/>
      <c r="HS31" s="429"/>
      <c r="HT31" s="429"/>
      <c r="HU31" s="429"/>
      <c r="HV31" s="429"/>
      <c r="HW31" s="429"/>
      <c r="HX31" s="429"/>
      <c r="HY31" s="429"/>
      <c r="HZ31" s="429"/>
      <c r="IA31" s="429"/>
      <c r="IB31" s="429"/>
      <c r="IC31" s="429"/>
      <c r="ID31" s="429"/>
      <c r="IE31" s="429"/>
      <c r="IF31" s="429"/>
      <c r="IG31" s="429"/>
      <c r="IH31" s="429"/>
      <c r="II31" s="429"/>
      <c r="IJ31" s="429"/>
      <c r="IK31" s="429"/>
      <c r="IL31" s="429"/>
      <c r="IM31" s="429"/>
      <c r="IN31" s="429"/>
      <c r="IO31" s="429"/>
      <c r="IP31" s="429"/>
      <c r="IQ31" s="429"/>
      <c r="IR31" s="429"/>
      <c r="IS31" s="429"/>
      <c r="IT31" s="429"/>
      <c r="IU31" s="429"/>
      <c r="IV31" s="429"/>
      <c r="IW31" s="429"/>
    </row>
    <row r="32" customFormat="false" ht="11.25" hidden="true" customHeight="false" outlineLevel="0" collapsed="false">
      <c r="A32" s="429"/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29"/>
      <c r="BB32" s="429"/>
      <c r="BC32" s="429"/>
      <c r="BD32" s="429"/>
      <c r="BE32" s="429"/>
      <c r="BF32" s="429"/>
      <c r="BG32" s="429"/>
      <c r="BH32" s="429"/>
      <c r="BI32" s="429"/>
      <c r="BJ32" s="429"/>
      <c r="BK32" s="429"/>
      <c r="BL32" s="429"/>
      <c r="BM32" s="429"/>
      <c r="BN32" s="429"/>
      <c r="BO32" s="429"/>
      <c r="BP32" s="429"/>
      <c r="BQ32" s="429"/>
      <c r="BR32" s="429"/>
      <c r="BS32" s="429"/>
      <c r="BT32" s="429"/>
      <c r="BU32" s="429"/>
      <c r="BV32" s="429"/>
      <c r="BW32" s="429"/>
      <c r="BX32" s="429"/>
      <c r="BY32" s="429"/>
      <c r="BZ32" s="429"/>
      <c r="CA32" s="429"/>
      <c r="CB32" s="429"/>
      <c r="CC32" s="429"/>
      <c r="CD32" s="429"/>
      <c r="CE32" s="429"/>
      <c r="CF32" s="429"/>
      <c r="CG32" s="429"/>
      <c r="CH32" s="429"/>
      <c r="CI32" s="429"/>
      <c r="CJ32" s="429"/>
      <c r="CK32" s="429"/>
      <c r="CL32" s="429"/>
      <c r="CM32" s="429"/>
      <c r="CN32" s="429"/>
      <c r="CO32" s="429"/>
      <c r="CP32" s="429"/>
      <c r="CQ32" s="429"/>
      <c r="CR32" s="429"/>
      <c r="CS32" s="429"/>
      <c r="CT32" s="429"/>
      <c r="CU32" s="429"/>
      <c r="CV32" s="429"/>
      <c r="CW32" s="429"/>
      <c r="CX32" s="429"/>
      <c r="CY32" s="429"/>
      <c r="CZ32" s="429"/>
      <c r="DA32" s="429"/>
      <c r="DB32" s="429"/>
      <c r="DC32" s="429"/>
      <c r="DD32" s="429"/>
      <c r="DE32" s="429"/>
      <c r="DF32" s="429"/>
      <c r="DG32" s="429"/>
      <c r="DH32" s="429"/>
      <c r="DI32" s="429"/>
      <c r="DJ32" s="429"/>
      <c r="DK32" s="429"/>
      <c r="DL32" s="429"/>
      <c r="DM32" s="429"/>
      <c r="DN32" s="429"/>
      <c r="DO32" s="429"/>
      <c r="DP32" s="429"/>
      <c r="DQ32" s="429"/>
      <c r="DR32" s="429"/>
      <c r="DS32" s="429"/>
      <c r="DT32" s="429"/>
      <c r="DU32" s="429"/>
      <c r="DV32" s="429"/>
      <c r="DW32" s="429"/>
      <c r="DX32" s="429"/>
      <c r="DY32" s="429"/>
      <c r="DZ32" s="429"/>
      <c r="EA32" s="429"/>
      <c r="EB32" s="429"/>
      <c r="EC32" s="429"/>
      <c r="ED32" s="429"/>
      <c r="EE32" s="429"/>
      <c r="EF32" s="429"/>
      <c r="EG32" s="429"/>
      <c r="EH32" s="429"/>
      <c r="EI32" s="429"/>
      <c r="EJ32" s="429"/>
      <c r="EK32" s="429"/>
      <c r="EL32" s="429"/>
      <c r="EM32" s="429"/>
      <c r="EN32" s="429"/>
      <c r="EO32" s="429"/>
      <c r="EP32" s="429"/>
      <c r="EQ32" s="429"/>
      <c r="ER32" s="429"/>
      <c r="ES32" s="429"/>
      <c r="ET32" s="429"/>
      <c r="EU32" s="429"/>
      <c r="EV32" s="429"/>
      <c r="EW32" s="429"/>
      <c r="EX32" s="429"/>
      <c r="EY32" s="429"/>
      <c r="EZ32" s="429"/>
      <c r="FA32" s="429"/>
      <c r="FB32" s="429"/>
      <c r="FC32" s="429"/>
      <c r="FD32" s="429"/>
      <c r="FE32" s="429"/>
      <c r="FF32" s="429"/>
      <c r="FG32" s="429"/>
      <c r="FH32" s="429"/>
      <c r="FI32" s="429"/>
      <c r="FJ32" s="429"/>
      <c r="FK32" s="429"/>
      <c r="FL32" s="429"/>
      <c r="FM32" s="429"/>
      <c r="FN32" s="429"/>
      <c r="FO32" s="429"/>
      <c r="FP32" s="429"/>
      <c r="FQ32" s="429"/>
      <c r="FR32" s="429"/>
      <c r="FS32" s="429"/>
      <c r="FT32" s="429"/>
      <c r="FU32" s="429"/>
      <c r="FV32" s="429"/>
      <c r="FW32" s="429"/>
      <c r="FX32" s="429"/>
      <c r="FY32" s="429"/>
      <c r="FZ32" s="429"/>
      <c r="GA32" s="429"/>
      <c r="GB32" s="429"/>
      <c r="GC32" s="429"/>
      <c r="GD32" s="429"/>
      <c r="GE32" s="429"/>
      <c r="GF32" s="429"/>
      <c r="GG32" s="429"/>
      <c r="GH32" s="429"/>
      <c r="GI32" s="429"/>
      <c r="GJ32" s="429"/>
      <c r="GK32" s="429"/>
      <c r="GL32" s="429"/>
      <c r="GM32" s="429"/>
      <c r="GN32" s="429"/>
      <c r="GO32" s="429"/>
      <c r="GP32" s="429"/>
      <c r="GQ32" s="429"/>
      <c r="GR32" s="429"/>
      <c r="GS32" s="429"/>
      <c r="GT32" s="429"/>
      <c r="GU32" s="429"/>
      <c r="GV32" s="429"/>
      <c r="GW32" s="429"/>
      <c r="GX32" s="429"/>
      <c r="GY32" s="429"/>
      <c r="GZ32" s="429"/>
      <c r="HA32" s="429"/>
      <c r="HB32" s="429"/>
      <c r="HC32" s="429"/>
      <c r="HD32" s="429"/>
      <c r="HE32" s="429"/>
      <c r="HF32" s="429"/>
      <c r="HG32" s="429"/>
      <c r="HH32" s="429"/>
      <c r="HI32" s="429"/>
      <c r="HJ32" s="429"/>
      <c r="HK32" s="429"/>
      <c r="HL32" s="429"/>
      <c r="HM32" s="429"/>
      <c r="HN32" s="429"/>
      <c r="HO32" s="429"/>
      <c r="HP32" s="429"/>
      <c r="HQ32" s="429"/>
      <c r="HR32" s="429"/>
      <c r="HS32" s="429"/>
      <c r="HT32" s="429"/>
      <c r="HU32" s="429"/>
      <c r="HV32" s="429"/>
      <c r="HW32" s="429"/>
      <c r="HX32" s="429"/>
      <c r="HY32" s="429"/>
      <c r="HZ32" s="429"/>
      <c r="IA32" s="429"/>
      <c r="IB32" s="429"/>
      <c r="IC32" s="429"/>
      <c r="ID32" s="429"/>
      <c r="IE32" s="429"/>
      <c r="IF32" s="429"/>
      <c r="IG32" s="429"/>
      <c r="IH32" s="429"/>
      <c r="II32" s="429"/>
      <c r="IJ32" s="429"/>
      <c r="IK32" s="429"/>
      <c r="IL32" s="429"/>
      <c r="IM32" s="429"/>
      <c r="IN32" s="429"/>
      <c r="IO32" s="429"/>
      <c r="IP32" s="429"/>
      <c r="IQ32" s="429"/>
      <c r="IR32" s="429"/>
      <c r="IS32" s="429"/>
      <c r="IT32" s="429"/>
      <c r="IU32" s="429"/>
      <c r="IV32" s="429"/>
      <c r="IW32" s="429"/>
    </row>
    <row r="33" customFormat="false" ht="11.25" hidden="true" customHeight="false" outlineLevel="0" collapsed="false">
      <c r="A33" s="429"/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29"/>
      <c r="AG33" s="429"/>
      <c r="AH33" s="429"/>
      <c r="AI33" s="429"/>
      <c r="AJ33" s="429"/>
      <c r="AK33" s="429"/>
      <c r="AL33" s="429"/>
      <c r="AM33" s="429"/>
      <c r="AN33" s="429"/>
      <c r="AO33" s="429"/>
      <c r="AP33" s="429"/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29"/>
      <c r="BB33" s="429"/>
      <c r="BC33" s="429"/>
      <c r="BD33" s="429"/>
      <c r="BE33" s="429"/>
      <c r="BF33" s="429"/>
      <c r="BG33" s="429"/>
      <c r="BH33" s="429"/>
      <c r="BI33" s="429"/>
      <c r="BJ33" s="429"/>
      <c r="BK33" s="429"/>
      <c r="BL33" s="429"/>
      <c r="BM33" s="429"/>
      <c r="BN33" s="429"/>
      <c r="BO33" s="429"/>
      <c r="BP33" s="429"/>
      <c r="BQ33" s="429"/>
      <c r="BR33" s="429"/>
      <c r="BS33" s="429"/>
      <c r="BT33" s="429"/>
      <c r="BU33" s="429"/>
      <c r="BV33" s="429"/>
      <c r="BW33" s="429"/>
      <c r="BX33" s="429"/>
      <c r="BY33" s="429"/>
      <c r="BZ33" s="429"/>
      <c r="CA33" s="429"/>
      <c r="CB33" s="429"/>
      <c r="CC33" s="429"/>
      <c r="CD33" s="429"/>
      <c r="CE33" s="429"/>
      <c r="CF33" s="429"/>
      <c r="CG33" s="429"/>
      <c r="CH33" s="429"/>
      <c r="CI33" s="429"/>
      <c r="CJ33" s="429"/>
      <c r="CK33" s="429"/>
      <c r="CL33" s="429"/>
      <c r="CM33" s="429"/>
      <c r="CN33" s="429"/>
      <c r="CO33" s="429"/>
      <c r="CP33" s="429"/>
      <c r="CQ33" s="429"/>
      <c r="CR33" s="429"/>
      <c r="CS33" s="429"/>
      <c r="CT33" s="429"/>
      <c r="CU33" s="429"/>
      <c r="CV33" s="429"/>
      <c r="CW33" s="429"/>
      <c r="CX33" s="429"/>
      <c r="CY33" s="429"/>
      <c r="CZ33" s="429"/>
      <c r="DA33" s="429"/>
      <c r="DB33" s="429"/>
      <c r="DC33" s="429"/>
      <c r="DD33" s="429"/>
      <c r="DE33" s="429"/>
      <c r="DF33" s="429"/>
      <c r="DG33" s="429"/>
      <c r="DH33" s="429"/>
      <c r="DI33" s="429"/>
      <c r="DJ33" s="429"/>
      <c r="DK33" s="429"/>
      <c r="DL33" s="429"/>
      <c r="DM33" s="429"/>
      <c r="DN33" s="429"/>
      <c r="DO33" s="429"/>
      <c r="DP33" s="429"/>
      <c r="DQ33" s="429"/>
      <c r="DR33" s="429"/>
      <c r="DS33" s="429"/>
      <c r="DT33" s="429"/>
      <c r="DU33" s="429"/>
      <c r="DV33" s="429"/>
      <c r="DW33" s="429"/>
      <c r="DX33" s="429"/>
      <c r="DY33" s="429"/>
      <c r="DZ33" s="429"/>
      <c r="EA33" s="429"/>
      <c r="EB33" s="429"/>
      <c r="EC33" s="429"/>
      <c r="ED33" s="429"/>
      <c r="EE33" s="429"/>
      <c r="EF33" s="429"/>
      <c r="EG33" s="429"/>
      <c r="EH33" s="429"/>
      <c r="EI33" s="429"/>
      <c r="EJ33" s="429"/>
      <c r="EK33" s="429"/>
      <c r="EL33" s="429"/>
      <c r="EM33" s="429"/>
      <c r="EN33" s="429"/>
      <c r="EO33" s="429"/>
      <c r="EP33" s="429"/>
      <c r="EQ33" s="429"/>
      <c r="ER33" s="429"/>
      <c r="ES33" s="429"/>
      <c r="ET33" s="429"/>
      <c r="EU33" s="429"/>
      <c r="EV33" s="429"/>
      <c r="EW33" s="429"/>
      <c r="EX33" s="429"/>
      <c r="EY33" s="429"/>
      <c r="EZ33" s="429"/>
      <c r="FA33" s="429"/>
      <c r="FB33" s="429"/>
      <c r="FC33" s="429"/>
      <c r="FD33" s="429"/>
      <c r="FE33" s="429"/>
      <c r="FF33" s="429"/>
      <c r="FG33" s="429"/>
      <c r="FH33" s="429"/>
      <c r="FI33" s="429"/>
      <c r="FJ33" s="429"/>
      <c r="FK33" s="429"/>
      <c r="FL33" s="429"/>
      <c r="FM33" s="429"/>
      <c r="FN33" s="429"/>
      <c r="FO33" s="429"/>
      <c r="FP33" s="429"/>
      <c r="FQ33" s="429"/>
      <c r="FR33" s="429"/>
      <c r="FS33" s="429"/>
      <c r="FT33" s="429"/>
      <c r="FU33" s="429"/>
      <c r="FV33" s="429"/>
      <c r="FW33" s="429"/>
      <c r="FX33" s="429"/>
      <c r="FY33" s="429"/>
      <c r="FZ33" s="429"/>
      <c r="GA33" s="429"/>
      <c r="GB33" s="429"/>
      <c r="GC33" s="429"/>
      <c r="GD33" s="429"/>
      <c r="GE33" s="429"/>
      <c r="GF33" s="429"/>
      <c r="GG33" s="429"/>
      <c r="GH33" s="429"/>
      <c r="GI33" s="429"/>
      <c r="GJ33" s="429"/>
      <c r="GK33" s="429"/>
      <c r="GL33" s="429"/>
      <c r="GM33" s="429"/>
      <c r="GN33" s="429"/>
      <c r="GO33" s="429"/>
      <c r="GP33" s="429"/>
      <c r="GQ33" s="429"/>
      <c r="GR33" s="429"/>
      <c r="GS33" s="429"/>
      <c r="GT33" s="429"/>
      <c r="GU33" s="429"/>
      <c r="GV33" s="429"/>
      <c r="GW33" s="429"/>
      <c r="GX33" s="429"/>
      <c r="GY33" s="429"/>
      <c r="GZ33" s="429"/>
      <c r="HA33" s="429"/>
      <c r="HB33" s="429"/>
      <c r="HC33" s="429"/>
      <c r="HD33" s="429"/>
      <c r="HE33" s="429"/>
      <c r="HF33" s="429"/>
      <c r="HG33" s="429"/>
      <c r="HH33" s="429"/>
      <c r="HI33" s="429"/>
      <c r="HJ33" s="429"/>
      <c r="HK33" s="429"/>
      <c r="HL33" s="429"/>
      <c r="HM33" s="429"/>
      <c r="HN33" s="429"/>
      <c r="HO33" s="429"/>
      <c r="HP33" s="429"/>
      <c r="HQ33" s="429"/>
      <c r="HR33" s="429"/>
      <c r="HS33" s="429"/>
      <c r="HT33" s="429"/>
      <c r="HU33" s="429"/>
      <c r="HV33" s="429"/>
      <c r="HW33" s="429"/>
      <c r="HX33" s="429"/>
      <c r="HY33" s="429"/>
      <c r="HZ33" s="429"/>
      <c r="IA33" s="429"/>
      <c r="IB33" s="429"/>
      <c r="IC33" s="429"/>
      <c r="ID33" s="429"/>
      <c r="IE33" s="429"/>
      <c r="IF33" s="429"/>
      <c r="IG33" s="429"/>
      <c r="IH33" s="429"/>
      <c r="II33" s="429"/>
      <c r="IJ33" s="429"/>
      <c r="IK33" s="429"/>
      <c r="IL33" s="429"/>
      <c r="IM33" s="429"/>
      <c r="IN33" s="429"/>
      <c r="IO33" s="429"/>
      <c r="IP33" s="429"/>
      <c r="IQ33" s="429"/>
      <c r="IR33" s="429"/>
      <c r="IS33" s="429"/>
      <c r="IT33" s="429"/>
      <c r="IU33" s="429"/>
      <c r="IV33" s="429"/>
      <c r="IW33" s="429"/>
    </row>
    <row r="34" customFormat="false" ht="11.25" hidden="true" customHeight="false" outlineLevel="0" collapsed="false">
      <c r="A34" s="429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29"/>
      <c r="AF34" s="429"/>
      <c r="AG34" s="429"/>
      <c r="AH34" s="429"/>
      <c r="AI34" s="429"/>
      <c r="AJ34" s="429"/>
      <c r="AK34" s="429"/>
      <c r="AL34" s="429"/>
      <c r="AM34" s="429"/>
      <c r="AN34" s="429"/>
      <c r="AO34" s="429"/>
      <c r="AP34" s="429"/>
      <c r="AQ34" s="429"/>
      <c r="AR34" s="429"/>
      <c r="AS34" s="429"/>
      <c r="AT34" s="429"/>
      <c r="AU34" s="429"/>
      <c r="AV34" s="429"/>
      <c r="AW34" s="429"/>
      <c r="AX34" s="429"/>
      <c r="AY34" s="429"/>
      <c r="AZ34" s="429"/>
      <c r="BA34" s="429"/>
      <c r="BB34" s="429"/>
      <c r="BC34" s="429"/>
      <c r="BD34" s="429"/>
      <c r="BE34" s="429"/>
      <c r="BF34" s="429"/>
      <c r="BG34" s="429"/>
      <c r="BH34" s="429"/>
      <c r="BI34" s="429"/>
      <c r="BJ34" s="429"/>
      <c r="BK34" s="429"/>
      <c r="BL34" s="429"/>
      <c r="BM34" s="429"/>
      <c r="BN34" s="429"/>
      <c r="BO34" s="429"/>
      <c r="BP34" s="429"/>
      <c r="BQ34" s="429"/>
      <c r="BR34" s="429"/>
      <c r="BS34" s="429"/>
      <c r="BT34" s="429"/>
      <c r="BU34" s="429"/>
      <c r="BV34" s="429"/>
      <c r="BW34" s="429"/>
      <c r="BX34" s="429"/>
      <c r="BY34" s="429"/>
      <c r="BZ34" s="429"/>
      <c r="CA34" s="429"/>
      <c r="CB34" s="429"/>
      <c r="CC34" s="429"/>
      <c r="CD34" s="429"/>
      <c r="CE34" s="429"/>
      <c r="CF34" s="429"/>
      <c r="CG34" s="429"/>
      <c r="CH34" s="429"/>
      <c r="CI34" s="429"/>
      <c r="CJ34" s="429"/>
      <c r="CK34" s="429"/>
      <c r="CL34" s="429"/>
      <c r="CM34" s="429"/>
      <c r="CN34" s="429"/>
      <c r="CO34" s="429"/>
      <c r="CP34" s="429"/>
      <c r="CQ34" s="429"/>
      <c r="CR34" s="429"/>
      <c r="CS34" s="429"/>
      <c r="CT34" s="429"/>
      <c r="CU34" s="429"/>
      <c r="CV34" s="429"/>
      <c r="CW34" s="429"/>
      <c r="CX34" s="429"/>
      <c r="CY34" s="429"/>
      <c r="CZ34" s="429"/>
      <c r="DA34" s="429"/>
      <c r="DB34" s="429"/>
      <c r="DC34" s="429"/>
      <c r="DD34" s="429"/>
      <c r="DE34" s="429"/>
      <c r="DF34" s="429"/>
      <c r="DG34" s="429"/>
      <c r="DH34" s="429"/>
      <c r="DI34" s="429"/>
      <c r="DJ34" s="429"/>
      <c r="DK34" s="429"/>
      <c r="DL34" s="429"/>
      <c r="DM34" s="429"/>
      <c r="DN34" s="429"/>
      <c r="DO34" s="429"/>
      <c r="DP34" s="429"/>
      <c r="DQ34" s="429"/>
      <c r="DR34" s="429"/>
      <c r="DS34" s="429"/>
      <c r="DT34" s="429"/>
      <c r="DU34" s="429"/>
      <c r="DV34" s="429"/>
      <c r="DW34" s="429"/>
      <c r="DX34" s="429"/>
      <c r="DY34" s="429"/>
      <c r="DZ34" s="429"/>
      <c r="EA34" s="429"/>
      <c r="EB34" s="429"/>
      <c r="EC34" s="429"/>
      <c r="ED34" s="429"/>
      <c r="EE34" s="429"/>
      <c r="EF34" s="429"/>
      <c r="EG34" s="429"/>
      <c r="EH34" s="429"/>
      <c r="EI34" s="429"/>
      <c r="EJ34" s="429"/>
      <c r="EK34" s="429"/>
      <c r="EL34" s="429"/>
      <c r="EM34" s="429"/>
      <c r="EN34" s="429"/>
      <c r="EO34" s="429"/>
      <c r="EP34" s="429"/>
      <c r="EQ34" s="429"/>
      <c r="ER34" s="429"/>
      <c r="ES34" s="429"/>
      <c r="ET34" s="429"/>
      <c r="EU34" s="429"/>
      <c r="EV34" s="429"/>
      <c r="EW34" s="429"/>
      <c r="EX34" s="429"/>
      <c r="EY34" s="429"/>
      <c r="EZ34" s="429"/>
      <c r="FA34" s="429"/>
      <c r="FB34" s="429"/>
      <c r="FC34" s="429"/>
      <c r="FD34" s="429"/>
      <c r="FE34" s="429"/>
      <c r="FF34" s="429"/>
      <c r="FG34" s="429"/>
      <c r="FH34" s="429"/>
      <c r="FI34" s="429"/>
      <c r="FJ34" s="429"/>
      <c r="FK34" s="429"/>
      <c r="FL34" s="429"/>
      <c r="FM34" s="429"/>
      <c r="FN34" s="429"/>
      <c r="FO34" s="429"/>
      <c r="FP34" s="429"/>
      <c r="FQ34" s="429"/>
      <c r="FR34" s="429"/>
      <c r="FS34" s="429"/>
      <c r="FT34" s="429"/>
      <c r="FU34" s="429"/>
      <c r="FV34" s="429"/>
      <c r="FW34" s="429"/>
      <c r="FX34" s="429"/>
      <c r="FY34" s="429"/>
      <c r="FZ34" s="429"/>
      <c r="GA34" s="429"/>
      <c r="GB34" s="429"/>
      <c r="GC34" s="429"/>
      <c r="GD34" s="429"/>
      <c r="GE34" s="429"/>
      <c r="GF34" s="429"/>
      <c r="GG34" s="429"/>
      <c r="GH34" s="429"/>
      <c r="GI34" s="429"/>
      <c r="GJ34" s="429"/>
      <c r="GK34" s="429"/>
      <c r="GL34" s="429"/>
      <c r="GM34" s="429"/>
      <c r="GN34" s="429"/>
      <c r="GO34" s="429"/>
      <c r="GP34" s="429"/>
      <c r="GQ34" s="429"/>
      <c r="GR34" s="429"/>
      <c r="GS34" s="429"/>
      <c r="GT34" s="429"/>
      <c r="GU34" s="429"/>
      <c r="GV34" s="429"/>
      <c r="GW34" s="429"/>
      <c r="GX34" s="429"/>
      <c r="GY34" s="429"/>
      <c r="GZ34" s="429"/>
      <c r="HA34" s="429"/>
      <c r="HB34" s="429"/>
      <c r="HC34" s="429"/>
      <c r="HD34" s="429"/>
      <c r="HE34" s="429"/>
      <c r="HF34" s="429"/>
      <c r="HG34" s="429"/>
      <c r="HH34" s="429"/>
      <c r="HI34" s="429"/>
      <c r="HJ34" s="429"/>
      <c r="HK34" s="429"/>
      <c r="HL34" s="429"/>
      <c r="HM34" s="429"/>
      <c r="HN34" s="429"/>
      <c r="HO34" s="429"/>
      <c r="HP34" s="429"/>
      <c r="HQ34" s="429"/>
      <c r="HR34" s="429"/>
      <c r="HS34" s="429"/>
      <c r="HT34" s="429"/>
      <c r="HU34" s="429"/>
      <c r="HV34" s="429"/>
      <c r="HW34" s="429"/>
      <c r="HX34" s="429"/>
      <c r="HY34" s="429"/>
      <c r="HZ34" s="429"/>
      <c r="IA34" s="429"/>
      <c r="IB34" s="429"/>
      <c r="IC34" s="429"/>
      <c r="ID34" s="429"/>
      <c r="IE34" s="429"/>
      <c r="IF34" s="429"/>
      <c r="IG34" s="429"/>
      <c r="IH34" s="429"/>
      <c r="II34" s="429"/>
      <c r="IJ34" s="429"/>
      <c r="IK34" s="429"/>
      <c r="IL34" s="429"/>
      <c r="IM34" s="429"/>
      <c r="IN34" s="429"/>
      <c r="IO34" s="429"/>
      <c r="IP34" s="429"/>
      <c r="IQ34" s="429"/>
      <c r="IR34" s="429"/>
      <c r="IS34" s="429"/>
      <c r="IT34" s="429"/>
      <c r="IU34" s="429"/>
      <c r="IV34" s="429"/>
      <c r="IW34" s="429"/>
    </row>
    <row r="35" customFormat="false" ht="11.25" hidden="true" customHeight="false" outlineLevel="0" collapsed="false">
      <c r="A35" s="429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29"/>
      <c r="AQ35" s="429"/>
      <c r="AR35" s="429"/>
      <c r="AS35" s="429"/>
      <c r="AT35" s="429"/>
      <c r="AU35" s="429"/>
      <c r="AV35" s="429"/>
      <c r="AW35" s="429"/>
      <c r="AX35" s="429"/>
      <c r="AY35" s="429"/>
      <c r="AZ35" s="429"/>
      <c r="BA35" s="429"/>
      <c r="BB35" s="429"/>
      <c r="BC35" s="429"/>
      <c r="BD35" s="429"/>
      <c r="BE35" s="429"/>
      <c r="BF35" s="429"/>
      <c r="BG35" s="429"/>
      <c r="BH35" s="429"/>
      <c r="BI35" s="429"/>
      <c r="BJ35" s="429"/>
      <c r="BK35" s="429"/>
      <c r="BL35" s="429"/>
      <c r="BM35" s="429"/>
      <c r="BN35" s="429"/>
      <c r="BO35" s="429"/>
      <c r="BP35" s="429"/>
      <c r="BQ35" s="429"/>
      <c r="BR35" s="429"/>
      <c r="BS35" s="429"/>
      <c r="BT35" s="429"/>
      <c r="BU35" s="429"/>
      <c r="BV35" s="429"/>
      <c r="BW35" s="429"/>
      <c r="BX35" s="429"/>
      <c r="BY35" s="429"/>
      <c r="BZ35" s="429"/>
      <c r="CA35" s="429"/>
      <c r="CB35" s="429"/>
      <c r="CC35" s="429"/>
      <c r="CD35" s="429"/>
      <c r="CE35" s="429"/>
      <c r="CF35" s="429"/>
      <c r="CG35" s="429"/>
      <c r="CH35" s="429"/>
      <c r="CI35" s="429"/>
      <c r="CJ35" s="429"/>
      <c r="CK35" s="429"/>
      <c r="CL35" s="429"/>
      <c r="CM35" s="429"/>
      <c r="CN35" s="429"/>
      <c r="CO35" s="429"/>
      <c r="CP35" s="429"/>
      <c r="CQ35" s="429"/>
      <c r="CR35" s="429"/>
      <c r="CS35" s="429"/>
      <c r="CT35" s="429"/>
      <c r="CU35" s="429"/>
      <c r="CV35" s="429"/>
      <c r="CW35" s="429"/>
      <c r="CX35" s="429"/>
      <c r="CY35" s="429"/>
      <c r="CZ35" s="429"/>
      <c r="DA35" s="429"/>
      <c r="DB35" s="429"/>
      <c r="DC35" s="429"/>
      <c r="DD35" s="429"/>
      <c r="DE35" s="429"/>
      <c r="DF35" s="429"/>
      <c r="DG35" s="429"/>
      <c r="DH35" s="429"/>
      <c r="DI35" s="429"/>
      <c r="DJ35" s="429"/>
      <c r="DK35" s="429"/>
      <c r="DL35" s="429"/>
      <c r="DM35" s="429"/>
      <c r="DN35" s="429"/>
      <c r="DO35" s="429"/>
      <c r="DP35" s="429"/>
      <c r="DQ35" s="429"/>
      <c r="DR35" s="429"/>
      <c r="DS35" s="429"/>
      <c r="DT35" s="429"/>
      <c r="DU35" s="429"/>
      <c r="DV35" s="429"/>
      <c r="DW35" s="429"/>
      <c r="DX35" s="429"/>
      <c r="DY35" s="429"/>
      <c r="DZ35" s="429"/>
      <c r="EA35" s="429"/>
      <c r="EB35" s="429"/>
      <c r="EC35" s="429"/>
      <c r="ED35" s="429"/>
      <c r="EE35" s="429"/>
      <c r="EF35" s="429"/>
      <c r="EG35" s="429"/>
      <c r="EH35" s="429"/>
      <c r="EI35" s="429"/>
      <c r="EJ35" s="429"/>
      <c r="EK35" s="429"/>
      <c r="EL35" s="429"/>
      <c r="EM35" s="429"/>
      <c r="EN35" s="429"/>
      <c r="EO35" s="429"/>
      <c r="EP35" s="429"/>
      <c r="EQ35" s="429"/>
      <c r="ER35" s="429"/>
      <c r="ES35" s="429"/>
      <c r="ET35" s="429"/>
      <c r="EU35" s="429"/>
      <c r="EV35" s="429"/>
      <c r="EW35" s="429"/>
      <c r="EX35" s="429"/>
      <c r="EY35" s="429"/>
      <c r="EZ35" s="429"/>
      <c r="FA35" s="429"/>
      <c r="FB35" s="429"/>
      <c r="FC35" s="429"/>
      <c r="FD35" s="429"/>
      <c r="FE35" s="429"/>
      <c r="FF35" s="429"/>
      <c r="FG35" s="429"/>
      <c r="FH35" s="429"/>
      <c r="FI35" s="429"/>
      <c r="FJ35" s="429"/>
      <c r="FK35" s="429"/>
      <c r="FL35" s="429"/>
      <c r="FM35" s="429"/>
      <c r="FN35" s="429"/>
      <c r="FO35" s="429"/>
      <c r="FP35" s="429"/>
      <c r="FQ35" s="429"/>
      <c r="FR35" s="429"/>
      <c r="FS35" s="429"/>
      <c r="FT35" s="429"/>
      <c r="FU35" s="429"/>
      <c r="FV35" s="429"/>
      <c r="FW35" s="429"/>
      <c r="FX35" s="429"/>
      <c r="FY35" s="429"/>
      <c r="FZ35" s="429"/>
      <c r="GA35" s="429"/>
      <c r="GB35" s="429"/>
      <c r="GC35" s="429"/>
      <c r="GD35" s="429"/>
      <c r="GE35" s="429"/>
      <c r="GF35" s="429"/>
      <c r="GG35" s="429"/>
      <c r="GH35" s="429"/>
      <c r="GI35" s="429"/>
      <c r="GJ35" s="429"/>
      <c r="GK35" s="429"/>
      <c r="GL35" s="429"/>
      <c r="GM35" s="429"/>
      <c r="GN35" s="429"/>
      <c r="GO35" s="429"/>
      <c r="GP35" s="429"/>
      <c r="GQ35" s="429"/>
      <c r="GR35" s="429"/>
      <c r="GS35" s="429"/>
      <c r="GT35" s="429"/>
      <c r="GU35" s="429"/>
      <c r="GV35" s="429"/>
      <c r="GW35" s="429"/>
      <c r="GX35" s="429"/>
      <c r="GY35" s="429"/>
      <c r="GZ35" s="429"/>
      <c r="HA35" s="429"/>
      <c r="HB35" s="429"/>
      <c r="HC35" s="429"/>
      <c r="HD35" s="429"/>
      <c r="HE35" s="429"/>
      <c r="HF35" s="429"/>
      <c r="HG35" s="429"/>
      <c r="HH35" s="429"/>
      <c r="HI35" s="429"/>
      <c r="HJ35" s="429"/>
      <c r="HK35" s="429"/>
      <c r="HL35" s="429"/>
      <c r="HM35" s="429"/>
      <c r="HN35" s="429"/>
      <c r="HO35" s="429"/>
      <c r="HP35" s="429"/>
      <c r="HQ35" s="429"/>
      <c r="HR35" s="429"/>
      <c r="HS35" s="429"/>
      <c r="HT35" s="429"/>
      <c r="HU35" s="429"/>
      <c r="HV35" s="429"/>
      <c r="HW35" s="429"/>
      <c r="HX35" s="429"/>
      <c r="HY35" s="429"/>
      <c r="HZ35" s="429"/>
      <c r="IA35" s="429"/>
      <c r="IB35" s="429"/>
      <c r="IC35" s="429"/>
      <c r="ID35" s="429"/>
      <c r="IE35" s="429"/>
      <c r="IF35" s="429"/>
      <c r="IG35" s="429"/>
      <c r="IH35" s="429"/>
      <c r="II35" s="429"/>
      <c r="IJ35" s="429"/>
      <c r="IK35" s="429"/>
      <c r="IL35" s="429"/>
      <c r="IM35" s="429"/>
      <c r="IN35" s="429"/>
      <c r="IO35" s="429"/>
      <c r="IP35" s="429"/>
      <c r="IQ35" s="429"/>
      <c r="IR35" s="429"/>
      <c r="IS35" s="429"/>
      <c r="IT35" s="429"/>
      <c r="IU35" s="429"/>
      <c r="IV35" s="429"/>
      <c r="IW35" s="429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&amp;T&amp;RO:\Naes\GenSvcs\TVA\TVA Model\&amp;F
&amp;A &amp;P</oddFooter>
  </headerFooter>
  <colBreaks count="1" manualBreakCount="1">
    <brk id="1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7"/>
  <sheetViews>
    <sheetView showFormulas="false" showGridLines="true" showRowColHeaders="true" showZeros="true" rightToLeft="false" tabSelected="false" showOutlineSymbols="true" defaultGridColor="true" view="normal" topLeftCell="M66" colorId="64" zoomScale="75" zoomScaleNormal="75" zoomScalePageLayoutView="50" workbookViewId="0">
      <selection pane="topLeft" activeCell="M84" activeCellId="0" sqref="M84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41.56"/>
    <col collapsed="false" customWidth="true" hidden="true" outlineLevel="0" max="2" min="2" style="0" width="11.28"/>
    <col collapsed="false" customWidth="true" hidden="true" outlineLevel="0" max="3" min="3" style="0" width="11.7"/>
    <col collapsed="false" customWidth="true" hidden="true" outlineLevel="0" max="4" min="4" style="0" width="8.85"/>
    <col collapsed="false" customWidth="true" hidden="true" outlineLevel="0" max="5" min="5" style="0" width="6.56"/>
    <col collapsed="false" customWidth="true" hidden="true" outlineLevel="0" max="6" min="6" style="159" width="25.7"/>
    <col collapsed="false" customWidth="true" hidden="true" outlineLevel="0" max="7" min="7" style="0" width="9.14"/>
    <col collapsed="false" customWidth="true" hidden="true" outlineLevel="0" max="8" min="8" style="159" width="24.13"/>
    <col collapsed="false" customWidth="true" hidden="true" outlineLevel="0" max="9" min="9" style="0" width="10.71"/>
    <col collapsed="false" customWidth="true" hidden="true" outlineLevel="0" max="10" min="10" style="0" width="14.41"/>
    <col collapsed="false" customWidth="true" hidden="true" outlineLevel="0" max="11" min="11" style="159" width="13.7"/>
    <col collapsed="false" customWidth="true" hidden="true" outlineLevel="0" max="12" min="12" style="0" width="17.99"/>
    <col collapsed="false" customWidth="true" hidden="false" outlineLevel="0" max="13" min="13" style="0" width="60.7"/>
    <col collapsed="false" customWidth="true" hidden="false" outlineLevel="0" max="14" min="14" style="0" width="5.56"/>
    <col collapsed="false" customWidth="true" hidden="false" outlineLevel="0" max="15" min="15" style="0" width="29.56"/>
    <col collapsed="false" customWidth="true" hidden="false" outlineLevel="0" max="16" min="16" style="0" width="12.28"/>
    <col collapsed="false" customWidth="true" hidden="false" outlineLevel="0" max="17" min="17" style="0" width="26.99"/>
    <col collapsed="false" customWidth="true" hidden="false" outlineLevel="0" max="19" min="19" style="0" width="33.56"/>
    <col collapsed="false" customWidth="true" hidden="false" outlineLevel="0" max="22" min="22" style="0" width="9.7"/>
  </cols>
  <sheetData>
    <row r="1" customFormat="false" ht="26.25" hidden="false" customHeight="false" outlineLevel="0" collapsed="false">
      <c r="A1" s="160" t="s">
        <v>0</v>
      </c>
      <c r="B1" s="160"/>
      <c r="C1" s="160"/>
      <c r="D1" s="161"/>
      <c r="E1" s="161"/>
      <c r="F1" s="161"/>
      <c r="H1" s="161"/>
      <c r="K1" s="161"/>
    </row>
    <row r="2" customFormat="false" ht="18" hidden="false" customHeight="false" outlineLevel="0" collapsed="false">
      <c r="A2" s="162" t="s">
        <v>132</v>
      </c>
      <c r="B2" s="162"/>
      <c r="C2" s="162"/>
      <c r="D2" s="161"/>
      <c r="E2" s="161"/>
      <c r="F2" s="161"/>
      <c r="H2" s="161"/>
      <c r="K2" s="161"/>
    </row>
    <row r="3" customFormat="false" ht="15.75" hidden="false" customHeight="false" outlineLevel="0" collapsed="false">
      <c r="A3" s="163"/>
      <c r="B3" s="163"/>
      <c r="C3" s="163"/>
      <c r="D3" s="161"/>
      <c r="E3" s="161"/>
      <c r="F3" s="161"/>
      <c r="H3" s="161"/>
      <c r="K3" s="161"/>
    </row>
    <row r="4" customFormat="false" ht="20.25" hidden="false" customHeight="false" outlineLevel="0" collapsed="false">
      <c r="A4" s="164" t="s">
        <v>133</v>
      </c>
      <c r="B4" s="163"/>
      <c r="C4" s="163"/>
      <c r="D4" s="161"/>
      <c r="E4" s="161"/>
      <c r="F4" s="165" t="s">
        <v>134</v>
      </c>
      <c r="H4" s="165" t="s">
        <v>135</v>
      </c>
      <c r="K4" s="165" t="s">
        <v>136</v>
      </c>
    </row>
    <row r="5" customFormat="false" ht="20.25" hidden="false" customHeight="false" outlineLevel="0" collapsed="false">
      <c r="A5" s="163"/>
      <c r="B5" s="163"/>
      <c r="C5" s="163"/>
      <c r="D5" s="161"/>
      <c r="E5" s="161"/>
      <c r="F5" s="166"/>
      <c r="H5" s="167"/>
      <c r="K5" s="167"/>
      <c r="Q5" s="167"/>
      <c r="S5" s="167"/>
    </row>
    <row r="6" customFormat="false" ht="20.25" hidden="false" customHeight="false" outlineLevel="0" collapsed="false">
      <c r="A6" s="168" t="s">
        <v>137</v>
      </c>
      <c r="B6" s="163"/>
      <c r="C6" s="163"/>
      <c r="D6" s="161"/>
      <c r="E6" s="161"/>
      <c r="F6" s="166"/>
      <c r="H6" s="167"/>
      <c r="K6" s="167"/>
      <c r="L6" s="169"/>
      <c r="M6" s="170" t="s">
        <v>137</v>
      </c>
      <c r="N6" s="171"/>
      <c r="O6" s="172" t="s">
        <v>138</v>
      </c>
      <c r="P6" s="171"/>
      <c r="Q6" s="172" t="s">
        <v>139</v>
      </c>
      <c r="R6" s="171"/>
      <c r="S6" s="173" t="s">
        <v>140</v>
      </c>
    </row>
    <row r="7" customFormat="false" ht="13.5" hidden="false" customHeight="true" outlineLevel="0" collapsed="false">
      <c r="K7" s="167"/>
      <c r="L7" s="169"/>
      <c r="M7" s="174" t="s">
        <v>141</v>
      </c>
      <c r="N7" s="175"/>
      <c r="O7" s="176" t="n">
        <v>2533177</v>
      </c>
      <c r="P7" s="175"/>
      <c r="Q7" s="177" t="n">
        <v>2533177</v>
      </c>
      <c r="R7" s="175"/>
      <c r="S7" s="178" t="n">
        <f aca="false">Q7-O7</f>
        <v>0</v>
      </c>
    </row>
    <row r="8" customFormat="false" ht="13.5" hidden="false" customHeight="true" outlineLevel="0" collapsed="false">
      <c r="K8" s="167"/>
      <c r="M8" s="179" t="s">
        <v>142</v>
      </c>
      <c r="N8" s="180"/>
      <c r="O8" s="181" t="n">
        <v>7773988</v>
      </c>
      <c r="P8" s="180"/>
      <c r="Q8" s="182" t="n">
        <v>7773988</v>
      </c>
      <c r="R8" s="180"/>
      <c r="S8" s="183" t="n">
        <f aca="false">Q8-O8</f>
        <v>0</v>
      </c>
    </row>
    <row r="9" customFormat="false" ht="13.5" hidden="false" customHeight="true" outlineLevel="0" collapsed="false">
      <c r="A9" s="184" t="s">
        <v>141</v>
      </c>
      <c r="B9" s="163"/>
      <c r="C9" s="163"/>
      <c r="D9" s="161"/>
      <c r="E9" s="161"/>
      <c r="F9" s="166"/>
      <c r="H9" s="167"/>
      <c r="K9" s="167"/>
      <c r="M9" s="179" t="s">
        <v>143</v>
      </c>
      <c r="N9" s="180"/>
      <c r="O9" s="185" t="n">
        <v>4738878</v>
      </c>
      <c r="P9" s="180"/>
      <c r="Q9" s="182" t="n">
        <v>4738878</v>
      </c>
      <c r="R9" s="180"/>
      <c r="S9" s="183" t="n">
        <f aca="false">Q9-O9</f>
        <v>0</v>
      </c>
    </row>
    <row r="10" customFormat="false" ht="13.5" hidden="false" customHeight="true" outlineLevel="0" collapsed="false">
      <c r="A10" s="184" t="s">
        <v>142</v>
      </c>
      <c r="B10" s="163"/>
      <c r="C10" s="163"/>
      <c r="D10" s="161"/>
      <c r="E10" s="161"/>
      <c r="F10" s="166"/>
      <c r="H10" s="167"/>
      <c r="K10" s="167"/>
      <c r="M10" s="179" t="s">
        <v>144</v>
      </c>
      <c r="N10" s="180"/>
      <c r="O10" s="181" t="n">
        <v>934205</v>
      </c>
      <c r="P10" s="180"/>
      <c r="Q10" s="182" t="n">
        <v>934205</v>
      </c>
      <c r="R10" s="180"/>
      <c r="S10" s="183" t="n">
        <f aca="false">Q10-O10</f>
        <v>0</v>
      </c>
    </row>
    <row r="11" customFormat="false" ht="13.5" hidden="false" customHeight="true" outlineLevel="0" collapsed="false">
      <c r="A11" s="184" t="s">
        <v>143</v>
      </c>
      <c r="B11" s="163"/>
      <c r="C11" s="163"/>
      <c r="D11" s="161"/>
      <c r="E11" s="161"/>
      <c r="F11" s="166"/>
      <c r="H11" s="167"/>
      <c r="K11" s="167"/>
      <c r="M11" s="179" t="s">
        <v>145</v>
      </c>
      <c r="N11" s="180"/>
      <c r="O11" s="181" t="n">
        <v>994084</v>
      </c>
      <c r="P11" s="180"/>
      <c r="Q11" s="182" t="n">
        <v>994084</v>
      </c>
      <c r="R11" s="180"/>
      <c r="S11" s="183" t="n">
        <f aca="false">Q11-O11</f>
        <v>0</v>
      </c>
    </row>
    <row r="12" customFormat="false" ht="13.5" hidden="false" customHeight="true" outlineLevel="0" collapsed="false">
      <c r="A12" s="184" t="s">
        <v>146</v>
      </c>
      <c r="B12" s="163"/>
      <c r="C12" s="163"/>
      <c r="D12" s="161"/>
      <c r="E12" s="161"/>
      <c r="F12" s="166"/>
      <c r="H12" s="167"/>
      <c r="K12" s="186"/>
      <c r="M12" s="179" t="s">
        <v>147</v>
      </c>
      <c r="N12" s="180"/>
      <c r="O12" s="181" t="n">
        <v>376403</v>
      </c>
      <c r="P12" s="180"/>
      <c r="Q12" s="185" t="n">
        <v>376403</v>
      </c>
      <c r="R12" s="180"/>
      <c r="S12" s="183" t="n">
        <f aca="false">Q12-O12</f>
        <v>0</v>
      </c>
    </row>
    <row r="13" customFormat="false" ht="13.5" hidden="false" customHeight="true" outlineLevel="0" collapsed="false">
      <c r="A13" s="184" t="s">
        <v>144</v>
      </c>
      <c r="B13" s="163"/>
      <c r="C13" s="163"/>
      <c r="D13" s="161"/>
      <c r="E13" s="161"/>
      <c r="F13" s="166"/>
      <c r="H13" s="167"/>
      <c r="K13" s="187" t="n">
        <f aca="false">F15-H15</f>
        <v>0</v>
      </c>
      <c r="M13" s="179" t="s">
        <v>148</v>
      </c>
      <c r="N13" s="180"/>
      <c r="O13" s="181" t="n">
        <v>1737800</v>
      </c>
      <c r="P13" s="180"/>
      <c r="Q13" s="185" t="n">
        <v>1737800</v>
      </c>
      <c r="R13" s="180"/>
      <c r="S13" s="183" t="n">
        <f aca="false">Q13-O13</f>
        <v>0</v>
      </c>
    </row>
    <row r="14" customFormat="false" ht="13.5" hidden="false" customHeight="true" outlineLevel="0" collapsed="false">
      <c r="A14" s="184" t="s">
        <v>145</v>
      </c>
      <c r="B14" s="168"/>
      <c r="C14" s="168"/>
      <c r="F14" s="188"/>
      <c r="H14" s="186"/>
      <c r="K14" s="187" t="n">
        <f aca="false">F16-H16</f>
        <v>0</v>
      </c>
      <c r="M14" s="179" t="s">
        <v>149</v>
      </c>
      <c r="N14" s="180"/>
      <c r="O14" s="181" t="n">
        <v>383771</v>
      </c>
      <c r="P14" s="180"/>
      <c r="Q14" s="185" t="n">
        <v>383771</v>
      </c>
      <c r="R14" s="180"/>
      <c r="S14" s="183" t="n">
        <f aca="false">Q14-O14</f>
        <v>0</v>
      </c>
    </row>
    <row r="15" customFormat="false" ht="13.5" hidden="false" customHeight="true" outlineLevel="0" collapsed="false">
      <c r="A15" s="184" t="s">
        <v>150</v>
      </c>
      <c r="B15" s="184"/>
      <c r="C15" s="184"/>
      <c r="D15" s="184"/>
      <c r="E15" s="184"/>
      <c r="F15" s="187" t="n">
        <v>17535124</v>
      </c>
      <c r="H15" s="187" t="n">
        <v>17535124</v>
      </c>
      <c r="K15" s="187" t="n">
        <f aca="false">F17-H17</f>
        <v>-150000</v>
      </c>
      <c r="M15" s="179" t="s">
        <v>151</v>
      </c>
      <c r="N15" s="180"/>
      <c r="O15" s="189" t="n">
        <v>119928</v>
      </c>
      <c r="P15" s="180"/>
      <c r="Q15" s="185" t="n">
        <v>119928</v>
      </c>
      <c r="R15" s="180"/>
      <c r="S15" s="183" t="n">
        <f aca="false">Q15-O15</f>
        <v>0</v>
      </c>
    </row>
    <row r="16" customFormat="false" ht="13.5" hidden="false" customHeight="true" outlineLevel="0" collapsed="false">
      <c r="A16" s="184" t="s">
        <v>152</v>
      </c>
      <c r="B16" s="184"/>
      <c r="C16" s="184"/>
      <c r="D16" s="190"/>
      <c r="E16" s="190"/>
      <c r="F16" s="187" t="n">
        <v>350702</v>
      </c>
      <c r="H16" s="159" t="n">
        <v>350702</v>
      </c>
      <c r="K16" s="187" t="n">
        <f aca="false">F18-H18</f>
        <v>0</v>
      </c>
      <c r="M16" s="179" t="s">
        <v>153</v>
      </c>
      <c r="N16" s="180"/>
      <c r="O16" s="181" t="n">
        <v>499811</v>
      </c>
      <c r="P16" s="180"/>
      <c r="Q16" s="185" t="n">
        <v>499811</v>
      </c>
      <c r="R16" s="180"/>
      <c r="S16" s="183" t="n">
        <f aca="false">Q16-O16</f>
        <v>0</v>
      </c>
    </row>
    <row r="17" customFormat="false" ht="13.5" hidden="false" customHeight="true" outlineLevel="0" collapsed="false">
      <c r="A17" s="184" t="s">
        <v>154</v>
      </c>
      <c r="B17" s="184"/>
      <c r="C17" s="184"/>
      <c r="D17" s="190"/>
      <c r="E17" s="190"/>
      <c r="F17" s="187" t="n">
        <v>100000</v>
      </c>
      <c r="H17" s="187" t="n">
        <f aca="false">5000000*0.05</f>
        <v>250000</v>
      </c>
      <c r="K17" s="159" t="n">
        <f aca="false">F19-H19</f>
        <v>0</v>
      </c>
      <c r="M17" s="179" t="s">
        <v>155</v>
      </c>
      <c r="N17" s="180"/>
      <c r="O17" s="181" t="n">
        <v>28715</v>
      </c>
      <c r="P17" s="180"/>
      <c r="Q17" s="185" t="n">
        <v>28715</v>
      </c>
      <c r="R17" s="180"/>
      <c r="S17" s="183" t="n">
        <f aca="false">Q17-O17</f>
        <v>0</v>
      </c>
    </row>
    <row r="18" customFormat="false" ht="13.5" hidden="false" customHeight="true" outlineLevel="0" collapsed="false">
      <c r="A18" s="0" t="s">
        <v>156</v>
      </c>
      <c r="F18" s="187" t="n">
        <v>2158299</v>
      </c>
      <c r="H18" s="159" t="n">
        <v>2158299</v>
      </c>
      <c r="K18" s="187" t="n">
        <f aca="false">F20-H20</f>
        <v>-500000</v>
      </c>
      <c r="M18" s="179" t="s">
        <v>157</v>
      </c>
      <c r="N18" s="191"/>
      <c r="O18" s="181" t="n">
        <v>19912</v>
      </c>
      <c r="P18" s="180"/>
      <c r="Q18" s="185" t="n">
        <v>19912</v>
      </c>
      <c r="R18" s="180"/>
      <c r="S18" s="183" t="n">
        <f aca="false">Q18-O18</f>
        <v>0</v>
      </c>
    </row>
    <row r="19" customFormat="false" ht="13.5" hidden="false" customHeight="true" outlineLevel="0" collapsed="false">
      <c r="A19" s="0" t="s">
        <v>158</v>
      </c>
      <c r="B19" s="15"/>
      <c r="C19" s="15"/>
      <c r="F19" s="159" t="n">
        <v>896000</v>
      </c>
      <c r="H19" s="159" t="n">
        <v>896000</v>
      </c>
      <c r="K19" s="187" t="n">
        <f aca="false">F21-H21</f>
        <v>-119928</v>
      </c>
      <c r="M19" s="179" t="s">
        <v>159</v>
      </c>
      <c r="N19" s="180"/>
      <c r="O19" s="192" t="n">
        <v>136160</v>
      </c>
      <c r="P19" s="180"/>
      <c r="Q19" s="192" t="n">
        <v>136160</v>
      </c>
      <c r="R19" s="180"/>
      <c r="S19" s="193" t="n">
        <f aca="false">Q19-O19</f>
        <v>0</v>
      </c>
    </row>
    <row r="20" customFormat="false" ht="13.5" hidden="false" customHeight="true" outlineLevel="0" collapsed="false">
      <c r="A20" s="0" t="s">
        <v>160</v>
      </c>
      <c r="B20" s="15"/>
      <c r="C20" s="15"/>
      <c r="F20" s="159" t="n">
        <v>0</v>
      </c>
      <c r="H20" s="159" t="n">
        <v>500000</v>
      </c>
      <c r="K20" s="187" t="n">
        <f aca="false">F22-H22</f>
        <v>-499811</v>
      </c>
      <c r="L20" s="184"/>
      <c r="M20" s="179" t="s">
        <v>161</v>
      </c>
      <c r="N20" s="191"/>
      <c r="O20" s="181" t="n">
        <f aca="false">SUM(O7:O19)</f>
        <v>20276832</v>
      </c>
      <c r="P20" s="194"/>
      <c r="Q20" s="185" t="n">
        <f aca="false">SUM(Q7:Q19)</f>
        <v>20276832</v>
      </c>
      <c r="R20" s="191"/>
      <c r="S20" s="195" t="n">
        <f aca="false">SUM(S7:S19)</f>
        <v>0</v>
      </c>
      <c r="T20" s="184"/>
      <c r="U20" s="184"/>
      <c r="V20" s="184"/>
    </row>
    <row r="21" customFormat="false" ht="13.5" hidden="false" customHeight="true" outlineLevel="0" collapsed="false">
      <c r="A21" s="184" t="s">
        <v>151</v>
      </c>
      <c r="B21" s="15"/>
      <c r="C21" s="15"/>
      <c r="F21" s="159" t="n">
        <v>0</v>
      </c>
      <c r="H21" s="159" t="n">
        <v>119928</v>
      </c>
      <c r="K21" s="187" t="n">
        <f aca="false">F23-H23</f>
        <v>-28715</v>
      </c>
      <c r="M21" s="179" t="s">
        <v>162</v>
      </c>
      <c r="N21" s="196" t="n">
        <v>0.06</v>
      </c>
      <c r="O21" s="192" t="n">
        <f aca="false">+O20*N21</f>
        <v>1216609.92</v>
      </c>
      <c r="P21" s="180"/>
      <c r="Q21" s="192" t="n">
        <f aca="false">+(Q20*N21)</f>
        <v>1216609.92</v>
      </c>
      <c r="R21" s="180"/>
      <c r="S21" s="193" t="n">
        <f aca="false">Q21-O21</f>
        <v>0</v>
      </c>
    </row>
    <row r="22" customFormat="false" ht="13.5" hidden="false" customHeight="true" outlineLevel="0" collapsed="false">
      <c r="A22" s="184" t="s">
        <v>153</v>
      </c>
      <c r="B22" s="15"/>
      <c r="C22" s="15"/>
      <c r="F22" s="159" t="n">
        <v>0</v>
      </c>
      <c r="H22" s="159" t="n">
        <v>499811</v>
      </c>
      <c r="K22" s="187"/>
      <c r="M22" s="179" t="s">
        <v>163</v>
      </c>
      <c r="N22" s="197"/>
      <c r="O22" s="181" t="n">
        <f aca="false">SUM(O20:O21)</f>
        <v>21493441.92</v>
      </c>
      <c r="P22" s="180"/>
      <c r="Q22" s="182" t="n">
        <f aca="false">SUM(Q20:Q21)</f>
        <v>21493441.92</v>
      </c>
      <c r="R22" s="180"/>
      <c r="S22" s="183" t="n">
        <f aca="false">SUM(S20:S21)</f>
        <v>0</v>
      </c>
    </row>
    <row r="23" customFormat="false" ht="13.5" hidden="false" customHeight="true" outlineLevel="0" collapsed="false">
      <c r="A23" s="184" t="s">
        <v>155</v>
      </c>
      <c r="B23" s="15"/>
      <c r="C23" s="15"/>
      <c r="F23" s="159" t="n">
        <v>0</v>
      </c>
      <c r="H23" s="159" t="n">
        <v>28715</v>
      </c>
      <c r="K23" s="187"/>
      <c r="M23" s="179"/>
      <c r="N23" s="197"/>
      <c r="O23" s="181"/>
      <c r="P23" s="180"/>
      <c r="Q23" s="180"/>
      <c r="R23" s="180"/>
      <c r="S23" s="198"/>
    </row>
    <row r="24" customFormat="false" ht="20.25" hidden="false" customHeight="false" outlineLevel="0" collapsed="false">
      <c r="A24" s="184"/>
      <c r="B24" s="15"/>
      <c r="C24" s="15"/>
      <c r="F24" s="159" t="n">
        <v>0</v>
      </c>
      <c r="K24" s="187"/>
      <c r="M24" s="199" t="s">
        <v>164</v>
      </c>
      <c r="N24" s="197"/>
      <c r="O24" s="181"/>
      <c r="P24" s="180"/>
      <c r="Q24" s="180"/>
      <c r="R24" s="180"/>
      <c r="S24" s="198"/>
    </row>
    <row r="25" customFormat="false" ht="13.5" hidden="false" customHeight="true" outlineLevel="0" collapsed="false">
      <c r="A25" s="184"/>
      <c r="B25" s="15"/>
      <c r="C25" s="15"/>
      <c r="F25" s="159" t="n">
        <v>0</v>
      </c>
      <c r="K25" s="187" t="n">
        <f aca="false">F27-H27</f>
        <v>-19912</v>
      </c>
      <c r="M25" s="179" t="s">
        <v>158</v>
      </c>
      <c r="N25" s="180"/>
      <c r="O25" s="181" t="n">
        <v>896000</v>
      </c>
      <c r="P25" s="180"/>
      <c r="Q25" s="182" t="n">
        <f aca="false">+(O25+(286400+310200))*1.06</f>
        <v>1582156</v>
      </c>
      <c r="R25" s="180"/>
      <c r="S25" s="183" t="n">
        <f aca="false">Q25-O25</f>
        <v>686156</v>
      </c>
    </row>
    <row r="26" customFormat="false" ht="13.5" hidden="false" customHeight="true" outlineLevel="0" collapsed="false">
      <c r="A26" s="184"/>
      <c r="B26" s="15"/>
      <c r="C26" s="15"/>
      <c r="F26" s="159" t="n">
        <v>0</v>
      </c>
      <c r="K26" s="187" t="n">
        <f aca="false">F28-H28</f>
        <v>-136160</v>
      </c>
      <c r="M26" s="179" t="s">
        <v>160</v>
      </c>
      <c r="N26" s="180"/>
      <c r="O26" s="181" t="n">
        <v>500000</v>
      </c>
      <c r="P26" s="180"/>
      <c r="Q26" s="182" t="n">
        <f aca="false">+O26</f>
        <v>500000</v>
      </c>
      <c r="R26" s="180"/>
      <c r="S26" s="183" t="n">
        <f aca="false">Q26-O26</f>
        <v>0</v>
      </c>
    </row>
    <row r="27" customFormat="false" ht="13.5" hidden="false" customHeight="true" outlineLevel="0" collapsed="false">
      <c r="A27" s="184" t="s">
        <v>157</v>
      </c>
      <c r="B27" s="15"/>
      <c r="C27" s="15"/>
      <c r="F27" s="159" t="n">
        <v>0</v>
      </c>
      <c r="H27" s="159" t="n">
        <v>19912</v>
      </c>
      <c r="K27" s="192" t="n">
        <f aca="false">F29-H29</f>
        <v>0</v>
      </c>
      <c r="M27" s="179" t="s">
        <v>146</v>
      </c>
      <c r="N27" s="180"/>
      <c r="O27" s="192" t="n">
        <v>250000</v>
      </c>
      <c r="P27" s="180"/>
      <c r="Q27" s="192" t="n">
        <f aca="false">+O27</f>
        <v>250000</v>
      </c>
      <c r="R27" s="180"/>
      <c r="S27" s="193" t="n">
        <f aca="false">Q27-O27</f>
        <v>0</v>
      </c>
    </row>
    <row r="28" customFormat="false" ht="13.5" hidden="false" customHeight="true" outlineLevel="0" collapsed="false">
      <c r="A28" s="184" t="s">
        <v>159</v>
      </c>
      <c r="B28" s="15"/>
      <c r="C28" s="15"/>
      <c r="F28" s="159" t="n">
        <v>0</v>
      </c>
      <c r="H28" s="159" t="n">
        <v>136160</v>
      </c>
      <c r="K28" s="181"/>
      <c r="M28" s="179" t="s">
        <v>165</v>
      </c>
      <c r="N28" s="180"/>
      <c r="O28" s="181" t="n">
        <f aca="false">SUM(O25:O27)</f>
        <v>1646000</v>
      </c>
      <c r="P28" s="180"/>
      <c r="Q28" s="182" t="n">
        <f aca="false">SUM(Q25:Q27)</f>
        <v>2332156</v>
      </c>
      <c r="R28" s="180"/>
      <c r="S28" s="183" t="n">
        <f aca="false">SUM(S25:S27)</f>
        <v>686156</v>
      </c>
    </row>
    <row r="29" customFormat="false" ht="13.5" hidden="false" customHeight="true" outlineLevel="0" collapsed="false">
      <c r="A29" s="0" t="s">
        <v>166</v>
      </c>
      <c r="B29" s="184"/>
      <c r="C29" s="184"/>
      <c r="F29" s="192" t="n">
        <f aca="false">1822856-46000</f>
        <v>1776856</v>
      </c>
      <c r="H29" s="192" t="n">
        <v>1776856</v>
      </c>
      <c r="K29" s="181"/>
      <c r="M29" s="179"/>
      <c r="N29" s="180"/>
      <c r="O29" s="181"/>
      <c r="P29" s="180"/>
      <c r="Q29" s="180"/>
      <c r="R29" s="180"/>
      <c r="S29" s="198"/>
    </row>
    <row r="30" customFormat="false" ht="13.5" hidden="false" customHeight="true" outlineLevel="0" collapsed="false">
      <c r="A30" s="200" t="s">
        <v>167</v>
      </c>
      <c r="B30" s="200"/>
      <c r="C30" s="200"/>
      <c r="D30" s="200"/>
      <c r="E30" s="200"/>
      <c r="F30" s="201" t="n">
        <f aca="false">SUM(F15:F29)</f>
        <v>22816981</v>
      </c>
      <c r="G30" s="200"/>
      <c r="H30" s="201" t="n">
        <f aca="false">SUM(H15:H29)</f>
        <v>24271507</v>
      </c>
      <c r="I30" s="200"/>
      <c r="J30" s="200"/>
      <c r="K30" s="201" t="n">
        <f aca="false">SUM(K13:K27)</f>
        <v>-1454526</v>
      </c>
      <c r="L30" s="200"/>
      <c r="M30" s="202" t="s">
        <v>168</v>
      </c>
      <c r="N30" s="203"/>
      <c r="O30" s="204" t="n">
        <f aca="false">O22+O28</f>
        <v>23139441.92</v>
      </c>
      <c r="P30" s="203"/>
      <c r="Q30" s="204" t="n">
        <f aca="false">Q22+Q28</f>
        <v>23825597.92</v>
      </c>
      <c r="R30" s="203"/>
      <c r="S30" s="205" t="n">
        <f aca="false">+S22+S28</f>
        <v>686156</v>
      </c>
      <c r="T30" s="200"/>
      <c r="U30" s="200"/>
      <c r="V30" s="200"/>
    </row>
    <row r="31" customFormat="false" ht="20.25" hidden="true" customHeight="false" outlineLevel="0" collapsed="false">
      <c r="A31" s="191" t="s">
        <v>167</v>
      </c>
      <c r="B31" s="191"/>
      <c r="C31" s="191"/>
      <c r="D31" s="191"/>
      <c r="E31" s="191"/>
      <c r="F31" s="185" t="n">
        <f aca="false">SUM(F16:F30)</f>
        <v>28098838</v>
      </c>
      <c r="G31" s="191"/>
      <c r="H31" s="185" t="n">
        <f aca="false">SUM(H16:H30)</f>
        <v>31007890</v>
      </c>
      <c r="I31" s="191"/>
      <c r="J31" s="180"/>
      <c r="K31" s="185" t="n">
        <f aca="false">SUM(K14:K28)</f>
        <v>-1454526</v>
      </c>
      <c r="L31" s="180"/>
      <c r="M31" s="164" t="s">
        <v>169</v>
      </c>
      <c r="N31" s="180"/>
      <c r="O31" s="182" t="n">
        <f aca="false">+O30</f>
        <v>23139441.92</v>
      </c>
      <c r="P31" s="180"/>
      <c r="Q31" s="182" t="n">
        <f aca="false">+Q30</f>
        <v>23825597.92</v>
      </c>
      <c r="R31" s="180"/>
      <c r="S31" s="185" t="n">
        <f aca="false">Q31-O31</f>
        <v>686156</v>
      </c>
      <c r="T31" s="180"/>
      <c r="U31" s="180"/>
      <c r="V31" s="180"/>
    </row>
    <row r="32" customFormat="false" ht="13.5" hidden="false" customHeight="true" outlineLevel="0" collapsed="false">
      <c r="M32" s="206"/>
    </row>
    <row r="33" customFormat="false" ht="20.25" hidden="false" customHeight="false" outlineLevel="0" collapsed="false">
      <c r="A33" s="168" t="s">
        <v>170</v>
      </c>
      <c r="B33" s="168"/>
      <c r="C33" s="168"/>
      <c r="M33" s="164" t="s">
        <v>170</v>
      </c>
    </row>
    <row r="34" customFormat="false" ht="13.5" hidden="false" customHeight="true" outlineLevel="0" collapsed="false">
      <c r="A34" s="184" t="s">
        <v>171</v>
      </c>
      <c r="F34" s="159" t="n">
        <v>2000000</v>
      </c>
      <c r="H34" s="159" t="n">
        <v>2000000</v>
      </c>
      <c r="K34" s="159" t="n">
        <f aca="false">F34-H34</f>
        <v>0</v>
      </c>
      <c r="M34" s="184" t="s">
        <v>171</v>
      </c>
      <c r="O34" s="159" t="n">
        <v>2000000</v>
      </c>
      <c r="Q34" s="159" t="n">
        <v>2000000</v>
      </c>
      <c r="S34" s="159" t="n">
        <f aca="false">Q34-O34</f>
        <v>0</v>
      </c>
    </row>
    <row r="35" customFormat="false" ht="13.5" hidden="false" customHeight="true" outlineLevel="0" collapsed="false">
      <c r="A35" s="184" t="s">
        <v>172</v>
      </c>
      <c r="F35" s="159" t="n">
        <v>162480</v>
      </c>
      <c r="H35" s="159" t="n">
        <f aca="false">165430*1.05</f>
        <v>173701.5</v>
      </c>
      <c r="K35" s="159" t="n">
        <f aca="false">F35-H35</f>
        <v>-11221.5</v>
      </c>
      <c r="M35" s="184" t="s">
        <v>172</v>
      </c>
      <c r="O35" s="159" t="n">
        <v>173701.5</v>
      </c>
      <c r="Q35" s="159" t="n">
        <v>173701.5</v>
      </c>
      <c r="S35" s="159" t="n">
        <f aca="false">Q35-O35</f>
        <v>0</v>
      </c>
    </row>
    <row r="36" customFormat="false" ht="13.5" hidden="false" customHeight="true" outlineLevel="0" collapsed="false">
      <c r="A36" s="184" t="s">
        <v>173</v>
      </c>
      <c r="F36" s="192" t="n">
        <v>59780</v>
      </c>
      <c r="H36" s="192" t="n">
        <f aca="false">75356*1.05</f>
        <v>79123.8</v>
      </c>
      <c r="K36" s="192" t="n">
        <f aca="false">F36-H36</f>
        <v>-19343.8</v>
      </c>
      <c r="M36" s="184" t="s">
        <v>173</v>
      </c>
      <c r="O36" s="192" t="n">
        <v>79123.8</v>
      </c>
      <c r="Q36" s="192" t="n">
        <v>79123.8</v>
      </c>
      <c r="S36" s="192" t="n">
        <f aca="false">Q36-O36</f>
        <v>0</v>
      </c>
    </row>
    <row r="37" customFormat="false" ht="13.5" hidden="false" customHeight="true" outlineLevel="0" collapsed="false">
      <c r="A37" s="184" t="s">
        <v>174</v>
      </c>
      <c r="F37" s="187" t="n">
        <f aca="false">SUM(F34:F36)</f>
        <v>2222260</v>
      </c>
      <c r="H37" s="187" t="n">
        <f aca="false">SUM(H34:H36)</f>
        <v>2252825.3</v>
      </c>
      <c r="K37" s="187" t="n">
        <f aca="false">F37-H37</f>
        <v>-30565.2999999998</v>
      </c>
      <c r="L37" s="169"/>
      <c r="M37" s="184" t="s">
        <v>174</v>
      </c>
      <c r="O37" s="187" t="n">
        <f aca="false">SUM(O34:O36)</f>
        <v>2252825.3</v>
      </c>
      <c r="Q37" s="187" t="n">
        <f aca="false">SUM(Q34:Q36)</f>
        <v>2252825.3</v>
      </c>
      <c r="S37" s="187" t="n">
        <f aca="false">SUM(S34:S36)</f>
        <v>0</v>
      </c>
    </row>
    <row r="38" customFormat="false" ht="13.5" hidden="false" customHeight="true" outlineLevel="0" collapsed="false">
      <c r="A38" s="184"/>
      <c r="F38" s="187"/>
      <c r="H38" s="187"/>
      <c r="K38" s="187"/>
      <c r="M38" s="184"/>
      <c r="Q38" s="187"/>
      <c r="S38" s="187"/>
    </row>
    <row r="39" customFormat="false" ht="13.5" hidden="false" customHeight="true" outlineLevel="0" collapsed="false">
      <c r="Q39" s="159"/>
      <c r="S39" s="159"/>
    </row>
    <row r="40" customFormat="false" ht="20.25" hidden="false" customHeight="false" outlineLevel="0" collapsed="false">
      <c r="A40" s="168" t="s">
        <v>175</v>
      </c>
      <c r="B40" s="207" t="s">
        <v>176</v>
      </c>
      <c r="C40" s="207"/>
      <c r="D40" s="207"/>
      <c r="M40" s="164" t="s">
        <v>175</v>
      </c>
      <c r="Q40" s="159"/>
      <c r="S40" s="159"/>
    </row>
    <row r="41" customFormat="false" ht="13.5" hidden="false" customHeight="true" outlineLevel="0" collapsed="false">
      <c r="A41" s="184" t="s">
        <v>177</v>
      </c>
      <c r="B41" s="208"/>
      <c r="C41" s="209" t="s">
        <v>178</v>
      </c>
      <c r="D41" s="210" t="s">
        <v>179</v>
      </c>
      <c r="E41" s="211"/>
      <c r="M41" s="184" t="s">
        <v>177</v>
      </c>
      <c r="Q41" s="159"/>
      <c r="S41" s="159"/>
    </row>
    <row r="42" customFormat="false" ht="13.5" hidden="false" customHeight="true" outlineLevel="0" collapsed="false">
      <c r="A42" s="184" t="s">
        <v>180</v>
      </c>
      <c r="B42" s="212" t="s">
        <v>181</v>
      </c>
      <c r="C42" s="181" t="n">
        <f aca="false">25595000/3</f>
        <v>8531666.66666667</v>
      </c>
      <c r="D42" s="213" t="n">
        <f aca="false">'Project Assumptions'!$I$8</f>
        <v>3</v>
      </c>
      <c r="E42" s="206"/>
      <c r="F42" s="159" t="n">
        <v>25595000</v>
      </c>
      <c r="H42" s="159" t="n">
        <v>25595000</v>
      </c>
      <c r="K42" s="159" t="n">
        <f aca="false">F42-H42</f>
        <v>0</v>
      </c>
      <c r="M42" s="184" t="s">
        <v>180</v>
      </c>
      <c r="O42" s="159" t="n">
        <v>25595000</v>
      </c>
      <c r="Q42" s="159" t="n">
        <v>25595000</v>
      </c>
      <c r="S42" s="159" t="n">
        <f aca="false">Q42-O42</f>
        <v>0</v>
      </c>
    </row>
    <row r="43" customFormat="false" ht="13.5" hidden="false" customHeight="true" outlineLevel="0" collapsed="false">
      <c r="A43" s="184" t="s">
        <v>182</v>
      </c>
      <c r="B43" s="212" t="s">
        <v>181</v>
      </c>
      <c r="C43" s="181" t="n">
        <f aca="false">(22291769.33)/4</f>
        <v>5572942.3325</v>
      </c>
      <c r="D43" s="213" t="n">
        <f aca="false">'Project Assumptions'!$I$8</f>
        <v>3</v>
      </c>
      <c r="E43" s="206"/>
      <c r="F43" s="159" t="n">
        <v>16718826.9975</v>
      </c>
      <c r="H43" s="159" t="n">
        <f aca="false">'Refurb Budget'!E43</f>
        <v>19263010</v>
      </c>
      <c r="I43" s="159"/>
      <c r="K43" s="159" t="n">
        <f aca="false">F43-H43</f>
        <v>-2544183.0025</v>
      </c>
      <c r="M43" s="184" t="s">
        <v>182</v>
      </c>
      <c r="O43" s="159" t="n">
        <f aca="false">'Refurb Budget'!E43</f>
        <v>19263010</v>
      </c>
      <c r="Q43" s="159" t="n">
        <v>19263010</v>
      </c>
      <c r="S43" s="159" t="n">
        <f aca="false">Q43-O43</f>
        <v>0</v>
      </c>
    </row>
    <row r="44" customFormat="false" ht="13.5" hidden="false" customHeight="true" outlineLevel="0" collapsed="false">
      <c r="A44" s="184" t="s">
        <v>183</v>
      </c>
      <c r="B44" s="212" t="s">
        <v>181</v>
      </c>
      <c r="C44" s="214" t="n">
        <f aca="false">1100000/3</f>
        <v>366666.666666667</v>
      </c>
      <c r="D44" s="213" t="n">
        <f aca="false">'Project Assumptions'!$I$8</f>
        <v>3</v>
      </c>
      <c r="E44" s="206"/>
      <c r="F44" s="192" t="n">
        <v>1100000</v>
      </c>
      <c r="H44" s="192" t="n">
        <v>0</v>
      </c>
      <c r="K44" s="215" t="n">
        <f aca="false">F44-H44</f>
        <v>1100000</v>
      </c>
      <c r="M44" s="184" t="s">
        <v>183</v>
      </c>
      <c r="O44" s="192" t="n">
        <v>0</v>
      </c>
      <c r="P44" s="159"/>
      <c r="Q44" s="192" t="n">
        <v>0</v>
      </c>
      <c r="S44" s="192" t="n">
        <f aca="false">Q44-O44</f>
        <v>0</v>
      </c>
    </row>
    <row r="45" customFormat="false" ht="13.5" hidden="false" customHeight="true" outlineLevel="0" collapsed="false">
      <c r="A45" s="184" t="s">
        <v>184</v>
      </c>
      <c r="B45" s="216" t="s">
        <v>181</v>
      </c>
      <c r="C45" s="217" t="n">
        <f aca="false">SUM(C42:C44)</f>
        <v>14471275.6658333</v>
      </c>
      <c r="D45" s="218" t="n">
        <f aca="false">'Project Assumptions'!$I$8</f>
        <v>3</v>
      </c>
      <c r="E45" s="206"/>
      <c r="F45" s="159" t="n">
        <f aca="false">SUM(F42:F44)</f>
        <v>43413826.9975</v>
      </c>
      <c r="H45" s="159" t="n">
        <f aca="false">SUM(H42:H44)</f>
        <v>44858010</v>
      </c>
      <c r="K45" s="159" t="n">
        <f aca="false">SUM(K42:K44)</f>
        <v>-1444183.0025</v>
      </c>
      <c r="M45" s="184" t="s">
        <v>184</v>
      </c>
      <c r="O45" s="159" t="n">
        <f aca="false">SUM(O42:O44)</f>
        <v>44858010</v>
      </c>
      <c r="P45" s="159"/>
      <c r="Q45" s="159" t="n">
        <f aca="false">SUM(Q42:Q44)</f>
        <v>44858010</v>
      </c>
      <c r="S45" s="159" t="n">
        <f aca="false">SUM(S42:S44)</f>
        <v>0</v>
      </c>
    </row>
    <row r="46" customFormat="false" ht="13.5" hidden="false" customHeight="true" outlineLevel="0" collapsed="false">
      <c r="D46" s="169"/>
      <c r="E46" s="169"/>
      <c r="O46" s="159"/>
      <c r="P46" s="159"/>
      <c r="Q46" s="159"/>
      <c r="S46" s="159"/>
    </row>
    <row r="47" customFormat="false" ht="13.5" hidden="false" customHeight="true" outlineLevel="0" collapsed="false">
      <c r="A47" s="219" t="s">
        <v>185</v>
      </c>
      <c r="B47" s="208"/>
      <c r="C47" s="209" t="s">
        <v>186</v>
      </c>
      <c r="D47" s="210" t="s">
        <v>179</v>
      </c>
      <c r="E47" s="211"/>
      <c r="M47" s="219" t="s">
        <v>185</v>
      </c>
      <c r="O47" s="159"/>
      <c r="P47" s="159"/>
      <c r="Q47" s="159"/>
      <c r="S47" s="159"/>
    </row>
    <row r="48" customFormat="false" ht="13.5" hidden="false" customHeight="true" outlineLevel="0" collapsed="false">
      <c r="A48" s="184" t="s">
        <v>187</v>
      </c>
      <c r="B48" s="212" t="s">
        <v>181</v>
      </c>
      <c r="C48" s="181" t="n">
        <v>16000000</v>
      </c>
      <c r="D48" s="213" t="n">
        <v>2</v>
      </c>
      <c r="E48" s="206"/>
      <c r="F48" s="159" t="n">
        <v>32000000</v>
      </c>
      <c r="H48" s="159" t="n">
        <v>32172000</v>
      </c>
      <c r="K48" s="159" t="n">
        <f aca="false">F48-H48</f>
        <v>-172000</v>
      </c>
      <c r="M48" s="184" t="s">
        <v>187</v>
      </c>
      <c r="O48" s="159" t="n">
        <v>32172000</v>
      </c>
      <c r="P48" s="159"/>
      <c r="Q48" s="159" t="n">
        <v>32172000</v>
      </c>
      <c r="S48" s="159" t="n">
        <f aca="false">Q48-O48</f>
        <v>0</v>
      </c>
    </row>
    <row r="49" customFormat="false" ht="13.5" hidden="false" customHeight="true" outlineLevel="0" collapsed="false">
      <c r="A49" s="184" t="s">
        <v>188</v>
      </c>
      <c r="B49" s="212" t="s">
        <v>181</v>
      </c>
      <c r="C49" s="181" t="n">
        <v>408000</v>
      </c>
      <c r="D49" s="213" t="n">
        <v>2</v>
      </c>
      <c r="E49" s="206"/>
      <c r="F49" s="159" t="n">
        <v>816000</v>
      </c>
      <c r="H49" s="159" t="n">
        <v>896000</v>
      </c>
      <c r="K49" s="159" t="n">
        <f aca="false">F49-H49</f>
        <v>-80000</v>
      </c>
      <c r="M49" s="184" t="s">
        <v>188</v>
      </c>
      <c r="O49" s="159" t="n">
        <v>896000</v>
      </c>
      <c r="P49" s="159"/>
      <c r="Q49" s="159" t="n">
        <v>896000</v>
      </c>
      <c r="S49" s="159" t="n">
        <f aca="false">Q49-O49</f>
        <v>0</v>
      </c>
    </row>
    <row r="50" customFormat="false" ht="13.5" hidden="false" customHeight="true" outlineLevel="0" collapsed="false">
      <c r="A50" s="184" t="s">
        <v>189</v>
      </c>
      <c r="B50" s="212" t="s">
        <v>181</v>
      </c>
      <c r="C50" s="214" t="n">
        <v>500000</v>
      </c>
      <c r="D50" s="213" t="n">
        <v>2</v>
      </c>
      <c r="E50" s="206"/>
      <c r="F50" s="192" t="n">
        <v>1000000</v>
      </c>
      <c r="H50" s="192" t="n">
        <v>1192000</v>
      </c>
      <c r="K50" s="192" t="n">
        <f aca="false">F50-H50</f>
        <v>-192000</v>
      </c>
      <c r="M50" s="184" t="s">
        <v>189</v>
      </c>
      <c r="O50" s="192" t="n">
        <v>1192000</v>
      </c>
      <c r="P50" s="159"/>
      <c r="Q50" s="192" t="n">
        <v>1192000</v>
      </c>
      <c r="S50" s="192" t="n">
        <f aca="false">Q50-O50</f>
        <v>0</v>
      </c>
    </row>
    <row r="51" customFormat="false" ht="13.5" hidden="false" customHeight="true" outlineLevel="0" collapsed="false">
      <c r="A51" s="184" t="s">
        <v>190</v>
      </c>
      <c r="B51" s="216" t="s">
        <v>181</v>
      </c>
      <c r="C51" s="217" t="n">
        <f aca="false">SUM(C48:C50)</f>
        <v>16908000</v>
      </c>
      <c r="D51" s="218" t="n">
        <v>2</v>
      </c>
      <c r="E51" s="206"/>
      <c r="F51" s="187" t="n">
        <f aca="false">SUM(F48:F50)</f>
        <v>33816000</v>
      </c>
      <c r="H51" s="187" t="n">
        <f aca="false">SUM(H48:H50)</f>
        <v>34260000</v>
      </c>
      <c r="K51" s="187" t="n">
        <f aca="false">SUM(K48:K50)</f>
        <v>-444000</v>
      </c>
      <c r="M51" s="184" t="s">
        <v>190</v>
      </c>
      <c r="O51" s="187" t="n">
        <f aca="false">SUM(O48:O50)</f>
        <v>34260000</v>
      </c>
      <c r="P51" s="159"/>
      <c r="Q51" s="187" t="n">
        <f aca="false">SUM(Q48:Q50)</f>
        <v>34260000</v>
      </c>
      <c r="S51" s="187" t="n">
        <f aca="false">SUM(S48:S50)</f>
        <v>0</v>
      </c>
    </row>
    <row r="52" customFormat="false" ht="13.5" hidden="false" customHeight="true" outlineLevel="0" collapsed="false">
      <c r="O52" s="159"/>
      <c r="P52" s="215"/>
      <c r="Q52" s="159"/>
      <c r="S52" s="159"/>
    </row>
    <row r="53" customFormat="false" ht="13.5" hidden="false" customHeight="true" outlineLevel="0" collapsed="false">
      <c r="A53" s="184" t="s">
        <v>191</v>
      </c>
      <c r="D53" s="215"/>
      <c r="E53" s="215"/>
      <c r="F53" s="159" t="n">
        <f aca="false">+F45+F51</f>
        <v>77229826.9975</v>
      </c>
      <c r="H53" s="159" t="n">
        <f aca="false">H45+H51</f>
        <v>79118010</v>
      </c>
      <c r="K53" s="159" t="n">
        <f aca="false">F53-H53</f>
        <v>-1888183.0025</v>
      </c>
      <c r="M53" s="184" t="s">
        <v>191</v>
      </c>
      <c r="O53" s="159" t="n">
        <f aca="false">O45+O51</f>
        <v>79118010</v>
      </c>
      <c r="P53" s="159"/>
      <c r="Q53" s="159" t="n">
        <f aca="false">Q45+Q51</f>
        <v>79118010</v>
      </c>
      <c r="S53" s="159" t="n">
        <f aca="false">Q53-O53</f>
        <v>0</v>
      </c>
    </row>
    <row r="54" customFormat="false" ht="13.5" hidden="false" customHeight="true" outlineLevel="0" collapsed="false">
      <c r="D54" s="215"/>
      <c r="E54" s="215"/>
      <c r="O54" s="159"/>
      <c r="Q54" s="159"/>
      <c r="S54" s="159"/>
    </row>
    <row r="55" customFormat="false" ht="13.5" hidden="false" customHeight="true" outlineLevel="0" collapsed="false">
      <c r="O55" s="159"/>
      <c r="Q55" s="159"/>
      <c r="S55" s="159"/>
    </row>
    <row r="56" customFormat="false" ht="13.5" hidden="false" customHeight="true" outlineLevel="0" collapsed="false">
      <c r="O56" s="159"/>
      <c r="P56" s="169"/>
      <c r="Q56" s="159"/>
      <c r="S56" s="159"/>
    </row>
    <row r="57" customFormat="false" ht="20.25" hidden="false" customHeight="false" outlineLevel="0" collapsed="false">
      <c r="A57" s="168" t="s">
        <v>192</v>
      </c>
      <c r="M57" s="164" t="s">
        <v>192</v>
      </c>
      <c r="O57" s="159"/>
      <c r="P57" s="169"/>
      <c r="Q57" s="159"/>
      <c r="S57" s="159"/>
    </row>
    <row r="58" customFormat="false" ht="13.5" hidden="false" customHeight="true" outlineLevel="0" collapsed="false">
      <c r="A58" s="184" t="s">
        <v>38</v>
      </c>
      <c r="B58" s="184"/>
      <c r="C58" s="184"/>
      <c r="D58" s="184"/>
      <c r="E58" s="184"/>
      <c r="F58" s="187" t="n">
        <v>1300000</v>
      </c>
      <c r="H58" s="187" t="n">
        <v>1300000</v>
      </c>
      <c r="K58" s="187" t="n">
        <f aca="false">F58-H58</f>
        <v>0</v>
      </c>
      <c r="M58" s="184" t="s">
        <v>38</v>
      </c>
      <c r="O58" s="187" t="n">
        <v>1300000</v>
      </c>
      <c r="Q58" s="187" t="n">
        <v>1000000</v>
      </c>
      <c r="S58" s="220" t="n">
        <f aca="false">Q58-O58</f>
        <v>-300000</v>
      </c>
    </row>
    <row r="59" customFormat="false" ht="13.5" hidden="false" customHeight="true" outlineLevel="0" collapsed="false">
      <c r="A59" s="184" t="s">
        <v>40</v>
      </c>
      <c r="F59" s="187" t="n">
        <v>1694670</v>
      </c>
      <c r="H59" s="187" t="n">
        <v>1694670</v>
      </c>
      <c r="K59" s="187" t="n">
        <f aca="false">F59-H59</f>
        <v>0</v>
      </c>
      <c r="M59" s="184" t="s">
        <v>40</v>
      </c>
      <c r="O59" s="187" t="n">
        <v>1694670</v>
      </c>
      <c r="P59" s="169"/>
      <c r="Q59" s="187" t="n">
        <v>1694670</v>
      </c>
      <c r="S59" s="187" t="n">
        <f aca="false">Q59-O59</f>
        <v>0</v>
      </c>
    </row>
    <row r="60" customFormat="false" ht="13.5" hidden="false" customHeight="true" outlineLevel="0" collapsed="false">
      <c r="A60" s="184" t="s">
        <v>44</v>
      </c>
      <c r="B60" s="168"/>
      <c r="C60" s="168"/>
      <c r="F60" s="192" t="n">
        <v>343000</v>
      </c>
      <c r="H60" s="192" t="n">
        <v>343000</v>
      </c>
      <c r="K60" s="192" t="n">
        <f aca="false">F60-H60</f>
        <v>0</v>
      </c>
      <c r="M60" s="184" t="s">
        <v>44</v>
      </c>
      <c r="O60" s="192" t="n">
        <v>343000</v>
      </c>
      <c r="Q60" s="221" t="n">
        <v>351920.32</v>
      </c>
      <c r="S60" s="192" t="n">
        <f aca="false">Q60-O60</f>
        <v>8920.32000000001</v>
      </c>
    </row>
    <row r="61" customFormat="false" ht="13.5" hidden="false" customHeight="true" outlineLevel="0" collapsed="false">
      <c r="A61" s="184" t="s">
        <v>193</v>
      </c>
      <c r="B61" s="15"/>
      <c r="C61" s="15"/>
      <c r="F61" s="181" t="n">
        <v>3337670</v>
      </c>
      <c r="H61" s="181" t="n">
        <f aca="false">SUM(H58:H60)</f>
        <v>3337670</v>
      </c>
      <c r="K61" s="181" t="n">
        <f aca="false">F61-H61</f>
        <v>0</v>
      </c>
      <c r="M61" s="184" t="s">
        <v>193</v>
      </c>
      <c r="O61" s="181" t="n">
        <f aca="false">SUM(O58:O60)</f>
        <v>3337670</v>
      </c>
      <c r="Q61" s="181" t="n">
        <f aca="false">SUM(Q58:Q60)</f>
        <v>3046590.32</v>
      </c>
      <c r="S61" s="181" t="n">
        <f aca="false">SUM(S58:S60)</f>
        <v>-291079.68</v>
      </c>
    </row>
    <row r="62" customFormat="false" ht="13.5" hidden="false" customHeight="true" outlineLevel="0" collapsed="false">
      <c r="B62" s="15"/>
      <c r="C62" s="15"/>
      <c r="F62" s="181"/>
      <c r="H62" s="181"/>
      <c r="K62" s="181"/>
      <c r="O62" s="181"/>
      <c r="Q62" s="181"/>
      <c r="S62" s="181"/>
    </row>
    <row r="63" customFormat="false" ht="13.5" hidden="false" customHeight="true" outlineLevel="0" collapsed="false">
      <c r="A63" s="15"/>
      <c r="B63" s="15"/>
      <c r="C63" s="15"/>
      <c r="F63" s="181"/>
      <c r="H63" s="181"/>
      <c r="K63" s="181"/>
      <c r="M63" s="15"/>
      <c r="O63" s="181"/>
      <c r="Q63" s="181"/>
      <c r="S63" s="181"/>
    </row>
    <row r="64" customFormat="false" ht="20.25" hidden="false" customHeight="false" outlineLevel="0" collapsed="false">
      <c r="A64" s="222" t="s">
        <v>194</v>
      </c>
      <c r="B64" s="15"/>
      <c r="C64" s="15"/>
      <c r="F64" s="188" t="n">
        <f aca="false">+F61+F53+F37+F30</f>
        <v>105606737.9975</v>
      </c>
      <c r="H64" s="188" t="n">
        <f aca="false">+H61+H53+H37+H30</f>
        <v>108980012.3</v>
      </c>
      <c r="K64" s="188" t="n">
        <f aca="false">+K61+K53+K37+K30</f>
        <v>-3373274.3025</v>
      </c>
      <c r="M64" s="164" t="s">
        <v>195</v>
      </c>
      <c r="O64" s="188" t="n">
        <f aca="false">+O61+O53+O37+O30</f>
        <v>107847947.22</v>
      </c>
      <c r="Q64" s="188" t="n">
        <f aca="false">+Q61+Q53+Q37+Q30</f>
        <v>108243023.54</v>
      </c>
      <c r="S64" s="188" t="n">
        <f aca="false">Q64-O64</f>
        <v>395076.319999993</v>
      </c>
    </row>
    <row r="65" customFormat="false" ht="13.5" hidden="false" customHeight="true" outlineLevel="0" collapsed="false">
      <c r="A65" s="222"/>
      <c r="B65" s="222"/>
      <c r="C65" s="222"/>
      <c r="F65" s="188"/>
      <c r="H65" s="188"/>
      <c r="K65" s="188"/>
      <c r="M65" s="222"/>
      <c r="O65" s="188"/>
      <c r="Q65" s="188"/>
      <c r="S65" s="188"/>
    </row>
    <row r="66" customFormat="false" ht="13.5" hidden="false" customHeight="true" outlineLevel="0" collapsed="false">
      <c r="A66" s="222"/>
      <c r="B66" s="222"/>
      <c r="C66" s="222"/>
      <c r="F66" s="188"/>
      <c r="H66" s="188"/>
      <c r="K66" s="188"/>
      <c r="M66" s="222"/>
      <c r="O66" s="188"/>
      <c r="Q66" s="188"/>
      <c r="S66" s="188"/>
    </row>
    <row r="67" customFormat="false" ht="20.25" hidden="false" customHeight="false" outlineLevel="0" collapsed="false">
      <c r="A67" s="168" t="s">
        <v>196</v>
      </c>
      <c r="B67" s="222"/>
      <c r="C67" s="222"/>
      <c r="F67" s="188"/>
      <c r="H67" s="188"/>
      <c r="K67" s="188"/>
      <c r="L67" s="169"/>
      <c r="M67" s="164" t="s">
        <v>196</v>
      </c>
      <c r="O67" s="188"/>
      <c r="Q67" s="188"/>
      <c r="S67" s="188"/>
    </row>
    <row r="68" customFormat="false" ht="13.5" hidden="false" customHeight="true" outlineLevel="0" collapsed="false">
      <c r="A68" s="184" t="s">
        <v>55</v>
      </c>
      <c r="B68" s="15"/>
      <c r="C68" s="15"/>
      <c r="F68" s="159" t="n">
        <v>375000</v>
      </c>
      <c r="H68" s="223" t="n">
        <v>375000</v>
      </c>
      <c r="K68" s="223" t="n">
        <f aca="false">F68-H68</f>
        <v>0</v>
      </c>
      <c r="M68" s="184" t="s">
        <v>55</v>
      </c>
      <c r="O68" s="220" t="n">
        <v>375000</v>
      </c>
      <c r="P68" s="224"/>
      <c r="Q68" s="220" t="n">
        <v>375000</v>
      </c>
      <c r="S68" s="220" t="n">
        <f aca="false">Q68-O68</f>
        <v>0</v>
      </c>
    </row>
    <row r="69" customFormat="false" ht="13.5" hidden="false" customHeight="true" outlineLevel="0" collapsed="false">
      <c r="A69" s="184" t="s">
        <v>57</v>
      </c>
      <c r="B69" s="15"/>
      <c r="C69" s="15"/>
      <c r="F69" s="159" t="n">
        <v>400000</v>
      </c>
      <c r="H69" s="223" t="n">
        <v>400000</v>
      </c>
      <c r="K69" s="223" t="n">
        <f aca="false">F69-H69</f>
        <v>0</v>
      </c>
      <c r="M69" s="184" t="s">
        <v>57</v>
      </c>
      <c r="O69" s="220" t="n">
        <v>400000</v>
      </c>
      <c r="P69" s="224"/>
      <c r="Q69" s="220" t="n">
        <v>400000</v>
      </c>
      <c r="S69" s="220" t="n">
        <f aca="false">Q69-O69</f>
        <v>0</v>
      </c>
    </row>
    <row r="70" customFormat="false" ht="13.5" hidden="false" customHeight="true" outlineLevel="0" collapsed="false">
      <c r="A70" s="184" t="s">
        <v>59</v>
      </c>
      <c r="B70" s="15"/>
      <c r="C70" s="15"/>
      <c r="F70" s="159" t="n">
        <v>1096727</v>
      </c>
      <c r="H70" s="159" t="n">
        <v>1096727</v>
      </c>
      <c r="K70" s="159" t="n">
        <f aca="false">F70-H70</f>
        <v>0</v>
      </c>
      <c r="L70" s="184"/>
      <c r="M70" s="184" t="s">
        <v>59</v>
      </c>
      <c r="N70" s="184"/>
      <c r="O70" s="220" t="n">
        <v>1096727</v>
      </c>
      <c r="P70" s="224"/>
      <c r="Q70" s="220" t="n">
        <v>1128564</v>
      </c>
      <c r="R70" s="184"/>
      <c r="S70" s="220" t="n">
        <f aca="false">Q70-O70</f>
        <v>31837</v>
      </c>
      <c r="T70" s="184"/>
      <c r="U70" s="184"/>
      <c r="V70" s="184"/>
    </row>
    <row r="71" customFormat="false" ht="13.5" hidden="false" customHeight="true" outlineLevel="0" collapsed="false">
      <c r="A71" s="184" t="s">
        <v>64</v>
      </c>
      <c r="B71" s="15"/>
      <c r="C71" s="15"/>
      <c r="F71" s="159" t="n">
        <v>300000</v>
      </c>
      <c r="H71" s="223" t="n">
        <v>300000</v>
      </c>
      <c r="K71" s="223" t="n">
        <f aca="false">F71-H71</f>
        <v>0</v>
      </c>
      <c r="M71" s="184" t="s">
        <v>64</v>
      </c>
      <c r="O71" s="220" t="n">
        <v>300000</v>
      </c>
      <c r="P71" s="224"/>
      <c r="Q71" s="220" t="n">
        <v>300000</v>
      </c>
      <c r="S71" s="220" t="n">
        <f aca="false">Q71-O71</f>
        <v>0</v>
      </c>
    </row>
    <row r="72" customFormat="false" ht="13.5" hidden="false" customHeight="true" outlineLevel="0" collapsed="false">
      <c r="A72" s="184" t="s">
        <v>67</v>
      </c>
      <c r="B72" s="15"/>
      <c r="C72" s="15"/>
      <c r="F72" s="159" t="n">
        <v>150000</v>
      </c>
      <c r="H72" s="223" t="n">
        <v>150000</v>
      </c>
      <c r="K72" s="223" t="n">
        <f aca="false">F72-H72</f>
        <v>0</v>
      </c>
      <c r="M72" s="184" t="s">
        <v>67</v>
      </c>
      <c r="O72" s="220" t="n">
        <v>150000</v>
      </c>
      <c r="P72" s="224"/>
      <c r="Q72" s="220" t="n">
        <v>150000</v>
      </c>
      <c r="S72" s="220" t="n">
        <f aca="false">Q72-O72</f>
        <v>0</v>
      </c>
    </row>
    <row r="73" customFormat="false" ht="13.5" hidden="false" customHeight="true" outlineLevel="0" collapsed="false">
      <c r="A73" s="184" t="s">
        <v>69</v>
      </c>
      <c r="B73" s="15"/>
      <c r="C73" s="15"/>
      <c r="F73" s="159" t="n">
        <v>400000</v>
      </c>
      <c r="H73" s="223" t="n">
        <v>400000</v>
      </c>
      <c r="K73" s="223" t="n">
        <f aca="false">F73-H73</f>
        <v>0</v>
      </c>
      <c r="M73" s="184" t="s">
        <v>69</v>
      </c>
      <c r="O73" s="220" t="n">
        <v>400000</v>
      </c>
      <c r="P73" s="224"/>
      <c r="Q73" s="223" t="n">
        <f aca="false">254000+27460</f>
        <v>281460</v>
      </c>
      <c r="S73" s="220" t="n">
        <f aca="false">Q73-O73</f>
        <v>-118540</v>
      </c>
      <c r="V73" s="169"/>
    </row>
    <row r="74" customFormat="false" ht="13.5" hidden="false" customHeight="true" outlineLevel="0" collapsed="false">
      <c r="A74" s="184" t="s">
        <v>71</v>
      </c>
      <c r="B74" s="15"/>
      <c r="C74" s="15"/>
      <c r="F74" s="192" t="n">
        <v>600000</v>
      </c>
      <c r="H74" s="221" t="n">
        <v>400000</v>
      </c>
      <c r="K74" s="221" t="n">
        <f aca="false">F74-H74</f>
        <v>200000</v>
      </c>
      <c r="M74" s="184" t="s">
        <v>71</v>
      </c>
      <c r="O74" s="225" t="n">
        <v>400000</v>
      </c>
      <c r="P74" s="224"/>
      <c r="Q74" s="225" t="n">
        <v>400000</v>
      </c>
      <c r="S74" s="225" t="n">
        <f aca="false">Q74-O74</f>
        <v>0</v>
      </c>
    </row>
    <row r="75" customFormat="false" ht="13.5" hidden="false" customHeight="true" outlineLevel="0" collapsed="false">
      <c r="A75" s="184" t="s">
        <v>197</v>
      </c>
      <c r="B75" s="15"/>
      <c r="C75" s="15"/>
      <c r="D75" s="184"/>
      <c r="E75" s="184"/>
      <c r="F75" s="159" t="n">
        <f aca="false">SUM(F68:F74)</f>
        <v>3321727</v>
      </c>
      <c r="G75" s="184"/>
      <c r="H75" s="187" t="n">
        <f aca="false">SUM(H68:H74)</f>
        <v>3121727</v>
      </c>
      <c r="I75" s="184"/>
      <c r="K75" s="187" t="n">
        <f aca="false">F75-H75</f>
        <v>200000</v>
      </c>
      <c r="L75" s="169"/>
      <c r="M75" s="184" t="s">
        <v>197</v>
      </c>
      <c r="O75" s="187" t="n">
        <f aca="false">SUM(O68:O74)</f>
        <v>3121727</v>
      </c>
      <c r="Q75" s="187" t="n">
        <f aca="false">SUM(Q68:Q74)</f>
        <v>3035024</v>
      </c>
      <c r="S75" s="187" t="n">
        <f aca="false">SUM(S68:S74)</f>
        <v>-86703</v>
      </c>
    </row>
    <row r="76" customFormat="false" ht="13.5" hidden="false" customHeight="true" outlineLevel="0" collapsed="false">
      <c r="B76" s="222"/>
      <c r="C76" s="222"/>
      <c r="F76" s="187"/>
      <c r="L76" s="169"/>
      <c r="O76" s="159"/>
      <c r="Q76" s="159"/>
      <c r="S76" s="159"/>
    </row>
    <row r="77" customFormat="false" ht="20.25" hidden="false" customHeight="false" outlineLevel="0" collapsed="false">
      <c r="A77" s="168" t="s">
        <v>198</v>
      </c>
      <c r="F77" s="187"/>
      <c r="H77" s="187"/>
      <c r="K77" s="187"/>
      <c r="L77" s="226"/>
      <c r="M77" s="164" t="s">
        <v>198</v>
      </c>
      <c r="N77" s="184"/>
      <c r="O77" s="187"/>
      <c r="P77" s="184"/>
      <c r="Q77" s="187"/>
      <c r="R77" s="184"/>
      <c r="S77" s="187"/>
      <c r="T77" s="184"/>
      <c r="U77" s="184"/>
      <c r="V77" s="184"/>
    </row>
    <row r="78" customFormat="false" ht="13.5" hidden="false" customHeight="true" outlineLevel="0" collapsed="false">
      <c r="A78" s="184" t="s">
        <v>199</v>
      </c>
      <c r="B78" s="168"/>
      <c r="C78" s="168"/>
      <c r="F78" s="187" t="n">
        <v>1150000</v>
      </c>
      <c r="H78" s="187" t="n">
        <v>0</v>
      </c>
      <c r="K78" s="187" t="n">
        <f aca="false">F78-H78</f>
        <v>1150000</v>
      </c>
      <c r="M78" s="184" t="s">
        <v>199</v>
      </c>
      <c r="O78" s="187" t="n">
        <v>0</v>
      </c>
      <c r="Q78" s="187" t="n">
        <v>0</v>
      </c>
      <c r="S78" s="187" t="n">
        <f aca="false">Q78-O78</f>
        <v>0</v>
      </c>
    </row>
    <row r="79" customFormat="false" ht="12.75" hidden="false" customHeight="false" outlineLevel="0" collapsed="false">
      <c r="A79" s="184" t="s">
        <v>200</v>
      </c>
      <c r="B79" s="15"/>
      <c r="C79" s="15"/>
      <c r="F79" s="187" t="n">
        <v>-1018500.66048654</v>
      </c>
      <c r="H79" s="187" t="n">
        <v>-2693401.76111742</v>
      </c>
      <c r="K79" s="187" t="n">
        <f aca="false">F79-H79</f>
        <v>1674901.10063088</v>
      </c>
      <c r="M79" s="184" t="s">
        <v>200</v>
      </c>
      <c r="O79" s="187" t="n">
        <v>-2028262.89741663</v>
      </c>
      <c r="Q79" s="187" t="n">
        <v>-1753625.28446519</v>
      </c>
      <c r="S79" s="187" t="n">
        <v>0</v>
      </c>
    </row>
    <row r="80" customFormat="false" ht="12.75" hidden="true" customHeight="false" outlineLevel="0" collapsed="false">
      <c r="A80" s="184"/>
      <c r="F80" s="187" t="n">
        <v>0</v>
      </c>
      <c r="H80" s="187" t="n">
        <v>0</v>
      </c>
      <c r="K80" s="187" t="n">
        <f aca="false">F80-H80</f>
        <v>0</v>
      </c>
      <c r="M80" s="184"/>
      <c r="O80" s="187" t="n">
        <v>0</v>
      </c>
      <c r="Q80" s="187" t="n">
        <v>0</v>
      </c>
      <c r="S80" s="187" t="n">
        <f aca="false">Q80-O80</f>
        <v>0</v>
      </c>
    </row>
    <row r="81" customFormat="false" ht="12.75" hidden="false" customHeight="false" outlineLevel="0" collapsed="false">
      <c r="A81" s="184" t="s">
        <v>90</v>
      </c>
      <c r="B81" s="1"/>
      <c r="C81" s="1"/>
      <c r="F81" s="192" t="n">
        <v>6916199.11033015</v>
      </c>
      <c r="H81" s="192" t="n">
        <f aca="false">IDC!$Z$53*1000</f>
        <v>7133882.41071515</v>
      </c>
      <c r="K81" s="192" t="n">
        <f aca="false">F81-H81</f>
        <v>-217683.300384998</v>
      </c>
      <c r="M81" s="184" t="s">
        <v>201</v>
      </c>
      <c r="O81" s="192" t="n">
        <f aca="false">IDC!$Z$53*1000</f>
        <v>7133882.41071515</v>
      </c>
      <c r="Q81" s="192" t="n">
        <f aca="false">IDC!$Z$53*1000</f>
        <v>7133882.41071515</v>
      </c>
      <c r="S81" s="192" t="n">
        <f aca="false">Q81-O81</f>
        <v>0</v>
      </c>
    </row>
    <row r="82" customFormat="false" ht="12.75" hidden="false" customHeight="false" outlineLevel="0" collapsed="false">
      <c r="A82" s="184" t="s">
        <v>202</v>
      </c>
      <c r="B82" s="1"/>
      <c r="C82" s="1"/>
      <c r="D82" s="184"/>
      <c r="E82" s="184"/>
      <c r="F82" s="159" t="n">
        <f aca="false">SUM(F78:F81)</f>
        <v>7047698.44984361</v>
      </c>
      <c r="G82" s="184"/>
      <c r="H82" s="187" t="n">
        <f aca="false">SUM(H78:H81)</f>
        <v>4440480.64959773</v>
      </c>
      <c r="I82" s="184"/>
      <c r="K82" s="187" t="n">
        <f aca="false">SUM(K78:K81)</f>
        <v>2607217.80024588</v>
      </c>
      <c r="M82" s="184" t="s">
        <v>202</v>
      </c>
      <c r="O82" s="187" t="n">
        <f aca="false">SUM(O78:O81)</f>
        <v>5105619.51329852</v>
      </c>
      <c r="Q82" s="187" t="n">
        <f aca="false">SUM(Q78:Q81)</f>
        <v>5380257.12624996</v>
      </c>
      <c r="S82" s="187" t="n">
        <f aca="false">SUM(S78:S81)</f>
        <v>0</v>
      </c>
    </row>
    <row r="83" customFormat="false" ht="12.75" hidden="false" customHeight="false" outlineLevel="0" collapsed="false">
      <c r="B83" s="222"/>
      <c r="C83" s="222"/>
      <c r="O83" s="159"/>
      <c r="Q83" s="159"/>
      <c r="S83" s="159"/>
    </row>
    <row r="84" customFormat="false" ht="20.25" hidden="false" customHeight="false" outlineLevel="0" collapsed="false">
      <c r="A84" s="222" t="s">
        <v>203</v>
      </c>
      <c r="F84" s="188" t="n">
        <v>115976163.447344</v>
      </c>
      <c r="H84" s="188" t="n">
        <f aca="false">+H64+H75+H82</f>
        <v>116542219.949598</v>
      </c>
      <c r="K84" s="188" t="n">
        <f aca="false">F84-H84</f>
        <v>-566056.502253726</v>
      </c>
      <c r="M84" s="164" t="s">
        <v>203</v>
      </c>
      <c r="O84" s="188" t="n">
        <f aca="false">+O64+O75+O82</f>
        <v>116075293.733299</v>
      </c>
      <c r="Q84" s="188" t="n">
        <f aca="false">+Q64+Q75+Q82</f>
        <v>116658304.66625</v>
      </c>
      <c r="S84" s="188" t="n">
        <f aca="false">SUM(S64+S75+S82)</f>
        <v>308373.319999993</v>
      </c>
    </row>
    <row r="85" customFormat="false" ht="12.75" hidden="false" customHeight="false" outlineLevel="0" collapsed="false">
      <c r="A85" s="184"/>
      <c r="F85" s="188"/>
      <c r="H85" s="188"/>
      <c r="J85" s="188"/>
      <c r="K85" s="188"/>
      <c r="M85" s="184"/>
      <c r="O85" s="188"/>
    </row>
    <row r="86" customFormat="false" ht="12.75" hidden="false" customHeight="false" outlineLevel="0" collapsed="false">
      <c r="A86" s="184" t="s">
        <v>204</v>
      </c>
      <c r="F86" s="188"/>
      <c r="H86" s="187" t="n">
        <f aca="false">+H79</f>
        <v>-2693401.76111742</v>
      </c>
      <c r="J86" s="188"/>
      <c r="K86" s="188"/>
      <c r="M86" s="184" t="s">
        <v>204</v>
      </c>
      <c r="O86" s="187" t="n">
        <f aca="false">+O79</f>
        <v>-2028262.89741663</v>
      </c>
      <c r="Q86" s="187" t="n">
        <f aca="false">+Q79</f>
        <v>-1753625.28446519</v>
      </c>
    </row>
    <row r="87" customFormat="false" ht="12.75" hidden="false" customHeight="false" outlineLevel="0" collapsed="false">
      <c r="A87" s="184" t="s">
        <v>205</v>
      </c>
      <c r="F87" s="188"/>
      <c r="H87" s="192" t="n">
        <v>900000</v>
      </c>
      <c r="J87" s="188"/>
      <c r="K87" s="188"/>
      <c r="M87" s="184" t="s">
        <v>205</v>
      </c>
      <c r="O87" s="192" t="n">
        <v>900000</v>
      </c>
      <c r="Q87" s="192" t="n">
        <v>900000</v>
      </c>
    </row>
    <row r="88" customFormat="false" ht="20.25" hidden="false" customHeight="false" outlineLevel="0" collapsed="false">
      <c r="A88" s="222" t="s">
        <v>206</v>
      </c>
      <c r="B88" s="222"/>
      <c r="C88" s="222"/>
      <c r="F88" s="188"/>
      <c r="H88" s="188" t="n">
        <f aca="false">SUM(H86:H87)</f>
        <v>-1793401.76111742</v>
      </c>
      <c r="M88" s="164" t="s">
        <v>206</v>
      </c>
      <c r="O88" s="188" t="n">
        <f aca="false">SUM(O86:O87)</f>
        <v>-1128262.89741663</v>
      </c>
      <c r="Q88" s="188" t="n">
        <f aca="false">SUM(Q86:Q87)</f>
        <v>-853625.284465188</v>
      </c>
    </row>
    <row r="89" customFormat="false" ht="12.75" hidden="false" customHeight="false" outlineLevel="0" collapsed="false">
      <c r="B89" s="222"/>
      <c r="C89" s="222"/>
      <c r="F89" s="188"/>
    </row>
    <row r="90" customFormat="false" ht="23.25" hidden="false" customHeight="false" outlineLevel="0" collapsed="false">
      <c r="A90" s="145" t="s">
        <v>120</v>
      </c>
      <c r="B90" s="145" t="str">
        <f aca="true">CELL("Filename")</f>
        <v>'file:///mnt/12tb/@roms/datasets/enron/EDRM Enron Email Data Set v2 XML/filtered-attachments/xls/AV.IDC_Fix.xls'#$Current Budget</v>
      </c>
      <c r="J90" s="159"/>
      <c r="M90" s="164" t="s">
        <v>207</v>
      </c>
      <c r="O90" s="169" t="n">
        <f aca="false">+O84-O79</f>
        <v>118103556.630715</v>
      </c>
      <c r="Q90" s="169" t="n">
        <f aca="false">+Q84-Q79</f>
        <v>118411929.950715</v>
      </c>
    </row>
    <row r="91" customFormat="false" ht="12.75" hidden="false" customHeight="false" outlineLevel="0" collapsed="false">
      <c r="A91" s="222" t="s">
        <v>208</v>
      </c>
      <c r="F91" s="188"/>
      <c r="H91" s="187"/>
      <c r="J91" s="169"/>
      <c r="K91" s="187"/>
    </row>
    <row r="94" customFormat="false" ht="12.75" hidden="false" customHeight="false" outlineLevel="0" collapsed="false">
      <c r="J94" s="169"/>
      <c r="Q94" s="187"/>
    </row>
    <row r="103" customFormat="false" ht="12.75" hidden="false" customHeight="false" outlineLevel="0" collapsed="false">
      <c r="H103" s="159" t="n">
        <f aca="false">119339.165696309*1000</f>
        <v>119339165.696309</v>
      </c>
    </row>
    <row r="105" customFormat="false" ht="12.75" hidden="false" customHeight="false" outlineLevel="0" collapsed="false">
      <c r="H105" s="159" t="n">
        <f aca="false">+H103-H84</f>
        <v>2796945.74671127</v>
      </c>
    </row>
    <row r="107" customFormat="false" ht="12.75" hidden="false" customHeight="false" outlineLevel="0" collapsed="false">
      <c r="H107" s="159" t="n">
        <f aca="false">+H105+H79</f>
        <v>103543.985593852</v>
      </c>
    </row>
  </sheetData>
  <mergeCells count="1">
    <mergeCell ref="B40:D40"/>
  </mergeCells>
  <printOptions headings="false" gridLines="false" gridLinesSet="true" horizontalCentered="false" verticalCentered="false"/>
  <pageMargins left="0.729861111111111" right="0.5" top="0.840277777777778" bottom="0.839583333333333" header="0.511811023622047" footer="0.259722222222222"/>
  <pageSetup paperSize="1" scale="5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   &amp;T&amp;R&amp;A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true" outlineLevel="0" max="2" min="2" style="0" width="13.14"/>
    <col collapsed="false" customWidth="true" hidden="true" outlineLevel="0" max="3" min="3" style="0" width="15.85"/>
    <col collapsed="false" customWidth="true" hidden="true" outlineLevel="0" max="4" min="4" style="0" width="9.7"/>
    <col collapsed="false" customWidth="true" hidden="false" outlineLevel="0" max="5" min="5" style="0" width="19.14"/>
    <col collapsed="false" customWidth="true" hidden="false" outlineLevel="0" max="6" min="6" style="0" width="5.56"/>
    <col collapsed="false" customWidth="true" hidden="false" outlineLevel="0" max="7" min="7" style="0" width="28.7"/>
    <col collapsed="false" customWidth="true" hidden="false" outlineLevel="0" max="8" min="8" style="0" width="5.71"/>
    <col collapsed="false" customWidth="true" hidden="false" outlineLevel="0" max="9" min="9" style="0" width="20.85"/>
    <col collapsed="false" customWidth="true" hidden="false" outlineLevel="0" max="10" min="10" style="0" width="5.71"/>
    <col collapsed="false" customWidth="true" hidden="true" outlineLevel="0" max="11" min="11" style="0" width="17.28"/>
  </cols>
  <sheetData>
    <row r="2" customFormat="false" ht="23.25" hidden="false" customHeight="false" outlineLevel="0" collapsed="false">
      <c r="A2" s="227" t="s">
        <v>209</v>
      </c>
      <c r="B2" s="227"/>
      <c r="C2" s="227"/>
      <c r="D2" s="227"/>
      <c r="E2" s="227"/>
      <c r="F2" s="227"/>
      <c r="G2" s="227"/>
      <c r="H2" s="227"/>
      <c r="I2" s="227"/>
      <c r="J2" s="228"/>
      <c r="K2" s="228"/>
    </row>
    <row r="4" customFormat="false" ht="12.75" hidden="false" customHeight="false" outlineLevel="0" collapsed="false">
      <c r="A4" s="222" t="s">
        <v>210</v>
      </c>
      <c r="B4" s="222"/>
      <c r="C4" s="229" t="s">
        <v>211</v>
      </c>
      <c r="D4" s="167"/>
      <c r="E4" s="229" t="s">
        <v>134</v>
      </c>
      <c r="G4" s="229" t="s">
        <v>212</v>
      </c>
      <c r="H4" s="230"/>
      <c r="I4" s="229" t="s">
        <v>213</v>
      </c>
      <c r="K4" s="229" t="s">
        <v>214</v>
      </c>
    </row>
    <row r="5" customFormat="false" ht="12.75" hidden="true" customHeight="false" outlineLevel="0" collapsed="false">
      <c r="A5" s="222" t="s">
        <v>215</v>
      </c>
    </row>
    <row r="6" customFormat="false" ht="12.75" hidden="true" customHeight="false" outlineLevel="0" collapsed="false">
      <c r="A6" s="0" t="s">
        <v>216</v>
      </c>
      <c r="C6" s="159" t="n">
        <v>7517446</v>
      </c>
      <c r="D6" s="159"/>
      <c r="E6" s="159" t="n">
        <v>0</v>
      </c>
      <c r="K6" s="206" t="s">
        <v>217</v>
      </c>
    </row>
    <row r="7" customFormat="false" ht="12.75" hidden="false" customHeight="false" outlineLevel="0" collapsed="false">
      <c r="A7" s="0" t="s">
        <v>218</v>
      </c>
      <c r="C7" s="159" t="n">
        <v>0</v>
      </c>
      <c r="D7" s="159"/>
      <c r="E7" s="159" t="n">
        <v>300000</v>
      </c>
      <c r="G7" s="159" t="n">
        <f aca="false">264206+110000</f>
        <v>374206</v>
      </c>
      <c r="H7" s="159"/>
      <c r="I7" s="159" t="n">
        <f aca="false">+G7-E7</f>
        <v>74206</v>
      </c>
      <c r="K7" s="206" t="s">
        <v>219</v>
      </c>
    </row>
    <row r="8" customFormat="false" ht="12.75" hidden="false" customHeight="false" outlineLevel="0" collapsed="false">
      <c r="A8" s="0" t="s">
        <v>220</v>
      </c>
      <c r="C8" s="159" t="n">
        <v>0</v>
      </c>
      <c r="D8" s="159"/>
      <c r="E8" s="159" t="n">
        <f aca="false">1000000-(45000*3)</f>
        <v>865000</v>
      </c>
      <c r="G8" s="159" t="n">
        <f aca="false">+E8</f>
        <v>865000</v>
      </c>
      <c r="H8" s="159"/>
      <c r="I8" s="159" t="n">
        <f aca="false">+G8-E8</f>
        <v>0</v>
      </c>
      <c r="K8" s="206" t="s">
        <v>219</v>
      </c>
    </row>
    <row r="9" customFormat="false" ht="15.75" hidden="false" customHeight="false" outlineLevel="0" collapsed="false">
      <c r="A9" s="0" t="s">
        <v>221</v>
      </c>
      <c r="C9" s="159" t="n">
        <f aca="false">70000*3</f>
        <v>210000</v>
      </c>
      <c r="D9" s="159"/>
      <c r="E9" s="159" t="n">
        <f aca="false">45000*3</f>
        <v>135000</v>
      </c>
      <c r="G9" s="159" t="n">
        <f aca="false">+E9</f>
        <v>135000</v>
      </c>
      <c r="H9" s="159"/>
      <c r="I9" s="159" t="n">
        <f aca="false">+G9-E9</f>
        <v>0</v>
      </c>
      <c r="K9" s="206" t="s">
        <v>219</v>
      </c>
    </row>
    <row r="10" customFormat="false" ht="12.75" hidden="false" customHeight="false" outlineLevel="0" collapsed="false">
      <c r="A10" s="0" t="s">
        <v>222</v>
      </c>
      <c r="C10" s="159" t="n">
        <v>0</v>
      </c>
      <c r="E10" s="159" t="n">
        <v>172000</v>
      </c>
      <c r="G10" s="159" t="n">
        <f aca="false">+E10</f>
        <v>172000</v>
      </c>
      <c r="H10" s="159"/>
      <c r="I10" s="159" t="n">
        <f aca="false">+G10-E10</f>
        <v>0</v>
      </c>
      <c r="K10" s="206" t="s">
        <v>219</v>
      </c>
    </row>
    <row r="11" customFormat="false" ht="12.75" hidden="false" customHeight="false" outlineLevel="0" collapsed="false">
      <c r="A11" s="0" t="s">
        <v>223</v>
      </c>
      <c r="C11" s="159" t="n">
        <v>0</v>
      </c>
      <c r="E11" s="159" t="n">
        <v>165000</v>
      </c>
      <c r="G11" s="159" t="n">
        <f aca="false">+E11</f>
        <v>165000</v>
      </c>
      <c r="H11" s="159"/>
      <c r="I11" s="159" t="n">
        <f aca="false">+G11-E11</f>
        <v>0</v>
      </c>
      <c r="K11" s="206" t="s">
        <v>219</v>
      </c>
    </row>
    <row r="12" customFormat="false" ht="12.75" hidden="false" customHeight="false" outlineLevel="0" collapsed="false">
      <c r="A12" s="0" t="s">
        <v>224</v>
      </c>
      <c r="C12" s="159" t="n">
        <v>0</v>
      </c>
      <c r="D12" s="159"/>
      <c r="E12" s="159" t="n">
        <v>400000</v>
      </c>
      <c r="G12" s="159" t="n">
        <f aca="false">+E12</f>
        <v>400000</v>
      </c>
      <c r="H12" s="159"/>
      <c r="I12" s="159" t="n">
        <f aca="false">+G12-E12</f>
        <v>0</v>
      </c>
      <c r="K12" s="206" t="s">
        <v>219</v>
      </c>
    </row>
    <row r="13" customFormat="false" ht="12.75" hidden="false" customHeight="false" outlineLevel="0" collapsed="false">
      <c r="A13" s="0" t="s">
        <v>225</v>
      </c>
      <c r="C13" s="159" t="n">
        <v>0</v>
      </c>
      <c r="D13" s="159"/>
      <c r="E13" s="159" t="n">
        <v>600000</v>
      </c>
      <c r="G13" s="159" t="n">
        <v>249969</v>
      </c>
      <c r="H13" s="159"/>
      <c r="I13" s="159" t="n">
        <f aca="false">+G13-E13</f>
        <v>-350031</v>
      </c>
      <c r="K13" s="206" t="s">
        <v>219</v>
      </c>
    </row>
    <row r="14" customFormat="false" ht="12.75" hidden="false" customHeight="false" outlineLevel="0" collapsed="false">
      <c r="A14" s="0" t="s">
        <v>226</v>
      </c>
      <c r="C14" s="159" t="n">
        <v>0</v>
      </c>
      <c r="D14" s="159"/>
      <c r="E14" s="159" t="n">
        <f aca="false">350000*2+500000*3+130000*3</f>
        <v>2590000</v>
      </c>
      <c r="G14" s="159" t="n">
        <f aca="false">350000*2+150000*3+130000*3</f>
        <v>1540000</v>
      </c>
      <c r="H14" s="159"/>
      <c r="I14" s="159" t="n">
        <f aca="false">+G14-E14</f>
        <v>-1050000</v>
      </c>
      <c r="K14" s="206" t="s">
        <v>219</v>
      </c>
    </row>
    <row r="15" customFormat="false" ht="12.75" hidden="false" customHeight="false" outlineLevel="0" collapsed="false">
      <c r="A15" s="0" t="s">
        <v>227</v>
      </c>
      <c r="C15" s="159" t="n">
        <v>0</v>
      </c>
      <c r="D15" s="159"/>
      <c r="E15" s="159" t="n">
        <v>500000</v>
      </c>
      <c r="G15" s="159" t="n">
        <f aca="false">+E15</f>
        <v>500000</v>
      </c>
      <c r="H15" s="159"/>
      <c r="I15" s="159" t="n">
        <f aca="false">+G15-E15</f>
        <v>0</v>
      </c>
      <c r="K15" s="206" t="s">
        <v>228</v>
      </c>
    </row>
    <row r="16" customFormat="false" ht="12.75" hidden="false" customHeight="false" outlineLevel="0" collapsed="false">
      <c r="A16" s="0" t="s">
        <v>229</v>
      </c>
      <c r="C16" s="159" t="n">
        <v>1000000</v>
      </c>
      <c r="D16" s="159"/>
      <c r="E16" s="159" t="n">
        <v>1000000</v>
      </c>
      <c r="G16" s="159" t="n">
        <f aca="false">+E16</f>
        <v>1000000</v>
      </c>
      <c r="H16" s="159"/>
      <c r="I16" s="159" t="n">
        <f aca="false">+G16-E16</f>
        <v>0</v>
      </c>
      <c r="K16" s="206" t="s">
        <v>228</v>
      </c>
    </row>
    <row r="17" customFormat="false" ht="12.75" hidden="false" customHeight="false" outlineLevel="0" collapsed="false">
      <c r="A17" s="0" t="s">
        <v>230</v>
      </c>
      <c r="C17" s="159" t="n">
        <v>0</v>
      </c>
      <c r="D17" s="159"/>
      <c r="E17" s="159" t="n">
        <v>600000</v>
      </c>
      <c r="G17" s="159" t="n">
        <f aca="false">+E17</f>
        <v>600000</v>
      </c>
      <c r="H17" s="159"/>
      <c r="I17" s="159" t="n">
        <f aca="false">+G17-E17</f>
        <v>0</v>
      </c>
      <c r="K17" s="206" t="s">
        <v>228</v>
      </c>
    </row>
    <row r="18" customFormat="false" ht="12.75" hidden="false" customHeight="false" outlineLevel="0" collapsed="false">
      <c r="A18" s="0" t="s">
        <v>231</v>
      </c>
      <c r="C18" s="159" t="n">
        <v>0</v>
      </c>
      <c r="D18" s="159"/>
      <c r="E18" s="159" t="n">
        <v>800000</v>
      </c>
      <c r="G18" s="159" t="n">
        <f aca="false">+E18</f>
        <v>800000</v>
      </c>
      <c r="H18" s="159"/>
      <c r="I18" s="159" t="n">
        <f aca="false">+G18-E18</f>
        <v>0</v>
      </c>
      <c r="K18" s="206" t="s">
        <v>228</v>
      </c>
    </row>
    <row r="19" customFormat="false" ht="12.75" hidden="false" customHeight="false" outlineLevel="0" collapsed="false">
      <c r="A19" s="0" t="s">
        <v>232</v>
      </c>
      <c r="C19" s="159" t="n">
        <v>0</v>
      </c>
      <c r="D19" s="159"/>
      <c r="E19" s="159" t="n">
        <v>905000</v>
      </c>
      <c r="G19" s="159" t="n">
        <f aca="false">+E19</f>
        <v>905000</v>
      </c>
      <c r="H19" s="159"/>
      <c r="I19" s="159" t="n">
        <f aca="false">+G19-E19</f>
        <v>0</v>
      </c>
      <c r="K19" s="206" t="s">
        <v>228</v>
      </c>
    </row>
    <row r="20" customFormat="false" ht="12.75" hidden="true" customHeight="false" outlineLevel="0" collapsed="false">
      <c r="A20" s="0" t="s">
        <v>233</v>
      </c>
      <c r="C20" s="159" t="n">
        <v>-200000</v>
      </c>
      <c r="D20" s="159"/>
      <c r="E20" s="159" t="n">
        <v>0</v>
      </c>
      <c r="G20" s="159"/>
      <c r="H20" s="159"/>
      <c r="I20" s="159" t="n">
        <f aca="false">+G20-E20</f>
        <v>0</v>
      </c>
      <c r="K20" s="206" t="s">
        <v>217</v>
      </c>
    </row>
    <row r="21" customFormat="false" ht="12.75" hidden="true" customHeight="false" outlineLevel="0" collapsed="false">
      <c r="A21" s="0" t="s">
        <v>234</v>
      </c>
      <c r="C21" s="159" t="n">
        <v>300000</v>
      </c>
      <c r="D21" s="159"/>
      <c r="E21" s="159" t="n">
        <v>0</v>
      </c>
      <c r="G21" s="159"/>
      <c r="H21" s="159"/>
      <c r="I21" s="159" t="n">
        <f aca="false">+G21-E21</f>
        <v>0</v>
      </c>
      <c r="K21" s="206" t="s">
        <v>217</v>
      </c>
    </row>
    <row r="22" customFormat="false" ht="12.75" hidden="true" customHeight="false" outlineLevel="0" collapsed="false">
      <c r="A22" s="0" t="s">
        <v>235</v>
      </c>
      <c r="C22" s="159" t="n">
        <v>300000</v>
      </c>
      <c r="D22" s="159"/>
      <c r="E22" s="159" t="n">
        <v>0</v>
      </c>
      <c r="G22" s="159"/>
      <c r="H22" s="159"/>
      <c r="I22" s="159" t="n">
        <f aca="false">+G22-E22</f>
        <v>0</v>
      </c>
      <c r="K22" s="206" t="s">
        <v>217</v>
      </c>
    </row>
    <row r="23" customFormat="false" ht="12.75" hidden="false" customHeight="false" outlineLevel="0" collapsed="false">
      <c r="A23" s="0" t="s">
        <v>236</v>
      </c>
      <c r="C23" s="192" t="n">
        <v>0</v>
      </c>
      <c r="E23" s="192" t="n">
        <v>400000</v>
      </c>
      <c r="G23" s="192" t="n">
        <f aca="false">((3*10000)+200000)</f>
        <v>230000</v>
      </c>
      <c r="H23" s="181"/>
      <c r="I23" s="192" t="n">
        <f aca="false">+G23-E23</f>
        <v>-170000</v>
      </c>
      <c r="K23" s="206" t="s">
        <v>228</v>
      </c>
    </row>
    <row r="24" customFormat="false" ht="12.75" hidden="false" customHeight="false" outlineLevel="0" collapsed="false">
      <c r="A24" s="0" t="s">
        <v>237</v>
      </c>
      <c r="C24" s="159" t="n">
        <f aca="false">SUM(C6:C23)</f>
        <v>9127446</v>
      </c>
      <c r="D24" s="159"/>
      <c r="E24" s="159" t="n">
        <f aca="false">SUM(E6:E23)</f>
        <v>9432000</v>
      </c>
      <c r="G24" s="169" t="n">
        <f aca="false">SUM(G7:G23)</f>
        <v>7936175</v>
      </c>
      <c r="H24" s="169"/>
      <c r="I24" s="169" t="n">
        <f aca="false">+G24-E24</f>
        <v>-1495825</v>
      </c>
      <c r="K24" s="206"/>
    </row>
    <row r="25" customFormat="false" ht="12.75" hidden="false" customHeight="false" outlineLevel="0" collapsed="false">
      <c r="C25" s="159"/>
      <c r="D25" s="159"/>
      <c r="E25" s="159"/>
      <c r="K25" s="206"/>
    </row>
    <row r="26" customFormat="false" ht="12.75" hidden="false" customHeight="false" outlineLevel="0" collapsed="false">
      <c r="E26" s="159"/>
      <c r="K26" s="206"/>
    </row>
    <row r="27" customFormat="false" ht="12.75" hidden="false" customHeight="false" outlineLevel="0" collapsed="false">
      <c r="A27" s="222" t="s">
        <v>238</v>
      </c>
      <c r="C27" s="159"/>
      <c r="E27" s="159"/>
      <c r="K27" s="206"/>
    </row>
    <row r="28" customFormat="false" ht="12.75" hidden="false" customHeight="false" outlineLevel="0" collapsed="false">
      <c r="A28" s="0" t="s">
        <v>239</v>
      </c>
      <c r="C28" s="159" t="n">
        <v>3176000</v>
      </c>
      <c r="E28" s="159" t="n">
        <v>3029010</v>
      </c>
      <c r="G28" s="159" t="n">
        <v>3030210</v>
      </c>
      <c r="H28" s="159"/>
      <c r="I28" s="159" t="n">
        <f aca="false">+G28-E28</f>
        <v>1200</v>
      </c>
      <c r="K28" s="206" t="s">
        <v>228</v>
      </c>
      <c r="M28" s="169"/>
    </row>
    <row r="29" customFormat="false" ht="12.75" hidden="false" customHeight="false" outlineLevel="0" collapsed="false">
      <c r="A29" s="0" t="s">
        <v>240</v>
      </c>
      <c r="C29" s="159" t="n">
        <v>350000</v>
      </c>
      <c r="E29" s="159" t="n">
        <v>350000</v>
      </c>
      <c r="G29" s="159" t="n">
        <f aca="false">+E29</f>
        <v>350000</v>
      </c>
      <c r="H29" s="159"/>
      <c r="I29" s="159" t="n">
        <f aca="false">+G29-E29</f>
        <v>0</v>
      </c>
      <c r="K29" s="206" t="s">
        <v>228</v>
      </c>
    </row>
    <row r="30" customFormat="false" ht="12.75" hidden="false" customHeight="false" outlineLevel="0" collapsed="false">
      <c r="A30" s="0" t="s">
        <v>241</v>
      </c>
      <c r="C30" s="159" t="n">
        <v>4500000</v>
      </c>
      <c r="E30" s="159" t="n">
        <v>4500000</v>
      </c>
      <c r="G30" s="159" t="n">
        <f aca="false">+E30</f>
        <v>4500000</v>
      </c>
      <c r="H30" s="159"/>
      <c r="I30" s="159" t="n">
        <f aca="false">+G30-E30</f>
        <v>0</v>
      </c>
      <c r="K30" s="206" t="s">
        <v>228</v>
      </c>
    </row>
    <row r="31" customFormat="false" ht="12.75" hidden="true" customHeight="false" outlineLevel="0" collapsed="false">
      <c r="A31" s="0" t="s">
        <v>242</v>
      </c>
      <c r="C31" s="159" t="n">
        <v>33000</v>
      </c>
      <c r="E31" s="159" t="n">
        <v>0</v>
      </c>
      <c r="G31" s="159" t="n">
        <f aca="false">+E31</f>
        <v>0</v>
      </c>
      <c r="H31" s="159"/>
      <c r="I31" s="159" t="n">
        <f aca="false">+G31-E31</f>
        <v>0</v>
      </c>
      <c r="K31" s="206" t="s">
        <v>217</v>
      </c>
    </row>
    <row r="32" customFormat="false" ht="12.75" hidden="false" customHeight="false" outlineLevel="0" collapsed="false">
      <c r="A32" s="0" t="s">
        <v>243</v>
      </c>
      <c r="C32" s="192" t="n">
        <v>245000</v>
      </c>
      <c r="E32" s="192" t="n">
        <v>252000</v>
      </c>
      <c r="G32" s="192" t="n">
        <f aca="false">+E32</f>
        <v>252000</v>
      </c>
      <c r="H32" s="181"/>
      <c r="I32" s="192" t="n">
        <f aca="false">+G32-E32</f>
        <v>0</v>
      </c>
      <c r="K32" s="206" t="s">
        <v>228</v>
      </c>
    </row>
    <row r="33" customFormat="false" ht="12.75" hidden="false" customHeight="false" outlineLevel="0" collapsed="false">
      <c r="A33" s="0" t="s">
        <v>244</v>
      </c>
      <c r="C33" s="169" t="n">
        <f aca="false">SUM(C28:C32)</f>
        <v>8304000</v>
      </c>
      <c r="E33" s="169" t="n">
        <f aca="false">SUM(E28:E32)</f>
        <v>8131010</v>
      </c>
      <c r="G33" s="159" t="n">
        <f aca="false">SUM(G28:G32)</f>
        <v>8132210</v>
      </c>
      <c r="H33" s="159"/>
      <c r="I33" s="159" t="n">
        <f aca="false">+G33-E33</f>
        <v>1200</v>
      </c>
      <c r="K33" s="206"/>
    </row>
    <row r="34" customFormat="false" ht="12.75" hidden="false" customHeight="false" outlineLevel="0" collapsed="false">
      <c r="C34" s="169"/>
      <c r="E34" s="169"/>
      <c r="K34" s="206"/>
    </row>
    <row r="35" customFormat="false" ht="12.75" hidden="false" customHeight="false" outlineLevel="0" collapsed="false">
      <c r="K35" s="206"/>
    </row>
    <row r="36" customFormat="false" ht="12.75" hidden="false" customHeight="false" outlineLevel="0" collapsed="false">
      <c r="A36" s="222" t="s">
        <v>245</v>
      </c>
      <c r="B36" s="222"/>
      <c r="C36" s="231" t="n">
        <f aca="false">C24+C33</f>
        <v>17431446</v>
      </c>
      <c r="D36" s="222"/>
      <c r="E36" s="231" t="n">
        <f aca="false">E24+E33</f>
        <v>17563010</v>
      </c>
      <c r="G36" s="231" t="n">
        <f aca="false">G24+G33</f>
        <v>16068385</v>
      </c>
      <c r="H36" s="231"/>
      <c r="I36" s="231" t="n">
        <f aca="false">+G36-E36</f>
        <v>-1494625</v>
      </c>
      <c r="K36" s="206"/>
    </row>
    <row r="37" customFormat="false" ht="12.75" hidden="false" customHeight="false" outlineLevel="0" collapsed="false">
      <c r="K37" s="206"/>
    </row>
    <row r="38" customFormat="false" ht="12.75" hidden="false" customHeight="false" outlineLevel="0" collapsed="false">
      <c r="A38" s="222" t="s">
        <v>246</v>
      </c>
      <c r="K38" s="206"/>
    </row>
    <row r="39" customFormat="false" ht="12.75" hidden="true" customHeight="false" outlineLevel="0" collapsed="false">
      <c r="C39" s="159"/>
      <c r="E39" s="159"/>
      <c r="K39" s="206"/>
    </row>
    <row r="40" customFormat="false" ht="12.75" hidden="false" customHeight="false" outlineLevel="0" collapsed="false">
      <c r="A40" s="0" t="s">
        <v>247</v>
      </c>
      <c r="C40" s="192" t="n">
        <v>1700000</v>
      </c>
      <c r="E40" s="192" t="n">
        <v>1700000</v>
      </c>
      <c r="G40" s="192" t="n">
        <f aca="false">+E40</f>
        <v>1700000</v>
      </c>
      <c r="H40" s="181"/>
      <c r="I40" s="192" t="n">
        <f aca="false">+G40-E40</f>
        <v>0</v>
      </c>
      <c r="K40" s="206" t="s">
        <v>219</v>
      </c>
    </row>
    <row r="41" customFormat="false" ht="12.75" hidden="false" customHeight="false" outlineLevel="0" collapsed="false">
      <c r="A41" s="0" t="s">
        <v>248</v>
      </c>
      <c r="C41" s="169" t="n">
        <f aca="false">SUM(C39:C40)</f>
        <v>1700000</v>
      </c>
      <c r="E41" s="169" t="n">
        <f aca="false">SUM(E39:E40)</f>
        <v>1700000</v>
      </c>
      <c r="G41" s="169" t="n">
        <f aca="false">SUM(G40)</f>
        <v>1700000</v>
      </c>
      <c r="H41" s="169"/>
      <c r="I41" s="169" t="n">
        <f aca="false">+G41-E41</f>
        <v>0</v>
      </c>
    </row>
    <row r="43" customFormat="false" ht="12.75" hidden="false" customHeight="false" outlineLevel="0" collapsed="false">
      <c r="A43" s="222" t="s">
        <v>249</v>
      </c>
      <c r="B43" s="222"/>
      <c r="C43" s="231" t="n">
        <f aca="false">+C36+C41</f>
        <v>19131446</v>
      </c>
      <c r="D43" s="222"/>
      <c r="E43" s="231" t="n">
        <f aca="false">+E36+E41</f>
        <v>19263010</v>
      </c>
      <c r="G43" s="231" t="n">
        <f aca="false">+G36+G41</f>
        <v>17768385</v>
      </c>
      <c r="H43" s="231"/>
      <c r="I43" s="231" t="n">
        <f aca="false">+G43-E43</f>
        <v>-1494625</v>
      </c>
      <c r="K43" s="232" t="s">
        <v>250</v>
      </c>
    </row>
    <row r="44" customFormat="false" ht="12.75" hidden="false" customHeight="false" outlineLevel="0" collapsed="false">
      <c r="K44" s="233" t="n">
        <f aca="false">+E32+E30+E29+E28+E23+E19+E17+E16+E15+E18</f>
        <v>12336010</v>
      </c>
      <c r="M44" s="234" t="n">
        <f aca="false">+K44/E43</f>
        <v>0.640398878472264</v>
      </c>
    </row>
    <row r="45" customFormat="false" ht="12.75" hidden="false" customHeight="false" outlineLevel="0" collapsed="false">
      <c r="A45" s="0" t="s">
        <v>251</v>
      </c>
      <c r="C45" s="169" t="n">
        <v>17818826.9975</v>
      </c>
      <c r="E45" s="169" t="n">
        <v>17818826.9975</v>
      </c>
      <c r="G45" s="169" t="n">
        <v>17818826.9975</v>
      </c>
      <c r="H45" s="169"/>
      <c r="I45" s="159"/>
      <c r="M45" s="235"/>
    </row>
    <row r="46" customFormat="false" ht="12.75" hidden="false" customHeight="false" outlineLevel="0" collapsed="false">
      <c r="K46" s="232" t="s">
        <v>252</v>
      </c>
      <c r="M46" s="235"/>
    </row>
    <row r="47" customFormat="false" ht="12.75" hidden="false" customHeight="false" outlineLevel="0" collapsed="false">
      <c r="A47" s="0" t="s">
        <v>253</v>
      </c>
      <c r="C47" s="169" t="n">
        <f aca="false">+C45-C43</f>
        <v>-1312619.0025</v>
      </c>
      <c r="E47" s="169" t="n">
        <f aca="false">+E45-E43</f>
        <v>-1444183.0025</v>
      </c>
      <c r="G47" s="169" t="n">
        <f aca="false">+G45-G43</f>
        <v>50441.9974999987</v>
      </c>
      <c r="H47" s="169"/>
      <c r="I47" s="159"/>
      <c r="K47" s="233" t="n">
        <f aca="false">+E43-K44</f>
        <v>6927000</v>
      </c>
      <c r="M47" s="234" t="n">
        <f aca="false">+K47/E43</f>
        <v>0.359601121527736</v>
      </c>
    </row>
    <row r="50" customFormat="false" ht="23.25" hidden="false" customHeight="false" outlineLevel="0" collapsed="false">
      <c r="A50" s="227" t="s">
        <v>254</v>
      </c>
      <c r="B50" s="227"/>
      <c r="C50" s="227"/>
      <c r="D50" s="227"/>
      <c r="E50" s="227"/>
      <c r="F50" s="227"/>
      <c r="G50" s="227"/>
      <c r="H50" s="227"/>
      <c r="I50" s="227"/>
      <c r="J50" s="228"/>
      <c r="K50" s="228"/>
    </row>
    <row r="52" customFormat="false" ht="12.75" hidden="false" customHeight="false" outlineLevel="0" collapsed="false">
      <c r="A52" s="222" t="s">
        <v>210</v>
      </c>
      <c r="B52" s="222"/>
      <c r="C52" s="229" t="s">
        <v>211</v>
      </c>
      <c r="D52" s="167"/>
      <c r="E52" s="229" t="s">
        <v>255</v>
      </c>
      <c r="G52" s="229" t="s">
        <v>256</v>
      </c>
      <c r="H52" s="230"/>
      <c r="I52" s="229" t="s">
        <v>257</v>
      </c>
    </row>
    <row r="53" customFormat="false" ht="12.75" hidden="false" customHeight="false" outlineLevel="0" collapsed="false">
      <c r="A53" s="0" t="s">
        <v>258</v>
      </c>
      <c r="E53" s="159" t="n">
        <v>1534122</v>
      </c>
      <c r="G53" s="159" t="n">
        <v>1733558</v>
      </c>
      <c r="H53" s="159"/>
      <c r="I53" s="159" t="n">
        <f aca="false">+G53-E53</f>
        <v>199436</v>
      </c>
    </row>
    <row r="54" customFormat="false" ht="12.75" hidden="false" customHeight="false" outlineLevel="0" collapsed="false">
      <c r="A54" s="0" t="s">
        <v>259</v>
      </c>
      <c r="E54" s="159" t="n">
        <v>1995048</v>
      </c>
      <c r="G54" s="159" t="n">
        <v>2254404</v>
      </c>
      <c r="H54" s="159"/>
      <c r="I54" s="159" t="n">
        <f aca="false">+G54-E54</f>
        <v>259356</v>
      </c>
    </row>
    <row r="55" customFormat="false" ht="12.75" hidden="false" customHeight="false" outlineLevel="0" collapsed="false">
      <c r="A55" s="0" t="s">
        <v>260</v>
      </c>
      <c r="E55" s="159" t="n">
        <v>76588</v>
      </c>
      <c r="G55" s="159" t="n">
        <v>86545</v>
      </c>
      <c r="H55" s="159"/>
      <c r="I55" s="159" t="n">
        <f aca="false">+G55-E55</f>
        <v>9957</v>
      </c>
    </row>
    <row r="56" customFormat="false" ht="12.75" hidden="false" customHeight="false" outlineLevel="0" collapsed="false">
      <c r="A56" s="0" t="s">
        <v>261</v>
      </c>
      <c r="E56" s="192" t="n">
        <v>287053</v>
      </c>
      <c r="G56" s="192" t="n">
        <v>324370</v>
      </c>
      <c r="H56" s="181"/>
      <c r="I56" s="192" t="n">
        <f aca="false">+G56-E56</f>
        <v>37317</v>
      </c>
    </row>
    <row r="57" customFormat="false" ht="12.75" hidden="false" customHeight="false" outlineLevel="0" collapsed="false">
      <c r="A57" s="222" t="s">
        <v>249</v>
      </c>
      <c r="B57" s="222"/>
      <c r="C57" s="222"/>
      <c r="D57" s="222"/>
      <c r="E57" s="231" t="n">
        <f aca="false">SUM(E53:E56)</f>
        <v>3892811</v>
      </c>
      <c r="F57" s="222"/>
      <c r="G57" s="188" t="n">
        <f aca="false">SUM(G53:G56)</f>
        <v>4398877</v>
      </c>
      <c r="H57" s="188"/>
      <c r="I57" s="188" t="n">
        <f aca="false">+G57-E57</f>
        <v>506066</v>
      </c>
    </row>
  </sheetData>
  <mergeCells count="2">
    <mergeCell ref="A2:I2"/>
    <mergeCell ref="A50:I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1"/>
  <sheetViews>
    <sheetView showFormulas="false" showGridLines="true" showRowColHeaders="true" showZeros="true" rightToLeft="false" tabSelected="false" showOutlineSymbols="true" defaultGridColor="true" view="normal" topLeftCell="O1" colorId="64" zoomScale="75" zoomScaleNormal="75" zoomScalePageLayoutView="100" workbookViewId="0">
      <selection pane="topLeft" activeCell="Y32" activeCellId="0" sqref="Y32"/>
    </sheetView>
  </sheetViews>
  <sheetFormatPr defaultColWidth="9.28125" defaultRowHeight="12.6" customHeight="true" zeroHeight="false" outlineLevelRow="0" outlineLevelCol="0"/>
  <cols>
    <col collapsed="false" customWidth="true" hidden="false" outlineLevel="0" max="1" min="1" style="236" width="34.28"/>
    <col collapsed="false" customWidth="true" hidden="false" outlineLevel="0" max="2" min="2" style="236" width="12.56"/>
    <col collapsed="false" customWidth="true" hidden="false" outlineLevel="0" max="11" min="3" style="236" width="10.41"/>
    <col collapsed="false" customWidth="true" hidden="false" outlineLevel="0" max="12" min="12" style="236" width="11.28"/>
    <col collapsed="false" customWidth="true" hidden="false" outlineLevel="0" max="25" min="13" style="236" width="10.41"/>
    <col collapsed="false" customWidth="true" hidden="false" outlineLevel="0" max="26" min="26" style="236" width="11.7"/>
    <col collapsed="false" customWidth="true" hidden="false" outlineLevel="0" max="27" min="27" style="236" width="13.28"/>
    <col collapsed="false" customWidth="true" hidden="false" outlineLevel="0" max="28" min="28" style="236" width="10.41"/>
    <col collapsed="false" customWidth="true" hidden="false" outlineLevel="0" max="29" min="29" style="236" width="33.41"/>
    <col collapsed="false" customWidth="true" hidden="false" outlineLevel="0" max="30" min="30" style="236" width="12.42"/>
    <col collapsed="false" customWidth="true" hidden="false" outlineLevel="0" max="46" min="31" style="237" width="9.7"/>
    <col collapsed="false" customWidth="true" hidden="false" outlineLevel="0" max="55" min="47" style="0" width="9.7"/>
    <col collapsed="false" customWidth="false" hidden="false" outlineLevel="0" max="57" min="56" style="237" width="9.28"/>
    <col collapsed="false" customWidth="true" hidden="false" outlineLevel="0" max="58" min="58" style="0" width="9.7"/>
    <col collapsed="false" customWidth="true" hidden="false" outlineLevel="0" max="59" min="59" style="237" width="10.71"/>
    <col collapsed="false" customWidth="false" hidden="false" outlineLevel="0" max="257" min="60" style="237" width="9.28"/>
  </cols>
  <sheetData>
    <row r="1" customFormat="false" ht="26.25" hidden="false" customHeight="true" outlineLevel="0" collapsed="false">
      <c r="A1" s="160" t="str">
        <f aca="false">'Project Assumptions'!$A$2</f>
        <v>PROJECT DOYLE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0"/>
      <c r="BE1" s="238"/>
    </row>
    <row r="2" customFormat="false" ht="15.6" hidden="false" customHeight="true" outlineLevel="0" collapsed="false">
      <c r="A2" s="162" t="s">
        <v>262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84"/>
      <c r="AE2" s="239"/>
      <c r="AF2" s="239"/>
      <c r="AG2" s="239"/>
      <c r="AH2" s="239"/>
      <c r="AI2" s="239"/>
      <c r="AJ2" s="239"/>
      <c r="AK2" s="240"/>
      <c r="AL2" s="241"/>
      <c r="AM2" s="241"/>
      <c r="AN2" s="241"/>
      <c r="AO2" s="241"/>
      <c r="AP2" s="241"/>
      <c r="AQ2" s="241"/>
      <c r="AR2" s="241"/>
      <c r="AS2" s="241"/>
      <c r="AT2" s="241"/>
      <c r="BD2" s="242"/>
      <c r="BE2" s="243"/>
      <c r="BF2" s="184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  <c r="CP2" s="242"/>
      <c r="CQ2" s="242"/>
      <c r="CR2" s="242"/>
      <c r="CS2" s="242"/>
      <c r="CT2" s="242"/>
      <c r="CU2" s="242"/>
      <c r="CV2" s="242"/>
      <c r="CW2" s="242"/>
      <c r="CX2" s="242"/>
      <c r="CY2" s="242"/>
      <c r="CZ2" s="242"/>
      <c r="DA2" s="242"/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42"/>
      <c r="DV2" s="242"/>
      <c r="DW2" s="242"/>
      <c r="DX2" s="242"/>
      <c r="DY2" s="242"/>
      <c r="DZ2" s="242"/>
      <c r="EA2" s="242"/>
      <c r="EB2" s="242"/>
      <c r="EC2" s="242"/>
      <c r="ED2" s="242"/>
      <c r="EE2" s="242"/>
      <c r="EF2" s="242"/>
      <c r="EG2" s="242"/>
      <c r="EH2" s="242"/>
      <c r="EI2" s="242"/>
      <c r="EJ2" s="242"/>
      <c r="EK2" s="242"/>
      <c r="EL2" s="242"/>
      <c r="EM2" s="242"/>
      <c r="EN2" s="242"/>
      <c r="EO2" s="242"/>
      <c r="EP2" s="242"/>
      <c r="EQ2" s="242"/>
      <c r="ER2" s="242"/>
      <c r="ES2" s="242"/>
      <c r="ET2" s="242"/>
      <c r="EU2" s="242"/>
      <c r="EV2" s="242"/>
      <c r="EW2" s="242"/>
      <c r="EX2" s="242"/>
      <c r="EY2" s="242"/>
      <c r="EZ2" s="242"/>
      <c r="FA2" s="242"/>
      <c r="FB2" s="242"/>
      <c r="FC2" s="242"/>
      <c r="FD2" s="242"/>
      <c r="FE2" s="242"/>
      <c r="FF2" s="242"/>
      <c r="FG2" s="242"/>
      <c r="FH2" s="242"/>
      <c r="FI2" s="242"/>
      <c r="FJ2" s="242"/>
      <c r="FK2" s="242"/>
      <c r="FL2" s="242"/>
      <c r="FM2" s="242"/>
      <c r="FN2" s="242"/>
      <c r="FO2" s="242"/>
      <c r="FP2" s="242"/>
      <c r="FQ2" s="242"/>
      <c r="FR2" s="242"/>
      <c r="FS2" s="242"/>
      <c r="FT2" s="242"/>
      <c r="FU2" s="242"/>
      <c r="FV2" s="242"/>
      <c r="FW2" s="242"/>
      <c r="FX2" s="242"/>
      <c r="FY2" s="242"/>
      <c r="FZ2" s="242"/>
      <c r="GA2" s="242"/>
      <c r="GB2" s="242"/>
      <c r="GC2" s="242"/>
      <c r="GD2" s="242"/>
      <c r="GE2" s="242"/>
      <c r="GF2" s="242"/>
      <c r="GG2" s="242"/>
      <c r="GH2" s="242"/>
      <c r="GI2" s="242"/>
      <c r="GJ2" s="242"/>
      <c r="GK2" s="242"/>
      <c r="GL2" s="242"/>
      <c r="GM2" s="242"/>
      <c r="GN2" s="242"/>
      <c r="GO2" s="242"/>
      <c r="GP2" s="242"/>
      <c r="GQ2" s="242"/>
      <c r="GR2" s="242"/>
      <c r="GS2" s="242"/>
      <c r="GT2" s="242"/>
      <c r="GU2" s="242"/>
      <c r="GV2" s="242"/>
      <c r="GW2" s="242"/>
      <c r="GX2" s="242"/>
      <c r="GY2" s="242"/>
      <c r="GZ2" s="242"/>
      <c r="HA2" s="242"/>
      <c r="HB2" s="244"/>
      <c r="HC2" s="242"/>
      <c r="HD2" s="242"/>
      <c r="HE2" s="242"/>
      <c r="HF2" s="242"/>
      <c r="HG2" s="242"/>
      <c r="HH2" s="242"/>
      <c r="HI2" s="242"/>
      <c r="HJ2" s="242"/>
      <c r="HK2" s="242"/>
      <c r="HL2" s="242"/>
      <c r="HM2" s="242"/>
      <c r="HN2" s="242"/>
      <c r="HO2" s="242"/>
      <c r="HP2" s="242"/>
      <c r="HQ2" s="242"/>
      <c r="HR2" s="242"/>
      <c r="HS2" s="242"/>
      <c r="HT2" s="242"/>
      <c r="HU2" s="242"/>
      <c r="HV2" s="242"/>
      <c r="HW2" s="242"/>
      <c r="HX2" s="242"/>
      <c r="HY2" s="242"/>
      <c r="HZ2" s="242"/>
      <c r="IA2" s="242"/>
      <c r="IB2" s="242"/>
      <c r="IC2" s="242"/>
      <c r="ID2" s="242"/>
      <c r="IE2" s="242"/>
      <c r="IF2" s="242"/>
      <c r="IG2" s="242"/>
      <c r="IH2" s="242"/>
      <c r="II2" s="242"/>
      <c r="IJ2" s="242"/>
      <c r="IK2" s="242"/>
      <c r="IL2" s="242"/>
      <c r="IM2" s="242"/>
      <c r="IN2" s="242"/>
      <c r="IO2" s="242"/>
      <c r="IP2" s="242"/>
      <c r="IQ2" s="242"/>
      <c r="IR2" s="242"/>
      <c r="IS2" s="242"/>
      <c r="IT2" s="242"/>
      <c r="IU2" s="242"/>
      <c r="IV2" s="242"/>
      <c r="IW2" s="242"/>
    </row>
    <row r="3" customFormat="false" ht="12.6" hidden="false" customHeight="true" outlineLevel="0" collapsed="false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0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  <c r="HO3" s="242"/>
      <c r="HP3" s="242"/>
      <c r="HQ3" s="242"/>
      <c r="HR3" s="242"/>
      <c r="HS3" s="242"/>
      <c r="HT3" s="242"/>
      <c r="HU3" s="242"/>
      <c r="HV3" s="242"/>
      <c r="HW3" s="242"/>
      <c r="HX3" s="242"/>
      <c r="HY3" s="242"/>
      <c r="HZ3" s="242"/>
      <c r="IA3" s="242"/>
      <c r="IB3" s="242"/>
      <c r="IC3" s="242"/>
      <c r="ID3" s="242"/>
      <c r="IE3" s="242"/>
      <c r="IF3" s="242"/>
      <c r="IG3" s="242"/>
      <c r="IH3" s="242"/>
      <c r="II3" s="242"/>
      <c r="IJ3" s="242"/>
      <c r="IK3" s="242"/>
      <c r="IL3" s="242"/>
      <c r="IM3" s="242"/>
      <c r="IN3" s="242"/>
      <c r="IO3" s="242"/>
      <c r="IP3" s="242"/>
      <c r="IQ3" s="242"/>
      <c r="IR3" s="242"/>
      <c r="IS3" s="242"/>
      <c r="IT3" s="242"/>
      <c r="IU3" s="242"/>
      <c r="IV3" s="242"/>
      <c r="IW3" s="242"/>
    </row>
    <row r="4" customFormat="false" ht="12.6" hidden="false" customHeight="true" outlineLevel="0" collapsed="false">
      <c r="A4" s="246"/>
      <c r="B4" s="246"/>
      <c r="C4" s="240" t="n">
        <v>36145</v>
      </c>
      <c r="D4" s="240" t="n">
        <f aca="false">EOMONTH(C4,0)+1</f>
        <v>36161</v>
      </c>
      <c r="E4" s="240" t="n">
        <f aca="false">EDATE(D4,1)</f>
        <v>36192</v>
      </c>
      <c r="F4" s="240" t="n">
        <f aca="false">EDATE(E4,1)</f>
        <v>36220</v>
      </c>
      <c r="G4" s="240" t="n">
        <v>36251</v>
      </c>
      <c r="H4" s="240" t="n">
        <f aca="false">EDATE(G4,1)</f>
        <v>36281</v>
      </c>
      <c r="I4" s="240" t="n">
        <f aca="false">EDATE(H4,1)</f>
        <v>36312</v>
      </c>
      <c r="J4" s="240" t="n">
        <f aca="false">EDATE(I4,1)</f>
        <v>36342</v>
      </c>
      <c r="K4" s="240" t="n">
        <f aca="false">EDATE(J4,1)</f>
        <v>36373</v>
      </c>
      <c r="L4" s="240" t="n">
        <f aca="false">EDATE(K4,1)</f>
        <v>36404</v>
      </c>
      <c r="M4" s="240" t="n">
        <f aca="false">EDATE(L4,1)</f>
        <v>36434</v>
      </c>
      <c r="N4" s="240" t="n">
        <f aca="false">EDATE(M4,1)</f>
        <v>36465</v>
      </c>
      <c r="O4" s="240" t="n">
        <f aca="false">EDATE(N4,1)</f>
        <v>36495</v>
      </c>
      <c r="P4" s="240" t="n">
        <f aca="false">EDATE(O4,1)</f>
        <v>36526</v>
      </c>
      <c r="Q4" s="240" t="n">
        <f aca="false">EDATE(P4,1)</f>
        <v>36557</v>
      </c>
      <c r="R4" s="240" t="n">
        <f aca="false">EDATE(Q4,1)</f>
        <v>36586</v>
      </c>
      <c r="S4" s="240" t="n">
        <f aca="false">EDATE(R4,1)</f>
        <v>36617</v>
      </c>
      <c r="T4" s="240" t="n">
        <f aca="false">EDATE(S4,1)</f>
        <v>36647</v>
      </c>
      <c r="U4" s="240" t="n">
        <v>36661</v>
      </c>
      <c r="V4" s="240" t="n">
        <v>36678</v>
      </c>
      <c r="W4" s="240" t="n">
        <f aca="false">EDATE(V4,1)</f>
        <v>36708</v>
      </c>
      <c r="X4" s="240" t="n">
        <f aca="false">EDATE(W4,1)</f>
        <v>36739</v>
      </c>
      <c r="Y4" s="240" t="n">
        <f aca="false">EDATE(X4,1)</f>
        <v>36770</v>
      </c>
      <c r="Z4" s="240" t="n">
        <f aca="false">EDATE(Y4,1)</f>
        <v>36800</v>
      </c>
      <c r="AA4" s="242"/>
      <c r="AB4" s="240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  <c r="IU4" s="242"/>
      <c r="IV4" s="242"/>
      <c r="IW4" s="242"/>
    </row>
    <row r="5" customFormat="false" ht="12.75" hidden="false" customHeight="true" outlineLevel="0" collapsed="false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  <c r="IW5" s="242"/>
    </row>
    <row r="6" customFormat="false" ht="12.75" hidden="false" customHeight="true" outlineLevel="0" collapsed="false">
      <c r="A6" s="246" t="s">
        <v>263</v>
      </c>
      <c r="B6" s="247" t="n">
        <v>0.1</v>
      </c>
      <c r="C6" s="247" t="n">
        <v>0.1</v>
      </c>
      <c r="D6" s="247" t="n">
        <v>0.065</v>
      </c>
      <c r="E6" s="247" t="n">
        <f aca="false">D6</f>
        <v>0.065</v>
      </c>
      <c r="F6" s="247" t="n">
        <f aca="false">E6</f>
        <v>0.065</v>
      </c>
      <c r="G6" s="247" t="n">
        <f aca="false">F6</f>
        <v>0.065</v>
      </c>
      <c r="H6" s="247" t="n">
        <f aca="false">G6</f>
        <v>0.065</v>
      </c>
      <c r="I6" s="247" t="n">
        <f aca="false">H6</f>
        <v>0.065</v>
      </c>
      <c r="J6" s="247" t="n">
        <f aca="false">I6</f>
        <v>0.065</v>
      </c>
      <c r="K6" s="247" t="n">
        <v>0.06</v>
      </c>
      <c r="L6" s="247" t="n">
        <v>0.06</v>
      </c>
      <c r="M6" s="247" t="n">
        <v>0.06</v>
      </c>
      <c r="N6" s="247" t="n">
        <v>0.06</v>
      </c>
      <c r="O6" s="247" t="n">
        <v>0.06</v>
      </c>
      <c r="P6" s="247" t="n">
        <v>0.06</v>
      </c>
      <c r="Q6" s="247" t="n">
        <v>0.06</v>
      </c>
      <c r="R6" s="247" t="n">
        <v>0.06</v>
      </c>
      <c r="S6" s="247" t="n">
        <v>0.06</v>
      </c>
      <c r="T6" s="247" t="n">
        <v>0.06</v>
      </c>
      <c r="U6" s="247" t="n">
        <v>0.06</v>
      </c>
      <c r="V6" s="247" t="n">
        <v>0.06</v>
      </c>
      <c r="W6" s="247" t="n">
        <v>0.06</v>
      </c>
      <c r="X6" s="247" t="n">
        <f aca="false">+IF(X4&lt;'Project Assumptions'!$F$25,'Project Assumptions'!$I$43,0)</f>
        <v>0.06</v>
      </c>
      <c r="Y6" s="247" t="n">
        <f aca="false">+IF(Y4&lt;'Project Assumptions'!$F$25,'Project Assumptions'!$I$43,0)</f>
        <v>0</v>
      </c>
      <c r="Z6" s="246"/>
      <c r="AA6" s="246"/>
      <c r="AB6" s="246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  <c r="IQ6" s="242"/>
      <c r="IR6" s="242"/>
      <c r="IS6" s="242"/>
      <c r="IT6" s="242"/>
      <c r="IU6" s="242"/>
      <c r="IV6" s="242"/>
      <c r="IW6" s="242"/>
    </row>
    <row r="7" customFormat="false" ht="12.75" hidden="false" customHeight="true" outlineLevel="0" collapsed="false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  <c r="IQ7" s="242"/>
      <c r="IR7" s="242"/>
      <c r="IS7" s="242"/>
      <c r="IT7" s="242"/>
      <c r="IU7" s="242"/>
      <c r="IV7" s="242"/>
      <c r="IW7" s="242"/>
    </row>
    <row r="8" customFormat="false" ht="12.75" hidden="false" customHeight="true" outlineLevel="0" collapsed="false">
      <c r="A8" s="245" t="s">
        <v>264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</row>
    <row r="9" customFormat="false" ht="12.75" hidden="false" customHeight="true" outlineLevel="0" collapsed="false">
      <c r="A9" s="248" t="s">
        <v>265</v>
      </c>
      <c r="B9" s="248"/>
      <c r="C9" s="239" t="n">
        <v>0</v>
      </c>
      <c r="D9" s="239" t="n">
        <v>0</v>
      </c>
      <c r="E9" s="239" t="n">
        <v>0</v>
      </c>
      <c r="F9" s="239" t="n">
        <v>0</v>
      </c>
      <c r="G9" s="239" t="n">
        <v>0</v>
      </c>
      <c r="H9" s="239" t="n">
        <v>1590.873</v>
      </c>
      <c r="I9" s="239" t="n">
        <v>979.542</v>
      </c>
      <c r="J9" s="239" t="n">
        <v>2062.062</v>
      </c>
      <c r="K9" s="239" t="n">
        <v>1840.256</v>
      </c>
      <c r="L9" s="239" t="n">
        <v>2305.682</v>
      </c>
      <c r="M9" s="239" t="n">
        <v>2593.769</v>
      </c>
      <c r="N9" s="239" t="n">
        <v>2212.862</v>
      </c>
      <c r="O9" s="239" t="n">
        <v>1540.018</v>
      </c>
      <c r="P9" s="239" t="n">
        <v>1133.205</v>
      </c>
      <c r="Q9" s="239" t="n">
        <v>1202.494</v>
      </c>
      <c r="R9" s="239" t="n">
        <v>2942.215</v>
      </c>
      <c r="S9" s="239" t="n">
        <v>911.694</v>
      </c>
      <c r="T9" s="239" t="n">
        <v>917.824</v>
      </c>
      <c r="U9" s="239" t="n">
        <v>0</v>
      </c>
      <c r="V9" s="239" t="n">
        <v>950.108</v>
      </c>
      <c r="W9" s="239" t="n">
        <f aca="false">652.302+1204.335</f>
        <v>1856.637</v>
      </c>
      <c r="X9" s="249" t="n">
        <v>0</v>
      </c>
      <c r="Y9" s="249" t="n">
        <v>0</v>
      </c>
      <c r="Z9" s="249" t="n">
        <v>0</v>
      </c>
      <c r="AA9" s="239"/>
      <c r="AB9" s="239" t="n">
        <f aca="false">+SUM(C9:Z15)-SUM(C14:Z14)</f>
        <v>108928.465</v>
      </c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  <c r="IW9" s="242"/>
    </row>
    <row r="10" customFormat="false" ht="12.75" hidden="false" customHeight="true" outlineLevel="0" collapsed="false">
      <c r="A10" s="248" t="s">
        <v>266</v>
      </c>
      <c r="B10" s="248"/>
      <c r="C10" s="250" t="n">
        <v>25595</v>
      </c>
      <c r="D10" s="250" t="n">
        <v>0</v>
      </c>
      <c r="E10" s="250" t="n">
        <v>0</v>
      </c>
      <c r="F10" s="250" t="n">
        <v>3055.146</v>
      </c>
      <c r="G10" s="250" t="n">
        <v>0</v>
      </c>
      <c r="H10" s="250" t="n">
        <v>0</v>
      </c>
      <c r="I10" s="250" t="n">
        <v>2952.73619999999</v>
      </c>
      <c r="J10" s="250" t="n">
        <v>2952.73619999999</v>
      </c>
      <c r="K10" s="250" t="n">
        <v>2952.73619999999</v>
      </c>
      <c r="L10" s="250" t="n">
        <v>2952.73619999999</v>
      </c>
      <c r="M10" s="250" t="n">
        <v>2952.73619999999</v>
      </c>
      <c r="N10" s="250" t="n">
        <v>0</v>
      </c>
      <c r="O10" s="250" t="n">
        <v>0</v>
      </c>
      <c r="P10" s="250" t="n">
        <v>0</v>
      </c>
      <c r="Q10" s="250" t="n">
        <v>0</v>
      </c>
      <c r="R10" s="250" t="n">
        <v>0</v>
      </c>
      <c r="S10" s="250" t="n">
        <v>0</v>
      </c>
      <c r="T10" s="250" t="n">
        <v>0</v>
      </c>
      <c r="U10" s="250" t="n">
        <v>0</v>
      </c>
      <c r="V10" s="250" t="n">
        <v>0</v>
      </c>
      <c r="W10" s="250" t="n">
        <v>0</v>
      </c>
      <c r="X10" s="250" t="n">
        <v>0</v>
      </c>
      <c r="Y10" s="250" t="n">
        <v>0</v>
      </c>
      <c r="Z10" s="250" t="n">
        <v>0</v>
      </c>
      <c r="AA10" s="239"/>
      <c r="AB10" s="239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  <c r="IW10" s="242"/>
    </row>
    <row r="11" customFormat="false" ht="12.75" hidden="false" customHeight="true" outlineLevel="0" collapsed="false">
      <c r="A11" s="248" t="s">
        <v>267</v>
      </c>
      <c r="B11" s="248"/>
      <c r="C11" s="250" t="n">
        <v>0</v>
      </c>
      <c r="D11" s="250" t="n">
        <v>0</v>
      </c>
      <c r="E11" s="250" t="n">
        <v>0</v>
      </c>
      <c r="F11" s="250" t="n">
        <v>0</v>
      </c>
      <c r="G11" s="250" t="n">
        <v>3381.6</v>
      </c>
      <c r="H11" s="250" t="n">
        <v>2028.96</v>
      </c>
      <c r="I11" s="250" t="n">
        <v>2028.96</v>
      </c>
      <c r="J11" s="250" t="n">
        <v>2028.96</v>
      </c>
      <c r="K11" s="250" t="n">
        <v>2028.96</v>
      </c>
      <c r="L11" s="250" t="n">
        <v>2028.96</v>
      </c>
      <c r="M11" s="250" t="n">
        <v>2028.96</v>
      </c>
      <c r="N11" s="250" t="n">
        <v>2028.96</v>
      </c>
      <c r="O11" s="250" t="n">
        <v>2028.96</v>
      </c>
      <c r="P11" s="250" t="n">
        <v>2028.96</v>
      </c>
      <c r="Q11" s="250" t="n">
        <v>2028.96</v>
      </c>
      <c r="R11" s="250" t="n">
        <v>8454</v>
      </c>
      <c r="S11" s="250" t="n">
        <v>1690.8</v>
      </c>
      <c r="T11" s="250" t="n">
        <v>0</v>
      </c>
      <c r="U11" s="250" t="n">
        <v>0</v>
      </c>
      <c r="V11" s="250" t="n">
        <v>0</v>
      </c>
      <c r="W11" s="250" t="n">
        <v>0</v>
      </c>
      <c r="X11" s="250" t="n">
        <v>0</v>
      </c>
      <c r="Y11" s="250" t="n">
        <v>0</v>
      </c>
      <c r="Z11" s="250" t="n">
        <v>0</v>
      </c>
      <c r="AA11" s="239"/>
      <c r="AB11" s="251" t="n">
        <f aca="false">+('Current Budget'!Q64+'Current Budget'!Q75)/1000-AB9</f>
        <v>2349.58254000003</v>
      </c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  <c r="IW11" s="242"/>
    </row>
    <row r="12" customFormat="false" ht="12.75" hidden="false" customHeight="true" outlineLevel="0" collapsed="false">
      <c r="A12" s="248" t="s">
        <v>268</v>
      </c>
      <c r="B12" s="248"/>
      <c r="C12" s="250" t="n">
        <v>0</v>
      </c>
      <c r="D12" s="250" t="n">
        <v>0</v>
      </c>
      <c r="E12" s="250" t="n">
        <v>0</v>
      </c>
      <c r="F12" s="250" t="n">
        <v>0</v>
      </c>
      <c r="G12" s="250" t="n">
        <v>245</v>
      </c>
      <c r="H12" s="250" t="n">
        <v>245</v>
      </c>
      <c r="I12" s="250" t="n">
        <v>645</v>
      </c>
      <c r="J12" s="250" t="n">
        <v>245</v>
      </c>
      <c r="K12" s="250" t="n">
        <v>245</v>
      </c>
      <c r="L12" s="250" t="n">
        <v>0</v>
      </c>
      <c r="M12" s="250" t="n">
        <v>0</v>
      </c>
      <c r="N12" s="250" t="n">
        <v>0</v>
      </c>
      <c r="O12" s="250" t="n">
        <v>182.787833333333</v>
      </c>
      <c r="P12" s="250" t="n">
        <v>182.787833333333</v>
      </c>
      <c r="Q12" s="250" t="n">
        <v>182.787833333333</v>
      </c>
      <c r="R12" s="250" t="n">
        <v>182.787833333333</v>
      </c>
      <c r="S12" s="250" t="n">
        <v>482.787833333333</v>
      </c>
      <c r="T12" s="250" t="n">
        <v>482.787833333333</v>
      </c>
      <c r="U12" s="250" t="n">
        <v>0</v>
      </c>
      <c r="V12" s="250" t="n">
        <v>0</v>
      </c>
      <c r="W12" s="250" t="n">
        <v>0</v>
      </c>
      <c r="X12" s="250" t="n">
        <v>0</v>
      </c>
      <c r="Y12" s="250" t="n">
        <v>0</v>
      </c>
      <c r="Z12" s="250" t="n">
        <v>0</v>
      </c>
      <c r="AA12" s="239"/>
      <c r="AB12" s="248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  <c r="IW12" s="242"/>
    </row>
    <row r="13" customFormat="false" ht="12.75" hidden="false" customHeight="true" outlineLevel="0" collapsed="false">
      <c r="A13" s="248" t="s">
        <v>269</v>
      </c>
      <c r="B13" s="248"/>
      <c r="C13" s="250" t="n">
        <v>0</v>
      </c>
      <c r="D13" s="250" t="n">
        <v>0</v>
      </c>
      <c r="E13" s="250" t="n">
        <v>0</v>
      </c>
      <c r="F13" s="250" t="n">
        <v>0</v>
      </c>
      <c r="G13" s="250" t="n">
        <v>0</v>
      </c>
      <c r="H13" s="250" t="n">
        <v>0</v>
      </c>
      <c r="I13" s="250" t="n">
        <v>0</v>
      </c>
      <c r="J13" s="250" t="n">
        <v>0</v>
      </c>
      <c r="K13" s="252" t="n">
        <f aca="false">('Current Budget'!O59+'Current Budget'!O60)/1000</f>
        <v>2037.67</v>
      </c>
      <c r="L13" s="250" t="n">
        <v>0</v>
      </c>
      <c r="M13" s="250" t="n">
        <v>0</v>
      </c>
      <c r="N13" s="250" t="n">
        <v>0</v>
      </c>
      <c r="O13" s="250" t="n">
        <v>0</v>
      </c>
      <c r="P13" s="250" t="n">
        <v>0</v>
      </c>
      <c r="Q13" s="250" t="n">
        <f aca="false">'Current Budget'!O58/1000</f>
        <v>1300</v>
      </c>
      <c r="R13" s="250" t="n">
        <v>0</v>
      </c>
      <c r="S13" s="250" t="n">
        <v>0</v>
      </c>
      <c r="T13" s="250" t="n">
        <v>0</v>
      </c>
      <c r="U13" s="250" t="n">
        <v>0</v>
      </c>
      <c r="V13" s="250" t="n">
        <v>0</v>
      </c>
      <c r="W13" s="250" t="n">
        <v>0</v>
      </c>
      <c r="X13" s="250" t="n">
        <v>0</v>
      </c>
      <c r="Y13" s="250" t="n">
        <v>0</v>
      </c>
      <c r="Z13" s="250" t="n">
        <v>0</v>
      </c>
      <c r="AA13" s="239"/>
      <c r="AB13" s="248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  <c r="IW13" s="242"/>
    </row>
    <row r="14" customFormat="false" ht="12.75" hidden="false" customHeight="true" outlineLevel="0" collapsed="false">
      <c r="A14" s="248" t="s">
        <v>270</v>
      </c>
      <c r="B14" s="248"/>
      <c r="C14" s="250" t="n">
        <v>0</v>
      </c>
      <c r="D14" s="250" t="n">
        <v>0</v>
      </c>
      <c r="E14" s="250" t="n">
        <v>0</v>
      </c>
      <c r="F14" s="250" t="n">
        <v>0</v>
      </c>
      <c r="G14" s="250" t="n">
        <v>0</v>
      </c>
      <c r="H14" s="250" t="n">
        <v>0</v>
      </c>
      <c r="I14" s="252" t="n">
        <f aca="false">'Current Budget'!$Q$79/12/1000</f>
        <v>-146.135440372099</v>
      </c>
      <c r="J14" s="252" t="n">
        <f aca="false">'Current Budget'!$Q$79/12/1000</f>
        <v>-146.135440372099</v>
      </c>
      <c r="K14" s="252" t="n">
        <f aca="false">'Current Budget'!$Q$79/12/1000</f>
        <v>-146.135440372099</v>
      </c>
      <c r="L14" s="252" t="n">
        <f aca="false">'Current Budget'!$Q$79/12/1000</f>
        <v>-146.135440372099</v>
      </c>
      <c r="M14" s="252" t="n">
        <f aca="false">'Current Budget'!$Q$79/12/1000</f>
        <v>-146.135440372099</v>
      </c>
      <c r="N14" s="252" t="n">
        <f aca="false">'Current Budget'!$Q$79/12/1000</f>
        <v>-146.135440372099</v>
      </c>
      <c r="O14" s="252" t="n">
        <f aca="false">'Current Budget'!$Q$79/12/1000</f>
        <v>-146.135440372099</v>
      </c>
      <c r="P14" s="252" t="n">
        <f aca="false">'Current Budget'!$Q$79/12/1000</f>
        <v>-146.135440372099</v>
      </c>
      <c r="Q14" s="252" t="n">
        <f aca="false">'Current Budget'!$Q$79/12/1000</f>
        <v>-146.135440372099</v>
      </c>
      <c r="R14" s="252" t="n">
        <f aca="false">'Current Budget'!$Q$79/12/1000</f>
        <v>-146.135440372099</v>
      </c>
      <c r="S14" s="252" t="n">
        <f aca="false">'Current Budget'!$Q$79/12/1000</f>
        <v>-146.135440372099</v>
      </c>
      <c r="T14" s="252" t="n">
        <f aca="false">'Current Budget'!$Q$79/12/1000</f>
        <v>-146.135440372099</v>
      </c>
      <c r="U14" s="250" t="n">
        <v>0</v>
      </c>
      <c r="V14" s="250" t="n">
        <v>0</v>
      </c>
      <c r="W14" s="250" t="n">
        <v>0</v>
      </c>
      <c r="X14" s="250" t="n">
        <v>0</v>
      </c>
      <c r="Y14" s="250" t="n">
        <v>0</v>
      </c>
      <c r="Z14" s="250" t="n">
        <v>0</v>
      </c>
      <c r="AA14" s="242"/>
      <c r="AB14" s="248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  <c r="IQ14" s="242"/>
      <c r="IR14" s="242"/>
      <c r="IS14" s="242"/>
      <c r="IT14" s="242"/>
      <c r="IU14" s="242"/>
      <c r="IV14" s="242"/>
      <c r="IW14" s="242"/>
    </row>
    <row r="15" customFormat="false" ht="15" hidden="false" customHeight="true" outlineLevel="0" collapsed="false">
      <c r="A15" s="248" t="s">
        <v>271</v>
      </c>
      <c r="B15" s="248"/>
      <c r="C15" s="250" t="n">
        <v>0</v>
      </c>
      <c r="D15" s="250" t="n">
        <v>0</v>
      </c>
      <c r="E15" s="250" t="n">
        <v>0</v>
      </c>
      <c r="F15" s="250" t="n">
        <v>0</v>
      </c>
      <c r="G15" s="250" t="n">
        <v>0</v>
      </c>
      <c r="H15" s="250" t="n">
        <v>0</v>
      </c>
      <c r="I15" s="250" t="n">
        <f aca="false">'Project Assumptions'!C38</f>
        <v>0</v>
      </c>
      <c r="J15" s="250" t="n">
        <v>0</v>
      </c>
      <c r="K15" s="250" t="n">
        <v>0</v>
      </c>
      <c r="L15" s="250" t="n">
        <v>0</v>
      </c>
      <c r="M15" s="250" t="n">
        <v>0</v>
      </c>
      <c r="N15" s="250" t="n">
        <v>0</v>
      </c>
      <c r="O15" s="250" t="n">
        <v>0</v>
      </c>
      <c r="P15" s="250" t="n">
        <v>0</v>
      </c>
      <c r="Q15" s="250" t="n">
        <v>0</v>
      </c>
      <c r="R15" s="250" t="n">
        <v>0</v>
      </c>
      <c r="S15" s="250" t="n">
        <v>0</v>
      </c>
      <c r="T15" s="250" t="n">
        <v>0</v>
      </c>
      <c r="U15" s="250" t="n">
        <v>0</v>
      </c>
      <c r="V15" s="250" t="n">
        <v>0</v>
      </c>
      <c r="W15" s="250" t="n">
        <v>0</v>
      </c>
      <c r="X15" s="250" t="n">
        <v>0</v>
      </c>
      <c r="Y15" s="250" t="n">
        <v>0</v>
      </c>
      <c r="Z15" s="250" t="n">
        <v>0</v>
      </c>
      <c r="AA15" s="242"/>
      <c r="AB15" s="248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  <c r="IQ15" s="242"/>
      <c r="IR15" s="242"/>
      <c r="IS15" s="242"/>
      <c r="IT15" s="242"/>
      <c r="IU15" s="242"/>
      <c r="IV15" s="242"/>
      <c r="IW15" s="242"/>
    </row>
    <row r="16" customFormat="false" ht="15" hidden="false" customHeight="true" outlineLevel="0" collapsed="false">
      <c r="A16" s="248" t="s">
        <v>272</v>
      </c>
      <c r="B16" s="248"/>
      <c r="C16" s="250" t="n">
        <v>0</v>
      </c>
      <c r="D16" s="250" t="n">
        <v>0</v>
      </c>
      <c r="E16" s="250" t="n">
        <v>0</v>
      </c>
      <c r="F16" s="250" t="n">
        <v>0</v>
      </c>
      <c r="G16" s="250" t="n">
        <v>0</v>
      </c>
      <c r="H16" s="250" t="n">
        <v>0</v>
      </c>
      <c r="I16" s="250" t="n">
        <v>0</v>
      </c>
      <c r="J16" s="250" t="n">
        <f aca="false">$AB$11/COUNT($J$4:$T$4)</f>
        <v>213.598412727276</v>
      </c>
      <c r="K16" s="250" t="n">
        <f aca="false">$AB$11/COUNT($J$4:$T$4)</f>
        <v>213.598412727276</v>
      </c>
      <c r="L16" s="250" t="n">
        <f aca="false">$AB$11/COUNT($J$4:$T$4)</f>
        <v>213.598412727276</v>
      </c>
      <c r="M16" s="250" t="n">
        <f aca="false">$AB$11/COUNT($J$4:$T$4)</f>
        <v>213.598412727276</v>
      </c>
      <c r="N16" s="250" t="n">
        <f aca="false">$AB$11/COUNT($J$4:$T$4)</f>
        <v>213.598412727276</v>
      </c>
      <c r="O16" s="250" t="n">
        <f aca="false">$AB$11/COUNT($J$4:$T$4)</f>
        <v>213.598412727276</v>
      </c>
      <c r="P16" s="250" t="n">
        <f aca="false">$AB$11/COUNT($J$4:$T$4)</f>
        <v>213.598412727276</v>
      </c>
      <c r="Q16" s="250" t="n">
        <f aca="false">$AB$11/COUNT($J$4:$T$4)</f>
        <v>213.598412727276</v>
      </c>
      <c r="R16" s="250" t="n">
        <f aca="false">$AB$11/COUNT($J$4:$T$4)</f>
        <v>213.598412727276</v>
      </c>
      <c r="S16" s="250" t="n">
        <f aca="false">$AB$11/COUNT($J$4:$T$4)</f>
        <v>213.598412727276</v>
      </c>
      <c r="T16" s="250" t="n">
        <f aca="false">$AB$11/COUNT($J$4:$T$4)</f>
        <v>213.598412727276</v>
      </c>
      <c r="U16" s="250" t="n">
        <v>0</v>
      </c>
      <c r="V16" s="250" t="n">
        <v>0</v>
      </c>
      <c r="W16" s="250" t="n">
        <v>0</v>
      </c>
      <c r="X16" s="250" t="n">
        <v>0</v>
      </c>
      <c r="Y16" s="250" t="n">
        <v>0</v>
      </c>
      <c r="Z16" s="250" t="n">
        <v>0</v>
      </c>
      <c r="AA16" s="242"/>
      <c r="AB16" s="248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  <c r="IW16" s="242"/>
    </row>
    <row r="17" customFormat="false" ht="12.75" hidden="false" customHeight="true" outlineLevel="0" collapsed="false">
      <c r="A17" s="248" t="s">
        <v>273</v>
      </c>
      <c r="B17" s="248"/>
      <c r="C17" s="250" t="n">
        <f aca="false">(B19*B6)/365.25*(C4-B4)</f>
        <v>0</v>
      </c>
      <c r="D17" s="250" t="n">
        <f aca="false">(C19*C6)/365.25*(D4-C4)</f>
        <v>112.120465434634</v>
      </c>
      <c r="E17" s="250" t="n">
        <f aca="false">(D19*D6)/365.25*(E4-D4)</f>
        <v>141.820253902398</v>
      </c>
      <c r="F17" s="250" t="n">
        <f aca="false">(E19*E6)/365.25*(F4-E4)</f>
        <v>128.802387704842</v>
      </c>
      <c r="G17" s="250" t="n">
        <f aca="false">(F19*F6)/365.25*(G4-F4)</f>
        <v>160.167752363284</v>
      </c>
      <c r="H17" s="250" t="n">
        <f aca="false">(G19*G6)/365.25*(H4-G4)</f>
        <v>175.217880563559</v>
      </c>
      <c r="I17" s="250" t="n">
        <f aca="false">(H19*H6)/365.25*(I4-H4)</f>
        <v>203.346505396405</v>
      </c>
      <c r="J17" s="250" t="n">
        <v>0</v>
      </c>
      <c r="K17" s="250" t="n">
        <v>0</v>
      </c>
      <c r="L17" s="250" t="n">
        <v>0</v>
      </c>
      <c r="M17" s="250" t="n">
        <v>0</v>
      </c>
      <c r="N17" s="250" t="n">
        <v>0</v>
      </c>
      <c r="O17" s="250" t="n">
        <v>0</v>
      </c>
      <c r="P17" s="250" t="n">
        <v>0</v>
      </c>
      <c r="Q17" s="250" t="n">
        <v>0</v>
      </c>
      <c r="R17" s="250" t="n">
        <v>0</v>
      </c>
      <c r="S17" s="250" t="n">
        <v>0</v>
      </c>
      <c r="T17" s="250" t="n">
        <v>0</v>
      </c>
      <c r="U17" s="250" t="n">
        <v>0</v>
      </c>
      <c r="V17" s="250" t="n">
        <v>0</v>
      </c>
      <c r="W17" s="250" t="n">
        <v>0</v>
      </c>
      <c r="X17" s="250" t="n">
        <v>0</v>
      </c>
      <c r="Y17" s="250" t="n">
        <v>0</v>
      </c>
      <c r="Z17" s="250" t="n">
        <v>0</v>
      </c>
      <c r="AA17" s="239"/>
      <c r="AB17" s="248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  <c r="IW17" s="242"/>
    </row>
    <row r="18" customFormat="false" ht="15" hidden="false" customHeight="true" outlineLevel="0" collapsed="false">
      <c r="A18" s="248" t="s">
        <v>274</v>
      </c>
      <c r="B18" s="248"/>
      <c r="C18" s="253" t="n">
        <v>0</v>
      </c>
      <c r="D18" s="253" t="n">
        <v>0</v>
      </c>
      <c r="E18" s="253" t="n">
        <v>0</v>
      </c>
      <c r="F18" s="253" t="n">
        <v>0</v>
      </c>
      <c r="G18" s="253" t="n">
        <v>0</v>
      </c>
      <c r="H18" s="253" t="n">
        <v>0</v>
      </c>
      <c r="I18" s="253" t="n">
        <v>-5000</v>
      </c>
      <c r="J18" s="253" t="n">
        <v>0</v>
      </c>
      <c r="K18" s="253" t="n">
        <v>0</v>
      </c>
      <c r="L18" s="253" t="n">
        <v>0</v>
      </c>
      <c r="M18" s="253" t="n">
        <v>0</v>
      </c>
      <c r="N18" s="253" t="n">
        <v>0</v>
      </c>
      <c r="O18" s="253" t="n">
        <v>0</v>
      </c>
      <c r="P18" s="253" t="n">
        <v>0</v>
      </c>
      <c r="Q18" s="253" t="n">
        <v>0</v>
      </c>
      <c r="R18" s="253" t="n">
        <v>0</v>
      </c>
      <c r="S18" s="253" t="n">
        <v>0</v>
      </c>
      <c r="T18" s="253" t="n">
        <v>1250</v>
      </c>
      <c r="U18" s="253" t="n">
        <v>0</v>
      </c>
      <c r="V18" s="253" t="n">
        <v>1250</v>
      </c>
      <c r="W18" s="253" t="n">
        <v>1250</v>
      </c>
      <c r="X18" s="253" t="n">
        <v>1250</v>
      </c>
      <c r="Y18" s="253" t="n">
        <v>0</v>
      </c>
      <c r="Z18" s="253" t="n">
        <v>0</v>
      </c>
      <c r="AA18" s="248"/>
      <c r="AB18" s="248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</row>
    <row r="19" customFormat="false" ht="12.75" hidden="false" customHeight="true" outlineLevel="0" collapsed="false">
      <c r="A19" s="245" t="s">
        <v>275</v>
      </c>
      <c r="B19" s="245"/>
      <c r="C19" s="239" t="n">
        <f aca="false">B19+SUM(C9:C18)</f>
        <v>25595</v>
      </c>
      <c r="D19" s="239" t="n">
        <f aca="false">C19+SUM(D9:D18)</f>
        <v>25707.1204654346</v>
      </c>
      <c r="E19" s="239" t="n">
        <f aca="false">D19+SUM(E9:E18)</f>
        <v>25848.940719337</v>
      </c>
      <c r="F19" s="239" t="n">
        <f aca="false">E19+SUM(F9:F18)</f>
        <v>29032.8891070419</v>
      </c>
      <c r="G19" s="239" t="n">
        <f aca="false">F19+SUM(G9:G18)</f>
        <v>32819.6568594052</v>
      </c>
      <c r="H19" s="239" t="n">
        <f aca="false">G19+SUM(H9:H18)</f>
        <v>36859.7077399687</v>
      </c>
      <c r="I19" s="239" t="n">
        <f aca="false">H19+SUM(I9:I18)</f>
        <v>38523.157004993</v>
      </c>
      <c r="J19" s="239" t="n">
        <f aca="false">I19+SUM(J9:J18)</f>
        <v>45879.3781773482</v>
      </c>
      <c r="K19" s="239" t="n">
        <f aca="false">J19+SUM(K9:K18)</f>
        <v>55051.4633497034</v>
      </c>
      <c r="L19" s="239" t="n">
        <f aca="false">K19+SUM(L9:L18)</f>
        <v>62406.3045220585</v>
      </c>
      <c r="M19" s="239" t="n">
        <f aca="false">L19+SUM(M9:M18)</f>
        <v>70049.2326944137</v>
      </c>
      <c r="N19" s="239" t="n">
        <f aca="false">M19+SUM(N9:N18)</f>
        <v>74358.5176667689</v>
      </c>
      <c r="O19" s="239" t="n">
        <f aca="false">N19+SUM(O9:O18)</f>
        <v>78177.7464724574</v>
      </c>
      <c r="P19" s="239" t="n">
        <f aca="false">O19+SUM(P9:P18)</f>
        <v>81590.1622781459</v>
      </c>
      <c r="Q19" s="239" t="n">
        <f aca="false">P19+SUM(Q9:Q18)</f>
        <v>86371.8670838344</v>
      </c>
      <c r="R19" s="239" t="n">
        <f aca="false">Q19+SUM(R9:R18)</f>
        <v>98018.3328895229</v>
      </c>
      <c r="S19" s="239" t="n">
        <f aca="false">R19+SUM(S9:S18)</f>
        <v>101171.077695211</v>
      </c>
      <c r="T19" s="239" t="n">
        <f aca="false">S19+SUM(T9:T18)</f>
        <v>103889.1525009</v>
      </c>
      <c r="U19" s="239" t="n">
        <f aca="false">T19+SUM(U9:U18)</f>
        <v>103889.1525009</v>
      </c>
      <c r="V19" s="239" t="n">
        <f aca="false">U19+SUM(V9:V18)</f>
        <v>106089.2605009</v>
      </c>
      <c r="W19" s="239" t="n">
        <f aca="false">V19+SUM(W9:W18)</f>
        <v>109195.8975009</v>
      </c>
      <c r="X19" s="239" t="n">
        <f aca="false">W19+SUM(X9:X18)</f>
        <v>110445.8975009</v>
      </c>
      <c r="Y19" s="239" t="n">
        <f aca="false">X19+SUM(Y9:Y18)</f>
        <v>110445.8975009</v>
      </c>
      <c r="Z19" s="239" t="n">
        <f aca="false">Y19+SUM(Z9:Z18)</f>
        <v>110445.8975009</v>
      </c>
      <c r="AA19" s="239"/>
      <c r="AB19" s="245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  <c r="IW19" s="242"/>
    </row>
    <row r="20" customFormat="false" ht="12.75" hidden="false" customHeight="true" outlineLevel="0" collapsed="false">
      <c r="A20" s="248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39"/>
      <c r="AA20" s="239"/>
      <c r="AB20" s="248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  <c r="BR20" s="242"/>
      <c r="BS20" s="242"/>
      <c r="BT20" s="242"/>
      <c r="BU20" s="242"/>
      <c r="BV20" s="242"/>
      <c r="BW20" s="242"/>
      <c r="BX20" s="242"/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42"/>
      <c r="CR20" s="242"/>
      <c r="CS20" s="242"/>
      <c r="CT20" s="242"/>
      <c r="CU20" s="242"/>
      <c r="CV20" s="242"/>
      <c r="CW20" s="242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242"/>
      <c r="EX20" s="242"/>
      <c r="EY20" s="242"/>
      <c r="EZ20" s="242"/>
      <c r="FA20" s="242"/>
      <c r="FB20" s="242"/>
      <c r="FC20" s="242"/>
      <c r="FD20" s="242"/>
      <c r="FE20" s="242"/>
      <c r="FF20" s="242"/>
      <c r="FG20" s="242"/>
      <c r="FH20" s="242"/>
      <c r="FI20" s="242"/>
      <c r="FJ20" s="242"/>
      <c r="FK20" s="242"/>
      <c r="FL20" s="242"/>
      <c r="FM20" s="242"/>
      <c r="FN20" s="242"/>
      <c r="FO20" s="242"/>
      <c r="FP20" s="242"/>
      <c r="FQ20" s="242"/>
      <c r="FR20" s="242"/>
      <c r="FS20" s="242"/>
      <c r="FT20" s="242"/>
      <c r="FU20" s="242"/>
      <c r="FV20" s="242"/>
      <c r="FW20" s="242"/>
      <c r="FX20" s="242"/>
      <c r="FY20" s="242"/>
      <c r="FZ20" s="242"/>
      <c r="GA20" s="242"/>
      <c r="GB20" s="242"/>
      <c r="GC20" s="242"/>
      <c r="GD20" s="242"/>
      <c r="GE20" s="242"/>
      <c r="GF20" s="242"/>
      <c r="GG20" s="242"/>
      <c r="GH20" s="242"/>
      <c r="GI20" s="242"/>
      <c r="GJ20" s="242"/>
      <c r="GK20" s="242"/>
      <c r="GL20" s="242"/>
      <c r="GM20" s="242"/>
      <c r="GN20" s="242"/>
      <c r="GO20" s="242"/>
      <c r="GP20" s="242"/>
      <c r="GQ20" s="242"/>
      <c r="GR20" s="242"/>
      <c r="GS20" s="242"/>
      <c r="GT20" s="242"/>
      <c r="GU20" s="242"/>
      <c r="GV20" s="242"/>
      <c r="GW20" s="242"/>
      <c r="GX20" s="242"/>
      <c r="GY20" s="242"/>
      <c r="GZ20" s="242"/>
      <c r="HA20" s="242"/>
      <c r="HB20" s="242"/>
      <c r="HC20" s="242"/>
      <c r="HD20" s="242"/>
      <c r="HE20" s="242"/>
      <c r="HF20" s="242"/>
      <c r="HG20" s="242"/>
      <c r="HH20" s="242"/>
      <c r="HI20" s="242"/>
      <c r="HJ20" s="242"/>
      <c r="HK20" s="242"/>
      <c r="HL20" s="242"/>
      <c r="HM20" s="242"/>
      <c r="HN20" s="242"/>
      <c r="HO20" s="242"/>
      <c r="HP20" s="242"/>
      <c r="HQ20" s="242"/>
      <c r="HR20" s="242"/>
      <c r="HS20" s="242"/>
      <c r="HT20" s="242"/>
      <c r="HU20" s="242"/>
      <c r="HV20" s="242"/>
      <c r="HW20" s="242"/>
      <c r="HX20" s="242"/>
      <c r="HY20" s="242"/>
      <c r="HZ20" s="242"/>
      <c r="IA20" s="242"/>
      <c r="IB20" s="242"/>
      <c r="IC20" s="242"/>
      <c r="ID20" s="242"/>
      <c r="IE20" s="242"/>
      <c r="IF20" s="242"/>
      <c r="IG20" s="242"/>
      <c r="IH20" s="242"/>
      <c r="II20" s="242"/>
      <c r="IJ20" s="242"/>
      <c r="IK20" s="242"/>
      <c r="IL20" s="242"/>
      <c r="IM20" s="242"/>
      <c r="IN20" s="242"/>
      <c r="IO20" s="242"/>
      <c r="IP20" s="242"/>
      <c r="IQ20" s="242"/>
      <c r="IR20" s="242"/>
      <c r="IS20" s="242"/>
      <c r="IT20" s="242"/>
      <c r="IU20" s="242"/>
      <c r="IV20" s="242"/>
      <c r="IW20" s="242"/>
    </row>
    <row r="21" customFormat="false" ht="12.75" hidden="false" customHeight="true" outlineLevel="0" collapsed="false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39"/>
      <c r="AA21" s="242"/>
      <c r="AB21" s="248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42"/>
      <c r="CR21" s="242"/>
      <c r="CS21" s="242"/>
      <c r="CT21" s="242"/>
      <c r="CU21" s="242"/>
      <c r="CV21" s="242"/>
      <c r="CW21" s="242"/>
      <c r="CX21" s="242"/>
      <c r="CY21" s="242"/>
      <c r="CZ21" s="242"/>
      <c r="DA21" s="242"/>
      <c r="DB21" s="242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2"/>
      <c r="EQ21" s="242"/>
      <c r="ER21" s="242"/>
      <c r="ES21" s="242"/>
      <c r="ET21" s="242"/>
      <c r="EU21" s="242"/>
      <c r="EV21" s="242"/>
      <c r="EW21" s="242"/>
      <c r="EX21" s="242"/>
      <c r="EY21" s="242"/>
      <c r="EZ21" s="242"/>
      <c r="FA21" s="242"/>
      <c r="FB21" s="242"/>
      <c r="FC21" s="242"/>
      <c r="FD21" s="242"/>
      <c r="FE21" s="242"/>
      <c r="FF21" s="242"/>
      <c r="FG21" s="242"/>
      <c r="FH21" s="242"/>
      <c r="FI21" s="242"/>
      <c r="FJ21" s="242"/>
      <c r="FK21" s="242"/>
      <c r="FL21" s="242"/>
      <c r="FM21" s="242"/>
      <c r="FN21" s="242"/>
      <c r="FO21" s="242"/>
      <c r="FP21" s="242"/>
      <c r="FQ21" s="242"/>
      <c r="FR21" s="242"/>
      <c r="FS21" s="242"/>
      <c r="FT21" s="242"/>
      <c r="FU21" s="242"/>
      <c r="FV21" s="242"/>
      <c r="FW21" s="242"/>
      <c r="FX21" s="242"/>
      <c r="FY21" s="242"/>
      <c r="FZ21" s="242"/>
      <c r="GA21" s="242"/>
      <c r="GB21" s="242"/>
      <c r="GC21" s="242"/>
      <c r="GD21" s="242"/>
      <c r="GE21" s="242"/>
      <c r="GF21" s="242"/>
      <c r="GG21" s="242"/>
      <c r="GH21" s="242"/>
      <c r="GI21" s="242"/>
      <c r="GJ21" s="242"/>
      <c r="GK21" s="242"/>
      <c r="GL21" s="242"/>
      <c r="GM21" s="242"/>
      <c r="GN21" s="242"/>
      <c r="GO21" s="242"/>
      <c r="GP21" s="242"/>
      <c r="GQ21" s="242"/>
      <c r="GR21" s="242"/>
      <c r="GS21" s="242"/>
      <c r="GT21" s="242"/>
      <c r="GU21" s="242"/>
      <c r="GV21" s="242"/>
      <c r="GW21" s="242"/>
      <c r="GX21" s="242"/>
      <c r="GY21" s="242"/>
      <c r="GZ21" s="242"/>
      <c r="HA21" s="242"/>
      <c r="HB21" s="242"/>
      <c r="HC21" s="242"/>
      <c r="HD21" s="242"/>
      <c r="HE21" s="242"/>
      <c r="HF21" s="242"/>
      <c r="HG21" s="242"/>
      <c r="HH21" s="242"/>
      <c r="HI21" s="242"/>
      <c r="HJ21" s="242"/>
      <c r="HK21" s="242"/>
      <c r="HL21" s="242"/>
      <c r="HM21" s="242"/>
      <c r="HN21" s="242"/>
      <c r="HO21" s="242"/>
      <c r="HP21" s="242"/>
      <c r="HQ21" s="242"/>
      <c r="HR21" s="242"/>
      <c r="HS21" s="242"/>
      <c r="HT21" s="242"/>
      <c r="HU21" s="242"/>
      <c r="HV21" s="242"/>
      <c r="HW21" s="242"/>
      <c r="HX21" s="242"/>
      <c r="HY21" s="242"/>
      <c r="HZ21" s="242"/>
      <c r="IA21" s="242"/>
      <c r="IB21" s="242"/>
      <c r="IC21" s="242"/>
      <c r="ID21" s="242"/>
      <c r="IE21" s="242"/>
      <c r="IF21" s="242"/>
      <c r="IG21" s="242"/>
      <c r="IH21" s="242"/>
      <c r="II21" s="242"/>
      <c r="IJ21" s="242"/>
      <c r="IK21" s="242"/>
      <c r="IL21" s="242"/>
      <c r="IM21" s="242"/>
      <c r="IN21" s="242"/>
      <c r="IO21" s="242"/>
      <c r="IP21" s="242"/>
      <c r="IQ21" s="242"/>
      <c r="IR21" s="242"/>
      <c r="IS21" s="242"/>
      <c r="IT21" s="242"/>
      <c r="IU21" s="242"/>
      <c r="IV21" s="242"/>
      <c r="IW21" s="242"/>
    </row>
    <row r="22" customFormat="false" ht="15.75" hidden="false" customHeight="true" outlineLevel="0" collapsed="false">
      <c r="A22" s="242"/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53"/>
      <c r="AA22" s="239"/>
      <c r="AB22" s="248"/>
      <c r="AC22" s="248"/>
      <c r="AD22" s="242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BD22" s="242"/>
      <c r="BE22" s="242"/>
      <c r="BF22" s="184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2"/>
      <c r="GC22" s="242"/>
      <c r="GD22" s="242"/>
      <c r="GE22" s="242"/>
      <c r="GF22" s="242"/>
      <c r="GG22" s="242"/>
      <c r="GH22" s="242"/>
      <c r="GI22" s="242"/>
      <c r="GJ22" s="242"/>
      <c r="GK22" s="242"/>
      <c r="GL22" s="242"/>
      <c r="GM22" s="242"/>
      <c r="GN22" s="242"/>
      <c r="GO22" s="242"/>
      <c r="GP22" s="242"/>
      <c r="GQ22" s="242"/>
      <c r="GR22" s="242"/>
      <c r="GS22" s="242"/>
      <c r="GT22" s="242"/>
      <c r="GU22" s="242"/>
      <c r="GV22" s="242"/>
      <c r="GW22" s="242"/>
      <c r="GX22" s="242"/>
      <c r="GY22" s="242"/>
      <c r="GZ22" s="242"/>
      <c r="HA22" s="242"/>
      <c r="HB22" s="242"/>
      <c r="HC22" s="242"/>
      <c r="HD22" s="242"/>
      <c r="HE22" s="242"/>
      <c r="HF22" s="242"/>
      <c r="HG22" s="242"/>
      <c r="HH22" s="242"/>
      <c r="HI22" s="242"/>
      <c r="HJ22" s="242"/>
      <c r="HK22" s="242"/>
      <c r="HL22" s="242"/>
      <c r="HM22" s="242"/>
      <c r="HN22" s="242"/>
      <c r="HO22" s="242"/>
      <c r="HP22" s="242"/>
      <c r="HQ22" s="242"/>
      <c r="HR22" s="242"/>
      <c r="HS22" s="242"/>
      <c r="HT22" s="242"/>
      <c r="HU22" s="242"/>
      <c r="HV22" s="242"/>
      <c r="HW22" s="242"/>
      <c r="HX22" s="242"/>
      <c r="HY22" s="242"/>
      <c r="HZ22" s="242"/>
      <c r="IA22" s="242"/>
      <c r="IB22" s="242"/>
      <c r="IC22" s="242"/>
      <c r="ID22" s="242"/>
      <c r="IE22" s="242"/>
      <c r="IF22" s="242"/>
      <c r="IG22" s="242"/>
      <c r="IH22" s="242"/>
      <c r="II22" s="242"/>
      <c r="IJ22" s="242"/>
      <c r="IK22" s="242"/>
      <c r="IL22" s="242"/>
      <c r="IM22" s="242"/>
      <c r="IN22" s="242"/>
      <c r="IO22" s="242"/>
      <c r="IP22" s="242"/>
      <c r="IQ22" s="242"/>
      <c r="IR22" s="242"/>
      <c r="IS22" s="242"/>
      <c r="IT22" s="242"/>
      <c r="IU22" s="242"/>
      <c r="IV22" s="242"/>
      <c r="IW22" s="242"/>
    </row>
    <row r="23" customFormat="false" ht="13.5" hidden="false" customHeight="true" outlineLevel="0" collapsed="false">
      <c r="A23" s="245" t="s">
        <v>276</v>
      </c>
      <c r="B23" s="255" t="n">
        <f aca="false">'Project Assumptions'!$I$38</f>
        <v>0.97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39"/>
      <c r="AA23" s="239"/>
      <c r="AB23" s="245"/>
      <c r="AC23" s="248"/>
      <c r="AD23" s="242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BD23" s="242"/>
      <c r="BE23" s="242"/>
      <c r="BF23" s="184"/>
      <c r="BG23" s="242"/>
      <c r="BH23" s="242"/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2"/>
      <c r="CK23" s="242"/>
      <c r="CL23" s="242"/>
      <c r="CM23" s="242"/>
      <c r="CN23" s="242"/>
      <c r="CO23" s="242"/>
      <c r="CP23" s="242"/>
      <c r="CQ23" s="242"/>
      <c r="CR23" s="242"/>
      <c r="CS23" s="242"/>
      <c r="CT23" s="242"/>
      <c r="CU23" s="242"/>
      <c r="CV23" s="242"/>
      <c r="CW23" s="242"/>
      <c r="CX23" s="242"/>
      <c r="CY23" s="242"/>
      <c r="CZ23" s="242"/>
      <c r="DA23" s="242"/>
      <c r="DB23" s="242"/>
      <c r="DC23" s="242"/>
      <c r="DD23" s="242"/>
      <c r="DE23" s="242"/>
      <c r="DF23" s="242"/>
      <c r="DG23" s="242"/>
      <c r="DH23" s="242"/>
      <c r="DI23" s="242"/>
      <c r="DJ23" s="242"/>
      <c r="DK23" s="242"/>
      <c r="DL23" s="242"/>
      <c r="DM23" s="242"/>
      <c r="DN23" s="242"/>
      <c r="DO23" s="242"/>
      <c r="DP23" s="242"/>
      <c r="DQ23" s="242"/>
      <c r="DR23" s="242"/>
      <c r="DS23" s="242"/>
      <c r="DT23" s="242"/>
      <c r="DU23" s="242"/>
      <c r="DV23" s="242"/>
      <c r="DW23" s="242"/>
      <c r="DX23" s="242"/>
      <c r="DY23" s="242"/>
      <c r="DZ23" s="242"/>
      <c r="EA23" s="242"/>
      <c r="EB23" s="242"/>
      <c r="EC23" s="242"/>
      <c r="ED23" s="242"/>
      <c r="EE23" s="242"/>
      <c r="EF23" s="242"/>
      <c r="EG23" s="242"/>
      <c r="EH23" s="242"/>
      <c r="EI23" s="242"/>
      <c r="EJ23" s="242"/>
      <c r="EK23" s="242"/>
      <c r="EL23" s="242"/>
      <c r="EM23" s="242"/>
      <c r="EN23" s="242"/>
      <c r="EO23" s="242"/>
      <c r="EP23" s="242"/>
      <c r="EQ23" s="242"/>
      <c r="ER23" s="242"/>
      <c r="ES23" s="242"/>
      <c r="ET23" s="242"/>
      <c r="EU23" s="242"/>
      <c r="EV23" s="242"/>
      <c r="EW23" s="242"/>
      <c r="EX23" s="242"/>
      <c r="EY23" s="242"/>
      <c r="EZ23" s="242"/>
      <c r="FA23" s="242"/>
      <c r="FB23" s="242"/>
      <c r="FC23" s="242"/>
      <c r="FD23" s="242"/>
      <c r="FE23" s="242"/>
      <c r="FF23" s="242"/>
      <c r="FG23" s="242"/>
      <c r="FH23" s="242"/>
      <c r="FI23" s="242"/>
      <c r="FJ23" s="242"/>
      <c r="FK23" s="242"/>
      <c r="FL23" s="242"/>
      <c r="FM23" s="242"/>
      <c r="FN23" s="242"/>
      <c r="FO23" s="242"/>
      <c r="FP23" s="242"/>
      <c r="FQ23" s="242"/>
      <c r="FR23" s="242"/>
      <c r="FS23" s="242"/>
      <c r="FT23" s="242"/>
      <c r="FU23" s="242"/>
      <c r="FV23" s="242"/>
      <c r="FW23" s="242"/>
      <c r="FX23" s="242"/>
      <c r="FY23" s="242"/>
      <c r="FZ23" s="242"/>
      <c r="GA23" s="242"/>
      <c r="GB23" s="242"/>
      <c r="GC23" s="242"/>
      <c r="GD23" s="242"/>
      <c r="GE23" s="242"/>
      <c r="GF23" s="242"/>
      <c r="GG23" s="242"/>
      <c r="GH23" s="242"/>
      <c r="GI23" s="242"/>
      <c r="GJ23" s="242"/>
      <c r="GK23" s="242"/>
      <c r="GL23" s="242"/>
      <c r="GM23" s="242"/>
      <c r="GN23" s="242"/>
      <c r="GO23" s="242"/>
      <c r="GP23" s="242"/>
      <c r="GQ23" s="242"/>
      <c r="GR23" s="242"/>
      <c r="GS23" s="242"/>
      <c r="GT23" s="242"/>
      <c r="GU23" s="242"/>
      <c r="GV23" s="242"/>
      <c r="GW23" s="242"/>
      <c r="GX23" s="242"/>
      <c r="GY23" s="242"/>
      <c r="GZ23" s="242"/>
      <c r="HA23" s="242"/>
      <c r="HB23" s="242"/>
      <c r="HC23" s="242"/>
      <c r="HD23" s="242"/>
      <c r="HE23" s="242"/>
      <c r="HF23" s="242"/>
      <c r="HG23" s="242"/>
      <c r="HH23" s="242"/>
      <c r="HI23" s="242"/>
      <c r="HJ23" s="242"/>
      <c r="HK23" s="242"/>
      <c r="HL23" s="242"/>
      <c r="HM23" s="242"/>
      <c r="HN23" s="242"/>
      <c r="HO23" s="242"/>
      <c r="HP23" s="242"/>
      <c r="HQ23" s="242"/>
      <c r="HR23" s="242"/>
      <c r="HS23" s="242"/>
      <c r="HT23" s="242"/>
      <c r="HU23" s="242"/>
      <c r="HV23" s="242"/>
      <c r="HW23" s="242"/>
      <c r="HX23" s="242"/>
      <c r="HY23" s="242"/>
      <c r="HZ23" s="242"/>
      <c r="IA23" s="242"/>
      <c r="IB23" s="242"/>
      <c r="IC23" s="242"/>
      <c r="ID23" s="242"/>
      <c r="IE23" s="242"/>
      <c r="IF23" s="242"/>
      <c r="IG23" s="242"/>
      <c r="IH23" s="242"/>
      <c r="II23" s="242"/>
      <c r="IJ23" s="242"/>
      <c r="IK23" s="242"/>
      <c r="IL23" s="242"/>
      <c r="IM23" s="242"/>
      <c r="IN23" s="242"/>
      <c r="IO23" s="242"/>
      <c r="IP23" s="242"/>
      <c r="IQ23" s="242"/>
      <c r="IR23" s="242"/>
      <c r="IS23" s="242"/>
      <c r="IT23" s="242"/>
      <c r="IU23" s="242"/>
      <c r="IV23" s="242"/>
      <c r="IW23" s="242"/>
    </row>
    <row r="24" customFormat="false" ht="12.75" hidden="false" customHeight="true" outlineLevel="0" collapsed="false">
      <c r="A24" s="248" t="s">
        <v>265</v>
      </c>
      <c r="B24" s="248"/>
      <c r="C24" s="239"/>
      <c r="D24" s="239"/>
      <c r="E24" s="239"/>
      <c r="F24" s="239"/>
      <c r="G24" s="239"/>
      <c r="H24" s="239"/>
      <c r="I24" s="239" t="n">
        <f aca="false">(SUM(C9:I9)*$B$23)</f>
        <v>2493.30255</v>
      </c>
      <c r="J24" s="239" t="n">
        <f aca="false">J9*B23</f>
        <v>2000.20014</v>
      </c>
      <c r="K24" s="239" t="n">
        <f aca="false">K9*B23</f>
        <v>1785.04832</v>
      </c>
      <c r="L24" s="239" t="n">
        <f aca="false">L9*B23</f>
        <v>2236.51154</v>
      </c>
      <c r="M24" s="239" t="n">
        <f aca="false">M9*B23</f>
        <v>2515.95593</v>
      </c>
      <c r="N24" s="239" t="n">
        <f aca="false">N9*B23</f>
        <v>2146.47614</v>
      </c>
      <c r="O24" s="239" t="n">
        <f aca="false">O9*B23</f>
        <v>1493.81746</v>
      </c>
      <c r="P24" s="239" t="n">
        <f aca="false">P9*B23</f>
        <v>1099.20885</v>
      </c>
      <c r="Q24" s="239" t="n">
        <f aca="false">Q9*B23</f>
        <v>1166.41918</v>
      </c>
      <c r="R24" s="239" t="n">
        <f aca="false">R9*B23</f>
        <v>2853.94855</v>
      </c>
      <c r="S24" s="239" t="n">
        <f aca="false">S9*B23</f>
        <v>884.34318</v>
      </c>
      <c r="T24" s="239" t="n">
        <f aca="false">T9*B23</f>
        <v>890.28928</v>
      </c>
      <c r="U24" s="239" t="n">
        <f aca="false">U9*B23</f>
        <v>0</v>
      </c>
      <c r="V24" s="239" t="n">
        <f aca="false">V9*B23</f>
        <v>921.60476</v>
      </c>
      <c r="W24" s="239" t="n">
        <f aca="false">W9*B23</f>
        <v>1800.93789</v>
      </c>
      <c r="X24" s="239" t="n">
        <f aca="false">X9*B23</f>
        <v>0</v>
      </c>
      <c r="Y24" s="239" t="n">
        <f aca="false">Y9*B23</f>
        <v>0</v>
      </c>
      <c r="Z24" s="239" t="n">
        <f aca="false">Z9*B23</f>
        <v>0</v>
      </c>
      <c r="AA24" s="239"/>
      <c r="AB24" s="18"/>
      <c r="AC24" s="168"/>
      <c r="AD24" s="184"/>
      <c r="AE24" s="184"/>
      <c r="AF24" s="184"/>
      <c r="AG24" s="184"/>
      <c r="AH24" s="18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BD24" s="242"/>
      <c r="BE24" s="242"/>
      <c r="BF24" s="184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2"/>
      <c r="BR24" s="242"/>
      <c r="BS24" s="242"/>
      <c r="BT24" s="242"/>
      <c r="BU24" s="242"/>
      <c r="BV24" s="242"/>
      <c r="BW24" s="242"/>
      <c r="BX24" s="242"/>
      <c r="BY24" s="242"/>
      <c r="BZ24" s="242"/>
      <c r="CA24" s="242"/>
      <c r="CB24" s="242"/>
      <c r="CC24" s="242"/>
      <c r="CD24" s="242"/>
      <c r="CE24" s="242"/>
      <c r="CF24" s="242"/>
      <c r="CG24" s="242"/>
      <c r="CH24" s="242"/>
      <c r="CI24" s="242"/>
      <c r="CJ24" s="242"/>
      <c r="CK24" s="242"/>
      <c r="CL24" s="242"/>
      <c r="CM24" s="242"/>
      <c r="CN24" s="242"/>
      <c r="CO24" s="242"/>
      <c r="CP24" s="242"/>
      <c r="CQ24" s="242"/>
      <c r="CR24" s="242"/>
      <c r="CS24" s="242"/>
      <c r="CT24" s="242"/>
      <c r="CU24" s="242"/>
      <c r="CV24" s="242"/>
      <c r="CW24" s="242"/>
      <c r="CX24" s="242"/>
      <c r="CY24" s="242"/>
      <c r="CZ24" s="242"/>
      <c r="DA24" s="242"/>
      <c r="DB24" s="242"/>
      <c r="DC24" s="242"/>
      <c r="DD24" s="242"/>
      <c r="DE24" s="242"/>
      <c r="DF24" s="242"/>
      <c r="DG24" s="242"/>
      <c r="DH24" s="242"/>
      <c r="DI24" s="242"/>
      <c r="DJ24" s="242"/>
      <c r="DK24" s="242"/>
      <c r="DL24" s="242"/>
      <c r="DM24" s="242"/>
      <c r="DN24" s="242"/>
      <c r="DO24" s="242"/>
      <c r="DP24" s="242"/>
      <c r="DQ24" s="242"/>
      <c r="DR24" s="242"/>
      <c r="DS24" s="242"/>
      <c r="DT24" s="242"/>
      <c r="DU24" s="242"/>
      <c r="DV24" s="242"/>
      <c r="DW24" s="242"/>
      <c r="DX24" s="242"/>
      <c r="DY24" s="242"/>
      <c r="DZ24" s="242"/>
      <c r="EA24" s="242"/>
      <c r="EB24" s="242"/>
      <c r="EC24" s="242"/>
      <c r="ED24" s="242"/>
      <c r="EE24" s="242"/>
      <c r="EF24" s="242"/>
      <c r="EG24" s="242"/>
      <c r="EH24" s="242"/>
      <c r="EI24" s="242"/>
      <c r="EJ24" s="242"/>
      <c r="EK24" s="242"/>
      <c r="EL24" s="242"/>
      <c r="EM24" s="242"/>
      <c r="EN24" s="242"/>
      <c r="EO24" s="242"/>
      <c r="EP24" s="242"/>
      <c r="EQ24" s="242"/>
      <c r="ER24" s="242"/>
      <c r="ES24" s="242"/>
      <c r="ET24" s="242"/>
      <c r="EU24" s="242"/>
      <c r="EV24" s="242"/>
      <c r="EW24" s="242"/>
      <c r="EX24" s="242"/>
      <c r="EY24" s="242"/>
      <c r="EZ24" s="242"/>
      <c r="FA24" s="242"/>
      <c r="FB24" s="242"/>
      <c r="FC24" s="242"/>
      <c r="FD24" s="242"/>
      <c r="FE24" s="242"/>
      <c r="FF24" s="242"/>
      <c r="FG24" s="242"/>
      <c r="FH24" s="242"/>
      <c r="FI24" s="242"/>
      <c r="FJ24" s="242"/>
      <c r="FK24" s="242"/>
      <c r="FL24" s="242"/>
      <c r="FM24" s="242"/>
      <c r="FN24" s="242"/>
      <c r="FO24" s="242"/>
      <c r="FP24" s="242"/>
      <c r="FQ24" s="242"/>
      <c r="FR24" s="242"/>
      <c r="FS24" s="242"/>
      <c r="FT24" s="242"/>
      <c r="FU24" s="242"/>
      <c r="FV24" s="242"/>
      <c r="FW24" s="242"/>
      <c r="FX24" s="242"/>
      <c r="FY24" s="242"/>
      <c r="FZ24" s="242"/>
      <c r="GA24" s="242"/>
      <c r="GB24" s="242"/>
      <c r="GC24" s="242"/>
      <c r="GD24" s="242"/>
      <c r="GE24" s="242"/>
      <c r="GF24" s="242"/>
      <c r="GG24" s="242"/>
      <c r="GH24" s="242"/>
      <c r="GI24" s="242"/>
      <c r="GJ24" s="242"/>
      <c r="GK24" s="242"/>
      <c r="GL24" s="242"/>
      <c r="GM24" s="242"/>
      <c r="GN24" s="242"/>
      <c r="GO24" s="242"/>
      <c r="GP24" s="242"/>
      <c r="GQ24" s="242"/>
      <c r="GR24" s="242"/>
      <c r="GS24" s="242"/>
      <c r="GT24" s="242"/>
      <c r="GU24" s="242"/>
      <c r="GV24" s="242"/>
      <c r="GW24" s="242"/>
      <c r="GX24" s="242"/>
      <c r="GY24" s="242"/>
      <c r="GZ24" s="242"/>
      <c r="HA24" s="242"/>
      <c r="HB24" s="242"/>
      <c r="HC24" s="242"/>
      <c r="HD24" s="242"/>
      <c r="HE24" s="242"/>
      <c r="HF24" s="242"/>
      <c r="HG24" s="242"/>
      <c r="HH24" s="242"/>
      <c r="HI24" s="242"/>
      <c r="HJ24" s="242"/>
      <c r="HK24" s="242"/>
      <c r="HL24" s="242"/>
      <c r="HM24" s="242"/>
      <c r="HN24" s="242"/>
      <c r="HO24" s="242"/>
      <c r="HP24" s="242"/>
      <c r="HQ24" s="242"/>
      <c r="HR24" s="242"/>
      <c r="HS24" s="242"/>
      <c r="HT24" s="242"/>
      <c r="HU24" s="242"/>
      <c r="HV24" s="242"/>
      <c r="HW24" s="242"/>
      <c r="HX24" s="242"/>
      <c r="HY24" s="242"/>
      <c r="HZ24" s="242"/>
      <c r="IA24" s="242"/>
      <c r="IB24" s="242"/>
      <c r="IC24" s="242"/>
      <c r="ID24" s="242"/>
      <c r="IE24" s="242"/>
      <c r="IF24" s="242"/>
      <c r="IG24" s="242"/>
      <c r="IH24" s="242"/>
      <c r="II24" s="242"/>
      <c r="IJ24" s="242"/>
      <c r="IK24" s="242"/>
      <c r="IL24" s="242"/>
      <c r="IM24" s="242"/>
      <c r="IN24" s="242"/>
      <c r="IO24" s="242"/>
      <c r="IP24" s="242"/>
      <c r="IQ24" s="242"/>
      <c r="IR24" s="242"/>
      <c r="IS24" s="242"/>
      <c r="IT24" s="242"/>
      <c r="IU24" s="242"/>
      <c r="IV24" s="242"/>
      <c r="IW24" s="242"/>
    </row>
    <row r="25" customFormat="false" ht="12.75" hidden="false" customHeight="true" outlineLevel="0" collapsed="false">
      <c r="A25" s="248" t="s">
        <v>266</v>
      </c>
      <c r="B25" s="248"/>
      <c r="C25" s="250"/>
      <c r="D25" s="250"/>
      <c r="E25" s="250"/>
      <c r="F25" s="250"/>
      <c r="G25" s="250"/>
      <c r="H25" s="250"/>
      <c r="I25" s="250" t="n">
        <f aca="false">(SUM(C10:I10)*$B$23)</f>
        <v>30654.795734</v>
      </c>
      <c r="J25" s="250" t="n">
        <f aca="false">J10*B23</f>
        <v>2864.15411399999</v>
      </c>
      <c r="K25" s="250" t="n">
        <f aca="false">K10*B23</f>
        <v>2864.15411399999</v>
      </c>
      <c r="L25" s="250" t="n">
        <f aca="false">L10*B23</f>
        <v>2864.15411399999</v>
      </c>
      <c r="M25" s="250" t="n">
        <f aca="false">M10*B23</f>
        <v>2864.15411399999</v>
      </c>
      <c r="N25" s="250" t="n">
        <f aca="false">N10*B23</f>
        <v>0</v>
      </c>
      <c r="O25" s="250" t="n">
        <f aca="false">O10*B23</f>
        <v>0</v>
      </c>
      <c r="P25" s="250" t="n">
        <f aca="false">P10*B23</f>
        <v>0</v>
      </c>
      <c r="Q25" s="250" t="n">
        <f aca="false">Q10*B23</f>
        <v>0</v>
      </c>
      <c r="R25" s="250" t="n">
        <f aca="false">R10*B23</f>
        <v>0</v>
      </c>
      <c r="S25" s="250" t="n">
        <f aca="false">S10*B23</f>
        <v>0</v>
      </c>
      <c r="T25" s="250" t="n">
        <f aca="false">T10*B23</f>
        <v>0</v>
      </c>
      <c r="U25" s="250" t="n">
        <f aca="false">U10*B23</f>
        <v>0</v>
      </c>
      <c r="V25" s="250" t="n">
        <f aca="false">V10*B23</f>
        <v>0</v>
      </c>
      <c r="W25" s="250" t="n">
        <f aca="false">W10*B23</f>
        <v>0</v>
      </c>
      <c r="X25" s="250" t="n">
        <f aca="false">X10*B23</f>
        <v>0</v>
      </c>
      <c r="Y25" s="250" t="n">
        <f aca="false">Y10*B23</f>
        <v>0</v>
      </c>
      <c r="Z25" s="250" t="n">
        <f aca="false">Z10*C23</f>
        <v>0</v>
      </c>
      <c r="AA25" s="239"/>
      <c r="AB25" s="248"/>
      <c r="AC25" s="248"/>
      <c r="AD25" s="242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BD25" s="242"/>
      <c r="BE25" s="242"/>
      <c r="BF25" s="184"/>
      <c r="BG25" s="242"/>
      <c r="BH25" s="242"/>
      <c r="BI25" s="242"/>
      <c r="BJ25" s="242"/>
      <c r="BK25" s="242"/>
      <c r="BL25" s="242"/>
      <c r="BM25" s="242"/>
      <c r="BN25" s="242"/>
      <c r="BO25" s="242"/>
      <c r="BP25" s="242"/>
      <c r="BQ25" s="242"/>
      <c r="BR25" s="242"/>
      <c r="BS25" s="242"/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42"/>
      <c r="CR25" s="242"/>
      <c r="CS25" s="242"/>
      <c r="CT25" s="242"/>
      <c r="CU25" s="242"/>
      <c r="CV25" s="242"/>
      <c r="CW25" s="242"/>
      <c r="CX25" s="242"/>
      <c r="CY25" s="242"/>
      <c r="CZ25" s="242"/>
      <c r="DA25" s="242"/>
      <c r="DB25" s="242"/>
      <c r="DC25" s="242"/>
      <c r="DD25" s="242"/>
      <c r="DE25" s="242"/>
      <c r="DF25" s="242"/>
      <c r="DG25" s="242"/>
      <c r="DH25" s="242"/>
      <c r="DI25" s="242"/>
      <c r="DJ25" s="242"/>
      <c r="DK25" s="242"/>
      <c r="DL25" s="242"/>
      <c r="DM25" s="242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242"/>
      <c r="EG25" s="242"/>
      <c r="EH25" s="242"/>
      <c r="EI25" s="242"/>
      <c r="EJ25" s="242"/>
      <c r="EK25" s="242"/>
      <c r="EL25" s="242"/>
      <c r="EM25" s="242"/>
      <c r="EN25" s="242"/>
      <c r="EO25" s="242"/>
      <c r="EP25" s="242"/>
      <c r="EQ25" s="242"/>
      <c r="ER25" s="242"/>
      <c r="ES25" s="242"/>
      <c r="ET25" s="242"/>
      <c r="EU25" s="242"/>
      <c r="EV25" s="242"/>
      <c r="EW25" s="242"/>
      <c r="EX25" s="242"/>
      <c r="EY25" s="242"/>
      <c r="EZ25" s="242"/>
      <c r="FA25" s="242"/>
      <c r="FB25" s="242"/>
      <c r="FC25" s="242"/>
      <c r="FD25" s="242"/>
      <c r="FE25" s="242"/>
      <c r="FF25" s="242"/>
      <c r="FG25" s="242"/>
      <c r="FH25" s="242"/>
      <c r="FI25" s="242"/>
      <c r="FJ25" s="242"/>
      <c r="FK25" s="242"/>
      <c r="FL25" s="242"/>
      <c r="FM25" s="242"/>
      <c r="FN25" s="242"/>
      <c r="FO25" s="242"/>
      <c r="FP25" s="242"/>
      <c r="FQ25" s="242"/>
      <c r="FR25" s="242"/>
      <c r="FS25" s="242"/>
      <c r="FT25" s="242"/>
      <c r="FU25" s="242"/>
      <c r="FV25" s="242"/>
      <c r="FW25" s="242"/>
      <c r="FX25" s="242"/>
      <c r="FY25" s="242"/>
      <c r="FZ25" s="242"/>
      <c r="GA25" s="242"/>
      <c r="GB25" s="242"/>
      <c r="GC25" s="242"/>
      <c r="GD25" s="242"/>
      <c r="GE25" s="242"/>
      <c r="GF25" s="242"/>
      <c r="GG25" s="242"/>
      <c r="GH25" s="242"/>
      <c r="GI25" s="242"/>
      <c r="GJ25" s="242"/>
      <c r="GK25" s="242"/>
      <c r="GL25" s="242"/>
      <c r="GM25" s="242"/>
      <c r="GN25" s="242"/>
      <c r="GO25" s="242"/>
      <c r="GP25" s="242"/>
      <c r="GQ25" s="242"/>
      <c r="GR25" s="242"/>
      <c r="GS25" s="242"/>
      <c r="GT25" s="242"/>
      <c r="GU25" s="242"/>
      <c r="GV25" s="242"/>
      <c r="GW25" s="242"/>
      <c r="GX25" s="242"/>
      <c r="GY25" s="242"/>
      <c r="GZ25" s="242"/>
      <c r="HA25" s="242"/>
      <c r="HB25" s="242"/>
      <c r="HC25" s="242"/>
      <c r="HD25" s="242"/>
      <c r="HE25" s="242"/>
      <c r="HF25" s="242"/>
      <c r="HG25" s="242"/>
      <c r="HH25" s="242"/>
      <c r="HI25" s="242"/>
      <c r="HJ25" s="242"/>
      <c r="HK25" s="242"/>
      <c r="HL25" s="242"/>
      <c r="HM25" s="242"/>
      <c r="HN25" s="242"/>
      <c r="HO25" s="242"/>
      <c r="HP25" s="242"/>
      <c r="HQ25" s="242"/>
      <c r="HR25" s="242"/>
      <c r="HS25" s="242"/>
      <c r="HT25" s="242"/>
      <c r="HU25" s="242"/>
      <c r="HV25" s="242"/>
      <c r="HW25" s="242"/>
      <c r="HX25" s="242"/>
      <c r="HY25" s="242"/>
      <c r="HZ25" s="242"/>
      <c r="IA25" s="242"/>
      <c r="IB25" s="242"/>
      <c r="IC25" s="242"/>
      <c r="ID25" s="242"/>
      <c r="IE25" s="242"/>
      <c r="IF25" s="242"/>
      <c r="IG25" s="242"/>
      <c r="IH25" s="242"/>
      <c r="II25" s="242"/>
      <c r="IJ25" s="242"/>
      <c r="IK25" s="242"/>
      <c r="IL25" s="242"/>
      <c r="IM25" s="242"/>
      <c r="IN25" s="242"/>
      <c r="IO25" s="242"/>
      <c r="IP25" s="242"/>
      <c r="IQ25" s="242"/>
      <c r="IR25" s="242"/>
      <c r="IS25" s="242"/>
      <c r="IT25" s="242"/>
      <c r="IU25" s="242"/>
      <c r="IV25" s="242"/>
      <c r="IW25" s="242"/>
    </row>
    <row r="26" customFormat="false" ht="12.75" hidden="false" customHeight="true" outlineLevel="0" collapsed="false">
      <c r="A26" s="248" t="s">
        <v>267</v>
      </c>
      <c r="B26" s="248"/>
      <c r="C26" s="250"/>
      <c r="D26" s="250"/>
      <c r="E26" s="250"/>
      <c r="F26" s="250"/>
      <c r="G26" s="250"/>
      <c r="H26" s="250"/>
      <c r="I26" s="250" t="n">
        <f aca="false">(SUM(C11:I11)*$B$23)</f>
        <v>7216.3344</v>
      </c>
      <c r="J26" s="250" t="n">
        <f aca="false">J11*B23</f>
        <v>1968.0912</v>
      </c>
      <c r="K26" s="250" t="n">
        <f aca="false">K11*B23</f>
        <v>1968.0912</v>
      </c>
      <c r="L26" s="250" t="n">
        <f aca="false">L11*B23</f>
        <v>1968.0912</v>
      </c>
      <c r="M26" s="250" t="n">
        <f aca="false">M11*B23</f>
        <v>1968.0912</v>
      </c>
      <c r="N26" s="250" t="n">
        <f aca="false">N11*B23</f>
        <v>1968.0912</v>
      </c>
      <c r="O26" s="250" t="n">
        <f aca="false">O11*B23</f>
        <v>1968.0912</v>
      </c>
      <c r="P26" s="250" t="n">
        <f aca="false">P11*B23</f>
        <v>1968.0912</v>
      </c>
      <c r="Q26" s="250" t="n">
        <f aca="false">Q11*B23</f>
        <v>1968.0912</v>
      </c>
      <c r="R26" s="250" t="n">
        <f aca="false">R11*B23</f>
        <v>8200.38</v>
      </c>
      <c r="S26" s="250" t="n">
        <f aca="false">S11*B23</f>
        <v>1640.076</v>
      </c>
      <c r="T26" s="250" t="n">
        <f aca="false">T11*B23</f>
        <v>0</v>
      </c>
      <c r="U26" s="250" t="n">
        <f aca="false">U11*B23</f>
        <v>0</v>
      </c>
      <c r="V26" s="250" t="n">
        <f aca="false">V11*B23</f>
        <v>0</v>
      </c>
      <c r="W26" s="250" t="n">
        <f aca="false">W11*B23</f>
        <v>0</v>
      </c>
      <c r="X26" s="250" t="n">
        <f aca="false">X11*B23</f>
        <v>0</v>
      </c>
      <c r="Y26" s="250" t="n">
        <f aca="false">Y11*B23</f>
        <v>0</v>
      </c>
      <c r="Z26" s="250" t="n">
        <f aca="false">Z11*C23</f>
        <v>0</v>
      </c>
      <c r="AA26" s="245"/>
      <c r="AB26" s="245"/>
      <c r="AC26" s="248"/>
      <c r="AD26" s="242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BD26" s="242"/>
      <c r="BE26" s="242"/>
      <c r="BF26" s="184"/>
      <c r="BG26" s="242"/>
      <c r="BH26" s="242"/>
      <c r="BI26" s="242"/>
      <c r="BJ26" s="242"/>
      <c r="BK26" s="242"/>
      <c r="BL26" s="242"/>
      <c r="BM26" s="242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2"/>
      <c r="BZ26" s="242"/>
      <c r="CA26" s="242"/>
      <c r="CB26" s="242"/>
      <c r="CC26" s="242"/>
      <c r="CD26" s="242"/>
      <c r="CE26" s="242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2"/>
      <c r="DH26" s="242"/>
      <c r="DI26" s="242"/>
      <c r="DJ26" s="242"/>
      <c r="DK26" s="242"/>
      <c r="DL26" s="242"/>
      <c r="DM26" s="242"/>
      <c r="DN26" s="242"/>
      <c r="DO26" s="242"/>
      <c r="DP26" s="242"/>
      <c r="DQ26" s="242"/>
      <c r="DR26" s="242"/>
      <c r="DS26" s="242"/>
      <c r="DT26" s="242"/>
      <c r="DU26" s="242"/>
      <c r="DV26" s="242"/>
      <c r="DW26" s="242"/>
      <c r="DX26" s="242"/>
      <c r="DY26" s="242"/>
      <c r="DZ26" s="242"/>
      <c r="EA26" s="242"/>
      <c r="EB26" s="242"/>
      <c r="EC26" s="242"/>
      <c r="ED26" s="242"/>
      <c r="EE26" s="242"/>
      <c r="EF26" s="242"/>
      <c r="EG26" s="242"/>
      <c r="EH26" s="242"/>
      <c r="EI26" s="242"/>
      <c r="EJ26" s="242"/>
      <c r="EK26" s="242"/>
      <c r="EL26" s="242"/>
      <c r="EM26" s="242"/>
      <c r="EN26" s="242"/>
      <c r="EO26" s="242"/>
      <c r="EP26" s="242"/>
      <c r="EQ26" s="242"/>
      <c r="ER26" s="242"/>
      <c r="ES26" s="242"/>
      <c r="ET26" s="242"/>
      <c r="EU26" s="242"/>
      <c r="EV26" s="242"/>
      <c r="EW26" s="242"/>
      <c r="EX26" s="242"/>
      <c r="EY26" s="242"/>
      <c r="EZ26" s="242"/>
      <c r="FA26" s="242"/>
      <c r="FB26" s="242"/>
      <c r="FC26" s="242"/>
      <c r="FD26" s="242"/>
      <c r="FE26" s="242"/>
      <c r="FF26" s="242"/>
      <c r="FG26" s="242"/>
      <c r="FH26" s="242"/>
      <c r="FI26" s="242"/>
      <c r="FJ26" s="242"/>
      <c r="FK26" s="242"/>
      <c r="FL26" s="242"/>
      <c r="FM26" s="242"/>
      <c r="FN26" s="242"/>
      <c r="FO26" s="242"/>
      <c r="FP26" s="242"/>
      <c r="FQ26" s="242"/>
      <c r="FR26" s="242"/>
      <c r="FS26" s="242"/>
      <c r="FT26" s="242"/>
      <c r="FU26" s="242"/>
      <c r="FV26" s="242"/>
      <c r="FW26" s="242"/>
      <c r="FX26" s="242"/>
      <c r="FY26" s="242"/>
      <c r="FZ26" s="242"/>
      <c r="GA26" s="242"/>
      <c r="GB26" s="242"/>
      <c r="GC26" s="242"/>
      <c r="GD26" s="242"/>
      <c r="GE26" s="242"/>
      <c r="GF26" s="242"/>
      <c r="GG26" s="242"/>
      <c r="GH26" s="242"/>
      <c r="GI26" s="242"/>
      <c r="GJ26" s="242"/>
      <c r="GK26" s="242"/>
      <c r="GL26" s="242"/>
      <c r="GM26" s="242"/>
      <c r="GN26" s="242"/>
      <c r="GO26" s="242"/>
      <c r="GP26" s="242"/>
      <c r="GQ26" s="242"/>
      <c r="GR26" s="242"/>
      <c r="GS26" s="242"/>
      <c r="GT26" s="242"/>
      <c r="GU26" s="242"/>
      <c r="GV26" s="242"/>
      <c r="GW26" s="242"/>
      <c r="GX26" s="242"/>
      <c r="GY26" s="242"/>
      <c r="GZ26" s="242"/>
      <c r="HA26" s="242"/>
      <c r="HB26" s="242"/>
      <c r="HC26" s="242"/>
      <c r="HD26" s="242"/>
      <c r="HE26" s="242"/>
      <c r="HF26" s="242"/>
      <c r="HG26" s="242"/>
      <c r="HH26" s="242"/>
      <c r="HI26" s="242"/>
      <c r="HJ26" s="242"/>
      <c r="HK26" s="242"/>
      <c r="HL26" s="242"/>
      <c r="HM26" s="242"/>
      <c r="HN26" s="242"/>
      <c r="HO26" s="242"/>
      <c r="HP26" s="242"/>
      <c r="HQ26" s="242"/>
      <c r="HR26" s="242"/>
      <c r="HS26" s="242"/>
      <c r="HT26" s="242"/>
      <c r="HU26" s="242"/>
      <c r="HV26" s="242"/>
      <c r="HW26" s="242"/>
      <c r="HX26" s="242"/>
      <c r="HY26" s="242"/>
      <c r="HZ26" s="242"/>
      <c r="IA26" s="242"/>
      <c r="IB26" s="242"/>
      <c r="IC26" s="242"/>
      <c r="ID26" s="242"/>
      <c r="IE26" s="242"/>
      <c r="IF26" s="242"/>
      <c r="IG26" s="242"/>
      <c r="IH26" s="242"/>
      <c r="II26" s="242"/>
      <c r="IJ26" s="242"/>
      <c r="IK26" s="242"/>
      <c r="IL26" s="242"/>
      <c r="IM26" s="242"/>
      <c r="IN26" s="242"/>
      <c r="IO26" s="242"/>
      <c r="IP26" s="242"/>
      <c r="IQ26" s="242"/>
      <c r="IR26" s="242"/>
      <c r="IS26" s="242"/>
      <c r="IT26" s="242"/>
      <c r="IU26" s="242"/>
      <c r="IV26" s="242"/>
      <c r="IW26" s="242"/>
    </row>
    <row r="27" customFormat="false" ht="12.75" hidden="false" customHeight="true" outlineLevel="0" collapsed="false">
      <c r="A27" s="248" t="s">
        <v>268</v>
      </c>
      <c r="B27" s="248"/>
      <c r="C27" s="250"/>
      <c r="D27" s="250"/>
      <c r="E27" s="250"/>
      <c r="F27" s="250"/>
      <c r="G27" s="250"/>
      <c r="H27" s="250"/>
      <c r="I27" s="250" t="n">
        <f aca="false">(SUM(C12:I12)*$B$23)</f>
        <v>1100.95</v>
      </c>
      <c r="J27" s="250" t="n">
        <f aca="false">J12*B23</f>
        <v>237.65</v>
      </c>
      <c r="K27" s="250" t="n">
        <f aca="false">K12*B23</f>
        <v>237.65</v>
      </c>
      <c r="L27" s="250" t="n">
        <f aca="false">L12*B23</f>
        <v>0</v>
      </c>
      <c r="M27" s="250" t="n">
        <f aca="false">M12*B23</f>
        <v>0</v>
      </c>
      <c r="N27" s="250" t="n">
        <f aca="false">N12*B23</f>
        <v>0</v>
      </c>
      <c r="O27" s="250" t="n">
        <f aca="false">O12*B23</f>
        <v>177.304198333333</v>
      </c>
      <c r="P27" s="250" t="n">
        <f aca="false">P12*B23</f>
        <v>177.304198333333</v>
      </c>
      <c r="Q27" s="250" t="n">
        <f aca="false">Q12*B23</f>
        <v>177.304198333333</v>
      </c>
      <c r="R27" s="250" t="n">
        <f aca="false">R12*B23</f>
        <v>177.304198333333</v>
      </c>
      <c r="S27" s="250" t="n">
        <f aca="false">S12*B23</f>
        <v>468.304198333333</v>
      </c>
      <c r="T27" s="250" t="n">
        <f aca="false">T12*B23</f>
        <v>468.304198333333</v>
      </c>
      <c r="U27" s="250" t="n">
        <f aca="false">U12*B23</f>
        <v>0</v>
      </c>
      <c r="V27" s="250" t="n">
        <f aca="false">V12*B23</f>
        <v>0</v>
      </c>
      <c r="W27" s="250" t="n">
        <f aca="false">W12*B23</f>
        <v>0</v>
      </c>
      <c r="X27" s="250" t="n">
        <f aca="false">X12*B23</f>
        <v>0</v>
      </c>
      <c r="Y27" s="250" t="n">
        <f aca="false">Y12*B23</f>
        <v>0</v>
      </c>
      <c r="Z27" s="250" t="n">
        <f aca="false">Z12*C23</f>
        <v>0</v>
      </c>
      <c r="AA27" s="248"/>
      <c r="AB27" s="248"/>
      <c r="AC27" s="248"/>
      <c r="AD27" s="242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BD27" s="242"/>
      <c r="BE27" s="242"/>
      <c r="BF27" s="184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/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/>
      <c r="CR27" s="242"/>
      <c r="CS27" s="242"/>
      <c r="CT27" s="242"/>
      <c r="CU27" s="242"/>
      <c r="CV27" s="242"/>
      <c r="CW27" s="242"/>
      <c r="CX27" s="242"/>
      <c r="CY27" s="242"/>
      <c r="CZ27" s="242"/>
      <c r="DA27" s="242"/>
      <c r="DB27" s="242"/>
      <c r="DC27" s="242"/>
      <c r="DD27" s="242"/>
      <c r="DE27" s="242"/>
      <c r="DF27" s="242"/>
      <c r="DG27" s="242"/>
      <c r="DH27" s="242"/>
      <c r="DI27" s="242"/>
      <c r="DJ27" s="242"/>
      <c r="DK27" s="242"/>
      <c r="DL27" s="242"/>
      <c r="DM27" s="242"/>
      <c r="DN27" s="242"/>
      <c r="DO27" s="242"/>
      <c r="DP27" s="242"/>
      <c r="DQ27" s="242"/>
      <c r="DR27" s="242"/>
      <c r="DS27" s="242"/>
      <c r="DT27" s="242"/>
      <c r="DU27" s="242"/>
      <c r="DV27" s="242"/>
      <c r="DW27" s="242"/>
      <c r="DX27" s="242"/>
      <c r="DY27" s="242"/>
      <c r="DZ27" s="242"/>
      <c r="EA27" s="242"/>
      <c r="EB27" s="242"/>
      <c r="EC27" s="242"/>
      <c r="ED27" s="242"/>
      <c r="EE27" s="242"/>
      <c r="EF27" s="242"/>
      <c r="EG27" s="242"/>
      <c r="EH27" s="242"/>
      <c r="EI27" s="242"/>
      <c r="EJ27" s="242"/>
      <c r="EK27" s="242"/>
      <c r="EL27" s="242"/>
      <c r="EM27" s="242"/>
      <c r="EN27" s="242"/>
      <c r="EO27" s="242"/>
      <c r="EP27" s="242"/>
      <c r="EQ27" s="242"/>
      <c r="ER27" s="242"/>
      <c r="ES27" s="242"/>
      <c r="ET27" s="242"/>
      <c r="EU27" s="242"/>
      <c r="EV27" s="242"/>
      <c r="EW27" s="242"/>
      <c r="EX27" s="242"/>
      <c r="EY27" s="242"/>
      <c r="EZ27" s="242"/>
      <c r="FA27" s="242"/>
      <c r="FB27" s="242"/>
      <c r="FC27" s="242"/>
      <c r="FD27" s="242"/>
      <c r="FE27" s="242"/>
      <c r="FF27" s="242"/>
      <c r="FG27" s="242"/>
      <c r="FH27" s="242"/>
      <c r="FI27" s="242"/>
      <c r="FJ27" s="242"/>
      <c r="FK27" s="242"/>
      <c r="FL27" s="242"/>
      <c r="FM27" s="242"/>
      <c r="FN27" s="242"/>
      <c r="FO27" s="242"/>
      <c r="FP27" s="242"/>
      <c r="FQ27" s="242"/>
      <c r="FR27" s="242"/>
      <c r="FS27" s="242"/>
      <c r="FT27" s="242"/>
      <c r="FU27" s="242"/>
      <c r="FV27" s="242"/>
      <c r="FW27" s="242"/>
      <c r="FX27" s="242"/>
      <c r="FY27" s="242"/>
      <c r="FZ27" s="242"/>
      <c r="GA27" s="242"/>
      <c r="GB27" s="242"/>
      <c r="GC27" s="242"/>
      <c r="GD27" s="242"/>
      <c r="GE27" s="242"/>
      <c r="GF27" s="242"/>
      <c r="GG27" s="242"/>
      <c r="GH27" s="242"/>
      <c r="GI27" s="242"/>
      <c r="GJ27" s="242"/>
      <c r="GK27" s="242"/>
      <c r="GL27" s="242"/>
      <c r="GM27" s="242"/>
      <c r="GN27" s="242"/>
      <c r="GO27" s="242"/>
      <c r="GP27" s="242"/>
      <c r="GQ27" s="242"/>
      <c r="GR27" s="242"/>
      <c r="GS27" s="242"/>
      <c r="GT27" s="242"/>
      <c r="GU27" s="242"/>
      <c r="GV27" s="242"/>
      <c r="GW27" s="242"/>
      <c r="GX27" s="242"/>
      <c r="GY27" s="242"/>
      <c r="GZ27" s="242"/>
      <c r="HA27" s="242"/>
      <c r="HB27" s="242"/>
      <c r="HC27" s="242"/>
      <c r="HD27" s="242"/>
      <c r="HE27" s="242"/>
      <c r="HF27" s="242"/>
      <c r="HG27" s="242"/>
      <c r="HH27" s="242"/>
      <c r="HI27" s="242"/>
      <c r="HJ27" s="242"/>
      <c r="HK27" s="242"/>
      <c r="HL27" s="242"/>
      <c r="HM27" s="242"/>
      <c r="HN27" s="242"/>
      <c r="HO27" s="242"/>
      <c r="HP27" s="242"/>
      <c r="HQ27" s="242"/>
      <c r="HR27" s="242"/>
      <c r="HS27" s="242"/>
      <c r="HT27" s="242"/>
      <c r="HU27" s="242"/>
      <c r="HV27" s="242"/>
      <c r="HW27" s="242"/>
      <c r="HX27" s="242"/>
      <c r="HY27" s="242"/>
      <c r="HZ27" s="242"/>
      <c r="IA27" s="242"/>
      <c r="IB27" s="242"/>
      <c r="IC27" s="242"/>
      <c r="ID27" s="242"/>
      <c r="IE27" s="242"/>
      <c r="IF27" s="242"/>
      <c r="IG27" s="242"/>
      <c r="IH27" s="242"/>
      <c r="II27" s="242"/>
      <c r="IJ27" s="242"/>
      <c r="IK27" s="242"/>
      <c r="IL27" s="242"/>
      <c r="IM27" s="242"/>
      <c r="IN27" s="242"/>
      <c r="IO27" s="242"/>
      <c r="IP27" s="242"/>
      <c r="IQ27" s="242"/>
      <c r="IR27" s="242"/>
      <c r="IS27" s="242"/>
      <c r="IT27" s="242"/>
      <c r="IU27" s="242"/>
      <c r="IV27" s="242"/>
      <c r="IW27" s="242"/>
    </row>
    <row r="28" customFormat="false" ht="12.75" hidden="false" customHeight="true" outlineLevel="0" collapsed="false">
      <c r="A28" s="248" t="s">
        <v>269</v>
      </c>
      <c r="B28" s="248"/>
      <c r="C28" s="250"/>
      <c r="D28" s="250"/>
      <c r="E28" s="250"/>
      <c r="F28" s="250"/>
      <c r="G28" s="250"/>
      <c r="H28" s="250"/>
      <c r="I28" s="250" t="n">
        <f aca="false">(SUM(C13:I13)*$B$23)</f>
        <v>0</v>
      </c>
      <c r="J28" s="250" t="n">
        <f aca="false">J13*$B$23</f>
        <v>0</v>
      </c>
      <c r="K28" s="250" t="n">
        <f aca="false">K13*B23</f>
        <v>1976.5399</v>
      </c>
      <c r="L28" s="250" t="n">
        <f aca="false">L13*B23</f>
        <v>0</v>
      </c>
      <c r="M28" s="250" t="n">
        <f aca="false">M13*B23</f>
        <v>0</v>
      </c>
      <c r="N28" s="250" t="n">
        <f aca="false">N13*B23</f>
        <v>0</v>
      </c>
      <c r="O28" s="250" t="n">
        <f aca="false">O13*B23</f>
        <v>0</v>
      </c>
      <c r="P28" s="250" t="n">
        <f aca="false">P13*B23</f>
        <v>0</v>
      </c>
      <c r="Q28" s="250" t="n">
        <f aca="false">Q13*B23</f>
        <v>1261</v>
      </c>
      <c r="R28" s="250" t="n">
        <f aca="false">R13*B23</f>
        <v>0</v>
      </c>
      <c r="S28" s="250" t="n">
        <f aca="false">S13*B23</f>
        <v>0</v>
      </c>
      <c r="T28" s="250" t="n">
        <f aca="false">T13*B23</f>
        <v>0</v>
      </c>
      <c r="U28" s="250" t="n">
        <f aca="false">U13*B23</f>
        <v>0</v>
      </c>
      <c r="V28" s="250" t="n">
        <f aca="false">V13*B23</f>
        <v>0</v>
      </c>
      <c r="W28" s="250" t="n">
        <f aca="false">W13*B23</f>
        <v>0</v>
      </c>
      <c r="X28" s="250" t="n">
        <f aca="false">X13*B23</f>
        <v>0</v>
      </c>
      <c r="Y28" s="250" t="n">
        <f aca="false">Y13*B23</f>
        <v>0</v>
      </c>
      <c r="Z28" s="250" t="n">
        <f aca="false">Z13*C23</f>
        <v>0</v>
      </c>
      <c r="AA28" s="248"/>
      <c r="AB28" s="248"/>
      <c r="AC28" s="248"/>
      <c r="AD28" s="242"/>
      <c r="AE28" s="256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BD28" s="242"/>
      <c r="BE28" s="242"/>
      <c r="BF28" s="184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2"/>
      <c r="DB28" s="242"/>
      <c r="DC28" s="242"/>
      <c r="DD28" s="242"/>
      <c r="DE28" s="242"/>
      <c r="DF28" s="242"/>
      <c r="DG28" s="242"/>
      <c r="DH28" s="242"/>
      <c r="DI28" s="242"/>
      <c r="DJ28" s="242"/>
      <c r="DK28" s="242"/>
      <c r="DL28" s="242"/>
      <c r="DM28" s="242"/>
      <c r="DN28" s="242"/>
      <c r="DO28" s="242"/>
      <c r="DP28" s="242"/>
      <c r="DQ28" s="242"/>
      <c r="DR28" s="242"/>
      <c r="DS28" s="242"/>
      <c r="DT28" s="242"/>
      <c r="DU28" s="242"/>
      <c r="DV28" s="242"/>
      <c r="DW28" s="242"/>
      <c r="DX28" s="242"/>
      <c r="DY28" s="242"/>
      <c r="DZ28" s="242"/>
      <c r="EA28" s="242"/>
      <c r="EB28" s="242"/>
      <c r="EC28" s="242"/>
      <c r="ED28" s="242"/>
      <c r="EE28" s="242"/>
      <c r="EF28" s="242"/>
      <c r="EG28" s="242"/>
      <c r="EH28" s="242"/>
      <c r="EI28" s="242"/>
      <c r="EJ28" s="242"/>
      <c r="EK28" s="242"/>
      <c r="EL28" s="242"/>
      <c r="EM28" s="242"/>
      <c r="EN28" s="242"/>
      <c r="EO28" s="242"/>
      <c r="EP28" s="242"/>
      <c r="EQ28" s="242"/>
      <c r="ER28" s="242"/>
      <c r="ES28" s="242"/>
      <c r="ET28" s="242"/>
      <c r="EU28" s="242"/>
      <c r="EV28" s="242"/>
      <c r="EW28" s="242"/>
      <c r="EX28" s="242"/>
      <c r="EY28" s="242"/>
      <c r="EZ28" s="242"/>
      <c r="FA28" s="242"/>
      <c r="FB28" s="242"/>
      <c r="FC28" s="242"/>
      <c r="FD28" s="242"/>
      <c r="FE28" s="242"/>
      <c r="FF28" s="242"/>
      <c r="FG28" s="242"/>
      <c r="FH28" s="242"/>
      <c r="FI28" s="242"/>
      <c r="FJ28" s="242"/>
      <c r="FK28" s="242"/>
      <c r="FL28" s="242"/>
      <c r="FM28" s="242"/>
      <c r="FN28" s="242"/>
      <c r="FO28" s="242"/>
      <c r="FP28" s="242"/>
      <c r="FQ28" s="242"/>
      <c r="FR28" s="242"/>
      <c r="FS28" s="242"/>
      <c r="FT28" s="242"/>
      <c r="FU28" s="242"/>
      <c r="FV28" s="242"/>
      <c r="FW28" s="242"/>
      <c r="FX28" s="242"/>
      <c r="FY28" s="242"/>
      <c r="FZ28" s="242"/>
      <c r="GA28" s="242"/>
      <c r="GB28" s="242"/>
      <c r="GC28" s="242"/>
      <c r="GD28" s="242"/>
      <c r="GE28" s="242"/>
      <c r="GF28" s="242"/>
      <c r="GG28" s="242"/>
      <c r="GH28" s="242"/>
      <c r="GI28" s="242"/>
      <c r="GJ28" s="242"/>
      <c r="GK28" s="242"/>
      <c r="GL28" s="242"/>
      <c r="GM28" s="242"/>
      <c r="GN28" s="242"/>
      <c r="GO28" s="242"/>
      <c r="GP28" s="242"/>
      <c r="GQ28" s="242"/>
      <c r="GR28" s="242"/>
      <c r="GS28" s="242"/>
      <c r="GT28" s="242"/>
      <c r="GU28" s="242"/>
      <c r="GV28" s="242"/>
      <c r="GW28" s="242"/>
      <c r="GX28" s="242"/>
      <c r="GY28" s="242"/>
      <c r="GZ28" s="242"/>
      <c r="HA28" s="242"/>
      <c r="HB28" s="242"/>
      <c r="HC28" s="242"/>
      <c r="HD28" s="242"/>
      <c r="HE28" s="242"/>
      <c r="HF28" s="242"/>
      <c r="HG28" s="242"/>
      <c r="HH28" s="242"/>
      <c r="HI28" s="242"/>
      <c r="HJ28" s="242"/>
      <c r="HK28" s="242"/>
      <c r="HL28" s="242"/>
      <c r="HM28" s="242"/>
      <c r="HN28" s="242"/>
      <c r="HO28" s="242"/>
      <c r="HP28" s="242"/>
      <c r="HQ28" s="242"/>
      <c r="HR28" s="242"/>
      <c r="HS28" s="242"/>
      <c r="HT28" s="242"/>
      <c r="HU28" s="242"/>
      <c r="HV28" s="242"/>
      <c r="HW28" s="242"/>
      <c r="HX28" s="242"/>
      <c r="HY28" s="242"/>
      <c r="HZ28" s="242"/>
      <c r="IA28" s="242"/>
      <c r="IB28" s="242"/>
      <c r="IC28" s="242"/>
      <c r="ID28" s="242"/>
      <c r="IE28" s="242"/>
      <c r="IF28" s="242"/>
      <c r="IG28" s="242"/>
      <c r="IH28" s="242"/>
      <c r="II28" s="242"/>
      <c r="IJ28" s="242"/>
      <c r="IK28" s="242"/>
      <c r="IL28" s="242"/>
      <c r="IM28" s="242"/>
      <c r="IN28" s="242"/>
      <c r="IO28" s="242"/>
      <c r="IP28" s="242"/>
      <c r="IQ28" s="242"/>
      <c r="IR28" s="242"/>
      <c r="IS28" s="242"/>
      <c r="IT28" s="242"/>
      <c r="IU28" s="242"/>
      <c r="IV28" s="242"/>
      <c r="IW28" s="242"/>
    </row>
    <row r="29" customFormat="false" ht="12.75" hidden="false" customHeight="true" outlineLevel="0" collapsed="false">
      <c r="A29" s="248" t="s">
        <v>270</v>
      </c>
      <c r="B29" s="248"/>
      <c r="C29" s="250"/>
      <c r="D29" s="250"/>
      <c r="E29" s="250"/>
      <c r="F29" s="250"/>
      <c r="G29" s="250"/>
      <c r="H29" s="250"/>
      <c r="I29" s="250" t="n">
        <f aca="false">(SUM(C14:I14)*$B$23)</f>
        <v>-141.751377160936</v>
      </c>
      <c r="J29" s="250" t="n">
        <f aca="false">J14*$B$23</f>
        <v>-141.751377160936</v>
      </c>
      <c r="K29" s="250" t="n">
        <f aca="false">K14*$B$23</f>
        <v>-141.751377160936</v>
      </c>
      <c r="L29" s="250" t="n">
        <f aca="false">L14*$B$23</f>
        <v>-141.751377160936</v>
      </c>
      <c r="M29" s="250" t="n">
        <f aca="false">M14*$B$23</f>
        <v>-141.751377160936</v>
      </c>
      <c r="N29" s="250" t="n">
        <f aca="false">N14*$B$23</f>
        <v>-141.751377160936</v>
      </c>
      <c r="O29" s="250" t="n">
        <f aca="false">O14*$B$23</f>
        <v>-141.751377160936</v>
      </c>
      <c r="P29" s="250" t="n">
        <f aca="false">P14*$B$23</f>
        <v>-141.751377160936</v>
      </c>
      <c r="Q29" s="250" t="n">
        <f aca="false">Q14*$B$23</f>
        <v>-141.751377160936</v>
      </c>
      <c r="R29" s="250" t="n">
        <f aca="false">R14*$B$23</f>
        <v>-141.751377160936</v>
      </c>
      <c r="S29" s="250" t="n">
        <f aca="false">S14*$B$23</f>
        <v>-141.751377160936</v>
      </c>
      <c r="T29" s="250" t="n">
        <f aca="false">T14*$B$23</f>
        <v>-141.751377160936</v>
      </c>
      <c r="U29" s="250" t="n">
        <f aca="false">U14*$B$23</f>
        <v>0</v>
      </c>
      <c r="V29" s="250" t="n">
        <f aca="false">V14*$B$23</f>
        <v>0</v>
      </c>
      <c r="W29" s="250" t="n">
        <f aca="false">W14*$B$23</f>
        <v>0</v>
      </c>
      <c r="X29" s="250" t="n">
        <f aca="false">X14*$B$23</f>
        <v>0</v>
      </c>
      <c r="Y29" s="250" t="n">
        <f aca="false">Y14*$B$23</f>
        <v>0</v>
      </c>
      <c r="Z29" s="250" t="n">
        <f aca="false">Z14*$B$23</f>
        <v>0</v>
      </c>
      <c r="AA29" s="248"/>
      <c r="AB29" s="248"/>
      <c r="AC29" s="248"/>
      <c r="AD29" s="242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BD29" s="242"/>
      <c r="BE29" s="242"/>
      <c r="BF29" s="184"/>
      <c r="BG29" s="242"/>
      <c r="BH29" s="242"/>
      <c r="BI29" s="242"/>
      <c r="BJ29" s="242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  <c r="CS29" s="242"/>
      <c r="CT29" s="242"/>
      <c r="CU29" s="242"/>
      <c r="CV29" s="242"/>
      <c r="CW29" s="242"/>
      <c r="CX29" s="242"/>
      <c r="CY29" s="242"/>
      <c r="CZ29" s="242"/>
      <c r="DA29" s="242"/>
      <c r="DB29" s="242"/>
      <c r="DC29" s="242"/>
      <c r="DD29" s="242"/>
      <c r="DE29" s="242"/>
      <c r="DF29" s="242"/>
      <c r="DG29" s="242"/>
      <c r="DH29" s="242"/>
      <c r="DI29" s="242"/>
      <c r="DJ29" s="242"/>
      <c r="DK29" s="242"/>
      <c r="DL29" s="242"/>
      <c r="DM29" s="242"/>
      <c r="DN29" s="242"/>
      <c r="DO29" s="242"/>
      <c r="DP29" s="242"/>
      <c r="DQ29" s="242"/>
      <c r="DR29" s="242"/>
      <c r="DS29" s="242"/>
      <c r="DT29" s="242"/>
      <c r="DU29" s="242"/>
      <c r="DV29" s="242"/>
      <c r="DW29" s="242"/>
      <c r="DX29" s="242"/>
      <c r="DY29" s="242"/>
      <c r="DZ29" s="242"/>
      <c r="EA29" s="242"/>
      <c r="EB29" s="242"/>
      <c r="EC29" s="242"/>
      <c r="ED29" s="242"/>
      <c r="EE29" s="242"/>
      <c r="EF29" s="242"/>
      <c r="EG29" s="242"/>
      <c r="EH29" s="242"/>
      <c r="EI29" s="242"/>
      <c r="EJ29" s="242"/>
      <c r="EK29" s="242"/>
      <c r="EL29" s="242"/>
      <c r="EM29" s="242"/>
      <c r="EN29" s="242"/>
      <c r="EO29" s="242"/>
      <c r="EP29" s="242"/>
      <c r="EQ29" s="242"/>
      <c r="ER29" s="242"/>
      <c r="ES29" s="242"/>
      <c r="ET29" s="242"/>
      <c r="EU29" s="242"/>
      <c r="EV29" s="242"/>
      <c r="EW29" s="242"/>
      <c r="EX29" s="242"/>
      <c r="EY29" s="242"/>
      <c r="EZ29" s="242"/>
      <c r="FA29" s="242"/>
      <c r="FB29" s="242"/>
      <c r="FC29" s="242"/>
      <c r="FD29" s="242"/>
      <c r="FE29" s="242"/>
      <c r="FF29" s="242"/>
      <c r="FG29" s="242"/>
      <c r="FH29" s="242"/>
      <c r="FI29" s="242"/>
      <c r="FJ29" s="242"/>
      <c r="FK29" s="242"/>
      <c r="FL29" s="242"/>
      <c r="FM29" s="242"/>
      <c r="FN29" s="242"/>
      <c r="FO29" s="242"/>
      <c r="FP29" s="242"/>
      <c r="FQ29" s="242"/>
      <c r="FR29" s="242"/>
      <c r="FS29" s="242"/>
      <c r="FT29" s="242"/>
      <c r="FU29" s="242"/>
      <c r="FV29" s="242"/>
      <c r="FW29" s="242"/>
      <c r="FX29" s="242"/>
      <c r="FY29" s="242"/>
      <c r="FZ29" s="242"/>
      <c r="GA29" s="242"/>
      <c r="GB29" s="242"/>
      <c r="GC29" s="242"/>
      <c r="GD29" s="242"/>
      <c r="GE29" s="242"/>
      <c r="GF29" s="242"/>
      <c r="GG29" s="242"/>
      <c r="GH29" s="242"/>
      <c r="GI29" s="242"/>
      <c r="GJ29" s="242"/>
      <c r="GK29" s="242"/>
      <c r="GL29" s="242"/>
      <c r="GM29" s="242"/>
      <c r="GN29" s="242"/>
      <c r="GO29" s="242"/>
      <c r="GP29" s="242"/>
      <c r="GQ29" s="242"/>
      <c r="GR29" s="242"/>
      <c r="GS29" s="242"/>
      <c r="GT29" s="242"/>
      <c r="GU29" s="242"/>
      <c r="GV29" s="242"/>
      <c r="GW29" s="242"/>
      <c r="GX29" s="242"/>
      <c r="GY29" s="242"/>
      <c r="GZ29" s="242"/>
      <c r="HA29" s="242"/>
      <c r="HB29" s="242"/>
      <c r="HC29" s="242"/>
      <c r="HD29" s="242"/>
      <c r="HE29" s="242"/>
      <c r="HF29" s="242"/>
      <c r="HG29" s="242"/>
      <c r="HH29" s="242"/>
      <c r="HI29" s="242"/>
      <c r="HJ29" s="242"/>
      <c r="HK29" s="242"/>
      <c r="HL29" s="242"/>
      <c r="HM29" s="242"/>
      <c r="HN29" s="242"/>
      <c r="HO29" s="242"/>
      <c r="HP29" s="242"/>
      <c r="HQ29" s="242"/>
      <c r="HR29" s="242"/>
      <c r="HS29" s="242"/>
      <c r="HT29" s="242"/>
      <c r="HU29" s="242"/>
      <c r="HV29" s="242"/>
      <c r="HW29" s="242"/>
      <c r="HX29" s="242"/>
      <c r="HY29" s="242"/>
      <c r="HZ29" s="242"/>
      <c r="IA29" s="242"/>
      <c r="IB29" s="242"/>
      <c r="IC29" s="242"/>
      <c r="ID29" s="242"/>
      <c r="IE29" s="242"/>
      <c r="IF29" s="242"/>
      <c r="IG29" s="242"/>
      <c r="IH29" s="242"/>
      <c r="II29" s="242"/>
      <c r="IJ29" s="242"/>
      <c r="IK29" s="242"/>
      <c r="IL29" s="242"/>
      <c r="IM29" s="242"/>
      <c r="IN29" s="242"/>
      <c r="IO29" s="242"/>
      <c r="IP29" s="242"/>
      <c r="IQ29" s="242"/>
      <c r="IR29" s="242"/>
      <c r="IS29" s="242"/>
      <c r="IT29" s="242"/>
      <c r="IU29" s="242"/>
      <c r="IV29" s="242"/>
      <c r="IW29" s="242"/>
    </row>
    <row r="30" customFormat="false" ht="12.75" hidden="false" customHeight="true" outlineLevel="0" collapsed="false">
      <c r="A30" s="248" t="s">
        <v>277</v>
      </c>
      <c r="B30" s="248"/>
      <c r="C30" s="250"/>
      <c r="D30" s="250"/>
      <c r="E30" s="250"/>
      <c r="F30" s="250"/>
      <c r="G30" s="250"/>
      <c r="H30" s="250"/>
      <c r="I30" s="250" t="n">
        <f aca="false">(SUM(C15:I15)*$B$23)</f>
        <v>0</v>
      </c>
      <c r="J30" s="250" t="n">
        <f aca="false">J15*$B$23</f>
        <v>0</v>
      </c>
      <c r="K30" s="250" t="n">
        <f aca="false">K15*$B$23</f>
        <v>0</v>
      </c>
      <c r="L30" s="250" t="n">
        <f aca="false">L15*$B$23</f>
        <v>0</v>
      </c>
      <c r="M30" s="250" t="n">
        <f aca="false">M15*$B$23</f>
        <v>0</v>
      </c>
      <c r="N30" s="250" t="n">
        <f aca="false">N15*$B$23</f>
        <v>0</v>
      </c>
      <c r="O30" s="250" t="n">
        <f aca="false">O15*$B$23</f>
        <v>0</v>
      </c>
      <c r="P30" s="250" t="n">
        <f aca="false">P15*$B$23</f>
        <v>0</v>
      </c>
      <c r="Q30" s="250" t="n">
        <f aca="false">Q15*$B$23</f>
        <v>0</v>
      </c>
      <c r="R30" s="250" t="n">
        <f aca="false">R15*$B$23</f>
        <v>0</v>
      </c>
      <c r="S30" s="250" t="n">
        <f aca="false">S15*$B$23</f>
        <v>0</v>
      </c>
      <c r="T30" s="250" t="n">
        <f aca="false">T15*$B$23</f>
        <v>0</v>
      </c>
      <c r="U30" s="250" t="n">
        <f aca="false">U15*$B$23</f>
        <v>0</v>
      </c>
      <c r="V30" s="250" t="n">
        <f aca="false">V15*$B$23</f>
        <v>0</v>
      </c>
      <c r="W30" s="250" t="n">
        <f aca="false">W15*$B$23</f>
        <v>0</v>
      </c>
      <c r="X30" s="250" t="n">
        <f aca="false">X15*$B$23</f>
        <v>0</v>
      </c>
      <c r="Y30" s="250" t="n">
        <f aca="false">Y15*$B$23</f>
        <v>0</v>
      </c>
      <c r="Z30" s="250" t="n">
        <f aca="false">Z15*$B$23</f>
        <v>0</v>
      </c>
      <c r="AA30" s="248"/>
      <c r="AB30" s="248"/>
      <c r="AC30" s="248"/>
      <c r="AD30" s="242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BD30" s="242"/>
      <c r="BE30" s="242"/>
      <c r="BF30" s="184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2"/>
      <c r="CE30" s="242"/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42"/>
      <c r="DA30" s="242"/>
      <c r="DB30" s="242"/>
      <c r="DC30" s="242"/>
      <c r="DD30" s="242"/>
      <c r="DE30" s="242"/>
      <c r="DF30" s="242"/>
      <c r="DG30" s="242"/>
      <c r="DH30" s="242"/>
      <c r="DI30" s="242"/>
      <c r="DJ30" s="242"/>
      <c r="DK30" s="242"/>
      <c r="DL30" s="242"/>
      <c r="DM30" s="242"/>
      <c r="DN30" s="242"/>
      <c r="DO30" s="242"/>
      <c r="DP30" s="242"/>
      <c r="DQ30" s="242"/>
      <c r="DR30" s="242"/>
      <c r="DS30" s="242"/>
      <c r="DT30" s="242"/>
      <c r="DU30" s="242"/>
      <c r="DV30" s="242"/>
      <c r="DW30" s="242"/>
      <c r="DX30" s="242"/>
      <c r="DY30" s="242"/>
      <c r="DZ30" s="242"/>
      <c r="EA30" s="242"/>
      <c r="EB30" s="242"/>
      <c r="EC30" s="242"/>
      <c r="ED30" s="242"/>
      <c r="EE30" s="242"/>
      <c r="EF30" s="242"/>
      <c r="EG30" s="242"/>
      <c r="EH30" s="242"/>
      <c r="EI30" s="242"/>
      <c r="EJ30" s="242"/>
      <c r="EK30" s="242"/>
      <c r="EL30" s="242"/>
      <c r="EM30" s="242"/>
      <c r="EN30" s="242"/>
      <c r="EO30" s="242"/>
      <c r="EP30" s="242"/>
      <c r="EQ30" s="242"/>
      <c r="ER30" s="242"/>
      <c r="ES30" s="242"/>
      <c r="ET30" s="242"/>
      <c r="EU30" s="242"/>
      <c r="EV30" s="242"/>
      <c r="EW30" s="242"/>
      <c r="EX30" s="242"/>
      <c r="EY30" s="242"/>
      <c r="EZ30" s="242"/>
      <c r="FA30" s="242"/>
      <c r="FB30" s="242"/>
      <c r="FC30" s="242"/>
      <c r="FD30" s="242"/>
      <c r="FE30" s="242"/>
      <c r="FF30" s="242"/>
      <c r="FG30" s="242"/>
      <c r="FH30" s="242"/>
      <c r="FI30" s="242"/>
      <c r="FJ30" s="242"/>
      <c r="FK30" s="242"/>
      <c r="FL30" s="242"/>
      <c r="FM30" s="242"/>
      <c r="FN30" s="242"/>
      <c r="FO30" s="242"/>
      <c r="FP30" s="242"/>
      <c r="FQ30" s="242"/>
      <c r="FR30" s="242"/>
      <c r="FS30" s="242"/>
      <c r="FT30" s="242"/>
      <c r="FU30" s="242"/>
      <c r="FV30" s="242"/>
      <c r="FW30" s="242"/>
      <c r="FX30" s="242"/>
      <c r="FY30" s="242"/>
      <c r="FZ30" s="242"/>
      <c r="GA30" s="242"/>
      <c r="GB30" s="242"/>
      <c r="GC30" s="242"/>
      <c r="GD30" s="242"/>
      <c r="GE30" s="242"/>
      <c r="GF30" s="242"/>
      <c r="GG30" s="242"/>
      <c r="GH30" s="242"/>
      <c r="GI30" s="242"/>
      <c r="GJ30" s="242"/>
      <c r="GK30" s="242"/>
      <c r="GL30" s="242"/>
      <c r="GM30" s="242"/>
      <c r="GN30" s="242"/>
      <c r="GO30" s="242"/>
      <c r="GP30" s="242"/>
      <c r="GQ30" s="242"/>
      <c r="GR30" s="242"/>
      <c r="GS30" s="242"/>
      <c r="GT30" s="242"/>
      <c r="GU30" s="242"/>
      <c r="GV30" s="242"/>
      <c r="GW30" s="242"/>
      <c r="GX30" s="242"/>
      <c r="GY30" s="242"/>
      <c r="GZ30" s="242"/>
      <c r="HA30" s="242"/>
      <c r="HB30" s="242"/>
      <c r="HC30" s="242"/>
      <c r="HD30" s="242"/>
      <c r="HE30" s="242"/>
      <c r="HF30" s="242"/>
      <c r="HG30" s="242"/>
      <c r="HH30" s="242"/>
      <c r="HI30" s="242"/>
      <c r="HJ30" s="242"/>
      <c r="HK30" s="242"/>
      <c r="HL30" s="242"/>
      <c r="HM30" s="242"/>
      <c r="HN30" s="242"/>
      <c r="HO30" s="242"/>
      <c r="HP30" s="242"/>
      <c r="HQ30" s="242"/>
      <c r="HR30" s="242"/>
      <c r="HS30" s="242"/>
      <c r="HT30" s="242"/>
      <c r="HU30" s="242"/>
      <c r="HV30" s="242"/>
      <c r="HW30" s="242"/>
      <c r="HX30" s="242"/>
      <c r="HY30" s="242"/>
      <c r="HZ30" s="242"/>
      <c r="IA30" s="242"/>
      <c r="IB30" s="242"/>
      <c r="IC30" s="242"/>
      <c r="ID30" s="242"/>
      <c r="IE30" s="242"/>
      <c r="IF30" s="242"/>
      <c r="IG30" s="242"/>
      <c r="IH30" s="242"/>
      <c r="II30" s="242"/>
      <c r="IJ30" s="242"/>
      <c r="IK30" s="242"/>
      <c r="IL30" s="242"/>
      <c r="IM30" s="242"/>
      <c r="IN30" s="242"/>
      <c r="IO30" s="242"/>
      <c r="IP30" s="242"/>
      <c r="IQ30" s="242"/>
      <c r="IR30" s="242"/>
      <c r="IS30" s="242"/>
      <c r="IT30" s="242"/>
      <c r="IU30" s="242"/>
      <c r="IV30" s="242"/>
      <c r="IW30" s="242"/>
    </row>
    <row r="31" customFormat="false" ht="15" hidden="false" customHeight="true" outlineLevel="0" collapsed="false">
      <c r="A31" s="248" t="s">
        <v>272</v>
      </c>
      <c r="B31" s="248"/>
      <c r="C31" s="250"/>
      <c r="D31" s="250"/>
      <c r="E31" s="250"/>
      <c r="F31" s="250"/>
      <c r="G31" s="250"/>
      <c r="H31" s="250"/>
      <c r="I31" s="250" t="n">
        <f aca="false">(SUM(C16:I16)*$B$23)</f>
        <v>0</v>
      </c>
      <c r="J31" s="250" t="n">
        <f aca="false">J16*$B$23</f>
        <v>207.190460345457</v>
      </c>
      <c r="K31" s="250" t="n">
        <f aca="false">K16*$B$23</f>
        <v>207.190460345457</v>
      </c>
      <c r="L31" s="250" t="n">
        <f aca="false">L16*$B$23</f>
        <v>207.190460345457</v>
      </c>
      <c r="M31" s="250" t="n">
        <f aca="false">M16*$B$23</f>
        <v>207.190460345457</v>
      </c>
      <c r="N31" s="250" t="n">
        <f aca="false">N16*$B$23</f>
        <v>207.190460345457</v>
      </c>
      <c r="O31" s="250" t="n">
        <f aca="false">O16*$B$23</f>
        <v>207.190460345457</v>
      </c>
      <c r="P31" s="250" t="n">
        <f aca="false">P16*$B$23</f>
        <v>207.190460345457</v>
      </c>
      <c r="Q31" s="250" t="n">
        <f aca="false">Q16*$B$23</f>
        <v>207.190460345457</v>
      </c>
      <c r="R31" s="250" t="n">
        <f aca="false">R16*$B$23</f>
        <v>207.190460345457</v>
      </c>
      <c r="S31" s="250" t="n">
        <f aca="false">S16*$B$23</f>
        <v>207.190460345457</v>
      </c>
      <c r="T31" s="250" t="n">
        <f aca="false">T16*$B$23</f>
        <v>207.190460345457</v>
      </c>
      <c r="U31" s="250" t="n">
        <f aca="false">U16*$B$23</f>
        <v>0</v>
      </c>
      <c r="V31" s="250" t="n">
        <f aca="false">V16*$B$23</f>
        <v>0</v>
      </c>
      <c r="W31" s="250" t="n">
        <f aca="false">W16*$B$23</f>
        <v>0</v>
      </c>
      <c r="X31" s="250" t="n">
        <f aca="false">X16*$B$23</f>
        <v>0</v>
      </c>
      <c r="Y31" s="250" t="n">
        <f aca="false">Y16*$B$23</f>
        <v>0</v>
      </c>
      <c r="Z31" s="250" t="n">
        <f aca="false">Z16*$B$23</f>
        <v>0</v>
      </c>
      <c r="AA31" s="239"/>
      <c r="AB31" s="248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2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2"/>
      <c r="CL31" s="242"/>
      <c r="CM31" s="242"/>
      <c r="CN31" s="242"/>
      <c r="CO31" s="242"/>
      <c r="CP31" s="242"/>
      <c r="CQ31" s="242"/>
      <c r="CR31" s="242"/>
      <c r="CS31" s="242"/>
      <c r="CT31" s="242"/>
      <c r="CU31" s="242"/>
      <c r="CV31" s="242"/>
      <c r="CW31" s="242"/>
      <c r="CX31" s="242"/>
      <c r="CY31" s="242"/>
      <c r="CZ31" s="242"/>
      <c r="DA31" s="242"/>
      <c r="DB31" s="242"/>
      <c r="DC31" s="242"/>
      <c r="DD31" s="242"/>
      <c r="DE31" s="242"/>
      <c r="DF31" s="242"/>
      <c r="DG31" s="242"/>
      <c r="DH31" s="242"/>
      <c r="DI31" s="242"/>
      <c r="DJ31" s="242"/>
      <c r="DK31" s="242"/>
      <c r="DL31" s="242"/>
      <c r="DM31" s="242"/>
      <c r="DN31" s="242"/>
      <c r="DO31" s="242"/>
      <c r="DP31" s="242"/>
      <c r="DQ31" s="242"/>
      <c r="DR31" s="242"/>
      <c r="DS31" s="242"/>
      <c r="DT31" s="242"/>
      <c r="DU31" s="242"/>
      <c r="DV31" s="242"/>
      <c r="DW31" s="242"/>
      <c r="DX31" s="242"/>
      <c r="DY31" s="242"/>
      <c r="DZ31" s="242"/>
      <c r="EA31" s="242"/>
      <c r="EB31" s="242"/>
      <c r="EC31" s="242"/>
      <c r="ED31" s="242"/>
      <c r="EE31" s="242"/>
      <c r="EF31" s="242"/>
      <c r="EG31" s="242"/>
      <c r="EH31" s="242"/>
      <c r="EI31" s="242"/>
      <c r="EJ31" s="242"/>
      <c r="EK31" s="242"/>
      <c r="EL31" s="242"/>
      <c r="EM31" s="242"/>
      <c r="EN31" s="242"/>
      <c r="EO31" s="242"/>
      <c r="EP31" s="242"/>
      <c r="EQ31" s="242"/>
      <c r="ER31" s="242"/>
      <c r="ES31" s="242"/>
      <c r="ET31" s="242"/>
      <c r="EU31" s="242"/>
      <c r="EV31" s="242"/>
      <c r="EW31" s="242"/>
      <c r="EX31" s="242"/>
      <c r="EY31" s="242"/>
      <c r="EZ31" s="242"/>
      <c r="FA31" s="242"/>
      <c r="FB31" s="242"/>
      <c r="FC31" s="242"/>
      <c r="FD31" s="242"/>
      <c r="FE31" s="242"/>
      <c r="FF31" s="242"/>
      <c r="FG31" s="242"/>
      <c r="FH31" s="242"/>
      <c r="FI31" s="242"/>
      <c r="FJ31" s="242"/>
      <c r="FK31" s="242"/>
      <c r="FL31" s="242"/>
      <c r="FM31" s="242"/>
      <c r="FN31" s="242"/>
      <c r="FO31" s="242"/>
      <c r="FP31" s="242"/>
      <c r="FQ31" s="242"/>
      <c r="FR31" s="242"/>
      <c r="FS31" s="242"/>
      <c r="FT31" s="242"/>
      <c r="FU31" s="242"/>
      <c r="FV31" s="242"/>
      <c r="FW31" s="242"/>
      <c r="FX31" s="242"/>
      <c r="FY31" s="242"/>
      <c r="FZ31" s="242"/>
      <c r="GA31" s="242"/>
      <c r="GB31" s="242"/>
      <c r="GC31" s="242"/>
      <c r="GD31" s="242"/>
      <c r="GE31" s="242"/>
      <c r="GF31" s="242"/>
      <c r="GG31" s="242"/>
      <c r="GH31" s="242"/>
      <c r="GI31" s="242"/>
      <c r="GJ31" s="242"/>
      <c r="GK31" s="242"/>
      <c r="GL31" s="242"/>
      <c r="GM31" s="242"/>
      <c r="GN31" s="242"/>
      <c r="GO31" s="242"/>
      <c r="GP31" s="242"/>
      <c r="GQ31" s="242"/>
      <c r="GR31" s="242"/>
      <c r="GS31" s="242"/>
      <c r="GT31" s="242"/>
      <c r="GU31" s="242"/>
      <c r="GV31" s="242"/>
      <c r="GW31" s="242"/>
      <c r="GX31" s="242"/>
      <c r="GY31" s="242"/>
      <c r="GZ31" s="242"/>
      <c r="HA31" s="242"/>
      <c r="HB31" s="242"/>
      <c r="HC31" s="242"/>
      <c r="HD31" s="242"/>
      <c r="HE31" s="242"/>
      <c r="HF31" s="242"/>
      <c r="HG31" s="242"/>
      <c r="HH31" s="242"/>
      <c r="HI31" s="242"/>
      <c r="HJ31" s="242"/>
      <c r="HK31" s="242"/>
      <c r="HL31" s="242"/>
      <c r="HM31" s="242"/>
      <c r="HN31" s="242"/>
      <c r="HO31" s="242"/>
      <c r="HP31" s="242"/>
      <c r="HQ31" s="242"/>
      <c r="HR31" s="242"/>
      <c r="HS31" s="242"/>
      <c r="HT31" s="242"/>
      <c r="HU31" s="242"/>
      <c r="HV31" s="242"/>
      <c r="HW31" s="242"/>
      <c r="HX31" s="242"/>
      <c r="HY31" s="242"/>
      <c r="HZ31" s="242"/>
      <c r="IA31" s="242"/>
      <c r="IB31" s="242"/>
      <c r="IC31" s="242"/>
      <c r="ID31" s="242"/>
      <c r="IE31" s="242"/>
      <c r="IF31" s="242"/>
      <c r="IG31" s="242"/>
      <c r="IH31" s="242"/>
      <c r="II31" s="242"/>
      <c r="IJ31" s="242"/>
      <c r="IK31" s="242"/>
      <c r="IL31" s="242"/>
      <c r="IM31" s="242"/>
      <c r="IN31" s="242"/>
      <c r="IO31" s="242"/>
      <c r="IP31" s="242"/>
      <c r="IQ31" s="242"/>
      <c r="IR31" s="242"/>
      <c r="IS31" s="242"/>
      <c r="IT31" s="242"/>
      <c r="IU31" s="242"/>
      <c r="IV31" s="242"/>
      <c r="IW31" s="242"/>
    </row>
    <row r="32" customFormat="false" ht="15" hidden="false" customHeight="true" outlineLevel="0" collapsed="false">
      <c r="A32" s="248" t="s">
        <v>273</v>
      </c>
      <c r="B32" s="248"/>
      <c r="C32" s="253"/>
      <c r="D32" s="253"/>
      <c r="E32" s="253"/>
      <c r="F32" s="253"/>
      <c r="G32" s="253"/>
      <c r="H32" s="253"/>
      <c r="I32" s="250" t="n">
        <f aca="false">(SUM(C17:I17)*$B$23)</f>
        <v>893.830988004168</v>
      </c>
      <c r="J32" s="250" t="n">
        <f aca="false">((I34-(SUM($I$29:I29)))*I6)/365.25*IF(J4&lt;='Project Assumptions'!$F$25,(J4-I4),(J4-I4)-'Project Assumptions'!$F$25-IDC!J4)</f>
        <v>199.453707489139</v>
      </c>
      <c r="K32" s="250" t="n">
        <f aca="false">((J34-(SUM($I$29:J29)))*J6)/365.25*IF(K4&lt;='Project Assumptions'!$F$25,(K4-J4),(K4-J4)-'Project Assumptions'!$F$25-IDC!K4)</f>
        <v>247.349612284969</v>
      </c>
      <c r="L32" s="250" t="n">
        <f aca="false">((K34-(SUM($I$29:K29)))*K6)/365.25*IF(L4&lt;='Project Assumptions'!$F$25,(L4-K4),(L4-K4)-'Project Assumptions'!$F$25-IDC!L4)</f>
        <v>275.610888528057</v>
      </c>
      <c r="M32" s="250" t="n">
        <f aca="false">((L34-(SUM($I$29:L29)))*L6)/365.25*IF(M4&lt;='Project Assumptions'!$F$25,(M4-L4),(M4-L4)-'Project Assumptions'!$F$25-IDC!M4)</f>
        <v>303.935285930231</v>
      </c>
      <c r="N32" s="250" t="n">
        <f aca="false">((M34-(SUM($I$29:M29)))*M6)/365.25*IF(N4&lt;='Project Assumptions'!$F$25,(N4-M4),(N4-M4)-'Project Assumptions'!$F$25-IDC!N4)</f>
        <v>354.089318259083</v>
      </c>
      <c r="O32" s="250" t="n">
        <f aca="false">((N34-(SUM($I$29:N29)))*N6)/365.25*IF(O4&lt;='Project Assumptions'!$F$25,(O4-N4),(O4-N4)-'Project Assumptions'!$F$25-IDC!O4)</f>
        <v>365.710271271735</v>
      </c>
      <c r="P32" s="250" t="n">
        <f aca="false">((O34-(SUM($I$29:O29)))*O6)/365.25*IF(P4&lt;='Project Assumptions'!$F$25,(P4-O4),(P4-O4)-'Project Assumptions'!$F$25-IDC!P4)</f>
        <v>399.350391271848</v>
      </c>
      <c r="Q32" s="250" t="n">
        <f aca="false">((P34-(SUM($I$29:P29)))*P6)/365.25*IF(Q4&lt;='Project Assumptions'!$F$25,(Q4-P4),(Q4-P4)-'Project Assumptions'!$F$25-IDC!Q4)</f>
        <v>418.961972068311</v>
      </c>
      <c r="R32" s="250" t="n">
        <f aca="false">((Q34-(SUM($I$29:Q29)))*Q6)/365.25*IF(R4&lt;='Project Assumptions'!$F$25,(R4-Q4),(R4-Q4)-'Project Assumptions'!$F$25-IDC!R4)</f>
        <v>416.69932032415</v>
      </c>
      <c r="S32" s="250" t="n">
        <f aca="false">((R34-(SUM($I$29:R29)))*R6)/365.25*IF(S4&lt;='Project Assumptions'!$F$25,(S4-R4),(S4-R4)-'Project Assumptions'!$F$25-IDC!S4)</f>
        <v>505.810296623917</v>
      </c>
      <c r="T32" s="250" t="n">
        <f aca="false">((S34-(SUM($I$29:S29)))*S6)/365.25*IF(T4&lt;='Project Assumptions'!$F$25,(T4-S4),(T4-S4)-'Project Assumptions'!$F$25-IDC!T4)</f>
        <v>507.75613097582</v>
      </c>
      <c r="U32" s="250" t="n">
        <f aca="false">((T34-(SUM($I$29:T29)))*T6)/365.25*IF(U4&lt;='Project Assumptions'!$F$25,(U4-T4),(U4-T4)-'Project Assumptions'!$F$25-IDC!U4)</f>
        <v>244.596320830495</v>
      </c>
      <c r="V32" s="250" t="n">
        <f aca="false">((U34-(SUM($I$29:U29)))*U6)/365.25*IF(V4&lt;='Project Assumptions'!$F$25,(V4-U4),(V4-U4)-'Project Assumptions'!$F$25-IDC!V4)</f>
        <v>297.692879745421</v>
      </c>
      <c r="W32" s="250" t="n">
        <f aca="false">((V34-(SUM($I$29:V29)))*V6)/365.25*IF(W4&lt;='Project Assumptions'!$F$25,(W4-V4),(W4-V4)-'Project Assumptions'!$F$25-IDC!W4)</f>
        <v>537.509399297285</v>
      </c>
      <c r="X32" s="250" t="n">
        <f aca="false">((W34-(SUM($I$29:W29)))*W6)/365.25*IF(X4&lt;='Project Assumptions'!$F$25,(X4-W4),(X4-W4)-'Project Assumptions'!$F$25-IDC!X4)</f>
        <v>573.700197092048</v>
      </c>
      <c r="Y32" s="250" t="n">
        <f aca="false">((X34-(SUM($I$29:X29)))*X6)/365.25*IF(Y4&lt;='Project Assumptions'!$F$25,(Y4-X4),(Y4-X4)+('Project Assumptions'!$F$25-IDC!Y4))</f>
        <v>564.18117335752</v>
      </c>
      <c r="Z32" s="250" t="n">
        <f aca="false">((Y34-(SUM($I$29:Y29)))*Y6)/365.25*IF(Z4&lt;='Project Assumptions'!$F$25,(Z4-Y4),(Z4-Y4)-'Project Assumptions'!$F$25-IDC!Z4)</f>
        <v>-0</v>
      </c>
      <c r="AA32" s="248"/>
      <c r="AB32" s="242"/>
      <c r="AC32" s="248"/>
      <c r="AD32" s="242"/>
      <c r="AE32" s="257"/>
      <c r="AF32" s="257"/>
      <c r="AG32" s="257"/>
      <c r="AH32" s="257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BD32" s="242"/>
      <c r="BE32" s="242"/>
      <c r="BF32" s="184"/>
      <c r="BG32" s="242"/>
      <c r="BH32" s="242"/>
      <c r="BI32" s="242"/>
      <c r="BJ32" s="242"/>
      <c r="BK32" s="242"/>
      <c r="BL32" s="242"/>
      <c r="BM32" s="242"/>
      <c r="BN32" s="242"/>
      <c r="BO32" s="242"/>
      <c r="BP32" s="242"/>
      <c r="BQ32" s="242"/>
      <c r="BR32" s="242"/>
      <c r="BS32" s="242"/>
      <c r="BT32" s="242"/>
      <c r="BU32" s="242"/>
      <c r="BV32" s="242"/>
      <c r="BW32" s="242"/>
      <c r="BX32" s="242"/>
      <c r="BY32" s="242"/>
      <c r="BZ32" s="242"/>
      <c r="CA32" s="242"/>
      <c r="CB32" s="242"/>
      <c r="CC32" s="242"/>
      <c r="CD32" s="242"/>
      <c r="CE32" s="242"/>
      <c r="CF32" s="242"/>
      <c r="CG32" s="242"/>
      <c r="CH32" s="242"/>
      <c r="CI32" s="242"/>
      <c r="CJ32" s="242"/>
      <c r="CK32" s="242"/>
      <c r="CL32" s="242"/>
      <c r="CM32" s="242"/>
      <c r="CN32" s="242"/>
      <c r="CO32" s="242"/>
      <c r="CP32" s="242"/>
      <c r="CQ32" s="242"/>
      <c r="CR32" s="242"/>
      <c r="CS32" s="242"/>
      <c r="CT32" s="242"/>
      <c r="CU32" s="242"/>
      <c r="CV32" s="242"/>
      <c r="CW32" s="242"/>
      <c r="CX32" s="242"/>
      <c r="CY32" s="242"/>
      <c r="CZ32" s="242"/>
      <c r="DA32" s="242"/>
      <c r="DB32" s="242"/>
      <c r="DC32" s="242"/>
      <c r="DD32" s="242"/>
      <c r="DE32" s="242"/>
      <c r="DF32" s="242"/>
      <c r="DG32" s="242"/>
      <c r="DH32" s="242"/>
      <c r="DI32" s="242"/>
      <c r="DJ32" s="242"/>
      <c r="DK32" s="242"/>
      <c r="DL32" s="242"/>
      <c r="DM32" s="242"/>
      <c r="DN32" s="242"/>
      <c r="DO32" s="242"/>
      <c r="DP32" s="242"/>
      <c r="DQ32" s="242"/>
      <c r="DR32" s="242"/>
      <c r="DS32" s="242"/>
      <c r="DT32" s="242"/>
      <c r="DU32" s="242"/>
      <c r="DV32" s="242"/>
      <c r="DW32" s="242"/>
      <c r="DX32" s="242"/>
      <c r="DY32" s="242"/>
      <c r="DZ32" s="242"/>
      <c r="EA32" s="242"/>
      <c r="EB32" s="242"/>
      <c r="EC32" s="242"/>
      <c r="ED32" s="242"/>
      <c r="EE32" s="242"/>
      <c r="EF32" s="242"/>
      <c r="EG32" s="242"/>
      <c r="EH32" s="242"/>
      <c r="EI32" s="242"/>
      <c r="EJ32" s="242"/>
      <c r="EK32" s="242"/>
      <c r="EL32" s="242"/>
      <c r="EM32" s="242"/>
      <c r="EN32" s="242"/>
      <c r="EO32" s="242"/>
      <c r="EP32" s="242"/>
      <c r="EQ32" s="242"/>
      <c r="ER32" s="242"/>
      <c r="ES32" s="242"/>
      <c r="ET32" s="242"/>
      <c r="EU32" s="242"/>
      <c r="EV32" s="242"/>
      <c r="EW32" s="242"/>
      <c r="EX32" s="242"/>
      <c r="EY32" s="242"/>
      <c r="EZ32" s="242"/>
      <c r="FA32" s="242"/>
      <c r="FB32" s="242"/>
      <c r="FC32" s="242"/>
      <c r="FD32" s="242"/>
      <c r="FE32" s="242"/>
      <c r="FF32" s="242"/>
      <c r="FG32" s="242"/>
      <c r="FH32" s="242"/>
      <c r="FI32" s="242"/>
      <c r="FJ32" s="242"/>
      <c r="FK32" s="242"/>
      <c r="FL32" s="242"/>
      <c r="FM32" s="242"/>
      <c r="FN32" s="242"/>
      <c r="FO32" s="242"/>
      <c r="FP32" s="242"/>
      <c r="FQ32" s="242"/>
      <c r="FR32" s="242"/>
      <c r="FS32" s="242"/>
      <c r="FT32" s="242"/>
      <c r="FU32" s="242"/>
      <c r="FV32" s="242"/>
      <c r="FW32" s="242"/>
      <c r="FX32" s="242"/>
      <c r="FY32" s="242"/>
      <c r="FZ32" s="242"/>
      <c r="GA32" s="242"/>
      <c r="GB32" s="242"/>
      <c r="GC32" s="242"/>
      <c r="GD32" s="242"/>
      <c r="GE32" s="242"/>
      <c r="GF32" s="242"/>
      <c r="GG32" s="242"/>
      <c r="GH32" s="242"/>
      <c r="GI32" s="242"/>
      <c r="GJ32" s="242"/>
      <c r="GK32" s="242"/>
      <c r="GL32" s="242"/>
      <c r="GM32" s="242"/>
      <c r="GN32" s="242"/>
      <c r="GO32" s="242"/>
      <c r="GP32" s="242"/>
      <c r="GQ32" s="242"/>
      <c r="GR32" s="242"/>
      <c r="GS32" s="242"/>
      <c r="GT32" s="242"/>
      <c r="GU32" s="242"/>
      <c r="GV32" s="242"/>
      <c r="GW32" s="242"/>
      <c r="GX32" s="242"/>
      <c r="GY32" s="242"/>
      <c r="GZ32" s="242"/>
      <c r="HA32" s="242"/>
      <c r="HB32" s="242"/>
      <c r="HC32" s="242"/>
      <c r="HD32" s="242"/>
      <c r="HE32" s="242"/>
      <c r="HF32" s="242"/>
      <c r="HG32" s="242"/>
      <c r="HH32" s="242"/>
      <c r="HI32" s="242"/>
      <c r="HJ32" s="242"/>
      <c r="HK32" s="242"/>
      <c r="HL32" s="242"/>
      <c r="HM32" s="242"/>
      <c r="HN32" s="242"/>
      <c r="HO32" s="242"/>
      <c r="HP32" s="242"/>
      <c r="HQ32" s="242"/>
      <c r="HR32" s="242"/>
      <c r="HS32" s="242"/>
      <c r="HT32" s="242"/>
      <c r="HU32" s="242"/>
      <c r="HV32" s="242"/>
      <c r="HW32" s="242"/>
      <c r="HX32" s="242"/>
      <c r="HY32" s="242"/>
      <c r="HZ32" s="242"/>
      <c r="IA32" s="242"/>
      <c r="IB32" s="242"/>
      <c r="IC32" s="242"/>
      <c r="ID32" s="242"/>
      <c r="IE32" s="242"/>
      <c r="IF32" s="242"/>
      <c r="IG32" s="242"/>
      <c r="IH32" s="242"/>
      <c r="II32" s="242"/>
      <c r="IJ32" s="242"/>
      <c r="IK32" s="242"/>
      <c r="IL32" s="242"/>
      <c r="IM32" s="242"/>
      <c r="IN32" s="242"/>
      <c r="IO32" s="242"/>
      <c r="IP32" s="242"/>
      <c r="IQ32" s="242"/>
      <c r="IR32" s="242"/>
      <c r="IS32" s="242"/>
      <c r="IT32" s="242"/>
      <c r="IU32" s="242"/>
      <c r="IV32" s="242"/>
      <c r="IW32" s="242"/>
    </row>
    <row r="33" customFormat="false" ht="15" hidden="false" customHeight="true" outlineLevel="0" collapsed="false">
      <c r="A33" s="248" t="s">
        <v>274</v>
      </c>
      <c r="B33" s="248"/>
      <c r="C33" s="250"/>
      <c r="D33" s="250"/>
      <c r="E33" s="250"/>
      <c r="F33" s="250"/>
      <c r="G33" s="250"/>
      <c r="H33" s="250"/>
      <c r="I33" s="253" t="n">
        <f aca="false">(SUM(C18:I18))</f>
        <v>-5000</v>
      </c>
      <c r="J33" s="253" t="n">
        <f aca="false">J18</f>
        <v>0</v>
      </c>
      <c r="K33" s="253" t="n">
        <f aca="false">K18</f>
        <v>0</v>
      </c>
      <c r="L33" s="253" t="n">
        <f aca="false">L18</f>
        <v>0</v>
      </c>
      <c r="M33" s="253" t="n">
        <f aca="false">M18</f>
        <v>0</v>
      </c>
      <c r="N33" s="253" t="n">
        <f aca="false">N18</f>
        <v>0</v>
      </c>
      <c r="O33" s="253" t="n">
        <f aca="false">O18</f>
        <v>0</v>
      </c>
      <c r="P33" s="253" t="n">
        <f aca="false">P18</f>
        <v>0</v>
      </c>
      <c r="Q33" s="253" t="n">
        <f aca="false">Q18</f>
        <v>0</v>
      </c>
      <c r="R33" s="253" t="n">
        <f aca="false">R18</f>
        <v>0</v>
      </c>
      <c r="S33" s="253" t="n">
        <f aca="false">S18</f>
        <v>0</v>
      </c>
      <c r="T33" s="253" t="n">
        <f aca="false">T18</f>
        <v>1250</v>
      </c>
      <c r="U33" s="253" t="n">
        <f aca="false">U18</f>
        <v>0</v>
      </c>
      <c r="V33" s="253" t="n">
        <f aca="false">V18</f>
        <v>1250</v>
      </c>
      <c r="W33" s="253" t="n">
        <f aca="false">W18</f>
        <v>1250</v>
      </c>
      <c r="X33" s="253" t="n">
        <f aca="false">X18</f>
        <v>1250</v>
      </c>
      <c r="Y33" s="253" t="n">
        <f aca="false">Y18</f>
        <v>0</v>
      </c>
      <c r="Z33" s="253" t="n">
        <f aca="false">Z18</f>
        <v>0</v>
      </c>
      <c r="AA33" s="248"/>
      <c r="AB33" s="248"/>
      <c r="AC33" s="248"/>
      <c r="AD33" s="184"/>
      <c r="AE33" s="258"/>
      <c r="AF33" s="258"/>
      <c r="AG33" s="258"/>
      <c r="AH33" s="258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BD33" s="242"/>
      <c r="BE33" s="242"/>
      <c r="BF33" s="184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2"/>
      <c r="BR33" s="242"/>
      <c r="BS33" s="242"/>
      <c r="BT33" s="242"/>
      <c r="BU33" s="242"/>
      <c r="BV33" s="242"/>
      <c r="BW33" s="242"/>
      <c r="BX33" s="242"/>
      <c r="BY33" s="242"/>
      <c r="BZ33" s="242"/>
      <c r="CA33" s="242"/>
      <c r="CB33" s="242"/>
      <c r="CC33" s="242"/>
      <c r="CD33" s="242"/>
      <c r="CE33" s="242"/>
      <c r="CF33" s="242"/>
      <c r="CG33" s="242"/>
      <c r="CH33" s="242"/>
      <c r="CI33" s="242"/>
      <c r="CJ33" s="242"/>
      <c r="CK33" s="242"/>
      <c r="CL33" s="242"/>
      <c r="CM33" s="242"/>
      <c r="CN33" s="242"/>
      <c r="CO33" s="242"/>
      <c r="CP33" s="242"/>
      <c r="CQ33" s="242"/>
      <c r="CR33" s="242"/>
      <c r="CS33" s="242"/>
      <c r="CT33" s="242"/>
      <c r="CU33" s="242"/>
      <c r="CV33" s="242"/>
      <c r="CW33" s="242"/>
      <c r="CX33" s="242"/>
      <c r="CY33" s="242"/>
      <c r="CZ33" s="242"/>
      <c r="DA33" s="242"/>
      <c r="DB33" s="242"/>
      <c r="DC33" s="242"/>
      <c r="DD33" s="242"/>
      <c r="DE33" s="242"/>
      <c r="DF33" s="242"/>
      <c r="DG33" s="242"/>
      <c r="DH33" s="242"/>
      <c r="DI33" s="242"/>
      <c r="DJ33" s="242"/>
      <c r="DK33" s="242"/>
      <c r="DL33" s="242"/>
      <c r="DM33" s="242"/>
      <c r="DN33" s="242"/>
      <c r="DO33" s="242"/>
      <c r="DP33" s="242"/>
      <c r="DQ33" s="242"/>
      <c r="DR33" s="242"/>
      <c r="DS33" s="242"/>
      <c r="DT33" s="242"/>
      <c r="DU33" s="242"/>
      <c r="DV33" s="242"/>
      <c r="DW33" s="242"/>
      <c r="DX33" s="242"/>
      <c r="DY33" s="242"/>
      <c r="DZ33" s="242"/>
      <c r="EA33" s="242"/>
      <c r="EB33" s="242"/>
      <c r="EC33" s="242"/>
      <c r="ED33" s="242"/>
      <c r="EE33" s="242"/>
      <c r="EF33" s="242"/>
      <c r="EG33" s="242"/>
      <c r="EH33" s="242"/>
      <c r="EI33" s="242"/>
      <c r="EJ33" s="242"/>
      <c r="EK33" s="242"/>
      <c r="EL33" s="242"/>
      <c r="EM33" s="242"/>
      <c r="EN33" s="242"/>
      <c r="EO33" s="242"/>
      <c r="EP33" s="242"/>
      <c r="EQ33" s="242"/>
      <c r="ER33" s="242"/>
      <c r="ES33" s="242"/>
      <c r="ET33" s="242"/>
      <c r="EU33" s="242"/>
      <c r="EV33" s="242"/>
      <c r="EW33" s="242"/>
      <c r="EX33" s="242"/>
      <c r="EY33" s="242"/>
      <c r="EZ33" s="242"/>
      <c r="FA33" s="242"/>
      <c r="FB33" s="242"/>
      <c r="FC33" s="242"/>
      <c r="FD33" s="242"/>
      <c r="FE33" s="242"/>
      <c r="FF33" s="242"/>
      <c r="FG33" s="242"/>
      <c r="FH33" s="242"/>
      <c r="FI33" s="242"/>
      <c r="FJ33" s="242"/>
      <c r="FK33" s="242"/>
      <c r="FL33" s="242"/>
      <c r="FM33" s="242"/>
      <c r="FN33" s="242"/>
      <c r="FO33" s="242"/>
      <c r="FP33" s="242"/>
      <c r="FQ33" s="242"/>
      <c r="FR33" s="242"/>
      <c r="FS33" s="242"/>
      <c r="FT33" s="242"/>
      <c r="FU33" s="242"/>
      <c r="FV33" s="242"/>
      <c r="FW33" s="242"/>
      <c r="FX33" s="242"/>
      <c r="FY33" s="242"/>
      <c r="FZ33" s="242"/>
      <c r="GA33" s="242"/>
      <c r="GB33" s="242"/>
      <c r="GC33" s="242"/>
      <c r="GD33" s="242"/>
      <c r="GE33" s="242"/>
      <c r="GF33" s="242"/>
      <c r="GG33" s="242"/>
      <c r="GH33" s="242"/>
      <c r="GI33" s="242"/>
      <c r="GJ33" s="242"/>
      <c r="GK33" s="242"/>
      <c r="GL33" s="242"/>
      <c r="GM33" s="242"/>
      <c r="GN33" s="242"/>
      <c r="GO33" s="242"/>
      <c r="GP33" s="242"/>
      <c r="GQ33" s="242"/>
      <c r="GR33" s="242"/>
      <c r="GS33" s="242"/>
      <c r="GT33" s="242"/>
      <c r="GU33" s="242"/>
      <c r="GV33" s="242"/>
      <c r="GW33" s="242"/>
      <c r="GX33" s="242"/>
      <c r="GY33" s="242"/>
      <c r="GZ33" s="242"/>
      <c r="HA33" s="242"/>
      <c r="HB33" s="242"/>
      <c r="HC33" s="242"/>
      <c r="HD33" s="242"/>
      <c r="HE33" s="242"/>
      <c r="HF33" s="242"/>
      <c r="HG33" s="242"/>
      <c r="HH33" s="242"/>
      <c r="HI33" s="242"/>
      <c r="HJ33" s="242"/>
      <c r="HK33" s="242"/>
      <c r="HL33" s="242"/>
      <c r="HM33" s="242"/>
      <c r="HN33" s="242"/>
      <c r="HO33" s="242"/>
      <c r="HP33" s="242"/>
      <c r="HQ33" s="242"/>
      <c r="HR33" s="242"/>
      <c r="HS33" s="242"/>
      <c r="HT33" s="242"/>
      <c r="HU33" s="242"/>
      <c r="HV33" s="242"/>
      <c r="HW33" s="242"/>
      <c r="HX33" s="242"/>
      <c r="HY33" s="242"/>
      <c r="HZ33" s="242"/>
      <c r="IA33" s="242"/>
      <c r="IB33" s="242"/>
      <c r="IC33" s="242"/>
      <c r="ID33" s="242"/>
      <c r="IE33" s="242"/>
      <c r="IF33" s="242"/>
      <c r="IG33" s="242"/>
      <c r="IH33" s="242"/>
      <c r="II33" s="242"/>
      <c r="IJ33" s="242"/>
      <c r="IK33" s="242"/>
      <c r="IL33" s="242"/>
      <c r="IM33" s="242"/>
      <c r="IN33" s="242"/>
      <c r="IO33" s="242"/>
      <c r="IP33" s="242"/>
      <c r="IQ33" s="242"/>
      <c r="IR33" s="242"/>
      <c r="IS33" s="242"/>
      <c r="IT33" s="242"/>
      <c r="IU33" s="242"/>
      <c r="IV33" s="242"/>
      <c r="IW33" s="242"/>
    </row>
    <row r="34" customFormat="false" ht="12.75" hidden="false" customHeight="true" outlineLevel="0" collapsed="false">
      <c r="A34" s="245" t="s">
        <v>278</v>
      </c>
      <c r="B34" s="245"/>
      <c r="C34" s="239"/>
      <c r="D34" s="239"/>
      <c r="E34" s="239"/>
      <c r="F34" s="239"/>
      <c r="G34" s="239"/>
      <c r="H34" s="239"/>
      <c r="I34" s="239" t="n">
        <f aca="false">H34+SUM(I24:I33)</f>
        <v>37217.4622948432</v>
      </c>
      <c r="J34" s="239" t="n">
        <f aca="false">I34+SUM(J24:J33)</f>
        <v>44552.4505395169</v>
      </c>
      <c r="K34" s="239" t="n">
        <f aca="false">J34+SUM(K24:K33)</f>
        <v>53696.7227689864</v>
      </c>
      <c r="L34" s="239" t="n">
        <f aca="false">K34+SUM(L24:L33)</f>
        <v>61106.5295946989</v>
      </c>
      <c r="M34" s="239" t="n">
        <f aca="false">L34+SUM(M24:M33)</f>
        <v>68824.1052078137</v>
      </c>
      <c r="N34" s="239" t="n">
        <f aca="false">M34+SUM(N24:N33)</f>
        <v>73358.2009492573</v>
      </c>
      <c r="O34" s="239" t="n">
        <f aca="false">N34+SUM(O24:O33)</f>
        <v>77428.5631620469</v>
      </c>
      <c r="P34" s="239" t="n">
        <f aca="false">O34+SUM(P24:P33)</f>
        <v>81137.9568848366</v>
      </c>
      <c r="Q34" s="239" t="n">
        <f aca="false">P34+SUM(Q24:Q33)</f>
        <v>86195.1725184227</v>
      </c>
      <c r="R34" s="239" t="n">
        <f aca="false">Q34+SUM(R24:R33)</f>
        <v>97908.9436702647</v>
      </c>
      <c r="S34" s="239" t="n">
        <f aca="false">R34+SUM(S24:S33)</f>
        <v>101472.916428407</v>
      </c>
      <c r="T34" s="239" t="n">
        <f aca="false">S34+SUM(T24:T33)</f>
        <v>104654.7051209</v>
      </c>
      <c r="U34" s="239" t="n">
        <f aca="false">T34+SUM(U24:U33)</f>
        <v>104899.301441731</v>
      </c>
      <c r="V34" s="239" t="n">
        <f aca="false">U34+SUM(V24:V33)</f>
        <v>107368.599081476</v>
      </c>
      <c r="W34" s="239" t="n">
        <f aca="false">V34+SUM(W24:W33)</f>
        <v>110957.046370773</v>
      </c>
      <c r="X34" s="239" t="n">
        <f aca="false">W34+SUM(X24:X33)</f>
        <v>112780.746567865</v>
      </c>
      <c r="Y34" s="239" t="n">
        <f aca="false">X34+SUM(Y24:Y33)</f>
        <v>113344.927741223</v>
      </c>
      <c r="Z34" s="239" t="n">
        <f aca="false">Y34+SUM(Z24:Z33)</f>
        <v>113344.927741223</v>
      </c>
      <c r="AA34" s="248"/>
      <c r="AB34" s="248"/>
      <c r="AC34" s="248"/>
      <c r="AD34" s="242"/>
      <c r="AE34" s="254"/>
      <c r="AF34" s="254"/>
      <c r="AG34" s="259"/>
      <c r="AH34" s="259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BD34" s="242"/>
      <c r="BE34" s="242"/>
      <c r="BF34" s="184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12.75" hidden="false" customHeight="true" outlineLevel="0" collapsed="false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8"/>
      <c r="AA35" s="248"/>
      <c r="AB35" s="248"/>
      <c r="AC35" s="248"/>
      <c r="AD35" s="184"/>
      <c r="AE35" s="260"/>
      <c r="AF35" s="260"/>
      <c r="AG35" s="260"/>
      <c r="AH35" s="260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BD35" s="242"/>
      <c r="BE35" s="242"/>
      <c r="BF35" s="184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12.75" hidden="false" customHeight="true" outlineLevel="0" collapsed="false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 t="s">
        <v>279</v>
      </c>
      <c r="V36" s="242"/>
      <c r="W36" s="239" t="n">
        <f aca="false">Z34</f>
        <v>113344.927741223</v>
      </c>
      <c r="X36" s="242"/>
      <c r="Y36" s="242"/>
      <c r="Z36" s="242"/>
      <c r="AA36" s="248"/>
      <c r="AB36" s="248"/>
      <c r="AC36" s="248"/>
      <c r="AD36" s="184"/>
      <c r="AE36" s="261"/>
      <c r="AF36" s="261"/>
      <c r="AG36" s="261"/>
      <c r="AH36" s="261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BD36" s="242"/>
      <c r="BE36" s="242"/>
      <c r="BF36" s="184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13.5" hidden="false" customHeight="true" outlineLevel="0" collapsed="false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8"/>
      <c r="AB37" s="248"/>
      <c r="AC37" s="168"/>
      <c r="AD37" s="184"/>
      <c r="AE37" s="184"/>
      <c r="AF37" s="184"/>
      <c r="AG37" s="184"/>
      <c r="AH37" s="18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BD37" s="242"/>
      <c r="BE37" s="242"/>
      <c r="BF37" s="184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13.5" hidden="false" customHeight="true" outlineLevel="0" collapsed="false">
      <c r="A38" s="245" t="s">
        <v>280</v>
      </c>
      <c r="B38" s="255" t="n">
        <f aca="false">'Project Assumptions'!$I$37</f>
        <v>0.03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8"/>
      <c r="AA38" s="248"/>
      <c r="AB38" s="248"/>
      <c r="AC38" s="248"/>
      <c r="AD38" s="242"/>
      <c r="AE38" s="256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BD38" s="242"/>
      <c r="BE38" s="242"/>
      <c r="BF38" s="184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12.75" hidden="false" customHeight="true" outlineLevel="0" collapsed="false">
      <c r="A39" s="248" t="s">
        <v>265</v>
      </c>
      <c r="B39" s="248"/>
      <c r="C39" s="239"/>
      <c r="D39" s="239"/>
      <c r="E39" s="239"/>
      <c r="F39" s="239"/>
      <c r="G39" s="239"/>
      <c r="H39" s="239"/>
      <c r="I39" s="239" t="n">
        <f aca="false">(SUM(C9:I9)*$B$38)</f>
        <v>77.11245</v>
      </c>
      <c r="J39" s="239" t="n">
        <f aca="false">J9*$B$38</f>
        <v>61.86186</v>
      </c>
      <c r="K39" s="239" t="n">
        <f aca="false">K9*$B$38</f>
        <v>55.20768</v>
      </c>
      <c r="L39" s="239" t="n">
        <f aca="false">L9*$B$38</f>
        <v>69.17046</v>
      </c>
      <c r="M39" s="239" t="n">
        <f aca="false">M9*$B$38</f>
        <v>77.81307</v>
      </c>
      <c r="N39" s="239" t="n">
        <f aca="false">N9*$B$38</f>
        <v>66.38586</v>
      </c>
      <c r="O39" s="239" t="n">
        <f aca="false">O9*$B$38</f>
        <v>46.20054</v>
      </c>
      <c r="P39" s="239" t="n">
        <f aca="false">P9*$B$38</f>
        <v>33.99615</v>
      </c>
      <c r="Q39" s="239" t="n">
        <f aca="false">Q9*$B$38</f>
        <v>36.07482</v>
      </c>
      <c r="R39" s="239" t="n">
        <f aca="false">R9*$B$38</f>
        <v>88.26645</v>
      </c>
      <c r="S39" s="239" t="n">
        <f aca="false">S9*$B$38</f>
        <v>27.35082</v>
      </c>
      <c r="T39" s="239" t="n">
        <f aca="false">T9*$B$38</f>
        <v>27.53472</v>
      </c>
      <c r="U39" s="239" t="n">
        <f aca="false">U9*$B$38</f>
        <v>0</v>
      </c>
      <c r="V39" s="239" t="n">
        <f aca="false">V9*$B$38</f>
        <v>28.50324</v>
      </c>
      <c r="W39" s="239" t="n">
        <f aca="false">W9*$B$38</f>
        <v>55.69911</v>
      </c>
      <c r="X39" s="239" t="n">
        <f aca="false">X9*$B$38</f>
        <v>0</v>
      </c>
      <c r="Y39" s="239" t="n">
        <f aca="false">Y9*$B$38</f>
        <v>0</v>
      </c>
      <c r="Z39" s="239" t="n">
        <f aca="false">Z9*$B$38</f>
        <v>0</v>
      </c>
      <c r="AA39" s="248"/>
      <c r="AB39" s="248"/>
      <c r="AC39" s="248"/>
      <c r="AD39" s="242"/>
      <c r="AE39" s="256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BD39" s="242"/>
      <c r="BE39" s="242"/>
      <c r="BF39" s="184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15" hidden="false" customHeight="true" outlineLevel="0" collapsed="false">
      <c r="A40" s="248" t="s">
        <v>266</v>
      </c>
      <c r="B40" s="248"/>
      <c r="C40" s="250"/>
      <c r="D40" s="250"/>
      <c r="E40" s="250"/>
      <c r="F40" s="250"/>
      <c r="G40" s="250"/>
      <c r="H40" s="250"/>
      <c r="I40" s="251" t="n">
        <f aca="false">(SUM(C10:I10)*$B$38)</f>
        <v>948.086466</v>
      </c>
      <c r="J40" s="250" t="n">
        <f aca="false">J10*$B$38</f>
        <v>88.5820859999997</v>
      </c>
      <c r="K40" s="250" t="n">
        <f aca="false">K10*$B$38</f>
        <v>88.5820859999997</v>
      </c>
      <c r="L40" s="250" t="n">
        <f aca="false">L10*$B$38</f>
        <v>88.5820859999997</v>
      </c>
      <c r="M40" s="250" t="n">
        <f aca="false">M10*$B$38</f>
        <v>88.5820859999997</v>
      </c>
      <c r="N40" s="250" t="n">
        <f aca="false">N10*$B$38</f>
        <v>0</v>
      </c>
      <c r="O40" s="250" t="n">
        <f aca="false">O10*$B$38</f>
        <v>0</v>
      </c>
      <c r="P40" s="250" t="n">
        <f aca="false">P10*$B$38</f>
        <v>0</v>
      </c>
      <c r="Q40" s="250" t="n">
        <f aca="false">Q10*$B$38</f>
        <v>0</v>
      </c>
      <c r="R40" s="250" t="n">
        <f aca="false">R10*$B$38</f>
        <v>0</v>
      </c>
      <c r="S40" s="250" t="n">
        <f aca="false">S10*$B$38</f>
        <v>0</v>
      </c>
      <c r="T40" s="250" t="n">
        <f aca="false">T10*$B$38</f>
        <v>0</v>
      </c>
      <c r="U40" s="250" t="n">
        <f aca="false">U10*$B$38</f>
        <v>0</v>
      </c>
      <c r="V40" s="250" t="n">
        <f aca="false">V10*$B$38</f>
        <v>0</v>
      </c>
      <c r="W40" s="250" t="n">
        <f aca="false">W10*$B$38</f>
        <v>0</v>
      </c>
      <c r="X40" s="250" t="n">
        <f aca="false">X10*$B$38</f>
        <v>0</v>
      </c>
      <c r="Y40" s="250" t="n">
        <f aca="false">Y10*$B$38</f>
        <v>0</v>
      </c>
      <c r="Z40" s="250" t="n">
        <f aca="false">Z10*$B$38</f>
        <v>0</v>
      </c>
      <c r="AA40" s="248"/>
      <c r="AB40" s="248"/>
      <c r="AC40" s="248"/>
      <c r="AD40" s="242"/>
      <c r="AE40" s="262"/>
      <c r="AF40" s="257"/>
      <c r="AG40" s="257"/>
      <c r="AH40" s="257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BD40" s="242"/>
      <c r="BE40" s="242"/>
      <c r="BF40" s="184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42"/>
      <c r="DO40" s="242"/>
      <c r="DP40" s="242"/>
      <c r="DQ40" s="242"/>
      <c r="DR40" s="242"/>
      <c r="DS40" s="242"/>
      <c r="DT40" s="242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2"/>
      <c r="EL40" s="242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242"/>
      <c r="EX40" s="242"/>
      <c r="EY40" s="242"/>
      <c r="EZ40" s="242"/>
      <c r="FA40" s="242"/>
      <c r="FB40" s="242"/>
      <c r="FC40" s="242"/>
      <c r="FD40" s="242"/>
      <c r="FE40" s="242"/>
      <c r="FF40" s="242"/>
      <c r="FG40" s="242"/>
      <c r="FH40" s="242"/>
      <c r="FI40" s="242"/>
      <c r="FJ40" s="242"/>
      <c r="FK40" s="242"/>
      <c r="FL40" s="242"/>
      <c r="FM40" s="242"/>
      <c r="FN40" s="242"/>
      <c r="FO40" s="242"/>
      <c r="FP40" s="242"/>
      <c r="FQ40" s="242"/>
      <c r="FR40" s="242"/>
      <c r="FS40" s="242"/>
      <c r="FT40" s="242"/>
      <c r="FU40" s="242"/>
      <c r="FV40" s="242"/>
      <c r="FW40" s="242"/>
      <c r="FX40" s="242"/>
      <c r="FY40" s="242"/>
      <c r="FZ40" s="242"/>
      <c r="GA40" s="242"/>
      <c r="GB40" s="242"/>
      <c r="GC40" s="242"/>
      <c r="GD40" s="242"/>
      <c r="GE40" s="242"/>
      <c r="GF40" s="242"/>
      <c r="GG40" s="242"/>
      <c r="GH40" s="242"/>
      <c r="GI40" s="242"/>
      <c r="GJ40" s="242"/>
      <c r="GK40" s="242"/>
      <c r="GL40" s="242"/>
      <c r="GM40" s="242"/>
      <c r="GN40" s="242"/>
      <c r="GO40" s="242"/>
      <c r="GP40" s="242"/>
      <c r="GQ40" s="242"/>
      <c r="GR40" s="242"/>
      <c r="GS40" s="242"/>
      <c r="GT40" s="242"/>
      <c r="GU40" s="242"/>
      <c r="GV40" s="242"/>
      <c r="GW40" s="242"/>
      <c r="GX40" s="242"/>
      <c r="GY40" s="242"/>
      <c r="GZ40" s="242"/>
      <c r="HA40" s="242"/>
      <c r="HB40" s="242"/>
      <c r="HC40" s="242"/>
      <c r="HD40" s="242"/>
      <c r="HE40" s="242"/>
      <c r="HF40" s="242"/>
      <c r="HG40" s="242"/>
      <c r="HH40" s="242"/>
      <c r="HI40" s="242"/>
      <c r="HJ40" s="242"/>
      <c r="HK40" s="242"/>
      <c r="HL40" s="242"/>
      <c r="HM40" s="242"/>
      <c r="HN40" s="242"/>
      <c r="HO40" s="242"/>
      <c r="HP40" s="242"/>
      <c r="HQ40" s="242"/>
      <c r="HR40" s="242"/>
      <c r="HS40" s="242"/>
      <c r="HT40" s="242"/>
      <c r="HU40" s="242"/>
      <c r="HV40" s="242"/>
      <c r="HW40" s="242"/>
      <c r="HX40" s="242"/>
      <c r="HY40" s="242"/>
      <c r="HZ40" s="242"/>
      <c r="IA40" s="242"/>
      <c r="IB40" s="242"/>
      <c r="IC40" s="242"/>
      <c r="ID40" s="242"/>
      <c r="IE40" s="242"/>
      <c r="IF40" s="242"/>
      <c r="IG40" s="242"/>
      <c r="IH40" s="242"/>
      <c r="II40" s="242"/>
      <c r="IJ40" s="242"/>
      <c r="IK40" s="242"/>
      <c r="IL40" s="242"/>
      <c r="IM40" s="242"/>
      <c r="IN40" s="242"/>
      <c r="IO40" s="242"/>
      <c r="IP40" s="242"/>
      <c r="IQ40" s="242"/>
      <c r="IR40" s="242"/>
      <c r="IS40" s="242"/>
      <c r="IT40" s="242"/>
      <c r="IU40" s="242"/>
      <c r="IV40" s="242"/>
      <c r="IW40" s="242"/>
    </row>
    <row r="41" customFormat="false" ht="12.75" hidden="false" customHeight="true" outlineLevel="0" collapsed="false">
      <c r="A41" s="248" t="s">
        <v>267</v>
      </c>
      <c r="B41" s="248"/>
      <c r="C41" s="250"/>
      <c r="D41" s="250"/>
      <c r="E41" s="250"/>
      <c r="F41" s="250"/>
      <c r="G41" s="250"/>
      <c r="H41" s="250"/>
      <c r="I41" s="251" t="n">
        <f aca="false">(SUM(C11:I11)*$B$38)</f>
        <v>223.1856</v>
      </c>
      <c r="J41" s="250" t="n">
        <f aca="false">J11*$B$38</f>
        <v>60.8688</v>
      </c>
      <c r="K41" s="250" t="n">
        <f aca="false">K11*$B$38</f>
        <v>60.8688</v>
      </c>
      <c r="L41" s="250" t="n">
        <f aca="false">L11*$B$38</f>
        <v>60.8688</v>
      </c>
      <c r="M41" s="250" t="n">
        <f aca="false">M11*$B$38</f>
        <v>60.8688</v>
      </c>
      <c r="N41" s="250" t="n">
        <f aca="false">N11*$B$38</f>
        <v>60.8688</v>
      </c>
      <c r="O41" s="250" t="n">
        <f aca="false">O11*$B$38</f>
        <v>60.8688</v>
      </c>
      <c r="P41" s="250" t="n">
        <f aca="false">P11*$B$38</f>
        <v>60.8688</v>
      </c>
      <c r="Q41" s="250" t="n">
        <f aca="false">Q11*$B$38</f>
        <v>60.8688</v>
      </c>
      <c r="R41" s="250" t="n">
        <f aca="false">R11*$B$38</f>
        <v>253.62</v>
      </c>
      <c r="S41" s="250" t="n">
        <f aca="false">S11*$B$38</f>
        <v>50.724</v>
      </c>
      <c r="T41" s="250" t="n">
        <f aca="false">T11*$B$38</f>
        <v>0</v>
      </c>
      <c r="U41" s="250" t="n">
        <f aca="false">U11*$B$38</f>
        <v>0</v>
      </c>
      <c r="V41" s="250" t="n">
        <f aca="false">V11*$B$38</f>
        <v>0</v>
      </c>
      <c r="W41" s="250" t="n">
        <f aca="false">W11*$B$38</f>
        <v>0</v>
      </c>
      <c r="X41" s="250" t="n">
        <f aca="false">X11*$B$38</f>
        <v>0</v>
      </c>
      <c r="Y41" s="250" t="n">
        <f aca="false">Y11*$B$38</f>
        <v>0</v>
      </c>
      <c r="Z41" s="250" t="n">
        <f aca="false">Z11*$B$38</f>
        <v>0</v>
      </c>
      <c r="AA41" s="248"/>
      <c r="AB41" s="248"/>
      <c r="AC41" s="248"/>
      <c r="AD41" s="242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BD41" s="242"/>
      <c r="BE41" s="242"/>
      <c r="BF41" s="184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  <c r="DC41" s="242"/>
      <c r="DD41" s="242"/>
      <c r="DE41" s="242"/>
      <c r="DF41" s="242"/>
      <c r="DG41" s="242"/>
      <c r="DH41" s="242"/>
      <c r="DI41" s="242"/>
      <c r="DJ41" s="242"/>
      <c r="DK41" s="242"/>
      <c r="DL41" s="242"/>
      <c r="DM41" s="242"/>
      <c r="DN41" s="242"/>
      <c r="DO41" s="242"/>
      <c r="DP41" s="242"/>
      <c r="DQ41" s="242"/>
      <c r="DR41" s="242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242"/>
      <c r="EE41" s="242"/>
      <c r="EF41" s="242"/>
      <c r="EG41" s="242"/>
      <c r="EH41" s="242"/>
      <c r="EI41" s="242"/>
      <c r="EJ41" s="242"/>
      <c r="EK41" s="242"/>
      <c r="EL41" s="242"/>
      <c r="EM41" s="242"/>
      <c r="EN41" s="242"/>
      <c r="EO41" s="242"/>
      <c r="EP41" s="242"/>
      <c r="EQ41" s="242"/>
      <c r="ER41" s="242"/>
      <c r="ES41" s="242"/>
      <c r="ET41" s="242"/>
      <c r="EU41" s="242"/>
      <c r="EV41" s="242"/>
      <c r="EW41" s="242"/>
      <c r="EX41" s="242"/>
      <c r="EY41" s="242"/>
      <c r="EZ41" s="242"/>
      <c r="FA41" s="242"/>
      <c r="FB41" s="242"/>
      <c r="FC41" s="242"/>
      <c r="FD41" s="242"/>
      <c r="FE41" s="242"/>
      <c r="FF41" s="242"/>
      <c r="FG41" s="242"/>
      <c r="FH41" s="242"/>
      <c r="FI41" s="242"/>
      <c r="FJ41" s="242"/>
      <c r="FK41" s="242"/>
      <c r="FL41" s="242"/>
      <c r="FM41" s="242"/>
      <c r="FN41" s="242"/>
      <c r="FO41" s="242"/>
      <c r="FP41" s="242"/>
      <c r="FQ41" s="242"/>
      <c r="FR41" s="242"/>
      <c r="FS41" s="242"/>
      <c r="FT41" s="242"/>
      <c r="FU41" s="242"/>
      <c r="FV41" s="242"/>
      <c r="FW41" s="242"/>
      <c r="FX41" s="242"/>
      <c r="FY41" s="242"/>
      <c r="FZ41" s="242"/>
      <c r="GA41" s="242"/>
      <c r="GB41" s="242"/>
      <c r="GC41" s="242"/>
      <c r="GD41" s="242"/>
      <c r="GE41" s="242"/>
      <c r="GF41" s="242"/>
      <c r="GG41" s="242"/>
      <c r="GH41" s="242"/>
      <c r="GI41" s="242"/>
      <c r="GJ41" s="242"/>
      <c r="GK41" s="242"/>
      <c r="GL41" s="242"/>
      <c r="GM41" s="242"/>
      <c r="GN41" s="242"/>
      <c r="GO41" s="242"/>
      <c r="GP41" s="242"/>
      <c r="GQ41" s="242"/>
      <c r="GR41" s="242"/>
      <c r="GS41" s="242"/>
      <c r="GT41" s="242"/>
      <c r="GU41" s="242"/>
      <c r="GV41" s="242"/>
      <c r="GW41" s="242"/>
      <c r="GX41" s="242"/>
      <c r="GY41" s="242"/>
      <c r="GZ41" s="242"/>
      <c r="HA41" s="242"/>
      <c r="HB41" s="242"/>
      <c r="HC41" s="242"/>
      <c r="HD41" s="242"/>
      <c r="HE41" s="242"/>
      <c r="HF41" s="242"/>
      <c r="HG41" s="242"/>
      <c r="HH41" s="242"/>
      <c r="HI41" s="242"/>
      <c r="HJ41" s="242"/>
      <c r="HK41" s="242"/>
      <c r="HL41" s="242"/>
      <c r="HM41" s="242"/>
      <c r="HN41" s="242"/>
      <c r="HO41" s="242"/>
      <c r="HP41" s="242"/>
      <c r="HQ41" s="242"/>
      <c r="HR41" s="242"/>
      <c r="HS41" s="242"/>
      <c r="HT41" s="242"/>
      <c r="HU41" s="242"/>
      <c r="HV41" s="242"/>
      <c r="HW41" s="242"/>
      <c r="HX41" s="242"/>
      <c r="HY41" s="242"/>
      <c r="HZ41" s="242"/>
      <c r="IA41" s="242"/>
      <c r="IB41" s="242"/>
      <c r="IC41" s="242"/>
      <c r="ID41" s="242"/>
      <c r="IE41" s="242"/>
      <c r="IF41" s="242"/>
      <c r="IG41" s="242"/>
      <c r="IH41" s="242"/>
      <c r="II41" s="242"/>
      <c r="IJ41" s="242"/>
      <c r="IK41" s="242"/>
      <c r="IL41" s="242"/>
      <c r="IM41" s="242"/>
      <c r="IN41" s="242"/>
      <c r="IO41" s="242"/>
      <c r="IP41" s="242"/>
      <c r="IQ41" s="242"/>
      <c r="IR41" s="242"/>
      <c r="IS41" s="242"/>
      <c r="IT41" s="242"/>
      <c r="IU41" s="242"/>
      <c r="IV41" s="242"/>
      <c r="IW41" s="242"/>
    </row>
    <row r="42" customFormat="false" ht="12.75" hidden="false" customHeight="true" outlineLevel="0" collapsed="false">
      <c r="A42" s="248" t="s">
        <v>268</v>
      </c>
      <c r="B42" s="248"/>
      <c r="C42" s="250"/>
      <c r="D42" s="250"/>
      <c r="E42" s="250"/>
      <c r="F42" s="250"/>
      <c r="G42" s="250"/>
      <c r="H42" s="250"/>
      <c r="I42" s="251" t="n">
        <f aca="false">(SUM(C12:I12)*$B$38)</f>
        <v>34.05</v>
      </c>
      <c r="J42" s="250" t="n">
        <f aca="false">J12*$B$38</f>
        <v>7.35</v>
      </c>
      <c r="K42" s="250" t="n">
        <f aca="false">K12*$B$38</f>
        <v>7.35</v>
      </c>
      <c r="L42" s="250" t="n">
        <f aca="false">L12*$B$38</f>
        <v>0</v>
      </c>
      <c r="M42" s="250" t="n">
        <f aca="false">M12*$B$38</f>
        <v>0</v>
      </c>
      <c r="N42" s="250" t="n">
        <f aca="false">N12*$B$38</f>
        <v>0</v>
      </c>
      <c r="O42" s="250" t="n">
        <f aca="false">O12*$B$38</f>
        <v>5.48363499999999</v>
      </c>
      <c r="P42" s="250" t="n">
        <f aca="false">P12*$B$38</f>
        <v>5.483635</v>
      </c>
      <c r="Q42" s="250" t="n">
        <f aca="false">Q12*$B$38</f>
        <v>5.483635</v>
      </c>
      <c r="R42" s="250" t="n">
        <f aca="false">R12*$B$38</f>
        <v>5.483635</v>
      </c>
      <c r="S42" s="250" t="n">
        <f aca="false">S12*$B$38</f>
        <v>14.483635</v>
      </c>
      <c r="T42" s="250" t="n">
        <f aca="false">T12*$B$38</f>
        <v>14.483635</v>
      </c>
      <c r="U42" s="250" t="n">
        <f aca="false">U12*$B$38</f>
        <v>0</v>
      </c>
      <c r="V42" s="250" t="n">
        <f aca="false">V12*$B$38</f>
        <v>0</v>
      </c>
      <c r="W42" s="250" t="n">
        <f aca="false">W12*$B$38</f>
        <v>0</v>
      </c>
      <c r="X42" s="250" t="n">
        <f aca="false">X12*$B$38</f>
        <v>0</v>
      </c>
      <c r="Y42" s="250" t="n">
        <f aca="false">Y12*$B$38</f>
        <v>0</v>
      </c>
      <c r="Z42" s="250" t="n">
        <f aca="false">Z12*$B$38</f>
        <v>0</v>
      </c>
      <c r="AA42" s="248"/>
      <c r="AB42" s="248"/>
      <c r="AC42" s="248"/>
      <c r="AD42" s="242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BD42" s="242"/>
      <c r="BE42" s="242"/>
      <c r="BF42" s="184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12.75" hidden="false" customHeight="true" outlineLevel="0" collapsed="false">
      <c r="A43" s="248" t="s">
        <v>269</v>
      </c>
      <c r="B43" s="248"/>
      <c r="C43" s="250"/>
      <c r="D43" s="250"/>
      <c r="E43" s="250"/>
      <c r="F43" s="250"/>
      <c r="G43" s="250"/>
      <c r="H43" s="250"/>
      <c r="I43" s="251" t="n">
        <f aca="false">(SUM(C13:I13)*$B$38)</f>
        <v>0</v>
      </c>
      <c r="J43" s="250" t="n">
        <f aca="false">J13*$B$38</f>
        <v>0</v>
      </c>
      <c r="K43" s="250" t="n">
        <f aca="false">K13*$B$38</f>
        <v>61.1301</v>
      </c>
      <c r="L43" s="250" t="n">
        <f aca="false">L13*$B$38</f>
        <v>0</v>
      </c>
      <c r="M43" s="250" t="n">
        <f aca="false">M13*$B$38</f>
        <v>0</v>
      </c>
      <c r="N43" s="250" t="n">
        <f aca="false">N13*$B$38</f>
        <v>0</v>
      </c>
      <c r="O43" s="250" t="n">
        <f aca="false">O13*$B$38</f>
        <v>0</v>
      </c>
      <c r="P43" s="250" t="n">
        <f aca="false">P13*$B$38</f>
        <v>0</v>
      </c>
      <c r="Q43" s="250" t="n">
        <f aca="false">Q13*$B$38</f>
        <v>39</v>
      </c>
      <c r="R43" s="250" t="n">
        <f aca="false">R13*$B$38</f>
        <v>0</v>
      </c>
      <c r="S43" s="250" t="n">
        <f aca="false">S13*$B$38</f>
        <v>0</v>
      </c>
      <c r="T43" s="250" t="n">
        <f aca="false">T13*$B$38</f>
        <v>0</v>
      </c>
      <c r="U43" s="250" t="n">
        <f aca="false">U13*$B$38</f>
        <v>0</v>
      </c>
      <c r="V43" s="250" t="n">
        <f aca="false">V13*$B$38</f>
        <v>0</v>
      </c>
      <c r="W43" s="250" t="n">
        <f aca="false">W13*$B$38</f>
        <v>0</v>
      </c>
      <c r="X43" s="250" t="n">
        <f aca="false">X13*$B$38</f>
        <v>0</v>
      </c>
      <c r="Y43" s="250" t="n">
        <f aca="false">Y13*$B$38</f>
        <v>0</v>
      </c>
      <c r="Z43" s="250" t="n">
        <f aca="false">Z13*$B$38</f>
        <v>0</v>
      </c>
      <c r="AA43" s="248"/>
      <c r="AB43" s="248"/>
      <c r="AC43" s="248"/>
      <c r="AD43" s="184"/>
      <c r="AE43" s="260"/>
      <c r="AF43" s="260"/>
      <c r="AG43" s="260"/>
      <c r="AH43" s="260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BD43" s="242"/>
      <c r="BE43" s="242"/>
      <c r="BF43" s="184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  <c r="DB43" s="242"/>
      <c r="DC43" s="242"/>
      <c r="DD43" s="242"/>
      <c r="DE43" s="242"/>
      <c r="DF43" s="242"/>
      <c r="DG43" s="242"/>
      <c r="DH43" s="242"/>
      <c r="DI43" s="242"/>
      <c r="DJ43" s="242"/>
      <c r="DK43" s="242"/>
      <c r="DL43" s="242"/>
      <c r="DM43" s="242"/>
      <c r="DN43" s="242"/>
      <c r="DO43" s="242"/>
      <c r="DP43" s="242"/>
      <c r="DQ43" s="242"/>
      <c r="DR43" s="242"/>
      <c r="DS43" s="242"/>
      <c r="DT43" s="242"/>
      <c r="DU43" s="242"/>
      <c r="DV43" s="242"/>
      <c r="DW43" s="242"/>
      <c r="DX43" s="242"/>
      <c r="DY43" s="242"/>
      <c r="DZ43" s="242"/>
      <c r="EA43" s="242"/>
      <c r="EB43" s="242"/>
      <c r="EC43" s="242"/>
      <c r="ED43" s="242"/>
      <c r="EE43" s="242"/>
      <c r="EF43" s="242"/>
      <c r="EG43" s="242"/>
      <c r="EH43" s="242"/>
      <c r="EI43" s="242"/>
      <c r="EJ43" s="242"/>
      <c r="EK43" s="242"/>
      <c r="EL43" s="242"/>
      <c r="EM43" s="242"/>
      <c r="EN43" s="242"/>
      <c r="EO43" s="242"/>
      <c r="EP43" s="242"/>
      <c r="EQ43" s="242"/>
      <c r="ER43" s="242"/>
      <c r="ES43" s="242"/>
      <c r="ET43" s="242"/>
      <c r="EU43" s="242"/>
      <c r="EV43" s="242"/>
      <c r="EW43" s="242"/>
      <c r="EX43" s="242"/>
      <c r="EY43" s="242"/>
      <c r="EZ43" s="242"/>
      <c r="FA43" s="242"/>
      <c r="FB43" s="242"/>
      <c r="FC43" s="242"/>
      <c r="FD43" s="242"/>
      <c r="FE43" s="242"/>
      <c r="FF43" s="242"/>
      <c r="FG43" s="242"/>
      <c r="FH43" s="242"/>
      <c r="FI43" s="242"/>
      <c r="FJ43" s="242"/>
      <c r="FK43" s="242"/>
      <c r="FL43" s="242"/>
      <c r="FM43" s="242"/>
      <c r="FN43" s="242"/>
      <c r="FO43" s="242"/>
      <c r="FP43" s="242"/>
      <c r="FQ43" s="242"/>
      <c r="FR43" s="242"/>
      <c r="FS43" s="242"/>
      <c r="FT43" s="242"/>
      <c r="FU43" s="242"/>
      <c r="FV43" s="242"/>
      <c r="FW43" s="242"/>
      <c r="FX43" s="242"/>
      <c r="FY43" s="242"/>
      <c r="FZ43" s="242"/>
      <c r="GA43" s="242"/>
      <c r="GB43" s="242"/>
      <c r="GC43" s="242"/>
      <c r="GD43" s="242"/>
      <c r="GE43" s="242"/>
      <c r="GF43" s="242"/>
      <c r="GG43" s="242"/>
      <c r="GH43" s="242"/>
      <c r="GI43" s="242"/>
      <c r="GJ43" s="242"/>
      <c r="GK43" s="242"/>
      <c r="GL43" s="242"/>
      <c r="GM43" s="242"/>
      <c r="GN43" s="242"/>
      <c r="GO43" s="242"/>
      <c r="GP43" s="242"/>
      <c r="GQ43" s="242"/>
      <c r="GR43" s="242"/>
      <c r="GS43" s="242"/>
      <c r="GT43" s="242"/>
      <c r="GU43" s="242"/>
      <c r="GV43" s="242"/>
      <c r="GW43" s="242"/>
      <c r="GX43" s="242"/>
      <c r="GY43" s="242"/>
      <c r="GZ43" s="242"/>
      <c r="HA43" s="242"/>
      <c r="HB43" s="242"/>
      <c r="HC43" s="242"/>
      <c r="HD43" s="242"/>
      <c r="HE43" s="242"/>
      <c r="HF43" s="242"/>
      <c r="HG43" s="242"/>
      <c r="HH43" s="242"/>
      <c r="HI43" s="242"/>
      <c r="HJ43" s="242"/>
      <c r="HK43" s="242"/>
      <c r="HL43" s="242"/>
      <c r="HM43" s="242"/>
      <c r="HN43" s="242"/>
      <c r="HO43" s="242"/>
      <c r="HP43" s="242"/>
      <c r="HQ43" s="242"/>
      <c r="HR43" s="242"/>
      <c r="HS43" s="242"/>
      <c r="HT43" s="242"/>
      <c r="HU43" s="242"/>
      <c r="HV43" s="242"/>
      <c r="HW43" s="242"/>
      <c r="HX43" s="242"/>
      <c r="HY43" s="242"/>
      <c r="HZ43" s="242"/>
      <c r="IA43" s="242"/>
      <c r="IB43" s="242"/>
      <c r="IC43" s="242"/>
      <c r="ID43" s="242"/>
      <c r="IE43" s="242"/>
      <c r="IF43" s="242"/>
      <c r="IG43" s="242"/>
      <c r="IH43" s="242"/>
      <c r="II43" s="242"/>
      <c r="IJ43" s="242"/>
      <c r="IK43" s="242"/>
      <c r="IL43" s="242"/>
      <c r="IM43" s="242"/>
      <c r="IN43" s="242"/>
      <c r="IO43" s="242"/>
      <c r="IP43" s="242"/>
      <c r="IQ43" s="242"/>
      <c r="IR43" s="242"/>
      <c r="IS43" s="242"/>
      <c r="IT43" s="242"/>
      <c r="IU43" s="242"/>
      <c r="IV43" s="242"/>
      <c r="IW43" s="242"/>
    </row>
    <row r="44" customFormat="false" ht="12.75" hidden="false" customHeight="true" outlineLevel="0" collapsed="false">
      <c r="A44" s="248" t="s">
        <v>270</v>
      </c>
      <c r="B44" s="248"/>
      <c r="C44" s="250"/>
      <c r="D44" s="250"/>
      <c r="E44" s="250"/>
      <c r="F44" s="250"/>
      <c r="G44" s="250"/>
      <c r="H44" s="250"/>
      <c r="I44" s="251" t="n">
        <f aca="false">(SUM(C14:I14)*$B$38)</f>
        <v>-4.38406321116297</v>
      </c>
      <c r="J44" s="250" t="n">
        <f aca="false">J14*$B$38</f>
        <v>-4.38406321116297</v>
      </c>
      <c r="K44" s="250" t="n">
        <f aca="false">K14*$B$38</f>
        <v>-4.38406321116297</v>
      </c>
      <c r="L44" s="250" t="n">
        <f aca="false">L14*$B$38</f>
        <v>-4.38406321116297</v>
      </c>
      <c r="M44" s="250" t="n">
        <f aca="false">M14*$B$38</f>
        <v>-4.38406321116297</v>
      </c>
      <c r="N44" s="250" t="n">
        <f aca="false">N14*$B$38</f>
        <v>-4.38406321116297</v>
      </c>
      <c r="O44" s="250" t="n">
        <f aca="false">O14*$B$38</f>
        <v>-4.38406321116297</v>
      </c>
      <c r="P44" s="250" t="n">
        <f aca="false">P14*$B$38</f>
        <v>-4.38406321116297</v>
      </c>
      <c r="Q44" s="250" t="n">
        <f aca="false">Q14*$B$38</f>
        <v>-4.38406321116297</v>
      </c>
      <c r="R44" s="250" t="n">
        <f aca="false">R14*$B$38</f>
        <v>-4.38406321116297</v>
      </c>
      <c r="S44" s="250" t="n">
        <f aca="false">S14*$B$38</f>
        <v>-4.38406321116297</v>
      </c>
      <c r="T44" s="250" t="n">
        <f aca="false">T14*$B$38</f>
        <v>-4.38406321116297</v>
      </c>
      <c r="U44" s="250" t="n">
        <f aca="false">U14*$B$38</f>
        <v>0</v>
      </c>
      <c r="V44" s="250" t="n">
        <f aca="false">V14*$B$38</f>
        <v>0</v>
      </c>
      <c r="W44" s="250" t="n">
        <f aca="false">W14*$B$38</f>
        <v>0</v>
      </c>
      <c r="X44" s="250" t="n">
        <f aca="false">X14*$B$38</f>
        <v>0</v>
      </c>
      <c r="Y44" s="250" t="n">
        <f aca="false">Y14*$B$38</f>
        <v>0</v>
      </c>
      <c r="Z44" s="250" t="n">
        <f aca="false">Z14*$B$38</f>
        <v>0</v>
      </c>
      <c r="AA44" s="248"/>
      <c r="AB44" s="248"/>
      <c r="AC44" s="248"/>
      <c r="AD44" s="226"/>
      <c r="AE44" s="239"/>
      <c r="AF44" s="239"/>
      <c r="AG44" s="239"/>
      <c r="AH44" s="239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BD44" s="242"/>
      <c r="BE44" s="242"/>
      <c r="BF44" s="184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242"/>
      <c r="BZ44" s="242"/>
      <c r="CA44" s="242"/>
      <c r="CB44" s="242"/>
      <c r="CC44" s="242"/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42"/>
      <c r="DA44" s="242"/>
      <c r="DB44" s="242"/>
      <c r="DC44" s="242"/>
      <c r="DD44" s="242"/>
      <c r="DE44" s="242"/>
      <c r="DF44" s="242"/>
      <c r="DG44" s="242"/>
      <c r="DH44" s="242"/>
      <c r="DI44" s="242"/>
      <c r="DJ44" s="242"/>
      <c r="DK44" s="242"/>
      <c r="DL44" s="242"/>
      <c r="DM44" s="242"/>
      <c r="DN44" s="242"/>
      <c r="DO44" s="242"/>
      <c r="DP44" s="242"/>
      <c r="DQ44" s="242"/>
      <c r="DR44" s="242"/>
      <c r="DS44" s="242"/>
      <c r="DT44" s="242"/>
      <c r="DU44" s="242"/>
      <c r="DV44" s="242"/>
      <c r="DW44" s="242"/>
      <c r="DX44" s="242"/>
      <c r="DY44" s="242"/>
      <c r="DZ44" s="242"/>
      <c r="EA44" s="242"/>
      <c r="EB44" s="242"/>
      <c r="EC44" s="242"/>
      <c r="ED44" s="242"/>
      <c r="EE44" s="242"/>
      <c r="EF44" s="242"/>
      <c r="EG44" s="242"/>
      <c r="EH44" s="242"/>
      <c r="EI44" s="242"/>
      <c r="EJ44" s="242"/>
      <c r="EK44" s="242"/>
      <c r="EL44" s="242"/>
      <c r="EM44" s="242"/>
      <c r="EN44" s="242"/>
      <c r="EO44" s="242"/>
      <c r="EP44" s="242"/>
      <c r="EQ44" s="242"/>
      <c r="ER44" s="242"/>
      <c r="ES44" s="242"/>
      <c r="ET44" s="242"/>
      <c r="EU44" s="242"/>
      <c r="EV44" s="242"/>
      <c r="EW44" s="242"/>
      <c r="EX44" s="242"/>
      <c r="EY44" s="242"/>
      <c r="EZ44" s="242"/>
      <c r="FA44" s="242"/>
      <c r="FB44" s="242"/>
      <c r="FC44" s="242"/>
      <c r="FD44" s="242"/>
      <c r="FE44" s="242"/>
      <c r="FF44" s="242"/>
      <c r="FG44" s="242"/>
      <c r="FH44" s="242"/>
      <c r="FI44" s="242"/>
      <c r="FJ44" s="242"/>
      <c r="FK44" s="242"/>
      <c r="FL44" s="242"/>
      <c r="FM44" s="242"/>
      <c r="FN44" s="242"/>
      <c r="FO44" s="242"/>
      <c r="FP44" s="242"/>
      <c r="FQ44" s="242"/>
      <c r="FR44" s="242"/>
      <c r="FS44" s="242"/>
      <c r="FT44" s="242"/>
      <c r="FU44" s="242"/>
      <c r="FV44" s="242"/>
      <c r="FW44" s="242"/>
      <c r="FX44" s="242"/>
      <c r="FY44" s="242"/>
      <c r="FZ44" s="242"/>
      <c r="GA44" s="242"/>
      <c r="GB44" s="242"/>
      <c r="GC44" s="242"/>
      <c r="GD44" s="242"/>
      <c r="GE44" s="242"/>
      <c r="GF44" s="242"/>
      <c r="GG44" s="242"/>
      <c r="GH44" s="242"/>
      <c r="GI44" s="242"/>
      <c r="GJ44" s="242"/>
      <c r="GK44" s="242"/>
      <c r="GL44" s="242"/>
      <c r="GM44" s="242"/>
      <c r="GN44" s="242"/>
      <c r="GO44" s="242"/>
      <c r="GP44" s="242"/>
      <c r="GQ44" s="242"/>
      <c r="GR44" s="242"/>
      <c r="GS44" s="242"/>
      <c r="GT44" s="242"/>
      <c r="GU44" s="242"/>
      <c r="GV44" s="242"/>
      <c r="GW44" s="242"/>
      <c r="GX44" s="242"/>
      <c r="GY44" s="242"/>
      <c r="GZ44" s="242"/>
      <c r="HA44" s="242"/>
      <c r="HB44" s="242"/>
      <c r="HC44" s="242"/>
      <c r="HD44" s="242"/>
      <c r="HE44" s="242"/>
      <c r="HF44" s="242"/>
      <c r="HG44" s="242"/>
      <c r="HH44" s="242"/>
      <c r="HI44" s="242"/>
      <c r="HJ44" s="242"/>
      <c r="HK44" s="242"/>
      <c r="HL44" s="242"/>
      <c r="HM44" s="242"/>
      <c r="HN44" s="242"/>
      <c r="HO44" s="242"/>
      <c r="HP44" s="242"/>
      <c r="HQ44" s="242"/>
      <c r="HR44" s="242"/>
      <c r="HS44" s="242"/>
      <c r="HT44" s="242"/>
      <c r="HU44" s="242"/>
      <c r="HV44" s="242"/>
      <c r="HW44" s="242"/>
      <c r="HX44" s="242"/>
      <c r="HY44" s="242"/>
      <c r="HZ44" s="242"/>
      <c r="IA44" s="242"/>
      <c r="IB44" s="242"/>
      <c r="IC44" s="242"/>
      <c r="ID44" s="242"/>
      <c r="IE44" s="242"/>
      <c r="IF44" s="242"/>
      <c r="IG44" s="242"/>
      <c r="IH44" s="242"/>
      <c r="II44" s="242"/>
      <c r="IJ44" s="242"/>
      <c r="IK44" s="242"/>
      <c r="IL44" s="242"/>
      <c r="IM44" s="242"/>
      <c r="IN44" s="242"/>
      <c r="IO44" s="242"/>
      <c r="IP44" s="242"/>
      <c r="IQ44" s="242"/>
      <c r="IR44" s="242"/>
      <c r="IS44" s="242"/>
      <c r="IT44" s="242"/>
      <c r="IU44" s="242"/>
      <c r="IV44" s="242"/>
      <c r="IW44" s="242"/>
    </row>
    <row r="45" customFormat="false" ht="12.75" hidden="false" customHeight="true" outlineLevel="0" collapsed="false">
      <c r="A45" s="248" t="s">
        <v>277</v>
      </c>
      <c r="B45" s="248"/>
      <c r="C45" s="250"/>
      <c r="D45" s="250"/>
      <c r="E45" s="250"/>
      <c r="F45" s="250"/>
      <c r="G45" s="250"/>
      <c r="H45" s="250"/>
      <c r="I45" s="251" t="n">
        <f aca="false">(SUM(C15:I15)*$B$38)</f>
        <v>0</v>
      </c>
      <c r="J45" s="250" t="n">
        <f aca="false">J15*$B$38</f>
        <v>0</v>
      </c>
      <c r="K45" s="250" t="n">
        <f aca="false">K15*$B$38</f>
        <v>0</v>
      </c>
      <c r="L45" s="250" t="n">
        <f aca="false">L15*$B$38</f>
        <v>0</v>
      </c>
      <c r="M45" s="250" t="n">
        <f aca="false">M15*$B$38</f>
        <v>0</v>
      </c>
      <c r="N45" s="250" t="n">
        <f aca="false">N15*$B$38</f>
        <v>0</v>
      </c>
      <c r="O45" s="250" t="n">
        <f aca="false">O15*$B$38</f>
        <v>0</v>
      </c>
      <c r="P45" s="250" t="n">
        <f aca="false">P15*$B$38</f>
        <v>0</v>
      </c>
      <c r="Q45" s="250" t="n">
        <f aca="false">Q15*$B$38</f>
        <v>0</v>
      </c>
      <c r="R45" s="250" t="n">
        <f aca="false">R15*$B$38</f>
        <v>0</v>
      </c>
      <c r="S45" s="250" t="n">
        <f aca="false">S15*$B$38</f>
        <v>0</v>
      </c>
      <c r="T45" s="250" t="n">
        <f aca="false">T15*$B$38</f>
        <v>0</v>
      </c>
      <c r="U45" s="250" t="n">
        <f aca="false">U15*$B$38</f>
        <v>0</v>
      </c>
      <c r="V45" s="250" t="n">
        <f aca="false">V15*$B$38</f>
        <v>0</v>
      </c>
      <c r="W45" s="250" t="n">
        <f aca="false">W15*$B$38</f>
        <v>0</v>
      </c>
      <c r="X45" s="250" t="n">
        <f aca="false">X15*$B$38</f>
        <v>0</v>
      </c>
      <c r="Y45" s="250" t="n">
        <f aca="false">Y15*$B$38</f>
        <v>0</v>
      </c>
      <c r="Z45" s="250" t="n">
        <f aca="false">Z15*$B$38</f>
        <v>0</v>
      </c>
      <c r="AA45" s="248"/>
      <c r="AB45" s="248"/>
      <c r="AC45" s="184"/>
      <c r="AD45" s="184"/>
      <c r="AE45" s="184"/>
      <c r="AF45" s="184"/>
      <c r="AG45" s="184"/>
      <c r="AH45" s="18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BD45" s="242"/>
      <c r="BE45" s="242"/>
      <c r="BF45" s="184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42"/>
      <c r="BS45" s="242"/>
      <c r="BT45" s="242"/>
      <c r="BU45" s="242"/>
      <c r="BV45" s="242"/>
      <c r="BW45" s="242"/>
      <c r="BX45" s="242"/>
      <c r="BY45" s="242"/>
      <c r="BZ45" s="242"/>
      <c r="CA45" s="242"/>
      <c r="CB45" s="242"/>
      <c r="CC45" s="242"/>
      <c r="CD45" s="242"/>
      <c r="CE45" s="242"/>
      <c r="CF45" s="242"/>
      <c r="CG45" s="242"/>
      <c r="CH45" s="242"/>
      <c r="CI45" s="242"/>
      <c r="CJ45" s="242"/>
      <c r="CK45" s="242"/>
      <c r="CL45" s="242"/>
      <c r="CM45" s="242"/>
      <c r="CN45" s="242"/>
      <c r="CO45" s="242"/>
      <c r="CP45" s="242"/>
      <c r="CQ45" s="242"/>
      <c r="CR45" s="242"/>
      <c r="CS45" s="242"/>
      <c r="CT45" s="242"/>
      <c r="CU45" s="242"/>
      <c r="CV45" s="242"/>
      <c r="CW45" s="242"/>
      <c r="CX45" s="242"/>
      <c r="CY45" s="242"/>
      <c r="CZ45" s="242"/>
      <c r="DA45" s="242"/>
      <c r="DB45" s="242"/>
      <c r="DC45" s="242"/>
      <c r="DD45" s="242"/>
      <c r="DE45" s="242"/>
      <c r="DF45" s="242"/>
      <c r="DG45" s="242"/>
      <c r="DH45" s="242"/>
      <c r="DI45" s="242"/>
      <c r="DJ45" s="242"/>
      <c r="DK45" s="242"/>
      <c r="DL45" s="242"/>
      <c r="DM45" s="242"/>
      <c r="DN45" s="242"/>
      <c r="DO45" s="242"/>
      <c r="DP45" s="242"/>
      <c r="DQ45" s="242"/>
      <c r="DR45" s="242"/>
      <c r="DS45" s="242"/>
      <c r="DT45" s="242"/>
      <c r="DU45" s="242"/>
      <c r="DV45" s="242"/>
      <c r="DW45" s="242"/>
      <c r="DX45" s="242"/>
      <c r="DY45" s="242"/>
      <c r="DZ45" s="242"/>
      <c r="EA45" s="242"/>
      <c r="EB45" s="242"/>
      <c r="EC45" s="242"/>
      <c r="ED45" s="242"/>
      <c r="EE45" s="242"/>
      <c r="EF45" s="242"/>
      <c r="EG45" s="242"/>
      <c r="EH45" s="242"/>
      <c r="EI45" s="242"/>
      <c r="EJ45" s="242"/>
      <c r="EK45" s="242"/>
      <c r="EL45" s="242"/>
      <c r="EM45" s="242"/>
      <c r="EN45" s="242"/>
      <c r="EO45" s="242"/>
      <c r="EP45" s="242"/>
      <c r="EQ45" s="242"/>
      <c r="ER45" s="242"/>
      <c r="ES45" s="242"/>
      <c r="ET45" s="242"/>
      <c r="EU45" s="242"/>
      <c r="EV45" s="242"/>
      <c r="EW45" s="242"/>
      <c r="EX45" s="242"/>
      <c r="EY45" s="242"/>
      <c r="EZ45" s="242"/>
      <c r="FA45" s="242"/>
      <c r="FB45" s="242"/>
      <c r="FC45" s="242"/>
      <c r="FD45" s="242"/>
      <c r="FE45" s="242"/>
      <c r="FF45" s="242"/>
      <c r="FG45" s="242"/>
      <c r="FH45" s="242"/>
      <c r="FI45" s="242"/>
      <c r="FJ45" s="242"/>
      <c r="FK45" s="242"/>
      <c r="FL45" s="242"/>
      <c r="FM45" s="242"/>
      <c r="FN45" s="242"/>
      <c r="FO45" s="242"/>
      <c r="FP45" s="242"/>
      <c r="FQ45" s="242"/>
      <c r="FR45" s="242"/>
      <c r="FS45" s="242"/>
      <c r="FT45" s="242"/>
      <c r="FU45" s="242"/>
      <c r="FV45" s="242"/>
      <c r="FW45" s="242"/>
      <c r="FX45" s="242"/>
      <c r="FY45" s="242"/>
      <c r="FZ45" s="242"/>
      <c r="GA45" s="242"/>
      <c r="GB45" s="242"/>
      <c r="GC45" s="242"/>
      <c r="GD45" s="242"/>
      <c r="GE45" s="242"/>
      <c r="GF45" s="242"/>
      <c r="GG45" s="242"/>
      <c r="GH45" s="242"/>
      <c r="GI45" s="242"/>
      <c r="GJ45" s="242"/>
      <c r="GK45" s="242"/>
      <c r="GL45" s="242"/>
      <c r="GM45" s="242"/>
      <c r="GN45" s="242"/>
      <c r="GO45" s="242"/>
      <c r="GP45" s="242"/>
      <c r="GQ45" s="242"/>
      <c r="GR45" s="242"/>
      <c r="GS45" s="242"/>
      <c r="GT45" s="242"/>
      <c r="GU45" s="242"/>
      <c r="GV45" s="242"/>
      <c r="GW45" s="242"/>
      <c r="GX45" s="242"/>
      <c r="GY45" s="242"/>
      <c r="GZ45" s="242"/>
      <c r="HA45" s="242"/>
      <c r="HB45" s="242"/>
      <c r="HC45" s="242"/>
      <c r="HD45" s="242"/>
      <c r="HE45" s="242"/>
      <c r="HF45" s="242"/>
      <c r="HG45" s="242"/>
      <c r="HH45" s="242"/>
      <c r="HI45" s="242"/>
      <c r="HJ45" s="242"/>
      <c r="HK45" s="242"/>
      <c r="HL45" s="242"/>
      <c r="HM45" s="242"/>
      <c r="HN45" s="242"/>
      <c r="HO45" s="242"/>
      <c r="HP45" s="242"/>
      <c r="HQ45" s="242"/>
      <c r="HR45" s="242"/>
      <c r="HS45" s="242"/>
      <c r="HT45" s="242"/>
      <c r="HU45" s="242"/>
      <c r="HV45" s="242"/>
      <c r="HW45" s="242"/>
      <c r="HX45" s="242"/>
      <c r="HY45" s="242"/>
      <c r="HZ45" s="242"/>
      <c r="IA45" s="242"/>
      <c r="IB45" s="242"/>
      <c r="IC45" s="242"/>
      <c r="ID45" s="242"/>
      <c r="IE45" s="242"/>
      <c r="IF45" s="242"/>
      <c r="IG45" s="242"/>
      <c r="IH45" s="242"/>
      <c r="II45" s="242"/>
      <c r="IJ45" s="242"/>
      <c r="IK45" s="242"/>
      <c r="IL45" s="242"/>
      <c r="IM45" s="242"/>
      <c r="IN45" s="242"/>
      <c r="IO45" s="242"/>
      <c r="IP45" s="242"/>
      <c r="IQ45" s="242"/>
      <c r="IR45" s="242"/>
      <c r="IS45" s="242"/>
      <c r="IT45" s="242"/>
      <c r="IU45" s="242"/>
      <c r="IV45" s="242"/>
      <c r="IW45" s="242"/>
    </row>
    <row r="46" customFormat="false" ht="15" hidden="false" customHeight="true" outlineLevel="0" collapsed="false">
      <c r="A46" s="248" t="s">
        <v>272</v>
      </c>
      <c r="B46" s="248"/>
      <c r="C46" s="250"/>
      <c r="D46" s="250"/>
      <c r="E46" s="250"/>
      <c r="F46" s="250"/>
      <c r="G46" s="250"/>
      <c r="H46" s="250"/>
      <c r="I46" s="251" t="n">
        <f aca="false">(SUM(C16:I16)*$B$38)</f>
        <v>0</v>
      </c>
      <c r="J46" s="250" t="n">
        <f aca="false">J16*$B$38</f>
        <v>6.40795238181827</v>
      </c>
      <c r="K46" s="250" t="n">
        <f aca="false">K16*$B$38</f>
        <v>6.40795238181827</v>
      </c>
      <c r="L46" s="250" t="n">
        <f aca="false">L16*$B$38</f>
        <v>6.40795238181827</v>
      </c>
      <c r="M46" s="250" t="n">
        <f aca="false">M16*$B$38</f>
        <v>6.40795238181827</v>
      </c>
      <c r="N46" s="250" t="n">
        <f aca="false">N16*$B$38</f>
        <v>6.40795238181827</v>
      </c>
      <c r="O46" s="250" t="n">
        <f aca="false">O16*$B$38</f>
        <v>6.40795238181827</v>
      </c>
      <c r="P46" s="250" t="n">
        <f aca="false">P16*$B$38</f>
        <v>6.40795238181827</v>
      </c>
      <c r="Q46" s="250" t="n">
        <f aca="false">Q16*$B$38</f>
        <v>6.40795238181827</v>
      </c>
      <c r="R46" s="250" t="n">
        <f aca="false">R16*$B$38</f>
        <v>6.40795238181827</v>
      </c>
      <c r="S46" s="250" t="n">
        <f aca="false">S16*$B$38</f>
        <v>6.40795238181827</v>
      </c>
      <c r="T46" s="250" t="n">
        <f aca="false">T16*$B$38</f>
        <v>6.40795238181827</v>
      </c>
      <c r="U46" s="250"/>
      <c r="V46" s="250"/>
      <c r="W46" s="250"/>
      <c r="X46" s="250"/>
      <c r="Y46" s="250"/>
      <c r="Z46" s="250"/>
      <c r="AA46" s="239"/>
      <c r="AB46" s="248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2"/>
      <c r="BY46" s="242"/>
      <c r="BZ46" s="242"/>
      <c r="CA46" s="242"/>
      <c r="CB46" s="242"/>
      <c r="CC46" s="242"/>
      <c r="CD46" s="242"/>
      <c r="CE46" s="242"/>
      <c r="CF46" s="242"/>
      <c r="CG46" s="242"/>
      <c r="CH46" s="242"/>
      <c r="CI46" s="242"/>
      <c r="CJ46" s="242"/>
      <c r="CK46" s="242"/>
      <c r="CL46" s="242"/>
      <c r="CM46" s="242"/>
      <c r="CN46" s="242"/>
      <c r="CO46" s="242"/>
      <c r="CP46" s="242"/>
      <c r="CQ46" s="242"/>
      <c r="CR46" s="242"/>
      <c r="CS46" s="242"/>
      <c r="CT46" s="242"/>
      <c r="CU46" s="242"/>
      <c r="CV46" s="242"/>
      <c r="CW46" s="242"/>
      <c r="CX46" s="242"/>
      <c r="CY46" s="242"/>
      <c r="CZ46" s="242"/>
      <c r="DA46" s="242"/>
      <c r="DB46" s="242"/>
      <c r="DC46" s="242"/>
      <c r="DD46" s="242"/>
      <c r="DE46" s="242"/>
      <c r="DF46" s="242"/>
      <c r="DG46" s="242"/>
      <c r="DH46" s="242"/>
      <c r="DI46" s="242"/>
      <c r="DJ46" s="242"/>
      <c r="DK46" s="242"/>
      <c r="DL46" s="242"/>
      <c r="DM46" s="242"/>
      <c r="DN46" s="242"/>
      <c r="DO46" s="242"/>
      <c r="DP46" s="242"/>
      <c r="DQ46" s="242"/>
      <c r="DR46" s="242"/>
      <c r="DS46" s="242"/>
      <c r="DT46" s="242"/>
      <c r="DU46" s="242"/>
      <c r="DV46" s="242"/>
      <c r="DW46" s="242"/>
      <c r="DX46" s="242"/>
      <c r="DY46" s="242"/>
      <c r="DZ46" s="242"/>
      <c r="EA46" s="242"/>
      <c r="EB46" s="242"/>
      <c r="EC46" s="242"/>
      <c r="ED46" s="242"/>
      <c r="EE46" s="242"/>
      <c r="EF46" s="242"/>
      <c r="EG46" s="242"/>
      <c r="EH46" s="242"/>
      <c r="EI46" s="242"/>
      <c r="EJ46" s="242"/>
      <c r="EK46" s="242"/>
      <c r="EL46" s="242"/>
      <c r="EM46" s="242"/>
      <c r="EN46" s="242"/>
      <c r="EO46" s="242"/>
      <c r="EP46" s="242"/>
      <c r="EQ46" s="242"/>
      <c r="ER46" s="242"/>
      <c r="ES46" s="242"/>
      <c r="ET46" s="242"/>
      <c r="EU46" s="242"/>
      <c r="EV46" s="242"/>
      <c r="EW46" s="242"/>
      <c r="EX46" s="242"/>
      <c r="EY46" s="242"/>
      <c r="EZ46" s="242"/>
      <c r="FA46" s="242"/>
      <c r="FB46" s="242"/>
      <c r="FC46" s="242"/>
      <c r="FD46" s="242"/>
      <c r="FE46" s="242"/>
      <c r="FF46" s="242"/>
      <c r="FG46" s="242"/>
      <c r="FH46" s="242"/>
      <c r="FI46" s="242"/>
      <c r="FJ46" s="242"/>
      <c r="FK46" s="242"/>
      <c r="FL46" s="242"/>
      <c r="FM46" s="242"/>
      <c r="FN46" s="242"/>
      <c r="FO46" s="242"/>
      <c r="FP46" s="242"/>
      <c r="FQ46" s="242"/>
      <c r="FR46" s="242"/>
      <c r="FS46" s="242"/>
      <c r="FT46" s="242"/>
      <c r="FU46" s="242"/>
      <c r="FV46" s="242"/>
      <c r="FW46" s="242"/>
      <c r="FX46" s="242"/>
      <c r="FY46" s="242"/>
      <c r="FZ46" s="242"/>
      <c r="GA46" s="242"/>
      <c r="GB46" s="242"/>
      <c r="GC46" s="242"/>
      <c r="GD46" s="242"/>
      <c r="GE46" s="242"/>
      <c r="GF46" s="242"/>
      <c r="GG46" s="242"/>
      <c r="GH46" s="242"/>
      <c r="GI46" s="242"/>
      <c r="GJ46" s="242"/>
      <c r="GK46" s="242"/>
      <c r="GL46" s="242"/>
      <c r="GM46" s="242"/>
      <c r="GN46" s="242"/>
      <c r="GO46" s="242"/>
      <c r="GP46" s="242"/>
      <c r="GQ46" s="242"/>
      <c r="GR46" s="242"/>
      <c r="GS46" s="242"/>
      <c r="GT46" s="242"/>
      <c r="GU46" s="242"/>
      <c r="GV46" s="242"/>
      <c r="GW46" s="242"/>
      <c r="GX46" s="242"/>
      <c r="GY46" s="242"/>
      <c r="GZ46" s="242"/>
      <c r="HA46" s="242"/>
      <c r="HB46" s="242"/>
      <c r="HC46" s="242"/>
      <c r="HD46" s="242"/>
      <c r="HE46" s="242"/>
      <c r="HF46" s="242"/>
      <c r="HG46" s="242"/>
      <c r="HH46" s="242"/>
      <c r="HI46" s="242"/>
      <c r="HJ46" s="242"/>
      <c r="HK46" s="242"/>
      <c r="HL46" s="242"/>
      <c r="HM46" s="242"/>
      <c r="HN46" s="242"/>
      <c r="HO46" s="242"/>
      <c r="HP46" s="242"/>
      <c r="HQ46" s="242"/>
      <c r="HR46" s="242"/>
      <c r="HS46" s="242"/>
      <c r="HT46" s="242"/>
      <c r="HU46" s="242"/>
      <c r="HV46" s="242"/>
      <c r="HW46" s="242"/>
      <c r="HX46" s="242"/>
      <c r="HY46" s="242"/>
      <c r="HZ46" s="242"/>
      <c r="IA46" s="242"/>
      <c r="IB46" s="242"/>
      <c r="IC46" s="242"/>
      <c r="ID46" s="242"/>
      <c r="IE46" s="242"/>
      <c r="IF46" s="242"/>
      <c r="IG46" s="242"/>
      <c r="IH46" s="242"/>
      <c r="II46" s="242"/>
      <c r="IJ46" s="242"/>
      <c r="IK46" s="242"/>
      <c r="IL46" s="242"/>
      <c r="IM46" s="242"/>
      <c r="IN46" s="242"/>
      <c r="IO46" s="242"/>
      <c r="IP46" s="242"/>
      <c r="IQ46" s="242"/>
      <c r="IR46" s="242"/>
      <c r="IS46" s="242"/>
      <c r="IT46" s="242"/>
      <c r="IU46" s="242"/>
      <c r="IV46" s="242"/>
      <c r="IW46" s="242"/>
    </row>
    <row r="47" customFormat="false" ht="15" hidden="false" customHeight="true" outlineLevel="0" collapsed="false">
      <c r="A47" s="248" t="s">
        <v>273</v>
      </c>
      <c r="B47" s="248"/>
      <c r="C47" s="253"/>
      <c r="D47" s="253"/>
      <c r="E47" s="253"/>
      <c r="F47" s="253"/>
      <c r="G47" s="253"/>
      <c r="H47" s="253"/>
      <c r="I47" s="250" t="n">
        <f aca="false">(SUM(C17:I17)*$B$38)</f>
        <v>27.6442573609536</v>
      </c>
      <c r="J47" s="250" t="n">
        <f aca="false">(I49*I21)/365.25*(J19-I19)</f>
        <v>0</v>
      </c>
      <c r="K47" s="250" t="n">
        <f aca="false">(J49*J21)/365.25*(K19-J19)</f>
        <v>0</v>
      </c>
      <c r="L47" s="250" t="n">
        <f aca="false">(K49*K21)/365.25*(L19-K19)</f>
        <v>0</v>
      </c>
      <c r="M47" s="250" t="n">
        <f aca="false">(L49*L21)/365.25*(M19-L19)</f>
        <v>0</v>
      </c>
      <c r="N47" s="250" t="n">
        <f aca="false">(M49*M21)/365.25*(N19-M19)</f>
        <v>0</v>
      </c>
      <c r="O47" s="250" t="n">
        <f aca="false">(N49*N21)/365.25*(O19-N19)</f>
        <v>0</v>
      </c>
      <c r="P47" s="250" t="n">
        <f aca="false">(O49*O21)/365.25*(P19-O19)</f>
        <v>0</v>
      </c>
      <c r="Q47" s="250" t="n">
        <f aca="false">(P49*P21)/365.25*(Q19-P19)</f>
        <v>0</v>
      </c>
      <c r="R47" s="250" t="n">
        <f aca="false">(Q49*Q21)/365.25*(R19-Q19)</f>
        <v>0</v>
      </c>
      <c r="S47" s="250" t="n">
        <f aca="false">(R49*R21)/365.25*(S19-R19)</f>
        <v>0</v>
      </c>
      <c r="T47" s="250" t="n">
        <f aca="false">(S49*S21)/365.25*(T19-S19)</f>
        <v>0</v>
      </c>
      <c r="U47" s="250" t="n">
        <f aca="false">(T49*T21)/365.25*(U19-T19)</f>
        <v>0</v>
      </c>
      <c r="V47" s="250" t="n">
        <f aca="false">(U49*U21)/365.25*(V19-U19)</f>
        <v>0</v>
      </c>
      <c r="W47" s="250" t="n">
        <f aca="false">(V49*V21)/365.25*(W19-V19)</f>
        <v>0</v>
      </c>
      <c r="X47" s="250" t="n">
        <f aca="false">(W49*W21)/365.25*(X19-W19)</f>
        <v>0</v>
      </c>
      <c r="Y47" s="250" t="n">
        <f aca="false">(X49*X21)/365.25*(Y19-X19)</f>
        <v>0</v>
      </c>
      <c r="Z47" s="250" t="n">
        <f aca="false">(Y49*Y21)/365.25*(Z19-Y19)</f>
        <v>0</v>
      </c>
      <c r="AA47" s="248"/>
      <c r="AB47" s="239"/>
      <c r="AC47" s="184"/>
      <c r="AD47" s="184"/>
      <c r="AE47" s="258"/>
      <c r="AF47" s="258"/>
      <c r="AG47" s="258"/>
      <c r="AH47" s="258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BD47" s="242"/>
      <c r="BE47" s="242"/>
      <c r="BF47" s="184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  <c r="CL47" s="242"/>
      <c r="CM47" s="242"/>
      <c r="CN47" s="242"/>
      <c r="CO47" s="242"/>
      <c r="CP47" s="242"/>
      <c r="CQ47" s="242"/>
      <c r="CR47" s="242"/>
      <c r="CS47" s="242"/>
      <c r="CT47" s="242"/>
      <c r="CU47" s="242"/>
      <c r="CV47" s="242"/>
      <c r="CW47" s="242"/>
      <c r="CX47" s="242"/>
      <c r="CY47" s="242"/>
      <c r="CZ47" s="242"/>
      <c r="DA47" s="242"/>
      <c r="DB47" s="242"/>
      <c r="DC47" s="242"/>
      <c r="DD47" s="242"/>
      <c r="DE47" s="242"/>
      <c r="DF47" s="242"/>
      <c r="DG47" s="242"/>
      <c r="DH47" s="242"/>
      <c r="DI47" s="242"/>
      <c r="DJ47" s="242"/>
      <c r="DK47" s="242"/>
      <c r="DL47" s="242"/>
      <c r="DM47" s="242"/>
      <c r="DN47" s="242"/>
      <c r="DO47" s="242"/>
      <c r="DP47" s="242"/>
      <c r="DQ47" s="242"/>
      <c r="DR47" s="242"/>
      <c r="DS47" s="242"/>
      <c r="DT47" s="242"/>
      <c r="DU47" s="242"/>
      <c r="DV47" s="242"/>
      <c r="DW47" s="242"/>
      <c r="DX47" s="242"/>
      <c r="DY47" s="242"/>
      <c r="DZ47" s="242"/>
      <c r="EA47" s="242"/>
      <c r="EB47" s="242"/>
      <c r="EC47" s="242"/>
      <c r="ED47" s="242"/>
      <c r="EE47" s="242"/>
      <c r="EF47" s="242"/>
      <c r="EG47" s="242"/>
      <c r="EH47" s="242"/>
      <c r="EI47" s="242"/>
      <c r="EJ47" s="242"/>
      <c r="EK47" s="242"/>
      <c r="EL47" s="242"/>
      <c r="EM47" s="242"/>
      <c r="EN47" s="242"/>
      <c r="EO47" s="242"/>
      <c r="EP47" s="242"/>
      <c r="EQ47" s="242"/>
      <c r="ER47" s="242"/>
      <c r="ES47" s="242"/>
      <c r="ET47" s="242"/>
      <c r="EU47" s="242"/>
      <c r="EV47" s="242"/>
      <c r="EW47" s="242"/>
      <c r="EX47" s="242"/>
      <c r="EY47" s="242"/>
      <c r="EZ47" s="242"/>
      <c r="FA47" s="242"/>
      <c r="FB47" s="242"/>
      <c r="FC47" s="242"/>
      <c r="FD47" s="242"/>
      <c r="FE47" s="242"/>
      <c r="FF47" s="242"/>
      <c r="FG47" s="242"/>
      <c r="FH47" s="242"/>
      <c r="FI47" s="242"/>
      <c r="FJ47" s="242"/>
      <c r="FK47" s="242"/>
      <c r="FL47" s="242"/>
      <c r="FM47" s="242"/>
      <c r="FN47" s="242"/>
      <c r="FO47" s="242"/>
      <c r="FP47" s="242"/>
      <c r="FQ47" s="242"/>
      <c r="FR47" s="242"/>
      <c r="FS47" s="242"/>
      <c r="FT47" s="242"/>
      <c r="FU47" s="242"/>
      <c r="FV47" s="242"/>
      <c r="FW47" s="242"/>
      <c r="FX47" s="242"/>
      <c r="FY47" s="242"/>
      <c r="FZ47" s="242"/>
      <c r="GA47" s="242"/>
      <c r="GB47" s="242"/>
      <c r="GC47" s="242"/>
      <c r="GD47" s="242"/>
      <c r="GE47" s="242"/>
      <c r="GF47" s="242"/>
      <c r="GG47" s="242"/>
      <c r="GH47" s="242"/>
      <c r="GI47" s="242"/>
      <c r="GJ47" s="242"/>
      <c r="GK47" s="242"/>
      <c r="GL47" s="242"/>
      <c r="GM47" s="242"/>
      <c r="GN47" s="242"/>
      <c r="GO47" s="242"/>
      <c r="GP47" s="242"/>
      <c r="GQ47" s="242"/>
      <c r="GR47" s="242"/>
      <c r="GS47" s="242"/>
      <c r="GT47" s="242"/>
      <c r="GU47" s="242"/>
      <c r="GV47" s="242"/>
      <c r="GW47" s="242"/>
      <c r="GX47" s="242"/>
      <c r="GY47" s="242"/>
      <c r="GZ47" s="242"/>
      <c r="HA47" s="242"/>
      <c r="HB47" s="242"/>
      <c r="HC47" s="242"/>
      <c r="HD47" s="242"/>
      <c r="HE47" s="242"/>
      <c r="HF47" s="242"/>
      <c r="HG47" s="242"/>
      <c r="HH47" s="242"/>
      <c r="HI47" s="242"/>
      <c r="HJ47" s="242"/>
      <c r="HK47" s="242"/>
      <c r="HL47" s="242"/>
      <c r="HM47" s="242"/>
      <c r="HN47" s="242"/>
      <c r="HO47" s="242"/>
      <c r="HP47" s="242"/>
      <c r="HQ47" s="242"/>
      <c r="HR47" s="242"/>
      <c r="HS47" s="242"/>
      <c r="HT47" s="242"/>
      <c r="HU47" s="242"/>
      <c r="HV47" s="242"/>
      <c r="HW47" s="242"/>
      <c r="HX47" s="242"/>
      <c r="HY47" s="242"/>
      <c r="HZ47" s="242"/>
      <c r="IA47" s="242"/>
      <c r="IB47" s="242"/>
      <c r="IC47" s="242"/>
      <c r="ID47" s="242"/>
      <c r="IE47" s="242"/>
      <c r="IF47" s="242"/>
      <c r="IG47" s="242"/>
      <c r="IH47" s="242"/>
      <c r="II47" s="242"/>
      <c r="IJ47" s="242"/>
      <c r="IK47" s="242"/>
      <c r="IL47" s="242"/>
      <c r="IM47" s="242"/>
      <c r="IN47" s="242"/>
      <c r="IO47" s="242"/>
      <c r="IP47" s="242"/>
      <c r="IQ47" s="242"/>
      <c r="IR47" s="242"/>
      <c r="IS47" s="242"/>
      <c r="IT47" s="242"/>
      <c r="IU47" s="242"/>
      <c r="IV47" s="242"/>
      <c r="IW47" s="242"/>
    </row>
    <row r="48" customFormat="false" ht="15" hidden="false" customHeight="true" outlineLevel="0" collapsed="false">
      <c r="A48" s="248" t="s">
        <v>274</v>
      </c>
      <c r="B48" s="248"/>
      <c r="C48" s="250"/>
      <c r="D48" s="250"/>
      <c r="E48" s="250"/>
      <c r="F48" s="250"/>
      <c r="G48" s="250"/>
      <c r="H48" s="250"/>
      <c r="I48" s="253" t="n">
        <f aca="false">0</f>
        <v>0</v>
      </c>
      <c r="J48" s="253" t="n">
        <v>0</v>
      </c>
      <c r="K48" s="253" t="n">
        <v>0</v>
      </c>
      <c r="L48" s="253" t="n">
        <v>0</v>
      </c>
      <c r="M48" s="253" t="n">
        <v>0</v>
      </c>
      <c r="N48" s="253" t="n">
        <v>0</v>
      </c>
      <c r="O48" s="253" t="n">
        <v>0</v>
      </c>
      <c r="P48" s="253" t="n">
        <v>0</v>
      </c>
      <c r="Q48" s="253" t="n">
        <v>0</v>
      </c>
      <c r="R48" s="253" t="n">
        <v>0</v>
      </c>
      <c r="S48" s="253" t="n">
        <v>0</v>
      </c>
      <c r="T48" s="253" t="n">
        <v>0</v>
      </c>
      <c r="U48" s="253" t="n">
        <v>0</v>
      </c>
      <c r="V48" s="253" t="n">
        <v>0</v>
      </c>
      <c r="W48" s="253" t="n">
        <v>0</v>
      </c>
      <c r="X48" s="253" t="n">
        <v>0</v>
      </c>
      <c r="Y48" s="253" t="n">
        <v>0</v>
      </c>
      <c r="Z48" s="253" t="n">
        <v>0</v>
      </c>
      <c r="AA48" s="248"/>
      <c r="AB48" s="248"/>
      <c r="AC48" s="222"/>
      <c r="AD48" s="242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BD48" s="242"/>
      <c r="BE48" s="242"/>
      <c r="BF48" s="184"/>
      <c r="BG48" s="242"/>
      <c r="BH48" s="242"/>
      <c r="BI48" s="242"/>
      <c r="BJ48" s="242"/>
      <c r="BK48" s="242"/>
      <c r="BL48" s="242"/>
      <c r="BM48" s="242"/>
      <c r="BN48" s="242"/>
      <c r="BO48" s="242"/>
      <c r="BP48" s="242"/>
      <c r="BQ48" s="242"/>
      <c r="BR48" s="242"/>
      <c r="BS48" s="242"/>
      <c r="BT48" s="242"/>
      <c r="BU48" s="242"/>
      <c r="BV48" s="242"/>
      <c r="BW48" s="242"/>
      <c r="BX48" s="242"/>
      <c r="BY48" s="242"/>
      <c r="BZ48" s="242"/>
      <c r="CA48" s="242"/>
      <c r="CB48" s="242"/>
      <c r="CC48" s="242"/>
      <c r="CD48" s="242"/>
      <c r="CE48" s="242"/>
      <c r="CF48" s="242"/>
      <c r="CG48" s="242"/>
      <c r="CH48" s="242"/>
      <c r="CI48" s="242"/>
      <c r="CJ48" s="242"/>
      <c r="CK48" s="242"/>
      <c r="CL48" s="242"/>
      <c r="CM48" s="242"/>
      <c r="CN48" s="242"/>
      <c r="CO48" s="242"/>
      <c r="CP48" s="242"/>
      <c r="CQ48" s="242"/>
      <c r="CR48" s="242"/>
      <c r="CS48" s="242"/>
      <c r="CT48" s="242"/>
      <c r="CU48" s="242"/>
      <c r="CV48" s="242"/>
      <c r="CW48" s="242"/>
      <c r="CX48" s="242"/>
      <c r="CY48" s="242"/>
      <c r="CZ48" s="242"/>
      <c r="DA48" s="242"/>
      <c r="DB48" s="242"/>
      <c r="DC48" s="242"/>
      <c r="DD48" s="242"/>
      <c r="DE48" s="242"/>
      <c r="DF48" s="242"/>
      <c r="DG48" s="242"/>
      <c r="DH48" s="242"/>
      <c r="DI48" s="242"/>
      <c r="DJ48" s="242"/>
      <c r="DK48" s="242"/>
      <c r="DL48" s="242"/>
      <c r="DM48" s="242"/>
      <c r="DN48" s="242"/>
      <c r="DO48" s="242"/>
      <c r="DP48" s="242"/>
      <c r="DQ48" s="242"/>
      <c r="DR48" s="242"/>
      <c r="DS48" s="242"/>
      <c r="DT48" s="242"/>
      <c r="DU48" s="242"/>
      <c r="DV48" s="242"/>
      <c r="DW48" s="242"/>
      <c r="DX48" s="242"/>
      <c r="DY48" s="242"/>
      <c r="DZ48" s="242"/>
      <c r="EA48" s="242"/>
      <c r="EB48" s="242"/>
      <c r="EC48" s="242"/>
      <c r="ED48" s="242"/>
      <c r="EE48" s="242"/>
      <c r="EF48" s="242"/>
      <c r="EG48" s="242"/>
      <c r="EH48" s="242"/>
      <c r="EI48" s="242"/>
      <c r="EJ48" s="242"/>
      <c r="EK48" s="242"/>
      <c r="EL48" s="242"/>
      <c r="EM48" s="242"/>
      <c r="EN48" s="242"/>
      <c r="EO48" s="242"/>
      <c r="EP48" s="242"/>
      <c r="EQ48" s="242"/>
      <c r="ER48" s="242"/>
      <c r="ES48" s="242"/>
      <c r="ET48" s="242"/>
      <c r="EU48" s="242"/>
      <c r="EV48" s="242"/>
      <c r="EW48" s="242"/>
      <c r="EX48" s="242"/>
      <c r="EY48" s="242"/>
      <c r="EZ48" s="242"/>
      <c r="FA48" s="242"/>
      <c r="FB48" s="242"/>
      <c r="FC48" s="242"/>
      <c r="FD48" s="242"/>
      <c r="FE48" s="242"/>
      <c r="FF48" s="242"/>
      <c r="FG48" s="242"/>
      <c r="FH48" s="242"/>
      <c r="FI48" s="242"/>
      <c r="FJ48" s="242"/>
      <c r="FK48" s="242"/>
      <c r="FL48" s="242"/>
      <c r="FM48" s="242"/>
      <c r="FN48" s="242"/>
      <c r="FO48" s="242"/>
      <c r="FP48" s="242"/>
      <c r="FQ48" s="242"/>
      <c r="FR48" s="242"/>
      <c r="FS48" s="242"/>
      <c r="FT48" s="242"/>
      <c r="FU48" s="242"/>
      <c r="FV48" s="242"/>
      <c r="FW48" s="242"/>
      <c r="FX48" s="242"/>
      <c r="FY48" s="242"/>
      <c r="FZ48" s="242"/>
      <c r="GA48" s="242"/>
      <c r="GB48" s="242"/>
      <c r="GC48" s="242"/>
      <c r="GD48" s="242"/>
      <c r="GE48" s="242"/>
      <c r="GF48" s="242"/>
      <c r="GG48" s="242"/>
      <c r="GH48" s="242"/>
      <c r="GI48" s="242"/>
      <c r="GJ48" s="242"/>
      <c r="GK48" s="242"/>
      <c r="GL48" s="242"/>
      <c r="GM48" s="242"/>
      <c r="GN48" s="242"/>
      <c r="GO48" s="242"/>
      <c r="GP48" s="242"/>
      <c r="GQ48" s="242"/>
      <c r="GR48" s="242"/>
      <c r="GS48" s="242"/>
      <c r="GT48" s="242"/>
      <c r="GU48" s="242"/>
      <c r="GV48" s="242"/>
      <c r="GW48" s="242"/>
      <c r="GX48" s="242"/>
      <c r="GY48" s="242"/>
      <c r="GZ48" s="242"/>
      <c r="HA48" s="242"/>
      <c r="HB48" s="242"/>
      <c r="HC48" s="242"/>
      <c r="HD48" s="242"/>
      <c r="HE48" s="242"/>
      <c r="HF48" s="242"/>
      <c r="HG48" s="242"/>
      <c r="HH48" s="242"/>
      <c r="HI48" s="242"/>
      <c r="HJ48" s="242"/>
      <c r="HK48" s="242"/>
      <c r="HL48" s="242"/>
      <c r="HM48" s="242"/>
      <c r="HN48" s="242"/>
      <c r="HO48" s="242"/>
      <c r="HP48" s="242"/>
      <c r="HQ48" s="242"/>
      <c r="HR48" s="242"/>
      <c r="HS48" s="242"/>
      <c r="HT48" s="242"/>
      <c r="HU48" s="242"/>
      <c r="HV48" s="242"/>
      <c r="HW48" s="242"/>
      <c r="HX48" s="242"/>
      <c r="HY48" s="242"/>
      <c r="HZ48" s="242"/>
      <c r="IA48" s="242"/>
      <c r="IB48" s="242"/>
      <c r="IC48" s="242"/>
      <c r="ID48" s="242"/>
      <c r="IE48" s="242"/>
      <c r="IF48" s="242"/>
      <c r="IG48" s="242"/>
      <c r="IH48" s="242"/>
      <c r="II48" s="242"/>
      <c r="IJ48" s="242"/>
      <c r="IK48" s="242"/>
      <c r="IL48" s="242"/>
      <c r="IM48" s="242"/>
      <c r="IN48" s="242"/>
      <c r="IO48" s="242"/>
      <c r="IP48" s="242"/>
      <c r="IQ48" s="242"/>
      <c r="IR48" s="242"/>
      <c r="IS48" s="242"/>
      <c r="IT48" s="242"/>
      <c r="IU48" s="242"/>
      <c r="IV48" s="242"/>
      <c r="IW48" s="242"/>
    </row>
    <row r="49" customFormat="false" ht="12.75" hidden="false" customHeight="true" outlineLevel="0" collapsed="false">
      <c r="A49" s="245" t="s">
        <v>278</v>
      </c>
      <c r="B49" s="245"/>
      <c r="C49" s="239"/>
      <c r="D49" s="239"/>
      <c r="E49" s="239"/>
      <c r="F49" s="239"/>
      <c r="G49" s="239"/>
      <c r="H49" s="239"/>
      <c r="I49" s="239" t="n">
        <f aca="false">H49+SUM(I39:I48)</f>
        <v>1305.69471014979</v>
      </c>
      <c r="J49" s="239" t="n">
        <f aca="false">I49+SUM(J39:J48)</f>
        <v>1526.38134532045</v>
      </c>
      <c r="K49" s="239" t="n">
        <f aca="false">J49+SUM(K39:K48)</f>
        <v>1801.5439004911</v>
      </c>
      <c r="L49" s="239" t="n">
        <f aca="false">K49+SUM(L39:L48)</f>
        <v>2022.18913566176</v>
      </c>
      <c r="M49" s="239" t="n">
        <f aca="false">L49+SUM(M39:M48)</f>
        <v>2251.47698083241</v>
      </c>
      <c r="N49" s="239" t="n">
        <f aca="false">M49+SUM(N39:N48)</f>
        <v>2380.75553000307</v>
      </c>
      <c r="O49" s="239" t="n">
        <f aca="false">N49+SUM(O39:O48)</f>
        <v>2495.33239417372</v>
      </c>
      <c r="P49" s="239" t="n">
        <f aca="false">O49+SUM(P39:P48)</f>
        <v>2597.70486834438</v>
      </c>
      <c r="Q49" s="239" t="n">
        <f aca="false">P49+SUM(Q39:Q48)</f>
        <v>2741.15601251503</v>
      </c>
      <c r="R49" s="239" t="n">
        <f aca="false">Q49+SUM(R39:R48)</f>
        <v>3090.54998668569</v>
      </c>
      <c r="S49" s="239" t="n">
        <f aca="false">R49+SUM(S39:S48)</f>
        <v>3185.13233085634</v>
      </c>
      <c r="T49" s="239" t="n">
        <f aca="false">S49+SUM(T39:T48)</f>
        <v>3229.174575027</v>
      </c>
      <c r="U49" s="239" t="n">
        <f aca="false">T49+SUM(U39:U48)</f>
        <v>3229.174575027</v>
      </c>
      <c r="V49" s="239" t="n">
        <f aca="false">U49+SUM(V39:V48)</f>
        <v>3257.677815027</v>
      </c>
      <c r="W49" s="239" t="n">
        <f aca="false">V49+SUM(W39:W48)</f>
        <v>3313.376925027</v>
      </c>
      <c r="X49" s="239" t="n">
        <f aca="false">W49+SUM(X39:X48)</f>
        <v>3313.376925027</v>
      </c>
      <c r="Y49" s="239" t="n">
        <f aca="false">X49+SUM(Y39:Y48)</f>
        <v>3313.376925027</v>
      </c>
      <c r="Z49" s="239" t="n">
        <f aca="false">Y49+SUM(Z39:Z48)</f>
        <v>3313.376925027</v>
      </c>
      <c r="AA49" s="248"/>
      <c r="AB49" s="248"/>
      <c r="AC49" s="184"/>
      <c r="AD49" s="242"/>
      <c r="AE49" s="260"/>
      <c r="AF49" s="260"/>
      <c r="AG49" s="260"/>
      <c r="AH49" s="260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BD49" s="242"/>
      <c r="BE49" s="242"/>
      <c r="BF49" s="184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2"/>
      <c r="BR49" s="242"/>
      <c r="BS49" s="242"/>
      <c r="BT49" s="242"/>
      <c r="BU49" s="242"/>
      <c r="BV49" s="242"/>
      <c r="BW49" s="242"/>
      <c r="BX49" s="242"/>
      <c r="BY49" s="242"/>
      <c r="BZ49" s="242"/>
      <c r="CA49" s="242"/>
      <c r="CB49" s="242"/>
      <c r="CC49" s="242"/>
      <c r="CD49" s="242"/>
      <c r="CE49" s="242"/>
      <c r="CF49" s="242"/>
      <c r="CG49" s="242"/>
      <c r="CH49" s="242"/>
      <c r="CI49" s="242"/>
      <c r="CJ49" s="242"/>
      <c r="CK49" s="242"/>
      <c r="CL49" s="242"/>
      <c r="CM49" s="242"/>
      <c r="CN49" s="242"/>
      <c r="CO49" s="242"/>
      <c r="CP49" s="242"/>
      <c r="CQ49" s="242"/>
      <c r="CR49" s="242"/>
      <c r="CS49" s="242"/>
      <c r="CT49" s="242"/>
      <c r="CU49" s="242"/>
      <c r="CV49" s="242"/>
      <c r="CW49" s="242"/>
      <c r="CX49" s="242"/>
      <c r="CY49" s="242"/>
      <c r="CZ49" s="242"/>
      <c r="DA49" s="242"/>
      <c r="DB49" s="242"/>
      <c r="DC49" s="242"/>
      <c r="DD49" s="242"/>
      <c r="DE49" s="242"/>
      <c r="DF49" s="242"/>
      <c r="DG49" s="242"/>
      <c r="DH49" s="242"/>
      <c r="DI49" s="242"/>
      <c r="DJ49" s="242"/>
      <c r="DK49" s="242"/>
      <c r="DL49" s="242"/>
      <c r="DM49" s="242"/>
      <c r="DN49" s="242"/>
      <c r="DO49" s="242"/>
      <c r="DP49" s="242"/>
      <c r="DQ49" s="242"/>
      <c r="DR49" s="242"/>
      <c r="DS49" s="242"/>
      <c r="DT49" s="242"/>
      <c r="DU49" s="242"/>
      <c r="DV49" s="242"/>
      <c r="DW49" s="242"/>
      <c r="DX49" s="242"/>
      <c r="DY49" s="242"/>
      <c r="DZ49" s="242"/>
      <c r="EA49" s="242"/>
      <c r="EB49" s="242"/>
      <c r="EC49" s="242"/>
      <c r="ED49" s="242"/>
      <c r="EE49" s="242"/>
      <c r="EF49" s="242"/>
      <c r="EG49" s="242"/>
      <c r="EH49" s="242"/>
      <c r="EI49" s="242"/>
      <c r="EJ49" s="242"/>
      <c r="EK49" s="242"/>
      <c r="EL49" s="242"/>
      <c r="EM49" s="242"/>
      <c r="EN49" s="242"/>
      <c r="EO49" s="242"/>
      <c r="EP49" s="242"/>
      <c r="EQ49" s="242"/>
      <c r="ER49" s="242"/>
      <c r="ES49" s="242"/>
      <c r="ET49" s="242"/>
      <c r="EU49" s="242"/>
      <c r="EV49" s="242"/>
      <c r="EW49" s="242"/>
      <c r="EX49" s="242"/>
      <c r="EY49" s="242"/>
      <c r="EZ49" s="242"/>
      <c r="FA49" s="242"/>
      <c r="FB49" s="242"/>
      <c r="FC49" s="242"/>
      <c r="FD49" s="242"/>
      <c r="FE49" s="242"/>
      <c r="FF49" s="242"/>
      <c r="FG49" s="242"/>
      <c r="FH49" s="242"/>
      <c r="FI49" s="242"/>
      <c r="FJ49" s="242"/>
      <c r="FK49" s="242"/>
      <c r="FL49" s="242"/>
      <c r="FM49" s="242"/>
      <c r="FN49" s="242"/>
      <c r="FO49" s="242"/>
      <c r="FP49" s="242"/>
      <c r="FQ49" s="242"/>
      <c r="FR49" s="242"/>
      <c r="FS49" s="242"/>
      <c r="FT49" s="242"/>
      <c r="FU49" s="242"/>
      <c r="FV49" s="242"/>
      <c r="FW49" s="242"/>
      <c r="FX49" s="242"/>
      <c r="FY49" s="242"/>
      <c r="FZ49" s="242"/>
      <c r="GA49" s="242"/>
      <c r="GB49" s="242"/>
      <c r="GC49" s="242"/>
      <c r="GD49" s="242"/>
      <c r="GE49" s="242"/>
      <c r="GF49" s="242"/>
      <c r="GG49" s="242"/>
      <c r="GH49" s="242"/>
      <c r="GI49" s="242"/>
      <c r="GJ49" s="242"/>
      <c r="GK49" s="242"/>
      <c r="GL49" s="242"/>
      <c r="GM49" s="242"/>
      <c r="GN49" s="242"/>
      <c r="GO49" s="242"/>
      <c r="GP49" s="242"/>
      <c r="GQ49" s="242"/>
      <c r="GR49" s="242"/>
      <c r="GS49" s="242"/>
      <c r="GT49" s="242"/>
      <c r="GU49" s="242"/>
      <c r="GV49" s="242"/>
      <c r="GW49" s="242"/>
      <c r="GX49" s="242"/>
      <c r="GY49" s="242"/>
      <c r="GZ49" s="242"/>
      <c r="HA49" s="242"/>
      <c r="HB49" s="242"/>
      <c r="HC49" s="242"/>
      <c r="HD49" s="242"/>
      <c r="HE49" s="242"/>
      <c r="HF49" s="242"/>
      <c r="HG49" s="242"/>
      <c r="HH49" s="242"/>
      <c r="HI49" s="242"/>
      <c r="HJ49" s="242"/>
      <c r="HK49" s="242"/>
      <c r="HL49" s="242"/>
      <c r="HM49" s="242"/>
      <c r="HN49" s="242"/>
      <c r="HO49" s="242"/>
      <c r="HP49" s="242"/>
      <c r="HQ49" s="242"/>
      <c r="HR49" s="242"/>
      <c r="HS49" s="242"/>
      <c r="HT49" s="242"/>
      <c r="HU49" s="242"/>
      <c r="HV49" s="242"/>
      <c r="HW49" s="242"/>
      <c r="HX49" s="242"/>
      <c r="HY49" s="242"/>
      <c r="HZ49" s="242"/>
      <c r="IA49" s="242"/>
      <c r="IB49" s="242"/>
      <c r="IC49" s="242"/>
      <c r="ID49" s="242"/>
      <c r="IE49" s="242"/>
      <c r="IF49" s="242"/>
      <c r="IG49" s="242"/>
      <c r="IH49" s="242"/>
      <c r="II49" s="242"/>
      <c r="IJ49" s="242"/>
      <c r="IK49" s="242"/>
      <c r="IL49" s="242"/>
      <c r="IM49" s="242"/>
      <c r="IN49" s="242"/>
      <c r="IO49" s="242"/>
      <c r="IP49" s="242"/>
      <c r="IQ49" s="242"/>
      <c r="IR49" s="242"/>
      <c r="IS49" s="242"/>
      <c r="IT49" s="242"/>
      <c r="IU49" s="242"/>
      <c r="IV49" s="242"/>
      <c r="IW49" s="242"/>
    </row>
    <row r="50" customFormat="false" ht="12.75" hidden="false" customHeight="true" outlineLevel="0" collapsed="false">
      <c r="A50" s="245"/>
      <c r="B50" s="245"/>
      <c r="C50" s="245"/>
      <c r="D50" s="245"/>
      <c r="E50" s="245"/>
      <c r="F50" s="245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48"/>
      <c r="AB50" s="248"/>
      <c r="AC50" s="248"/>
      <c r="AD50" s="242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BD50" s="242"/>
      <c r="BE50" s="242"/>
      <c r="BF50" s="184"/>
      <c r="BG50" s="242"/>
      <c r="BH50" s="242"/>
      <c r="BI50" s="242"/>
      <c r="BJ50" s="242"/>
      <c r="BK50" s="242"/>
      <c r="BL50" s="242"/>
      <c r="BM50" s="242"/>
      <c r="BN50" s="242"/>
      <c r="BO50" s="242"/>
      <c r="BP50" s="242"/>
      <c r="BQ50" s="242"/>
      <c r="BR50" s="242"/>
      <c r="BS50" s="242"/>
      <c r="BT50" s="242"/>
      <c r="BU50" s="242"/>
      <c r="BV50" s="242"/>
      <c r="BW50" s="242"/>
      <c r="BX50" s="242"/>
      <c r="BY50" s="242"/>
      <c r="BZ50" s="242"/>
      <c r="CA50" s="242"/>
      <c r="CB50" s="242"/>
      <c r="CC50" s="242"/>
      <c r="CD50" s="242"/>
      <c r="CE50" s="242"/>
      <c r="CF50" s="242"/>
      <c r="CG50" s="242"/>
      <c r="CH50" s="242"/>
      <c r="CI50" s="242"/>
      <c r="CJ50" s="242"/>
      <c r="CK50" s="242"/>
      <c r="CL50" s="242"/>
      <c r="CM50" s="242"/>
      <c r="CN50" s="242"/>
      <c r="CO50" s="242"/>
      <c r="CP50" s="242"/>
      <c r="CQ50" s="242"/>
      <c r="CR50" s="242"/>
      <c r="CS50" s="242"/>
      <c r="CT50" s="242"/>
      <c r="CU50" s="242"/>
      <c r="CV50" s="242"/>
      <c r="CW50" s="242"/>
      <c r="CX50" s="242"/>
      <c r="CY50" s="242"/>
      <c r="CZ50" s="242"/>
      <c r="DA50" s="242"/>
      <c r="DB50" s="242"/>
      <c r="DC50" s="242"/>
      <c r="DD50" s="242"/>
      <c r="DE50" s="242"/>
      <c r="DF50" s="242"/>
      <c r="DG50" s="242"/>
      <c r="DH50" s="242"/>
      <c r="DI50" s="242"/>
      <c r="DJ50" s="242"/>
      <c r="DK50" s="242"/>
      <c r="DL50" s="242"/>
      <c r="DM50" s="242"/>
      <c r="DN50" s="242"/>
      <c r="DO50" s="242"/>
      <c r="DP50" s="242"/>
      <c r="DQ50" s="242"/>
      <c r="DR50" s="242"/>
      <c r="DS50" s="242"/>
      <c r="DT50" s="242"/>
      <c r="DU50" s="242"/>
      <c r="DV50" s="242"/>
      <c r="DW50" s="242"/>
      <c r="DX50" s="242"/>
      <c r="DY50" s="242"/>
      <c r="DZ50" s="242"/>
      <c r="EA50" s="242"/>
      <c r="EB50" s="242"/>
      <c r="EC50" s="242"/>
      <c r="ED50" s="242"/>
      <c r="EE50" s="242"/>
      <c r="EF50" s="242"/>
      <c r="EG50" s="242"/>
      <c r="EH50" s="242"/>
      <c r="EI50" s="242"/>
      <c r="EJ50" s="242"/>
      <c r="EK50" s="242"/>
      <c r="EL50" s="242"/>
      <c r="EM50" s="242"/>
      <c r="EN50" s="242"/>
      <c r="EO50" s="242"/>
      <c r="EP50" s="242"/>
      <c r="EQ50" s="242"/>
      <c r="ER50" s="242"/>
      <c r="ES50" s="242"/>
      <c r="ET50" s="242"/>
      <c r="EU50" s="242"/>
      <c r="EV50" s="242"/>
      <c r="EW50" s="242"/>
      <c r="EX50" s="242"/>
      <c r="EY50" s="242"/>
      <c r="EZ50" s="242"/>
      <c r="FA50" s="242"/>
      <c r="FB50" s="242"/>
      <c r="FC50" s="242"/>
      <c r="FD50" s="242"/>
      <c r="FE50" s="242"/>
      <c r="FF50" s="242"/>
      <c r="FG50" s="242"/>
      <c r="FH50" s="242"/>
      <c r="FI50" s="242"/>
      <c r="FJ50" s="242"/>
      <c r="FK50" s="242"/>
      <c r="FL50" s="242"/>
      <c r="FM50" s="242"/>
      <c r="FN50" s="242"/>
      <c r="FO50" s="242"/>
      <c r="FP50" s="242"/>
      <c r="FQ50" s="242"/>
      <c r="FR50" s="242"/>
      <c r="FS50" s="242"/>
      <c r="FT50" s="242"/>
      <c r="FU50" s="242"/>
      <c r="FV50" s="242"/>
      <c r="FW50" s="242"/>
      <c r="FX50" s="242"/>
      <c r="FY50" s="242"/>
      <c r="FZ50" s="242"/>
      <c r="GA50" s="242"/>
      <c r="GB50" s="242"/>
      <c r="GC50" s="242"/>
      <c r="GD50" s="242"/>
      <c r="GE50" s="242"/>
      <c r="GF50" s="242"/>
      <c r="GG50" s="242"/>
      <c r="GH50" s="242"/>
      <c r="GI50" s="242"/>
      <c r="GJ50" s="242"/>
      <c r="GK50" s="242"/>
      <c r="GL50" s="242"/>
      <c r="GM50" s="242"/>
      <c r="GN50" s="242"/>
      <c r="GO50" s="242"/>
      <c r="GP50" s="242"/>
      <c r="GQ50" s="242"/>
      <c r="GR50" s="242"/>
      <c r="GS50" s="242"/>
      <c r="GT50" s="242"/>
      <c r="GU50" s="242"/>
      <c r="GV50" s="242"/>
      <c r="GW50" s="242"/>
      <c r="GX50" s="242"/>
      <c r="GY50" s="242"/>
      <c r="GZ50" s="242"/>
      <c r="HA50" s="242"/>
      <c r="HB50" s="242"/>
      <c r="HC50" s="242"/>
      <c r="HD50" s="242"/>
      <c r="HE50" s="242"/>
      <c r="HF50" s="242"/>
      <c r="HG50" s="242"/>
      <c r="HH50" s="242"/>
      <c r="HI50" s="242"/>
      <c r="HJ50" s="242"/>
      <c r="HK50" s="242"/>
      <c r="HL50" s="242"/>
      <c r="HM50" s="242"/>
      <c r="HN50" s="242"/>
      <c r="HO50" s="242"/>
      <c r="HP50" s="242"/>
      <c r="HQ50" s="242"/>
      <c r="HR50" s="242"/>
      <c r="HS50" s="242"/>
      <c r="HT50" s="242"/>
      <c r="HU50" s="242"/>
      <c r="HV50" s="242"/>
      <c r="HW50" s="242"/>
      <c r="HX50" s="242"/>
      <c r="HY50" s="242"/>
      <c r="HZ50" s="242"/>
      <c r="IA50" s="242"/>
      <c r="IB50" s="242"/>
      <c r="IC50" s="242"/>
      <c r="ID50" s="242"/>
      <c r="IE50" s="242"/>
      <c r="IF50" s="242"/>
      <c r="IG50" s="242"/>
      <c r="IH50" s="242"/>
      <c r="II50" s="242"/>
      <c r="IJ50" s="242"/>
      <c r="IK50" s="242"/>
      <c r="IL50" s="242"/>
      <c r="IM50" s="242"/>
      <c r="IN50" s="242"/>
      <c r="IO50" s="242"/>
      <c r="IP50" s="242"/>
      <c r="IQ50" s="242"/>
      <c r="IR50" s="242"/>
      <c r="IS50" s="242"/>
      <c r="IT50" s="242"/>
      <c r="IU50" s="242"/>
      <c r="IV50" s="242"/>
      <c r="IW50" s="242"/>
    </row>
    <row r="51" customFormat="false" ht="12.75" hidden="false" customHeight="true" outlineLevel="0" collapsed="false">
      <c r="A51" s="248"/>
      <c r="B51" s="24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48"/>
      <c r="AB51" s="248"/>
      <c r="AC51" s="248"/>
      <c r="AD51" s="242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BD51" s="242"/>
      <c r="BE51" s="242"/>
      <c r="BF51" s="184"/>
      <c r="BG51" s="242"/>
      <c r="BH51" s="242"/>
      <c r="BI51" s="242"/>
      <c r="BJ51" s="242"/>
      <c r="BK51" s="242"/>
      <c r="BL51" s="242"/>
      <c r="BM51" s="242"/>
      <c r="BN51" s="242"/>
      <c r="BO51" s="242"/>
      <c r="BP51" s="242"/>
      <c r="BQ51" s="242"/>
      <c r="BR51" s="242"/>
      <c r="BS51" s="242"/>
      <c r="BT51" s="242"/>
      <c r="BU51" s="242"/>
      <c r="BV51" s="242"/>
      <c r="BW51" s="242"/>
      <c r="BX51" s="242"/>
      <c r="BY51" s="242"/>
      <c r="BZ51" s="242"/>
      <c r="CA51" s="242"/>
      <c r="CB51" s="242"/>
      <c r="CC51" s="242"/>
      <c r="CD51" s="242"/>
      <c r="CE51" s="242"/>
      <c r="CF51" s="242"/>
      <c r="CG51" s="242"/>
      <c r="CH51" s="242"/>
      <c r="CI51" s="242"/>
      <c r="CJ51" s="242"/>
      <c r="CK51" s="242"/>
      <c r="CL51" s="242"/>
      <c r="CM51" s="242"/>
      <c r="CN51" s="242"/>
      <c r="CO51" s="242"/>
      <c r="CP51" s="242"/>
      <c r="CQ51" s="242"/>
      <c r="CR51" s="242"/>
      <c r="CS51" s="242"/>
      <c r="CT51" s="242"/>
      <c r="CU51" s="242"/>
      <c r="CV51" s="242"/>
      <c r="CW51" s="242"/>
      <c r="CX51" s="242"/>
      <c r="CY51" s="242"/>
      <c r="CZ51" s="242"/>
      <c r="DA51" s="242"/>
      <c r="DB51" s="242"/>
      <c r="DC51" s="242"/>
      <c r="DD51" s="242"/>
      <c r="DE51" s="242"/>
      <c r="DF51" s="242"/>
      <c r="DG51" s="242"/>
      <c r="DH51" s="242"/>
      <c r="DI51" s="242"/>
      <c r="DJ51" s="242"/>
      <c r="DK51" s="242"/>
      <c r="DL51" s="242"/>
      <c r="DM51" s="242"/>
      <c r="DN51" s="242"/>
      <c r="DO51" s="242"/>
      <c r="DP51" s="242"/>
      <c r="DQ51" s="242"/>
      <c r="DR51" s="242"/>
      <c r="DS51" s="242"/>
      <c r="DT51" s="242"/>
      <c r="DU51" s="242"/>
      <c r="DV51" s="242"/>
      <c r="DW51" s="242"/>
      <c r="DX51" s="242"/>
      <c r="DY51" s="242"/>
      <c r="DZ51" s="242"/>
      <c r="EA51" s="242"/>
      <c r="EB51" s="242"/>
      <c r="EC51" s="242"/>
      <c r="ED51" s="242"/>
      <c r="EE51" s="242"/>
      <c r="EF51" s="242"/>
      <c r="EG51" s="242"/>
      <c r="EH51" s="242"/>
      <c r="EI51" s="242"/>
      <c r="EJ51" s="242"/>
      <c r="EK51" s="242"/>
      <c r="EL51" s="242"/>
      <c r="EM51" s="242"/>
      <c r="EN51" s="242"/>
      <c r="EO51" s="242"/>
      <c r="EP51" s="242"/>
      <c r="EQ51" s="242"/>
      <c r="ER51" s="242"/>
      <c r="ES51" s="242"/>
      <c r="ET51" s="242"/>
      <c r="EU51" s="242"/>
      <c r="EV51" s="242"/>
      <c r="EW51" s="242"/>
      <c r="EX51" s="242"/>
      <c r="EY51" s="242"/>
      <c r="EZ51" s="242"/>
      <c r="FA51" s="242"/>
      <c r="FB51" s="242"/>
      <c r="FC51" s="242"/>
      <c r="FD51" s="242"/>
      <c r="FE51" s="242"/>
      <c r="FF51" s="242"/>
      <c r="FG51" s="242"/>
      <c r="FH51" s="242"/>
      <c r="FI51" s="242"/>
      <c r="FJ51" s="242"/>
      <c r="FK51" s="242"/>
      <c r="FL51" s="242"/>
      <c r="FM51" s="242"/>
      <c r="FN51" s="242"/>
      <c r="FO51" s="242"/>
      <c r="FP51" s="242"/>
      <c r="FQ51" s="242"/>
      <c r="FR51" s="242"/>
      <c r="FS51" s="242"/>
      <c r="FT51" s="242"/>
      <c r="FU51" s="242"/>
      <c r="FV51" s="242"/>
      <c r="FW51" s="242"/>
      <c r="FX51" s="242"/>
      <c r="FY51" s="242"/>
      <c r="FZ51" s="242"/>
      <c r="GA51" s="242"/>
      <c r="GB51" s="242"/>
      <c r="GC51" s="242"/>
      <c r="GD51" s="242"/>
      <c r="GE51" s="242"/>
      <c r="GF51" s="242"/>
      <c r="GG51" s="242"/>
      <c r="GH51" s="242"/>
      <c r="GI51" s="242"/>
      <c r="GJ51" s="242"/>
      <c r="GK51" s="242"/>
      <c r="GL51" s="242"/>
      <c r="GM51" s="242"/>
      <c r="GN51" s="242"/>
      <c r="GO51" s="242"/>
      <c r="GP51" s="242"/>
      <c r="GQ51" s="242"/>
      <c r="GR51" s="242"/>
      <c r="GS51" s="242"/>
      <c r="GT51" s="242"/>
      <c r="GU51" s="242"/>
      <c r="GV51" s="242"/>
      <c r="GW51" s="242"/>
      <c r="GX51" s="242"/>
      <c r="GY51" s="242"/>
      <c r="GZ51" s="242"/>
      <c r="HA51" s="242"/>
      <c r="HB51" s="242"/>
      <c r="HC51" s="242"/>
      <c r="HD51" s="242"/>
      <c r="HE51" s="242"/>
      <c r="HF51" s="242"/>
      <c r="HG51" s="242"/>
      <c r="HH51" s="242"/>
      <c r="HI51" s="242"/>
      <c r="HJ51" s="242"/>
      <c r="HK51" s="242"/>
      <c r="HL51" s="242"/>
      <c r="HM51" s="242"/>
      <c r="HN51" s="242"/>
      <c r="HO51" s="242"/>
      <c r="HP51" s="242"/>
      <c r="HQ51" s="242"/>
      <c r="HR51" s="242"/>
      <c r="HS51" s="242"/>
      <c r="HT51" s="242"/>
      <c r="HU51" s="242"/>
      <c r="HV51" s="242"/>
      <c r="HW51" s="242"/>
      <c r="HX51" s="242"/>
      <c r="HY51" s="242"/>
      <c r="HZ51" s="242"/>
      <c r="IA51" s="242"/>
      <c r="IB51" s="242"/>
      <c r="IC51" s="242"/>
      <c r="ID51" s="242"/>
      <c r="IE51" s="242"/>
      <c r="IF51" s="242"/>
      <c r="IG51" s="242"/>
      <c r="IH51" s="242"/>
      <c r="II51" s="242"/>
      <c r="IJ51" s="242"/>
      <c r="IK51" s="242"/>
      <c r="IL51" s="242"/>
      <c r="IM51" s="242"/>
      <c r="IN51" s="242"/>
      <c r="IO51" s="242"/>
      <c r="IP51" s="242"/>
      <c r="IQ51" s="242"/>
      <c r="IR51" s="242"/>
      <c r="IS51" s="242"/>
      <c r="IT51" s="242"/>
      <c r="IU51" s="242"/>
      <c r="IV51" s="242"/>
      <c r="IW51" s="242"/>
    </row>
    <row r="52" customFormat="false" ht="12.75" hidden="false" customHeight="true" outlineLevel="0" collapsed="false">
      <c r="A52" s="245"/>
      <c r="B52" s="245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48"/>
      <c r="AB52" s="248"/>
      <c r="AC52" s="248"/>
      <c r="AD52" s="242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BD52" s="242"/>
      <c r="BE52" s="242"/>
      <c r="BF52" s="184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  <c r="BS52" s="242"/>
      <c r="BT52" s="242"/>
      <c r="BU52" s="242"/>
      <c r="BV52" s="242"/>
      <c r="BW52" s="242"/>
      <c r="BX52" s="242"/>
      <c r="BY52" s="242"/>
      <c r="BZ52" s="242"/>
      <c r="CA52" s="242"/>
      <c r="CB52" s="242"/>
      <c r="CC52" s="242"/>
      <c r="CD52" s="242"/>
      <c r="CE52" s="242"/>
      <c r="CF52" s="242"/>
      <c r="CG52" s="242"/>
      <c r="CH52" s="242"/>
      <c r="CI52" s="242"/>
      <c r="CJ52" s="242"/>
      <c r="CK52" s="242"/>
      <c r="CL52" s="242"/>
      <c r="CM52" s="242"/>
      <c r="CN52" s="242"/>
      <c r="CO52" s="242"/>
      <c r="CP52" s="242"/>
      <c r="CQ52" s="242"/>
      <c r="CR52" s="242"/>
      <c r="CS52" s="242"/>
      <c r="CT52" s="242"/>
      <c r="CU52" s="242"/>
      <c r="CV52" s="242"/>
      <c r="CW52" s="242"/>
      <c r="CX52" s="242"/>
      <c r="CY52" s="242"/>
      <c r="CZ52" s="242"/>
      <c r="DA52" s="242"/>
      <c r="DB52" s="242"/>
      <c r="DC52" s="242"/>
      <c r="DD52" s="242"/>
      <c r="DE52" s="242"/>
      <c r="DF52" s="242"/>
      <c r="DG52" s="242"/>
      <c r="DH52" s="242"/>
      <c r="DI52" s="242"/>
      <c r="DJ52" s="242"/>
      <c r="DK52" s="242"/>
      <c r="DL52" s="242"/>
      <c r="DM52" s="242"/>
      <c r="DN52" s="242"/>
      <c r="DO52" s="242"/>
      <c r="DP52" s="242"/>
      <c r="DQ52" s="242"/>
      <c r="DR52" s="242"/>
      <c r="DS52" s="242"/>
      <c r="DT52" s="242"/>
      <c r="DU52" s="242"/>
      <c r="DV52" s="242"/>
      <c r="DW52" s="242"/>
      <c r="DX52" s="242"/>
      <c r="DY52" s="242"/>
      <c r="DZ52" s="242"/>
      <c r="EA52" s="242"/>
      <c r="EB52" s="242"/>
      <c r="EC52" s="242"/>
      <c r="ED52" s="242"/>
      <c r="EE52" s="242"/>
      <c r="EF52" s="242"/>
      <c r="EG52" s="242"/>
      <c r="EH52" s="242"/>
      <c r="EI52" s="242"/>
      <c r="EJ52" s="242"/>
      <c r="EK52" s="242"/>
      <c r="EL52" s="242"/>
      <c r="EM52" s="242"/>
      <c r="EN52" s="242"/>
      <c r="EO52" s="242"/>
      <c r="EP52" s="242"/>
      <c r="EQ52" s="242"/>
      <c r="ER52" s="242"/>
      <c r="ES52" s="242"/>
      <c r="ET52" s="242"/>
      <c r="EU52" s="242"/>
      <c r="EV52" s="242"/>
      <c r="EW52" s="242"/>
      <c r="EX52" s="242"/>
      <c r="EY52" s="242"/>
      <c r="EZ52" s="242"/>
      <c r="FA52" s="242"/>
      <c r="FB52" s="242"/>
      <c r="FC52" s="242"/>
      <c r="FD52" s="242"/>
      <c r="FE52" s="242"/>
      <c r="FF52" s="242"/>
      <c r="FG52" s="242"/>
      <c r="FH52" s="242"/>
      <c r="FI52" s="242"/>
      <c r="FJ52" s="242"/>
      <c r="FK52" s="242"/>
      <c r="FL52" s="242"/>
      <c r="FM52" s="242"/>
      <c r="FN52" s="242"/>
      <c r="FO52" s="242"/>
      <c r="FP52" s="242"/>
      <c r="FQ52" s="242"/>
      <c r="FR52" s="242"/>
      <c r="FS52" s="242"/>
      <c r="FT52" s="242"/>
      <c r="FU52" s="242"/>
      <c r="FV52" s="242"/>
      <c r="FW52" s="242"/>
      <c r="FX52" s="242"/>
      <c r="FY52" s="242"/>
      <c r="FZ52" s="242"/>
      <c r="GA52" s="242"/>
      <c r="GB52" s="242"/>
      <c r="GC52" s="242"/>
      <c r="GD52" s="242"/>
      <c r="GE52" s="242"/>
      <c r="GF52" s="242"/>
      <c r="GG52" s="242"/>
      <c r="GH52" s="242"/>
      <c r="GI52" s="242"/>
      <c r="GJ52" s="242"/>
      <c r="GK52" s="242"/>
      <c r="GL52" s="242"/>
      <c r="GM52" s="242"/>
      <c r="GN52" s="242"/>
      <c r="GO52" s="242"/>
      <c r="GP52" s="242"/>
      <c r="GQ52" s="242"/>
      <c r="GR52" s="242"/>
      <c r="GS52" s="242"/>
      <c r="GT52" s="242"/>
      <c r="GU52" s="242"/>
      <c r="GV52" s="242"/>
      <c r="GW52" s="242"/>
      <c r="GX52" s="242"/>
      <c r="GY52" s="242"/>
      <c r="GZ52" s="242"/>
      <c r="HA52" s="242"/>
      <c r="HB52" s="242"/>
      <c r="HC52" s="242"/>
      <c r="HD52" s="242"/>
      <c r="HE52" s="242"/>
      <c r="HF52" s="242"/>
      <c r="HG52" s="242"/>
      <c r="HH52" s="242"/>
      <c r="HI52" s="242"/>
      <c r="HJ52" s="242"/>
      <c r="HK52" s="242"/>
      <c r="HL52" s="242"/>
      <c r="HM52" s="242"/>
      <c r="HN52" s="242"/>
      <c r="HO52" s="242"/>
      <c r="HP52" s="242"/>
      <c r="HQ52" s="242"/>
      <c r="HR52" s="242"/>
      <c r="HS52" s="242"/>
      <c r="HT52" s="242"/>
      <c r="HU52" s="242"/>
      <c r="HV52" s="242"/>
      <c r="HW52" s="242"/>
      <c r="HX52" s="242"/>
      <c r="HY52" s="242"/>
      <c r="HZ52" s="242"/>
      <c r="IA52" s="242"/>
      <c r="IB52" s="242"/>
      <c r="IC52" s="242"/>
      <c r="ID52" s="242"/>
      <c r="IE52" s="242"/>
      <c r="IF52" s="242"/>
      <c r="IG52" s="242"/>
      <c r="IH52" s="242"/>
      <c r="II52" s="242"/>
      <c r="IJ52" s="242"/>
      <c r="IK52" s="242"/>
      <c r="IL52" s="242"/>
      <c r="IM52" s="242"/>
      <c r="IN52" s="242"/>
      <c r="IO52" s="242"/>
      <c r="IP52" s="242"/>
      <c r="IQ52" s="242"/>
      <c r="IR52" s="242"/>
      <c r="IS52" s="242"/>
      <c r="IT52" s="242"/>
      <c r="IU52" s="242"/>
      <c r="IV52" s="242"/>
      <c r="IW52" s="242"/>
    </row>
    <row r="53" customFormat="false" ht="12.75" hidden="false" customHeight="true" outlineLevel="0" collapsed="false">
      <c r="A53" s="245" t="s">
        <v>281</v>
      </c>
      <c r="B53" s="242"/>
      <c r="C53" s="239" t="n">
        <f aca="false">C17</f>
        <v>0</v>
      </c>
      <c r="D53" s="239" t="n">
        <f aca="false">C53+D17</f>
        <v>112.120465434634</v>
      </c>
      <c r="E53" s="239" t="n">
        <f aca="false">D53+E17</f>
        <v>253.940719337032</v>
      </c>
      <c r="F53" s="239" t="n">
        <f aca="false">E53+F17</f>
        <v>382.743107041873</v>
      </c>
      <c r="G53" s="239" t="n">
        <f aca="false">F53+G17</f>
        <v>542.910859405157</v>
      </c>
      <c r="H53" s="239" t="n">
        <f aca="false">G53+H17</f>
        <v>718.128739968716</v>
      </c>
      <c r="I53" s="239" t="n">
        <f aca="false">I32+I47</f>
        <v>921.475245365121</v>
      </c>
      <c r="J53" s="239" t="n">
        <f aca="false">I53+J32+J47</f>
        <v>1120.92895285426</v>
      </c>
      <c r="K53" s="239" t="n">
        <f aca="false">J53+K32+K47</f>
        <v>1368.27856513923</v>
      </c>
      <c r="L53" s="239" t="n">
        <f aca="false">K53+L32+L47</f>
        <v>1643.88945366729</v>
      </c>
      <c r="M53" s="239" t="n">
        <f aca="false">L53+M32+M47</f>
        <v>1947.82473959752</v>
      </c>
      <c r="N53" s="239" t="n">
        <f aca="false">M53+N32+N47</f>
        <v>2301.9140578566</v>
      </c>
      <c r="O53" s="239" t="n">
        <f aca="false">N53+O32+O47</f>
        <v>2667.62432912834</v>
      </c>
      <c r="P53" s="239" t="n">
        <f aca="false">O53+P32+P47</f>
        <v>3066.97472040018</v>
      </c>
      <c r="Q53" s="239" t="n">
        <f aca="false">P53+Q32+Q47</f>
        <v>3485.93669246849</v>
      </c>
      <c r="R53" s="239" t="n">
        <f aca="false">Q53+R32+R47</f>
        <v>3902.63601279264</v>
      </c>
      <c r="S53" s="239" t="n">
        <f aca="false">R53+S32+S47</f>
        <v>4408.44630941656</v>
      </c>
      <c r="T53" s="239" t="n">
        <f aca="false">S53+T32+T47</f>
        <v>4916.20244039238</v>
      </c>
      <c r="U53" s="239" t="n">
        <f aca="false">T53+U32+U47</f>
        <v>5160.79876122288</v>
      </c>
      <c r="V53" s="239" t="n">
        <f aca="false">U53+V32+V47</f>
        <v>5458.4916409683</v>
      </c>
      <c r="W53" s="239" t="n">
        <f aca="false">V53+W32+W47</f>
        <v>5996.00104026558</v>
      </c>
      <c r="X53" s="239" t="n">
        <f aca="false">W53+X32+X47</f>
        <v>6569.70123735763</v>
      </c>
      <c r="Y53" s="239" t="n">
        <f aca="false">X53+Y32+Y47</f>
        <v>7133.88241071515</v>
      </c>
      <c r="Z53" s="239" t="n">
        <f aca="false">Y53+Z32+Z47</f>
        <v>7133.88241071515</v>
      </c>
      <c r="AA53" s="248"/>
      <c r="AB53" s="248"/>
      <c r="AC53" s="248"/>
      <c r="AD53" s="242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BD53" s="242"/>
      <c r="BE53" s="242"/>
      <c r="BF53" s="184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  <c r="DB53" s="242"/>
      <c r="DC53" s="242"/>
      <c r="DD53" s="242"/>
      <c r="DE53" s="242"/>
      <c r="DF53" s="242"/>
      <c r="DG53" s="242"/>
      <c r="DH53" s="242"/>
      <c r="DI53" s="242"/>
      <c r="DJ53" s="242"/>
      <c r="DK53" s="242"/>
      <c r="DL53" s="242"/>
      <c r="DM53" s="242"/>
      <c r="DN53" s="242"/>
      <c r="DO53" s="242"/>
      <c r="DP53" s="242"/>
      <c r="DQ53" s="242"/>
      <c r="DR53" s="242"/>
      <c r="DS53" s="242"/>
      <c r="DT53" s="242"/>
      <c r="DU53" s="242"/>
      <c r="DV53" s="242"/>
      <c r="DW53" s="242"/>
      <c r="DX53" s="242"/>
      <c r="DY53" s="242"/>
      <c r="DZ53" s="242"/>
      <c r="EA53" s="242"/>
      <c r="EB53" s="242"/>
      <c r="EC53" s="242"/>
      <c r="ED53" s="242"/>
      <c r="EE53" s="242"/>
      <c r="EF53" s="242"/>
      <c r="EG53" s="242"/>
      <c r="EH53" s="242"/>
      <c r="EI53" s="242"/>
      <c r="EJ53" s="242"/>
      <c r="EK53" s="242"/>
      <c r="EL53" s="242"/>
      <c r="EM53" s="242"/>
      <c r="EN53" s="242"/>
      <c r="EO53" s="242"/>
      <c r="EP53" s="242"/>
      <c r="EQ53" s="242"/>
      <c r="ER53" s="242"/>
      <c r="ES53" s="242"/>
      <c r="ET53" s="242"/>
      <c r="EU53" s="242"/>
      <c r="EV53" s="242"/>
      <c r="EW53" s="242"/>
      <c r="EX53" s="242"/>
      <c r="EY53" s="242"/>
      <c r="EZ53" s="242"/>
      <c r="FA53" s="242"/>
      <c r="FB53" s="242"/>
      <c r="FC53" s="242"/>
      <c r="FD53" s="242"/>
      <c r="FE53" s="242"/>
      <c r="FF53" s="242"/>
      <c r="FG53" s="242"/>
      <c r="FH53" s="242"/>
      <c r="FI53" s="242"/>
      <c r="FJ53" s="242"/>
      <c r="FK53" s="242"/>
      <c r="FL53" s="242"/>
      <c r="FM53" s="242"/>
      <c r="FN53" s="242"/>
      <c r="FO53" s="242"/>
      <c r="FP53" s="242"/>
      <c r="FQ53" s="242"/>
      <c r="FR53" s="242"/>
      <c r="FS53" s="242"/>
      <c r="FT53" s="242"/>
      <c r="FU53" s="242"/>
      <c r="FV53" s="242"/>
      <c r="FW53" s="242"/>
      <c r="FX53" s="242"/>
      <c r="FY53" s="242"/>
      <c r="FZ53" s="242"/>
      <c r="GA53" s="242"/>
      <c r="GB53" s="242"/>
      <c r="GC53" s="242"/>
      <c r="GD53" s="242"/>
      <c r="GE53" s="242"/>
      <c r="GF53" s="242"/>
      <c r="GG53" s="242"/>
      <c r="GH53" s="242"/>
      <c r="GI53" s="242"/>
      <c r="GJ53" s="242"/>
      <c r="GK53" s="242"/>
      <c r="GL53" s="242"/>
      <c r="GM53" s="242"/>
      <c r="GN53" s="242"/>
      <c r="GO53" s="242"/>
      <c r="GP53" s="242"/>
      <c r="GQ53" s="242"/>
      <c r="GR53" s="242"/>
      <c r="GS53" s="242"/>
      <c r="GT53" s="242"/>
      <c r="GU53" s="242"/>
      <c r="GV53" s="242"/>
      <c r="GW53" s="242"/>
      <c r="GX53" s="242"/>
      <c r="GY53" s="242"/>
      <c r="GZ53" s="242"/>
      <c r="HA53" s="242"/>
      <c r="HB53" s="242"/>
      <c r="HC53" s="242"/>
      <c r="HD53" s="242"/>
      <c r="HE53" s="242"/>
      <c r="HF53" s="242"/>
      <c r="HG53" s="242"/>
      <c r="HH53" s="242"/>
      <c r="HI53" s="242"/>
      <c r="HJ53" s="242"/>
      <c r="HK53" s="242"/>
      <c r="HL53" s="242"/>
      <c r="HM53" s="242"/>
      <c r="HN53" s="242"/>
      <c r="HO53" s="242"/>
      <c r="HP53" s="242"/>
      <c r="HQ53" s="242"/>
      <c r="HR53" s="242"/>
      <c r="HS53" s="242"/>
      <c r="HT53" s="242"/>
      <c r="HU53" s="242"/>
      <c r="HV53" s="242"/>
      <c r="HW53" s="242"/>
      <c r="HX53" s="242"/>
      <c r="HY53" s="242"/>
      <c r="HZ53" s="242"/>
      <c r="IA53" s="242"/>
      <c r="IB53" s="242"/>
      <c r="IC53" s="242"/>
      <c r="ID53" s="242"/>
      <c r="IE53" s="242"/>
      <c r="IF53" s="242"/>
      <c r="IG53" s="242"/>
      <c r="IH53" s="242"/>
      <c r="II53" s="242"/>
      <c r="IJ53" s="242"/>
      <c r="IK53" s="242"/>
      <c r="IL53" s="242"/>
      <c r="IM53" s="242"/>
      <c r="IN53" s="242"/>
      <c r="IO53" s="242"/>
      <c r="IP53" s="242"/>
      <c r="IQ53" s="242"/>
      <c r="IR53" s="242"/>
      <c r="IS53" s="242"/>
      <c r="IT53" s="242"/>
      <c r="IU53" s="242"/>
      <c r="IV53" s="242"/>
      <c r="IW53" s="242"/>
    </row>
    <row r="54" customFormat="false" ht="15" hidden="false" customHeight="true" outlineLevel="0" collapsed="false">
      <c r="A54" s="245" t="s">
        <v>282</v>
      </c>
      <c r="B54" s="248"/>
      <c r="C54" s="253" t="n">
        <f aca="false">SUM(C9:C15)+C18</f>
        <v>25595</v>
      </c>
      <c r="D54" s="253" t="n">
        <f aca="false">C54+SUM(D9:D15)+D18</f>
        <v>25595</v>
      </c>
      <c r="E54" s="253" t="n">
        <f aca="false">D54+SUM(E9:E15)+E18</f>
        <v>25595</v>
      </c>
      <c r="F54" s="253" t="n">
        <f aca="false">E54+SUM(F9:F15)+F18</f>
        <v>28650.146</v>
      </c>
      <c r="G54" s="253" t="n">
        <f aca="false">F54+SUM(G9:G15)+G18</f>
        <v>32276.746</v>
      </c>
      <c r="H54" s="253" t="n">
        <f aca="false">G54+SUM(H9:H15)+H18</f>
        <v>36141.579</v>
      </c>
      <c r="I54" s="253" t="n">
        <f aca="false">H54+SUM(I9:I15)+I18</f>
        <v>37601.6817596279</v>
      </c>
      <c r="J54" s="253" t="n">
        <f aca="false">I54+SUM(J9:J15)+J18</f>
        <v>44744.3045192558</v>
      </c>
      <c r="K54" s="253" t="n">
        <f aca="false">J54+SUM(K9:K15)+K18</f>
        <v>53702.7912788837</v>
      </c>
      <c r="L54" s="253" t="n">
        <f aca="false">K54+SUM(L9:L15)+L18</f>
        <v>60844.0340385116</v>
      </c>
      <c r="M54" s="253" t="n">
        <f aca="false">L54+SUM(M9:M15)+M18</f>
        <v>68273.3637981395</v>
      </c>
      <c r="N54" s="253" t="n">
        <f aca="false">M54+SUM(N9:N15)+N18</f>
        <v>72369.0503577674</v>
      </c>
      <c r="O54" s="253" t="n">
        <f aca="false">N54+SUM(O9:O15)+O18</f>
        <v>75974.6807507286</v>
      </c>
      <c r="P54" s="253" t="n">
        <f aca="false">O54+SUM(P9:P15)+P18</f>
        <v>79173.4981436898</v>
      </c>
      <c r="Q54" s="253" t="n">
        <f aca="false">P54+SUM(Q9:Q15)+Q18</f>
        <v>83741.6045366511</v>
      </c>
      <c r="R54" s="253" t="n">
        <f aca="false">Q54+SUM(R9:R15)+R18</f>
        <v>95174.4719296123</v>
      </c>
      <c r="S54" s="253" t="n">
        <f aca="false">R54+SUM(S9:S15)+S18</f>
        <v>98113.6183225735</v>
      </c>
      <c r="T54" s="253" t="n">
        <f aca="false">S54+SUM(T9:T15)+T18</f>
        <v>100618.094715535</v>
      </c>
      <c r="U54" s="253" t="n">
        <f aca="false">T54+SUM(U9:U15)+U18</f>
        <v>100618.094715535</v>
      </c>
      <c r="V54" s="253" t="n">
        <f aca="false">U54+SUM(V9:V15)+V18</f>
        <v>102818.202715535</v>
      </c>
      <c r="W54" s="253" t="n">
        <f aca="false">V54+SUM(W9:W15)+W18</f>
        <v>105924.839715535</v>
      </c>
      <c r="X54" s="253" t="n">
        <f aca="false">W54+SUM(X9:X15)+X18</f>
        <v>107174.839715535</v>
      </c>
      <c r="Y54" s="253" t="n">
        <f aca="false">X54+SUM(Y9:Y15)+Y18</f>
        <v>107174.839715535</v>
      </c>
      <c r="Z54" s="253" t="n">
        <f aca="false">Y54+SUM(Z9:Z15)+Z18</f>
        <v>107174.839715535</v>
      </c>
      <c r="AA54" s="248"/>
      <c r="AB54" s="248"/>
      <c r="AC54" s="248"/>
      <c r="AD54" s="242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BD54" s="242"/>
      <c r="BE54" s="242"/>
      <c r="BF54" s="184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2"/>
      <c r="BR54" s="242"/>
      <c r="BS54" s="242"/>
      <c r="BT54" s="242"/>
      <c r="BU54" s="242"/>
      <c r="BV54" s="242"/>
      <c r="BW54" s="242"/>
      <c r="BX54" s="242"/>
      <c r="BY54" s="242"/>
      <c r="BZ54" s="242"/>
      <c r="CA54" s="242"/>
      <c r="CB54" s="242"/>
      <c r="CC54" s="242"/>
      <c r="CD54" s="242"/>
      <c r="CE54" s="242"/>
      <c r="CF54" s="242"/>
      <c r="CG54" s="242"/>
      <c r="CH54" s="242"/>
      <c r="CI54" s="242"/>
      <c r="CJ54" s="242"/>
      <c r="CK54" s="242"/>
      <c r="CL54" s="242"/>
      <c r="CM54" s="242"/>
      <c r="CN54" s="242"/>
      <c r="CO54" s="242"/>
      <c r="CP54" s="242"/>
      <c r="CQ54" s="242"/>
      <c r="CR54" s="242"/>
      <c r="CS54" s="242"/>
      <c r="CT54" s="242"/>
      <c r="CU54" s="242"/>
      <c r="CV54" s="242"/>
      <c r="CW54" s="242"/>
      <c r="CX54" s="242"/>
      <c r="CY54" s="242"/>
      <c r="CZ54" s="242"/>
      <c r="DA54" s="242"/>
      <c r="DB54" s="242"/>
      <c r="DC54" s="242"/>
      <c r="DD54" s="242"/>
      <c r="DE54" s="242"/>
      <c r="DF54" s="242"/>
      <c r="DG54" s="242"/>
      <c r="DH54" s="242"/>
      <c r="DI54" s="242"/>
      <c r="DJ54" s="242"/>
      <c r="DK54" s="242"/>
      <c r="DL54" s="242"/>
      <c r="DM54" s="242"/>
      <c r="DN54" s="242"/>
      <c r="DO54" s="242"/>
      <c r="DP54" s="242"/>
      <c r="DQ54" s="242"/>
      <c r="DR54" s="242"/>
      <c r="DS54" s="242"/>
      <c r="DT54" s="242"/>
      <c r="DU54" s="242"/>
      <c r="DV54" s="242"/>
      <c r="DW54" s="242"/>
      <c r="DX54" s="242"/>
      <c r="DY54" s="242"/>
      <c r="DZ54" s="242"/>
      <c r="EA54" s="242"/>
      <c r="EB54" s="242"/>
      <c r="EC54" s="242"/>
      <c r="ED54" s="242"/>
      <c r="EE54" s="242"/>
      <c r="EF54" s="242"/>
      <c r="EG54" s="242"/>
      <c r="EH54" s="242"/>
      <c r="EI54" s="242"/>
      <c r="EJ54" s="242"/>
      <c r="EK54" s="242"/>
      <c r="EL54" s="242"/>
      <c r="EM54" s="242"/>
      <c r="EN54" s="242"/>
      <c r="EO54" s="242"/>
      <c r="EP54" s="242"/>
      <c r="EQ54" s="242"/>
      <c r="ER54" s="242"/>
      <c r="ES54" s="242"/>
      <c r="ET54" s="242"/>
      <c r="EU54" s="242"/>
      <c r="EV54" s="242"/>
      <c r="EW54" s="242"/>
      <c r="EX54" s="242"/>
      <c r="EY54" s="242"/>
      <c r="EZ54" s="242"/>
      <c r="FA54" s="242"/>
      <c r="FB54" s="242"/>
      <c r="FC54" s="242"/>
      <c r="FD54" s="242"/>
      <c r="FE54" s="242"/>
      <c r="FF54" s="242"/>
      <c r="FG54" s="242"/>
      <c r="FH54" s="242"/>
      <c r="FI54" s="242"/>
      <c r="FJ54" s="242"/>
      <c r="FK54" s="242"/>
      <c r="FL54" s="242"/>
      <c r="FM54" s="242"/>
      <c r="FN54" s="242"/>
      <c r="FO54" s="242"/>
      <c r="FP54" s="242"/>
      <c r="FQ54" s="242"/>
      <c r="FR54" s="242"/>
      <c r="FS54" s="242"/>
      <c r="FT54" s="242"/>
      <c r="FU54" s="242"/>
      <c r="FV54" s="242"/>
      <c r="FW54" s="242"/>
      <c r="FX54" s="242"/>
      <c r="FY54" s="242"/>
      <c r="FZ54" s="242"/>
      <c r="GA54" s="242"/>
      <c r="GB54" s="242"/>
      <c r="GC54" s="242"/>
      <c r="GD54" s="242"/>
      <c r="GE54" s="242"/>
      <c r="GF54" s="242"/>
      <c r="GG54" s="242"/>
      <c r="GH54" s="242"/>
      <c r="GI54" s="242"/>
      <c r="GJ54" s="242"/>
      <c r="GK54" s="242"/>
      <c r="GL54" s="242"/>
      <c r="GM54" s="242"/>
      <c r="GN54" s="242"/>
      <c r="GO54" s="242"/>
      <c r="GP54" s="242"/>
      <c r="GQ54" s="242"/>
      <c r="GR54" s="242"/>
      <c r="GS54" s="242"/>
      <c r="GT54" s="242"/>
      <c r="GU54" s="242"/>
      <c r="GV54" s="242"/>
      <c r="GW54" s="242"/>
      <c r="GX54" s="242"/>
      <c r="GY54" s="242"/>
      <c r="GZ54" s="242"/>
      <c r="HA54" s="242"/>
      <c r="HB54" s="242"/>
      <c r="HC54" s="242"/>
      <c r="HD54" s="242"/>
      <c r="HE54" s="242"/>
      <c r="HF54" s="242"/>
      <c r="HG54" s="242"/>
      <c r="HH54" s="242"/>
      <c r="HI54" s="242"/>
      <c r="HJ54" s="242"/>
      <c r="HK54" s="242"/>
      <c r="HL54" s="242"/>
      <c r="HM54" s="242"/>
      <c r="HN54" s="242"/>
      <c r="HO54" s="242"/>
      <c r="HP54" s="242"/>
      <c r="HQ54" s="242"/>
      <c r="HR54" s="242"/>
      <c r="HS54" s="242"/>
      <c r="HT54" s="242"/>
      <c r="HU54" s="242"/>
      <c r="HV54" s="242"/>
      <c r="HW54" s="242"/>
      <c r="HX54" s="242"/>
      <c r="HY54" s="242"/>
      <c r="HZ54" s="242"/>
      <c r="IA54" s="242"/>
      <c r="IB54" s="242"/>
      <c r="IC54" s="242"/>
      <c r="ID54" s="242"/>
      <c r="IE54" s="242"/>
      <c r="IF54" s="242"/>
      <c r="IG54" s="242"/>
      <c r="IH54" s="242"/>
      <c r="II54" s="242"/>
      <c r="IJ54" s="242"/>
      <c r="IK54" s="242"/>
      <c r="IL54" s="242"/>
      <c r="IM54" s="242"/>
      <c r="IN54" s="242"/>
      <c r="IO54" s="242"/>
      <c r="IP54" s="242"/>
      <c r="IQ54" s="242"/>
      <c r="IR54" s="242"/>
      <c r="IS54" s="242"/>
      <c r="IT54" s="242"/>
      <c r="IU54" s="242"/>
      <c r="IV54" s="242"/>
      <c r="IW54" s="242"/>
    </row>
    <row r="55" customFormat="false" ht="12.75" hidden="false" customHeight="true" outlineLevel="0" collapsed="false">
      <c r="A55" s="245" t="s">
        <v>283</v>
      </c>
      <c r="B55" s="242"/>
      <c r="C55" s="239" t="n">
        <f aca="false">SUM(C53:C54)</f>
        <v>25595</v>
      </c>
      <c r="D55" s="239" t="n">
        <f aca="false">SUM(D53:D54)</f>
        <v>25707.1204654346</v>
      </c>
      <c r="E55" s="239" t="n">
        <f aca="false">SUM(E53:E54)</f>
        <v>25848.940719337</v>
      </c>
      <c r="F55" s="239" t="n">
        <f aca="false">SUM(F53:F54)</f>
        <v>29032.8891070419</v>
      </c>
      <c r="G55" s="239" t="n">
        <f aca="false">SUM(G53:G54)</f>
        <v>32819.6568594052</v>
      </c>
      <c r="H55" s="239" t="n">
        <f aca="false">SUM(H53:H54)</f>
        <v>36859.7077399687</v>
      </c>
      <c r="I55" s="239" t="n">
        <f aca="false">I34+I49</f>
        <v>38523.157004993</v>
      </c>
      <c r="J55" s="239" t="n">
        <f aca="false">J34+J49</f>
        <v>46078.8318848373</v>
      </c>
      <c r="K55" s="239" t="n">
        <f aca="false">K34+K49</f>
        <v>55498.2666694775</v>
      </c>
      <c r="L55" s="239" t="n">
        <f aca="false">L34+L49</f>
        <v>63128.7187303607</v>
      </c>
      <c r="M55" s="239" t="n">
        <f aca="false">M34+M49</f>
        <v>71075.5821886461</v>
      </c>
      <c r="N55" s="239" t="n">
        <f aca="false">N34+N49</f>
        <v>75738.9564792603</v>
      </c>
      <c r="O55" s="239" t="n">
        <f aca="false">O34+O49</f>
        <v>79923.8955562206</v>
      </c>
      <c r="P55" s="239" t="n">
        <f aca="false">P34+P49</f>
        <v>83735.6617531809</v>
      </c>
      <c r="Q55" s="239" t="n">
        <f aca="false">Q34+Q49</f>
        <v>88936.3285309378</v>
      </c>
      <c r="R55" s="239" t="n">
        <f aca="false">R34+R49</f>
        <v>100999.49365695</v>
      </c>
      <c r="S55" s="239" t="n">
        <f aca="false">S34+S49</f>
        <v>104658.048759263</v>
      </c>
      <c r="T55" s="239" t="n">
        <f aca="false">T34+T49</f>
        <v>107883.879695927</v>
      </c>
      <c r="U55" s="239" t="n">
        <f aca="false">U34+U49</f>
        <v>108128.476016758</v>
      </c>
      <c r="V55" s="239" t="n">
        <f aca="false">V34+V49</f>
        <v>110626.276896503</v>
      </c>
      <c r="W55" s="239" t="n">
        <f aca="false">W34+W49</f>
        <v>114270.4232958</v>
      </c>
      <c r="X55" s="239" t="n">
        <f aca="false">X34+X49</f>
        <v>116094.123492892</v>
      </c>
      <c r="Y55" s="239" t="n">
        <f aca="false">Y34+Y49</f>
        <v>116658.30466625</v>
      </c>
      <c r="Z55" s="239" t="n">
        <f aca="false">Z34+Z49</f>
        <v>116658.30466625</v>
      </c>
      <c r="AA55" s="248"/>
      <c r="AB55" s="248"/>
      <c r="AC55" s="248"/>
      <c r="AD55" s="242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BD55" s="242"/>
      <c r="BE55" s="242"/>
      <c r="BF55" s="184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2"/>
      <c r="BR55" s="242"/>
      <c r="BS55" s="242"/>
      <c r="BT55" s="242"/>
      <c r="BU55" s="242"/>
      <c r="BV55" s="242"/>
      <c r="BW55" s="242"/>
      <c r="BX55" s="242"/>
      <c r="BY55" s="242"/>
      <c r="BZ55" s="242"/>
      <c r="CA55" s="242"/>
      <c r="CB55" s="242"/>
      <c r="CC55" s="242"/>
      <c r="CD55" s="242"/>
      <c r="CE55" s="242"/>
      <c r="CF55" s="242"/>
      <c r="CG55" s="242"/>
      <c r="CH55" s="242"/>
      <c r="CI55" s="242"/>
      <c r="CJ55" s="242"/>
      <c r="CK55" s="242"/>
      <c r="CL55" s="242"/>
      <c r="CM55" s="242"/>
      <c r="CN55" s="242"/>
      <c r="CO55" s="242"/>
      <c r="CP55" s="242"/>
      <c r="CQ55" s="242"/>
      <c r="CR55" s="242"/>
      <c r="CS55" s="242"/>
      <c r="CT55" s="242"/>
      <c r="CU55" s="242"/>
      <c r="CV55" s="242"/>
      <c r="CW55" s="242"/>
      <c r="CX55" s="242"/>
      <c r="CY55" s="242"/>
      <c r="CZ55" s="242"/>
      <c r="DA55" s="242"/>
      <c r="DB55" s="242"/>
      <c r="DC55" s="242"/>
      <c r="DD55" s="242"/>
      <c r="DE55" s="242"/>
      <c r="DF55" s="242"/>
      <c r="DG55" s="242"/>
      <c r="DH55" s="242"/>
      <c r="DI55" s="242"/>
      <c r="DJ55" s="242"/>
      <c r="DK55" s="242"/>
      <c r="DL55" s="242"/>
      <c r="DM55" s="242"/>
      <c r="DN55" s="242"/>
      <c r="DO55" s="242"/>
      <c r="DP55" s="242"/>
      <c r="DQ55" s="242"/>
      <c r="DR55" s="242"/>
      <c r="DS55" s="242"/>
      <c r="DT55" s="242"/>
      <c r="DU55" s="242"/>
      <c r="DV55" s="242"/>
      <c r="DW55" s="242"/>
      <c r="DX55" s="242"/>
      <c r="DY55" s="242"/>
      <c r="DZ55" s="242"/>
      <c r="EA55" s="242"/>
      <c r="EB55" s="242"/>
      <c r="EC55" s="242"/>
      <c r="ED55" s="242"/>
      <c r="EE55" s="242"/>
      <c r="EF55" s="242"/>
      <c r="EG55" s="242"/>
      <c r="EH55" s="242"/>
      <c r="EI55" s="242"/>
      <c r="EJ55" s="242"/>
      <c r="EK55" s="242"/>
      <c r="EL55" s="242"/>
      <c r="EM55" s="242"/>
      <c r="EN55" s="242"/>
      <c r="EO55" s="242"/>
      <c r="EP55" s="242"/>
      <c r="EQ55" s="242"/>
      <c r="ER55" s="242"/>
      <c r="ES55" s="242"/>
      <c r="ET55" s="242"/>
      <c r="EU55" s="242"/>
      <c r="EV55" s="242"/>
      <c r="EW55" s="242"/>
      <c r="EX55" s="242"/>
      <c r="EY55" s="242"/>
      <c r="EZ55" s="242"/>
      <c r="FA55" s="242"/>
      <c r="FB55" s="242"/>
      <c r="FC55" s="242"/>
      <c r="FD55" s="242"/>
      <c r="FE55" s="242"/>
      <c r="FF55" s="242"/>
      <c r="FG55" s="242"/>
      <c r="FH55" s="242"/>
      <c r="FI55" s="242"/>
      <c r="FJ55" s="242"/>
      <c r="FK55" s="242"/>
      <c r="FL55" s="242"/>
      <c r="FM55" s="242"/>
      <c r="FN55" s="242"/>
      <c r="FO55" s="242"/>
      <c r="FP55" s="242"/>
      <c r="FQ55" s="242"/>
      <c r="FR55" s="242"/>
      <c r="FS55" s="242"/>
      <c r="FT55" s="242"/>
      <c r="FU55" s="242"/>
      <c r="FV55" s="242"/>
      <c r="FW55" s="242"/>
      <c r="FX55" s="242"/>
      <c r="FY55" s="242"/>
      <c r="FZ55" s="242"/>
      <c r="GA55" s="242"/>
      <c r="GB55" s="242"/>
      <c r="GC55" s="242"/>
      <c r="GD55" s="242"/>
      <c r="GE55" s="242"/>
      <c r="GF55" s="242"/>
      <c r="GG55" s="242"/>
      <c r="GH55" s="242"/>
      <c r="GI55" s="242"/>
      <c r="GJ55" s="242"/>
      <c r="GK55" s="242"/>
      <c r="GL55" s="242"/>
      <c r="GM55" s="242"/>
      <c r="GN55" s="242"/>
      <c r="GO55" s="242"/>
      <c r="GP55" s="242"/>
      <c r="GQ55" s="242"/>
      <c r="GR55" s="242"/>
      <c r="GS55" s="242"/>
      <c r="GT55" s="242"/>
      <c r="GU55" s="242"/>
      <c r="GV55" s="242"/>
      <c r="GW55" s="242"/>
      <c r="GX55" s="242"/>
      <c r="GY55" s="242"/>
      <c r="GZ55" s="242"/>
      <c r="HA55" s="242"/>
      <c r="HB55" s="242"/>
      <c r="HC55" s="242"/>
      <c r="HD55" s="242"/>
      <c r="HE55" s="242"/>
      <c r="HF55" s="242"/>
      <c r="HG55" s="242"/>
      <c r="HH55" s="242"/>
      <c r="HI55" s="242"/>
      <c r="HJ55" s="242"/>
      <c r="HK55" s="242"/>
      <c r="HL55" s="242"/>
      <c r="HM55" s="242"/>
      <c r="HN55" s="242"/>
      <c r="HO55" s="242"/>
      <c r="HP55" s="242"/>
      <c r="HQ55" s="242"/>
      <c r="HR55" s="242"/>
      <c r="HS55" s="242"/>
      <c r="HT55" s="242"/>
      <c r="HU55" s="242"/>
      <c r="HV55" s="242"/>
      <c r="HW55" s="242"/>
      <c r="HX55" s="242"/>
      <c r="HY55" s="242"/>
      <c r="HZ55" s="242"/>
      <c r="IA55" s="242"/>
      <c r="IB55" s="242"/>
      <c r="IC55" s="242"/>
      <c r="ID55" s="242"/>
      <c r="IE55" s="242"/>
      <c r="IF55" s="242"/>
      <c r="IG55" s="242"/>
      <c r="IH55" s="242"/>
      <c r="II55" s="242"/>
      <c r="IJ55" s="242"/>
      <c r="IK55" s="242"/>
      <c r="IL55" s="242"/>
      <c r="IM55" s="242"/>
      <c r="IN55" s="242"/>
      <c r="IO55" s="242"/>
      <c r="IP55" s="242"/>
      <c r="IQ55" s="242"/>
      <c r="IR55" s="242"/>
      <c r="IS55" s="242"/>
      <c r="IT55" s="242"/>
      <c r="IU55" s="242"/>
      <c r="IV55" s="242"/>
      <c r="IW55" s="242"/>
    </row>
    <row r="56" customFormat="false" ht="12.75" hidden="false" customHeight="true" outlineLevel="0" collapsed="false">
      <c r="A56" s="169"/>
      <c r="B56" s="169"/>
      <c r="C56" s="169"/>
      <c r="D56" s="263"/>
      <c r="E56" s="263"/>
      <c r="F56" s="264"/>
      <c r="G56" s="265"/>
      <c r="H56" s="266"/>
      <c r="I56" s="169"/>
      <c r="J56" s="169"/>
      <c r="K56" s="265"/>
      <c r="L56" s="266"/>
      <c r="M56" s="169"/>
      <c r="N56" s="169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2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BD56" s="242"/>
      <c r="BE56" s="242"/>
      <c r="BF56" s="184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2"/>
      <c r="BY56" s="242"/>
      <c r="BZ56" s="242"/>
      <c r="CA56" s="242"/>
      <c r="CB56" s="242"/>
      <c r="CC56" s="242"/>
      <c r="CD56" s="242"/>
      <c r="CE56" s="242"/>
      <c r="CF56" s="242"/>
      <c r="CG56" s="242"/>
      <c r="CH56" s="242"/>
      <c r="CI56" s="242"/>
      <c r="CJ56" s="242"/>
      <c r="CK56" s="242"/>
      <c r="CL56" s="242"/>
      <c r="CM56" s="242"/>
      <c r="CN56" s="242"/>
      <c r="CO56" s="242"/>
      <c r="CP56" s="242"/>
      <c r="CQ56" s="242"/>
      <c r="CR56" s="242"/>
      <c r="CS56" s="242"/>
      <c r="CT56" s="242"/>
      <c r="CU56" s="242"/>
      <c r="CV56" s="242"/>
      <c r="CW56" s="242"/>
      <c r="CX56" s="242"/>
      <c r="CY56" s="242"/>
      <c r="CZ56" s="242"/>
      <c r="DA56" s="242"/>
      <c r="DB56" s="242"/>
      <c r="DC56" s="242"/>
      <c r="DD56" s="242"/>
      <c r="DE56" s="242"/>
      <c r="DF56" s="242"/>
      <c r="DG56" s="242"/>
      <c r="DH56" s="242"/>
      <c r="DI56" s="242"/>
      <c r="DJ56" s="242"/>
      <c r="DK56" s="242"/>
      <c r="DL56" s="242"/>
      <c r="DM56" s="242"/>
      <c r="DN56" s="242"/>
      <c r="DO56" s="242"/>
      <c r="DP56" s="242"/>
      <c r="DQ56" s="242"/>
      <c r="DR56" s="242"/>
      <c r="DS56" s="242"/>
      <c r="DT56" s="242"/>
      <c r="DU56" s="242"/>
      <c r="DV56" s="242"/>
      <c r="DW56" s="242"/>
      <c r="DX56" s="242"/>
      <c r="DY56" s="242"/>
      <c r="DZ56" s="242"/>
      <c r="EA56" s="242"/>
      <c r="EB56" s="242"/>
      <c r="EC56" s="242"/>
      <c r="ED56" s="242"/>
      <c r="EE56" s="242"/>
      <c r="EF56" s="242"/>
      <c r="EG56" s="242"/>
      <c r="EH56" s="242"/>
      <c r="EI56" s="242"/>
      <c r="EJ56" s="242"/>
      <c r="EK56" s="242"/>
      <c r="EL56" s="242"/>
      <c r="EM56" s="242"/>
      <c r="EN56" s="242"/>
      <c r="EO56" s="242"/>
      <c r="EP56" s="242"/>
      <c r="EQ56" s="242"/>
      <c r="ER56" s="242"/>
      <c r="ES56" s="242"/>
      <c r="ET56" s="242"/>
      <c r="EU56" s="242"/>
      <c r="EV56" s="242"/>
      <c r="EW56" s="242"/>
      <c r="EX56" s="242"/>
      <c r="EY56" s="242"/>
      <c r="EZ56" s="242"/>
      <c r="FA56" s="242"/>
      <c r="FB56" s="242"/>
      <c r="FC56" s="242"/>
      <c r="FD56" s="242"/>
      <c r="FE56" s="242"/>
      <c r="FF56" s="242"/>
      <c r="FG56" s="242"/>
      <c r="FH56" s="242"/>
      <c r="FI56" s="242"/>
      <c r="FJ56" s="242"/>
      <c r="FK56" s="242"/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242"/>
      <c r="GK56" s="242"/>
      <c r="GL56" s="242"/>
      <c r="GM56" s="242"/>
      <c r="GN56" s="242"/>
      <c r="GO56" s="242"/>
      <c r="GP56" s="242"/>
      <c r="GQ56" s="242"/>
      <c r="GR56" s="242"/>
      <c r="GS56" s="242"/>
      <c r="GT56" s="242"/>
      <c r="GU56" s="242"/>
      <c r="GV56" s="242"/>
      <c r="GW56" s="242"/>
      <c r="GX56" s="242"/>
      <c r="GY56" s="242"/>
      <c r="GZ56" s="242"/>
      <c r="HA56" s="242"/>
      <c r="HB56" s="242"/>
      <c r="HC56" s="242"/>
      <c r="HD56" s="242"/>
      <c r="HE56" s="242"/>
      <c r="HF56" s="242"/>
      <c r="HG56" s="242"/>
      <c r="HH56" s="242"/>
      <c r="HI56" s="242"/>
      <c r="HJ56" s="242"/>
      <c r="HK56" s="242"/>
      <c r="HL56" s="242"/>
      <c r="HM56" s="242"/>
      <c r="HN56" s="242"/>
      <c r="HO56" s="242"/>
      <c r="HP56" s="242"/>
      <c r="HQ56" s="242"/>
      <c r="HR56" s="242"/>
      <c r="HS56" s="242"/>
      <c r="HT56" s="242"/>
      <c r="HU56" s="242"/>
      <c r="HV56" s="242"/>
      <c r="HW56" s="242"/>
      <c r="HX56" s="242"/>
      <c r="HY56" s="242"/>
      <c r="HZ56" s="242"/>
      <c r="IA56" s="242"/>
      <c r="IB56" s="242"/>
      <c r="IC56" s="242"/>
      <c r="ID56" s="242"/>
      <c r="IE56" s="242"/>
      <c r="IF56" s="242"/>
      <c r="IG56" s="242"/>
      <c r="IH56" s="242"/>
      <c r="II56" s="242"/>
      <c r="IJ56" s="242"/>
      <c r="IK56" s="242"/>
      <c r="IL56" s="242"/>
      <c r="IM56" s="242"/>
      <c r="IN56" s="242"/>
      <c r="IO56" s="242"/>
      <c r="IP56" s="242"/>
      <c r="IQ56" s="242"/>
      <c r="IR56" s="242"/>
      <c r="IS56" s="242"/>
      <c r="IT56" s="242"/>
      <c r="IU56" s="242"/>
      <c r="IV56" s="242"/>
      <c r="IW56" s="242"/>
    </row>
    <row r="57" customFormat="false" ht="12.75" hidden="false" customHeight="true" outlineLevel="0" collapsed="false">
      <c r="A57" s="169"/>
      <c r="B57" s="169"/>
      <c r="C57" s="169"/>
      <c r="D57" s="263"/>
      <c r="E57" s="263"/>
      <c r="F57" s="264"/>
      <c r="G57" s="265"/>
      <c r="H57" s="266"/>
      <c r="I57" s="267"/>
      <c r="J57" s="169"/>
      <c r="K57" s="265"/>
      <c r="L57" s="267"/>
      <c r="M57" s="169"/>
      <c r="N57" s="169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2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BD57" s="242"/>
      <c r="BE57" s="242"/>
      <c r="BF57" s="184"/>
      <c r="BG57" s="242"/>
      <c r="BH57" s="242"/>
      <c r="BI57" s="242"/>
      <c r="BJ57" s="242"/>
      <c r="BK57" s="242"/>
      <c r="BL57" s="242"/>
      <c r="BM57" s="242"/>
      <c r="BN57" s="242"/>
      <c r="BO57" s="242"/>
      <c r="BP57" s="242"/>
      <c r="BQ57" s="242"/>
      <c r="BR57" s="242"/>
      <c r="BS57" s="242"/>
      <c r="BT57" s="242"/>
      <c r="BU57" s="242"/>
      <c r="BV57" s="242"/>
      <c r="BW57" s="242"/>
      <c r="BX57" s="242"/>
      <c r="BY57" s="242"/>
      <c r="BZ57" s="242"/>
      <c r="CA57" s="242"/>
      <c r="CB57" s="242"/>
      <c r="CC57" s="242"/>
      <c r="CD57" s="242"/>
      <c r="CE57" s="242"/>
      <c r="CF57" s="242"/>
      <c r="CG57" s="242"/>
      <c r="CH57" s="242"/>
      <c r="CI57" s="242"/>
      <c r="CJ57" s="242"/>
      <c r="CK57" s="242"/>
      <c r="CL57" s="242"/>
      <c r="CM57" s="242"/>
      <c r="CN57" s="242"/>
      <c r="CO57" s="242"/>
      <c r="CP57" s="242"/>
      <c r="CQ57" s="242"/>
      <c r="CR57" s="242"/>
      <c r="CS57" s="242"/>
      <c r="CT57" s="242"/>
      <c r="CU57" s="242"/>
      <c r="CV57" s="242"/>
      <c r="CW57" s="242"/>
      <c r="CX57" s="242"/>
      <c r="CY57" s="242"/>
      <c r="CZ57" s="242"/>
      <c r="DA57" s="242"/>
      <c r="DB57" s="242"/>
      <c r="DC57" s="242"/>
      <c r="DD57" s="242"/>
      <c r="DE57" s="242"/>
      <c r="DF57" s="242"/>
      <c r="DG57" s="242"/>
      <c r="DH57" s="242"/>
      <c r="DI57" s="242"/>
      <c r="DJ57" s="242"/>
      <c r="DK57" s="242"/>
      <c r="DL57" s="242"/>
      <c r="DM57" s="242"/>
      <c r="DN57" s="242"/>
      <c r="DO57" s="242"/>
      <c r="DP57" s="242"/>
      <c r="DQ57" s="242"/>
      <c r="DR57" s="242"/>
      <c r="DS57" s="242"/>
      <c r="DT57" s="242"/>
      <c r="DU57" s="242"/>
      <c r="DV57" s="242"/>
      <c r="DW57" s="242"/>
      <c r="DX57" s="242"/>
      <c r="DY57" s="242"/>
      <c r="DZ57" s="242"/>
      <c r="EA57" s="242"/>
      <c r="EB57" s="242"/>
      <c r="EC57" s="242"/>
      <c r="ED57" s="242"/>
      <c r="EE57" s="242"/>
      <c r="EF57" s="242"/>
      <c r="EG57" s="242"/>
      <c r="EH57" s="242"/>
      <c r="EI57" s="242"/>
      <c r="EJ57" s="242"/>
      <c r="EK57" s="242"/>
      <c r="EL57" s="242"/>
      <c r="EM57" s="242"/>
      <c r="EN57" s="242"/>
      <c r="EO57" s="242"/>
      <c r="EP57" s="242"/>
      <c r="EQ57" s="242"/>
      <c r="ER57" s="242"/>
      <c r="ES57" s="242"/>
      <c r="ET57" s="242"/>
      <c r="EU57" s="242"/>
      <c r="EV57" s="242"/>
      <c r="EW57" s="242"/>
      <c r="EX57" s="242"/>
      <c r="EY57" s="242"/>
      <c r="EZ57" s="242"/>
      <c r="FA57" s="242"/>
      <c r="FB57" s="242"/>
      <c r="FC57" s="242"/>
      <c r="FD57" s="242"/>
      <c r="FE57" s="242"/>
      <c r="FF57" s="242"/>
      <c r="FG57" s="242"/>
      <c r="FH57" s="242"/>
      <c r="FI57" s="242"/>
      <c r="FJ57" s="242"/>
      <c r="FK57" s="242"/>
      <c r="FL57" s="242"/>
      <c r="FM57" s="242"/>
      <c r="FN57" s="242"/>
      <c r="FO57" s="242"/>
      <c r="FP57" s="242"/>
      <c r="FQ57" s="242"/>
      <c r="FR57" s="242"/>
      <c r="FS57" s="242"/>
      <c r="FT57" s="242"/>
      <c r="FU57" s="242"/>
      <c r="FV57" s="242"/>
      <c r="FW57" s="242"/>
      <c r="FX57" s="242"/>
      <c r="FY57" s="242"/>
      <c r="FZ57" s="242"/>
      <c r="GA57" s="242"/>
      <c r="GB57" s="242"/>
      <c r="GC57" s="242"/>
      <c r="GD57" s="242"/>
      <c r="GE57" s="242"/>
      <c r="GF57" s="242"/>
      <c r="GG57" s="242"/>
      <c r="GH57" s="242"/>
      <c r="GI57" s="242"/>
      <c r="GJ57" s="242"/>
      <c r="GK57" s="242"/>
      <c r="GL57" s="242"/>
      <c r="GM57" s="242"/>
      <c r="GN57" s="242"/>
      <c r="GO57" s="242"/>
      <c r="GP57" s="242"/>
      <c r="GQ57" s="242"/>
      <c r="GR57" s="242"/>
      <c r="GS57" s="242"/>
      <c r="GT57" s="242"/>
      <c r="GU57" s="242"/>
      <c r="GV57" s="242"/>
      <c r="GW57" s="242"/>
      <c r="GX57" s="242"/>
      <c r="GY57" s="242"/>
      <c r="GZ57" s="242"/>
      <c r="HA57" s="242"/>
      <c r="HB57" s="242"/>
      <c r="HC57" s="242"/>
      <c r="HD57" s="242"/>
      <c r="HE57" s="242"/>
      <c r="HF57" s="242"/>
      <c r="HG57" s="242"/>
      <c r="HH57" s="242"/>
      <c r="HI57" s="242"/>
      <c r="HJ57" s="242"/>
      <c r="HK57" s="242"/>
      <c r="HL57" s="242"/>
      <c r="HM57" s="242"/>
      <c r="HN57" s="242"/>
      <c r="HO57" s="242"/>
      <c r="HP57" s="242"/>
      <c r="HQ57" s="242"/>
      <c r="HR57" s="242"/>
      <c r="HS57" s="242"/>
      <c r="HT57" s="242"/>
      <c r="HU57" s="242"/>
      <c r="HV57" s="242"/>
      <c r="HW57" s="242"/>
      <c r="HX57" s="242"/>
      <c r="HY57" s="242"/>
      <c r="HZ57" s="242"/>
      <c r="IA57" s="242"/>
      <c r="IB57" s="242"/>
      <c r="IC57" s="242"/>
      <c r="ID57" s="242"/>
      <c r="IE57" s="242"/>
      <c r="IF57" s="242"/>
      <c r="IG57" s="242"/>
      <c r="IH57" s="242"/>
      <c r="II57" s="242"/>
      <c r="IJ57" s="242"/>
      <c r="IK57" s="242"/>
      <c r="IL57" s="242"/>
      <c r="IM57" s="242"/>
      <c r="IN57" s="242"/>
      <c r="IO57" s="242"/>
      <c r="IP57" s="242"/>
      <c r="IQ57" s="242"/>
      <c r="IR57" s="242"/>
      <c r="IS57" s="242"/>
      <c r="IT57" s="242"/>
      <c r="IU57" s="242"/>
      <c r="IV57" s="242"/>
      <c r="IW57" s="242"/>
    </row>
    <row r="58" customFormat="false" ht="12.75" hidden="false" customHeight="true" outlineLevel="0" collapsed="false">
      <c r="A58" s="169"/>
      <c r="B58" s="169"/>
      <c r="C58" s="169"/>
      <c r="D58" s="263"/>
      <c r="E58" s="263"/>
      <c r="F58" s="264"/>
      <c r="G58" s="265"/>
      <c r="H58" s="266"/>
      <c r="I58" s="169"/>
      <c r="J58" s="169"/>
      <c r="K58" s="265"/>
      <c r="L58" s="266"/>
      <c r="M58" s="169"/>
      <c r="N58" s="169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2"/>
      <c r="Z58" s="268"/>
      <c r="AA58" s="248"/>
      <c r="AB58" s="248"/>
      <c r="AC58" s="248"/>
      <c r="AD58" s="242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BD58" s="242"/>
      <c r="BE58" s="242"/>
      <c r="BF58" s="184"/>
      <c r="BG58" s="242"/>
      <c r="BH58" s="242"/>
      <c r="BI58" s="242"/>
      <c r="BJ58" s="242"/>
      <c r="BK58" s="242"/>
      <c r="BL58" s="242"/>
      <c r="BM58" s="242"/>
      <c r="BN58" s="242"/>
      <c r="BO58" s="242"/>
      <c r="BP58" s="242"/>
      <c r="BQ58" s="242"/>
      <c r="BR58" s="242"/>
      <c r="BS58" s="242"/>
      <c r="BT58" s="242"/>
      <c r="BU58" s="242"/>
      <c r="BV58" s="242"/>
      <c r="BW58" s="242"/>
      <c r="BX58" s="242"/>
      <c r="BY58" s="242"/>
      <c r="BZ58" s="242"/>
      <c r="CA58" s="242"/>
      <c r="CB58" s="242"/>
      <c r="CC58" s="242"/>
      <c r="CD58" s="242"/>
      <c r="CE58" s="242"/>
      <c r="CF58" s="242"/>
      <c r="CG58" s="242"/>
      <c r="CH58" s="242"/>
      <c r="CI58" s="242"/>
      <c r="CJ58" s="242"/>
      <c r="CK58" s="242"/>
      <c r="CL58" s="242"/>
      <c r="CM58" s="242"/>
      <c r="CN58" s="242"/>
      <c r="CO58" s="242"/>
      <c r="CP58" s="242"/>
      <c r="CQ58" s="242"/>
      <c r="CR58" s="242"/>
      <c r="CS58" s="242"/>
      <c r="CT58" s="242"/>
      <c r="CU58" s="242"/>
      <c r="CV58" s="242"/>
      <c r="CW58" s="242"/>
      <c r="CX58" s="242"/>
      <c r="CY58" s="242"/>
      <c r="CZ58" s="242"/>
      <c r="DA58" s="242"/>
      <c r="DB58" s="242"/>
      <c r="DC58" s="242"/>
      <c r="DD58" s="242"/>
      <c r="DE58" s="242"/>
      <c r="DF58" s="242"/>
      <c r="DG58" s="242"/>
      <c r="DH58" s="242"/>
      <c r="DI58" s="242"/>
      <c r="DJ58" s="242"/>
      <c r="DK58" s="242"/>
      <c r="DL58" s="242"/>
      <c r="DM58" s="242"/>
      <c r="DN58" s="242"/>
      <c r="DO58" s="242"/>
      <c r="DP58" s="242"/>
      <c r="DQ58" s="242"/>
      <c r="DR58" s="242"/>
      <c r="DS58" s="242"/>
      <c r="DT58" s="242"/>
      <c r="DU58" s="242"/>
      <c r="DV58" s="242"/>
      <c r="DW58" s="242"/>
      <c r="DX58" s="242"/>
      <c r="DY58" s="242"/>
      <c r="DZ58" s="242"/>
      <c r="EA58" s="242"/>
      <c r="EB58" s="242"/>
      <c r="EC58" s="242"/>
      <c r="ED58" s="242"/>
      <c r="EE58" s="242"/>
      <c r="EF58" s="242"/>
      <c r="EG58" s="242"/>
      <c r="EH58" s="242"/>
      <c r="EI58" s="242"/>
      <c r="EJ58" s="242"/>
      <c r="EK58" s="242"/>
      <c r="EL58" s="242"/>
      <c r="EM58" s="242"/>
      <c r="EN58" s="242"/>
      <c r="EO58" s="242"/>
      <c r="EP58" s="242"/>
      <c r="EQ58" s="242"/>
      <c r="ER58" s="242"/>
      <c r="ES58" s="242"/>
      <c r="ET58" s="242"/>
      <c r="EU58" s="242"/>
      <c r="EV58" s="242"/>
      <c r="EW58" s="242"/>
      <c r="EX58" s="242"/>
      <c r="EY58" s="242"/>
      <c r="EZ58" s="242"/>
      <c r="FA58" s="242"/>
      <c r="FB58" s="242"/>
      <c r="FC58" s="242"/>
      <c r="FD58" s="242"/>
      <c r="FE58" s="242"/>
      <c r="FF58" s="242"/>
      <c r="FG58" s="242"/>
      <c r="FH58" s="242"/>
      <c r="FI58" s="242"/>
      <c r="FJ58" s="242"/>
      <c r="FK58" s="242"/>
      <c r="FL58" s="242"/>
      <c r="FM58" s="242"/>
      <c r="FN58" s="242"/>
      <c r="FO58" s="242"/>
      <c r="FP58" s="242"/>
      <c r="FQ58" s="242"/>
      <c r="FR58" s="242"/>
      <c r="FS58" s="242"/>
      <c r="FT58" s="242"/>
      <c r="FU58" s="242"/>
      <c r="FV58" s="242"/>
      <c r="FW58" s="242"/>
      <c r="FX58" s="242"/>
      <c r="FY58" s="242"/>
      <c r="FZ58" s="242"/>
      <c r="GA58" s="242"/>
      <c r="GB58" s="242"/>
      <c r="GC58" s="242"/>
      <c r="GD58" s="242"/>
      <c r="GE58" s="242"/>
      <c r="GF58" s="242"/>
      <c r="GG58" s="242"/>
      <c r="GH58" s="242"/>
      <c r="GI58" s="242"/>
      <c r="GJ58" s="242"/>
      <c r="GK58" s="242"/>
      <c r="GL58" s="242"/>
      <c r="GM58" s="242"/>
      <c r="GN58" s="242"/>
      <c r="GO58" s="242"/>
      <c r="GP58" s="242"/>
      <c r="GQ58" s="242"/>
      <c r="GR58" s="242"/>
      <c r="GS58" s="242"/>
      <c r="GT58" s="242"/>
      <c r="GU58" s="242"/>
      <c r="GV58" s="242"/>
      <c r="GW58" s="242"/>
      <c r="GX58" s="242"/>
      <c r="GY58" s="242"/>
      <c r="GZ58" s="242"/>
      <c r="HA58" s="242"/>
      <c r="HB58" s="242"/>
      <c r="HC58" s="242"/>
      <c r="HD58" s="242"/>
      <c r="HE58" s="242"/>
      <c r="HF58" s="242"/>
      <c r="HG58" s="242"/>
      <c r="HH58" s="242"/>
      <c r="HI58" s="242"/>
      <c r="HJ58" s="242"/>
      <c r="HK58" s="242"/>
      <c r="HL58" s="242"/>
      <c r="HM58" s="242"/>
      <c r="HN58" s="242"/>
      <c r="HO58" s="242"/>
      <c r="HP58" s="242"/>
      <c r="HQ58" s="242"/>
      <c r="HR58" s="242"/>
      <c r="HS58" s="242"/>
      <c r="HT58" s="242"/>
      <c r="HU58" s="242"/>
      <c r="HV58" s="242"/>
      <c r="HW58" s="242"/>
      <c r="HX58" s="242"/>
      <c r="HY58" s="242"/>
      <c r="HZ58" s="242"/>
      <c r="IA58" s="242"/>
      <c r="IB58" s="242"/>
      <c r="IC58" s="242"/>
      <c r="ID58" s="242"/>
      <c r="IE58" s="242"/>
      <c r="IF58" s="242"/>
      <c r="IG58" s="242"/>
      <c r="IH58" s="242"/>
      <c r="II58" s="242"/>
      <c r="IJ58" s="242"/>
      <c r="IK58" s="242"/>
      <c r="IL58" s="242"/>
      <c r="IM58" s="242"/>
      <c r="IN58" s="242"/>
      <c r="IO58" s="242"/>
      <c r="IP58" s="242"/>
      <c r="IQ58" s="242"/>
      <c r="IR58" s="242"/>
      <c r="IS58" s="242"/>
      <c r="IT58" s="242"/>
      <c r="IU58" s="242"/>
      <c r="IV58" s="242"/>
      <c r="IW58" s="242"/>
    </row>
    <row r="59" customFormat="false" ht="12.75" hidden="false" customHeight="true" outlineLevel="0" collapsed="false">
      <c r="A59" s="169"/>
      <c r="B59" s="169"/>
      <c r="C59" s="169"/>
      <c r="D59" s="263"/>
      <c r="E59" s="263"/>
      <c r="F59" s="264"/>
      <c r="G59" s="265"/>
      <c r="H59" s="266"/>
      <c r="I59" s="169"/>
      <c r="J59" s="169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2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BD59" s="242"/>
      <c r="BE59" s="242"/>
      <c r="BF59" s="184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2"/>
      <c r="BR59" s="242"/>
      <c r="BS59" s="242"/>
      <c r="BT59" s="242"/>
      <c r="BU59" s="242"/>
      <c r="BV59" s="242"/>
      <c r="BW59" s="242"/>
      <c r="BX59" s="242"/>
      <c r="BY59" s="242"/>
      <c r="BZ59" s="242"/>
      <c r="CA59" s="242"/>
      <c r="CB59" s="242"/>
      <c r="CC59" s="242"/>
      <c r="CD59" s="242"/>
      <c r="CE59" s="242"/>
      <c r="CF59" s="242"/>
      <c r="CG59" s="242"/>
      <c r="CH59" s="242"/>
      <c r="CI59" s="242"/>
      <c r="CJ59" s="242"/>
      <c r="CK59" s="242"/>
      <c r="CL59" s="242"/>
      <c r="CM59" s="242"/>
      <c r="CN59" s="242"/>
      <c r="CO59" s="242"/>
      <c r="CP59" s="242"/>
      <c r="CQ59" s="242"/>
      <c r="CR59" s="242"/>
      <c r="CS59" s="242"/>
      <c r="CT59" s="242"/>
      <c r="CU59" s="242"/>
      <c r="CV59" s="242"/>
      <c r="CW59" s="242"/>
      <c r="CX59" s="242"/>
      <c r="CY59" s="242"/>
      <c r="CZ59" s="242"/>
      <c r="DA59" s="242"/>
      <c r="DB59" s="242"/>
      <c r="DC59" s="242"/>
      <c r="DD59" s="242"/>
      <c r="DE59" s="242"/>
      <c r="DF59" s="242"/>
      <c r="DG59" s="242"/>
      <c r="DH59" s="242"/>
      <c r="DI59" s="242"/>
      <c r="DJ59" s="242"/>
      <c r="DK59" s="242"/>
      <c r="DL59" s="242"/>
      <c r="DM59" s="242"/>
      <c r="DN59" s="242"/>
      <c r="DO59" s="242"/>
      <c r="DP59" s="242"/>
      <c r="DQ59" s="242"/>
      <c r="DR59" s="242"/>
      <c r="DS59" s="242"/>
      <c r="DT59" s="242"/>
      <c r="DU59" s="242"/>
      <c r="DV59" s="242"/>
      <c r="DW59" s="242"/>
      <c r="DX59" s="242"/>
      <c r="DY59" s="242"/>
      <c r="DZ59" s="242"/>
      <c r="EA59" s="242"/>
      <c r="EB59" s="242"/>
      <c r="EC59" s="242"/>
      <c r="ED59" s="242"/>
      <c r="EE59" s="242"/>
      <c r="EF59" s="242"/>
      <c r="EG59" s="242"/>
      <c r="EH59" s="242"/>
      <c r="EI59" s="242"/>
      <c r="EJ59" s="242"/>
      <c r="EK59" s="242"/>
      <c r="EL59" s="242"/>
      <c r="EM59" s="242"/>
      <c r="EN59" s="242"/>
      <c r="EO59" s="242"/>
      <c r="EP59" s="242"/>
      <c r="EQ59" s="242"/>
      <c r="ER59" s="242"/>
      <c r="ES59" s="242"/>
      <c r="ET59" s="242"/>
      <c r="EU59" s="242"/>
      <c r="EV59" s="242"/>
      <c r="EW59" s="242"/>
      <c r="EX59" s="242"/>
      <c r="EY59" s="242"/>
      <c r="EZ59" s="242"/>
      <c r="FA59" s="242"/>
      <c r="FB59" s="242"/>
      <c r="FC59" s="242"/>
      <c r="FD59" s="242"/>
      <c r="FE59" s="242"/>
      <c r="FF59" s="242"/>
      <c r="FG59" s="242"/>
      <c r="FH59" s="242"/>
      <c r="FI59" s="242"/>
      <c r="FJ59" s="242"/>
      <c r="FK59" s="242"/>
      <c r="FL59" s="242"/>
      <c r="FM59" s="242"/>
      <c r="FN59" s="242"/>
      <c r="FO59" s="242"/>
      <c r="FP59" s="242"/>
      <c r="FQ59" s="242"/>
      <c r="FR59" s="242"/>
      <c r="FS59" s="242"/>
      <c r="FT59" s="242"/>
      <c r="FU59" s="242"/>
      <c r="FV59" s="242"/>
      <c r="FW59" s="242"/>
      <c r="FX59" s="242"/>
      <c r="FY59" s="242"/>
      <c r="FZ59" s="242"/>
      <c r="GA59" s="242"/>
      <c r="GB59" s="242"/>
      <c r="GC59" s="242"/>
      <c r="GD59" s="242"/>
      <c r="GE59" s="242"/>
      <c r="GF59" s="242"/>
      <c r="GG59" s="242"/>
      <c r="GH59" s="242"/>
      <c r="GI59" s="242"/>
      <c r="GJ59" s="242"/>
      <c r="GK59" s="242"/>
      <c r="GL59" s="242"/>
      <c r="GM59" s="242"/>
      <c r="GN59" s="242"/>
      <c r="GO59" s="242"/>
      <c r="GP59" s="242"/>
      <c r="GQ59" s="242"/>
      <c r="GR59" s="242"/>
      <c r="GS59" s="242"/>
      <c r="GT59" s="242"/>
      <c r="GU59" s="242"/>
      <c r="GV59" s="242"/>
      <c r="GW59" s="242"/>
      <c r="GX59" s="242"/>
      <c r="GY59" s="242"/>
      <c r="GZ59" s="242"/>
      <c r="HA59" s="242"/>
      <c r="HB59" s="242"/>
      <c r="HC59" s="242"/>
      <c r="HD59" s="242"/>
      <c r="HE59" s="242"/>
      <c r="HF59" s="242"/>
      <c r="HG59" s="242"/>
      <c r="HH59" s="242"/>
      <c r="HI59" s="242"/>
      <c r="HJ59" s="242"/>
      <c r="HK59" s="242"/>
      <c r="HL59" s="242"/>
      <c r="HM59" s="242"/>
      <c r="HN59" s="242"/>
      <c r="HO59" s="242"/>
      <c r="HP59" s="242"/>
      <c r="HQ59" s="242"/>
      <c r="HR59" s="242"/>
      <c r="HS59" s="242"/>
      <c r="HT59" s="242"/>
      <c r="HU59" s="242"/>
      <c r="HV59" s="242"/>
      <c r="HW59" s="242"/>
      <c r="HX59" s="242"/>
      <c r="HY59" s="242"/>
      <c r="HZ59" s="242"/>
      <c r="IA59" s="242"/>
      <c r="IB59" s="242"/>
      <c r="IC59" s="242"/>
      <c r="ID59" s="242"/>
      <c r="IE59" s="242"/>
      <c r="IF59" s="242"/>
      <c r="IG59" s="242"/>
      <c r="IH59" s="242"/>
      <c r="II59" s="242"/>
      <c r="IJ59" s="242"/>
      <c r="IK59" s="242"/>
      <c r="IL59" s="242"/>
      <c r="IM59" s="242"/>
      <c r="IN59" s="242"/>
      <c r="IO59" s="242"/>
      <c r="IP59" s="242"/>
      <c r="IQ59" s="242"/>
      <c r="IR59" s="242"/>
      <c r="IS59" s="242"/>
      <c r="IT59" s="242"/>
      <c r="IU59" s="242"/>
      <c r="IV59" s="242"/>
      <c r="IW59" s="242"/>
    </row>
    <row r="60" customFormat="false" ht="12.75" hidden="false" customHeight="true" outlineLevel="0" collapsed="false">
      <c r="A60" s="169"/>
      <c r="B60" s="169"/>
      <c r="C60" s="269"/>
      <c r="D60" s="263"/>
      <c r="E60" s="159"/>
      <c r="F60" s="264"/>
      <c r="G60" s="265"/>
      <c r="H60" s="266"/>
      <c r="I60" s="169"/>
      <c r="J60" s="169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2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BD60" s="242"/>
      <c r="BE60" s="242"/>
      <c r="BF60" s="184"/>
      <c r="BG60" s="242"/>
      <c r="BH60" s="242"/>
      <c r="BI60" s="242"/>
      <c r="BJ60" s="242"/>
      <c r="BK60" s="242"/>
      <c r="BL60" s="242"/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  <c r="CA60" s="242"/>
      <c r="CB60" s="242"/>
      <c r="CC60" s="242"/>
      <c r="CD60" s="242"/>
      <c r="CE60" s="242"/>
      <c r="CF60" s="242"/>
      <c r="CG60" s="242"/>
      <c r="CH60" s="242"/>
      <c r="CI60" s="242"/>
      <c r="CJ60" s="242"/>
      <c r="CK60" s="242"/>
      <c r="CL60" s="242"/>
      <c r="CM60" s="242"/>
      <c r="CN60" s="242"/>
      <c r="CO60" s="242"/>
      <c r="CP60" s="242"/>
      <c r="CQ60" s="242"/>
      <c r="CR60" s="242"/>
      <c r="CS60" s="242"/>
      <c r="CT60" s="242"/>
      <c r="CU60" s="242"/>
      <c r="CV60" s="242"/>
      <c r="CW60" s="242"/>
      <c r="CX60" s="242"/>
      <c r="CY60" s="242"/>
      <c r="CZ60" s="242"/>
      <c r="DA60" s="242"/>
      <c r="DB60" s="242"/>
      <c r="DC60" s="242"/>
      <c r="DD60" s="242"/>
      <c r="DE60" s="242"/>
      <c r="DF60" s="242"/>
      <c r="DG60" s="242"/>
      <c r="DH60" s="242"/>
      <c r="DI60" s="242"/>
      <c r="DJ60" s="242"/>
      <c r="DK60" s="242"/>
      <c r="DL60" s="242"/>
      <c r="DM60" s="242"/>
      <c r="DN60" s="242"/>
      <c r="DO60" s="242"/>
      <c r="DP60" s="242"/>
      <c r="DQ60" s="242"/>
      <c r="DR60" s="242"/>
      <c r="DS60" s="242"/>
      <c r="DT60" s="242"/>
      <c r="DU60" s="242"/>
      <c r="DV60" s="242"/>
      <c r="DW60" s="242"/>
      <c r="DX60" s="242"/>
      <c r="DY60" s="242"/>
      <c r="DZ60" s="242"/>
      <c r="EA60" s="242"/>
      <c r="EB60" s="242"/>
      <c r="EC60" s="242"/>
      <c r="ED60" s="242"/>
      <c r="EE60" s="242"/>
      <c r="EF60" s="242"/>
      <c r="EG60" s="242"/>
      <c r="EH60" s="242"/>
      <c r="EI60" s="242"/>
      <c r="EJ60" s="242"/>
      <c r="EK60" s="242"/>
      <c r="EL60" s="242"/>
      <c r="EM60" s="242"/>
      <c r="EN60" s="242"/>
      <c r="EO60" s="242"/>
      <c r="EP60" s="242"/>
      <c r="EQ60" s="242"/>
      <c r="ER60" s="242"/>
      <c r="ES60" s="242"/>
      <c r="ET60" s="242"/>
      <c r="EU60" s="242"/>
      <c r="EV60" s="242"/>
      <c r="EW60" s="242"/>
      <c r="EX60" s="242"/>
      <c r="EY60" s="242"/>
      <c r="EZ60" s="242"/>
      <c r="FA60" s="242"/>
      <c r="FB60" s="242"/>
      <c r="FC60" s="242"/>
      <c r="FD60" s="242"/>
      <c r="FE60" s="242"/>
      <c r="FF60" s="242"/>
      <c r="FG60" s="242"/>
      <c r="FH60" s="242"/>
      <c r="FI60" s="242"/>
      <c r="FJ60" s="242"/>
      <c r="FK60" s="242"/>
      <c r="FL60" s="242"/>
      <c r="FM60" s="242"/>
      <c r="FN60" s="242"/>
      <c r="FO60" s="242"/>
      <c r="FP60" s="242"/>
      <c r="FQ60" s="242"/>
      <c r="FR60" s="242"/>
      <c r="FS60" s="242"/>
      <c r="FT60" s="242"/>
      <c r="FU60" s="242"/>
      <c r="FV60" s="242"/>
      <c r="FW60" s="242"/>
      <c r="FX60" s="242"/>
      <c r="FY60" s="242"/>
      <c r="FZ60" s="242"/>
      <c r="GA60" s="242"/>
      <c r="GB60" s="242"/>
      <c r="GC60" s="242"/>
      <c r="GD60" s="242"/>
      <c r="GE60" s="242"/>
      <c r="GF60" s="242"/>
      <c r="GG60" s="242"/>
      <c r="GH60" s="242"/>
      <c r="GI60" s="242"/>
      <c r="GJ60" s="242"/>
      <c r="GK60" s="242"/>
      <c r="GL60" s="242"/>
      <c r="GM60" s="242"/>
      <c r="GN60" s="242"/>
      <c r="GO60" s="242"/>
      <c r="GP60" s="242"/>
      <c r="GQ60" s="242"/>
      <c r="GR60" s="242"/>
      <c r="GS60" s="242"/>
      <c r="GT60" s="242"/>
      <c r="GU60" s="242"/>
      <c r="GV60" s="242"/>
      <c r="GW60" s="242"/>
      <c r="GX60" s="242"/>
      <c r="GY60" s="242"/>
      <c r="GZ60" s="242"/>
      <c r="HA60" s="242"/>
      <c r="HB60" s="242"/>
      <c r="HC60" s="242"/>
      <c r="HD60" s="242"/>
      <c r="HE60" s="242"/>
      <c r="HF60" s="242"/>
      <c r="HG60" s="242"/>
      <c r="HH60" s="242"/>
      <c r="HI60" s="242"/>
      <c r="HJ60" s="242"/>
      <c r="HK60" s="242"/>
      <c r="HL60" s="242"/>
      <c r="HM60" s="242"/>
      <c r="HN60" s="242"/>
      <c r="HO60" s="242"/>
      <c r="HP60" s="242"/>
      <c r="HQ60" s="242"/>
      <c r="HR60" s="242"/>
      <c r="HS60" s="242"/>
      <c r="HT60" s="242"/>
      <c r="HU60" s="242"/>
      <c r="HV60" s="242"/>
      <c r="HW60" s="242"/>
      <c r="HX60" s="242"/>
      <c r="HY60" s="242"/>
      <c r="HZ60" s="242"/>
      <c r="IA60" s="242"/>
      <c r="IB60" s="242"/>
      <c r="IC60" s="242"/>
      <c r="ID60" s="242"/>
      <c r="IE60" s="242"/>
      <c r="IF60" s="242"/>
      <c r="IG60" s="242"/>
      <c r="IH60" s="242"/>
      <c r="II60" s="242"/>
      <c r="IJ60" s="242"/>
      <c r="IK60" s="242"/>
      <c r="IL60" s="242"/>
      <c r="IM60" s="242"/>
      <c r="IN60" s="242"/>
      <c r="IO60" s="242"/>
      <c r="IP60" s="242"/>
      <c r="IQ60" s="242"/>
      <c r="IR60" s="242"/>
      <c r="IS60" s="242"/>
      <c r="IT60" s="242"/>
      <c r="IU60" s="242"/>
      <c r="IV60" s="242"/>
      <c r="IW60" s="242"/>
    </row>
    <row r="61" customFormat="false" ht="12.75" hidden="false" customHeight="true" outlineLevel="0" collapsed="false">
      <c r="A61" s="169"/>
      <c r="B61" s="169"/>
      <c r="C61" s="169"/>
      <c r="D61" s="263"/>
      <c r="E61" s="169"/>
      <c r="F61" s="264"/>
      <c r="G61" s="265"/>
      <c r="H61" s="266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48"/>
      <c r="AB61" s="248"/>
      <c r="AC61" s="248"/>
      <c r="AD61" s="242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BD61" s="242"/>
      <c r="BE61" s="242"/>
      <c r="BF61" s="184"/>
      <c r="BG61" s="242"/>
      <c r="BH61" s="242"/>
      <c r="BI61" s="242"/>
      <c r="BJ61" s="242"/>
      <c r="BK61" s="242"/>
      <c r="BL61" s="242"/>
      <c r="BM61" s="242"/>
      <c r="BN61" s="242"/>
      <c r="BO61" s="242"/>
      <c r="BP61" s="242"/>
      <c r="BQ61" s="242"/>
      <c r="BR61" s="242"/>
      <c r="BS61" s="242"/>
      <c r="BT61" s="242"/>
      <c r="BU61" s="242"/>
      <c r="BV61" s="242"/>
      <c r="BW61" s="242"/>
      <c r="BX61" s="242"/>
      <c r="BY61" s="242"/>
      <c r="BZ61" s="242"/>
      <c r="CA61" s="242"/>
      <c r="CB61" s="242"/>
      <c r="CC61" s="242"/>
      <c r="CD61" s="242"/>
      <c r="CE61" s="242"/>
      <c r="CF61" s="242"/>
      <c r="CG61" s="242"/>
      <c r="CH61" s="242"/>
      <c r="CI61" s="242"/>
      <c r="CJ61" s="242"/>
      <c r="CK61" s="242"/>
      <c r="CL61" s="242"/>
      <c r="CM61" s="242"/>
      <c r="CN61" s="242"/>
      <c r="CO61" s="242"/>
      <c r="CP61" s="242"/>
      <c r="CQ61" s="242"/>
      <c r="CR61" s="242"/>
      <c r="CS61" s="242"/>
      <c r="CT61" s="242"/>
      <c r="CU61" s="242"/>
      <c r="CV61" s="242"/>
      <c r="CW61" s="242"/>
      <c r="CX61" s="242"/>
      <c r="CY61" s="242"/>
      <c r="CZ61" s="242"/>
      <c r="DA61" s="242"/>
      <c r="DB61" s="242"/>
      <c r="DC61" s="242"/>
      <c r="DD61" s="242"/>
      <c r="DE61" s="242"/>
      <c r="DF61" s="242"/>
      <c r="DG61" s="242"/>
      <c r="DH61" s="242"/>
      <c r="DI61" s="242"/>
      <c r="DJ61" s="242"/>
      <c r="DK61" s="242"/>
      <c r="DL61" s="242"/>
      <c r="DM61" s="242"/>
      <c r="DN61" s="242"/>
      <c r="DO61" s="242"/>
      <c r="DP61" s="242"/>
      <c r="DQ61" s="242"/>
      <c r="DR61" s="242"/>
      <c r="DS61" s="242"/>
      <c r="DT61" s="242"/>
      <c r="DU61" s="242"/>
      <c r="DV61" s="242"/>
      <c r="DW61" s="242"/>
      <c r="DX61" s="242"/>
      <c r="DY61" s="242"/>
      <c r="DZ61" s="242"/>
      <c r="EA61" s="242"/>
      <c r="EB61" s="242"/>
      <c r="EC61" s="242"/>
      <c r="ED61" s="242"/>
      <c r="EE61" s="242"/>
      <c r="EF61" s="242"/>
      <c r="EG61" s="242"/>
      <c r="EH61" s="242"/>
      <c r="EI61" s="242"/>
      <c r="EJ61" s="242"/>
      <c r="EK61" s="242"/>
      <c r="EL61" s="242"/>
      <c r="EM61" s="242"/>
      <c r="EN61" s="242"/>
      <c r="EO61" s="242"/>
      <c r="EP61" s="242"/>
      <c r="EQ61" s="242"/>
      <c r="ER61" s="242"/>
      <c r="ES61" s="242"/>
      <c r="ET61" s="242"/>
      <c r="EU61" s="242"/>
      <c r="EV61" s="242"/>
      <c r="EW61" s="242"/>
      <c r="EX61" s="242"/>
      <c r="EY61" s="242"/>
      <c r="EZ61" s="242"/>
      <c r="FA61" s="242"/>
      <c r="FB61" s="242"/>
      <c r="FC61" s="242"/>
      <c r="FD61" s="242"/>
      <c r="FE61" s="242"/>
      <c r="FF61" s="242"/>
      <c r="FG61" s="242"/>
      <c r="FH61" s="242"/>
      <c r="FI61" s="242"/>
      <c r="FJ61" s="242"/>
      <c r="FK61" s="242"/>
      <c r="FL61" s="242"/>
      <c r="FM61" s="242"/>
      <c r="FN61" s="242"/>
      <c r="FO61" s="242"/>
      <c r="FP61" s="242"/>
      <c r="FQ61" s="242"/>
      <c r="FR61" s="242"/>
      <c r="FS61" s="242"/>
      <c r="FT61" s="242"/>
      <c r="FU61" s="242"/>
      <c r="FV61" s="242"/>
      <c r="FW61" s="242"/>
      <c r="FX61" s="242"/>
      <c r="FY61" s="242"/>
      <c r="FZ61" s="242"/>
      <c r="GA61" s="242"/>
      <c r="GB61" s="242"/>
      <c r="GC61" s="242"/>
      <c r="GD61" s="242"/>
      <c r="GE61" s="242"/>
      <c r="GF61" s="242"/>
      <c r="GG61" s="242"/>
      <c r="GH61" s="242"/>
      <c r="GI61" s="242"/>
      <c r="GJ61" s="242"/>
      <c r="GK61" s="242"/>
      <c r="GL61" s="242"/>
      <c r="GM61" s="242"/>
      <c r="GN61" s="242"/>
      <c r="GO61" s="242"/>
      <c r="GP61" s="242"/>
      <c r="GQ61" s="242"/>
      <c r="GR61" s="242"/>
      <c r="GS61" s="242"/>
      <c r="GT61" s="242"/>
      <c r="GU61" s="242"/>
      <c r="GV61" s="242"/>
      <c r="GW61" s="242"/>
      <c r="GX61" s="242"/>
      <c r="GY61" s="242"/>
      <c r="GZ61" s="242"/>
      <c r="HA61" s="242"/>
      <c r="HB61" s="242"/>
      <c r="HC61" s="242"/>
      <c r="HD61" s="242"/>
      <c r="HE61" s="242"/>
      <c r="HF61" s="242"/>
      <c r="HG61" s="242"/>
      <c r="HH61" s="242"/>
      <c r="HI61" s="242"/>
      <c r="HJ61" s="242"/>
      <c r="HK61" s="242"/>
      <c r="HL61" s="242"/>
      <c r="HM61" s="242"/>
      <c r="HN61" s="242"/>
      <c r="HO61" s="242"/>
      <c r="HP61" s="242"/>
      <c r="HQ61" s="242"/>
      <c r="HR61" s="242"/>
      <c r="HS61" s="242"/>
      <c r="HT61" s="242"/>
      <c r="HU61" s="242"/>
      <c r="HV61" s="242"/>
      <c r="HW61" s="242"/>
      <c r="HX61" s="242"/>
      <c r="HY61" s="242"/>
      <c r="HZ61" s="242"/>
      <c r="IA61" s="242"/>
      <c r="IB61" s="242"/>
      <c r="IC61" s="242"/>
      <c r="ID61" s="242"/>
      <c r="IE61" s="242"/>
      <c r="IF61" s="242"/>
      <c r="IG61" s="242"/>
      <c r="IH61" s="242"/>
      <c r="II61" s="242"/>
      <c r="IJ61" s="242"/>
      <c r="IK61" s="242"/>
      <c r="IL61" s="242"/>
      <c r="IM61" s="242"/>
      <c r="IN61" s="242"/>
      <c r="IO61" s="242"/>
      <c r="IP61" s="242"/>
      <c r="IQ61" s="242"/>
      <c r="IR61" s="242"/>
      <c r="IS61" s="242"/>
      <c r="IT61" s="242"/>
      <c r="IU61" s="242"/>
      <c r="IV61" s="242"/>
      <c r="IW61" s="242"/>
    </row>
    <row r="62" customFormat="false" ht="15" hidden="false" customHeight="true" outlineLevel="0" collapsed="false">
      <c r="A62" s="248"/>
      <c r="B62" s="248"/>
      <c r="C62" s="248"/>
      <c r="D62" s="248"/>
      <c r="E62" s="248"/>
      <c r="F62" s="248"/>
      <c r="G62" s="248"/>
      <c r="H62" s="248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48"/>
      <c r="AB62" s="248"/>
      <c r="AC62" s="248"/>
      <c r="AD62" s="242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BD62" s="242"/>
      <c r="BE62" s="242"/>
      <c r="BF62" s="184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2"/>
      <c r="BR62" s="242"/>
      <c r="BS62" s="242"/>
      <c r="BT62" s="242"/>
      <c r="BU62" s="242"/>
      <c r="BV62" s="242"/>
      <c r="BW62" s="242"/>
      <c r="BX62" s="242"/>
      <c r="BY62" s="242"/>
      <c r="BZ62" s="242"/>
      <c r="CA62" s="242"/>
      <c r="CB62" s="242"/>
      <c r="CC62" s="242"/>
      <c r="CD62" s="242"/>
      <c r="CE62" s="242"/>
      <c r="CF62" s="242"/>
      <c r="CG62" s="242"/>
      <c r="CH62" s="242"/>
      <c r="CI62" s="242"/>
      <c r="CJ62" s="242"/>
      <c r="CK62" s="242"/>
      <c r="CL62" s="242"/>
      <c r="CM62" s="242"/>
      <c r="CN62" s="242"/>
      <c r="CO62" s="242"/>
      <c r="CP62" s="242"/>
      <c r="CQ62" s="242"/>
      <c r="CR62" s="242"/>
      <c r="CS62" s="242"/>
      <c r="CT62" s="242"/>
      <c r="CU62" s="242"/>
      <c r="CV62" s="242"/>
      <c r="CW62" s="242"/>
      <c r="CX62" s="242"/>
      <c r="CY62" s="242"/>
      <c r="CZ62" s="242"/>
      <c r="DA62" s="242"/>
      <c r="DB62" s="242"/>
      <c r="DC62" s="242"/>
      <c r="DD62" s="242"/>
      <c r="DE62" s="242"/>
      <c r="DF62" s="242"/>
      <c r="DG62" s="242"/>
      <c r="DH62" s="242"/>
      <c r="DI62" s="242"/>
      <c r="DJ62" s="242"/>
      <c r="DK62" s="242"/>
      <c r="DL62" s="242"/>
      <c r="DM62" s="242"/>
      <c r="DN62" s="242"/>
      <c r="DO62" s="242"/>
      <c r="DP62" s="242"/>
      <c r="DQ62" s="242"/>
      <c r="DR62" s="242"/>
      <c r="DS62" s="242"/>
      <c r="DT62" s="242"/>
      <c r="DU62" s="242"/>
      <c r="DV62" s="242"/>
      <c r="DW62" s="242"/>
      <c r="DX62" s="242"/>
      <c r="DY62" s="242"/>
      <c r="DZ62" s="242"/>
      <c r="EA62" s="242"/>
      <c r="EB62" s="242"/>
      <c r="EC62" s="242"/>
      <c r="ED62" s="242"/>
      <c r="EE62" s="242"/>
      <c r="EF62" s="242"/>
      <c r="EG62" s="242"/>
      <c r="EH62" s="242"/>
      <c r="EI62" s="242"/>
      <c r="EJ62" s="242"/>
      <c r="EK62" s="242"/>
      <c r="EL62" s="242"/>
      <c r="EM62" s="242"/>
      <c r="EN62" s="242"/>
      <c r="EO62" s="242"/>
      <c r="EP62" s="242"/>
      <c r="EQ62" s="242"/>
      <c r="ER62" s="242"/>
      <c r="ES62" s="242"/>
      <c r="ET62" s="242"/>
      <c r="EU62" s="242"/>
      <c r="EV62" s="242"/>
      <c r="EW62" s="242"/>
      <c r="EX62" s="242"/>
      <c r="EY62" s="242"/>
      <c r="EZ62" s="242"/>
      <c r="FA62" s="242"/>
      <c r="FB62" s="242"/>
      <c r="FC62" s="242"/>
      <c r="FD62" s="242"/>
      <c r="FE62" s="242"/>
      <c r="FF62" s="242"/>
      <c r="FG62" s="242"/>
      <c r="FH62" s="242"/>
      <c r="FI62" s="242"/>
      <c r="FJ62" s="242"/>
      <c r="FK62" s="242"/>
      <c r="FL62" s="242"/>
      <c r="FM62" s="242"/>
      <c r="FN62" s="242"/>
      <c r="FO62" s="242"/>
      <c r="FP62" s="242"/>
      <c r="FQ62" s="242"/>
      <c r="FR62" s="242"/>
      <c r="FS62" s="242"/>
      <c r="FT62" s="242"/>
      <c r="FU62" s="242"/>
      <c r="FV62" s="242"/>
      <c r="FW62" s="242"/>
      <c r="FX62" s="242"/>
      <c r="FY62" s="242"/>
      <c r="FZ62" s="242"/>
      <c r="GA62" s="242"/>
      <c r="GB62" s="242"/>
      <c r="GC62" s="242"/>
      <c r="GD62" s="242"/>
      <c r="GE62" s="242"/>
      <c r="GF62" s="242"/>
      <c r="GG62" s="242"/>
      <c r="GH62" s="242"/>
      <c r="GI62" s="242"/>
      <c r="GJ62" s="242"/>
      <c r="GK62" s="242"/>
      <c r="GL62" s="242"/>
      <c r="GM62" s="242"/>
      <c r="GN62" s="242"/>
      <c r="GO62" s="242"/>
      <c r="GP62" s="242"/>
      <c r="GQ62" s="242"/>
      <c r="GR62" s="242"/>
      <c r="GS62" s="242"/>
      <c r="GT62" s="242"/>
      <c r="GU62" s="242"/>
      <c r="GV62" s="242"/>
      <c r="GW62" s="242"/>
      <c r="GX62" s="242"/>
      <c r="GY62" s="242"/>
      <c r="GZ62" s="242"/>
      <c r="HA62" s="242"/>
      <c r="HB62" s="242"/>
      <c r="HC62" s="242"/>
      <c r="HD62" s="242"/>
      <c r="HE62" s="242"/>
      <c r="HF62" s="242"/>
      <c r="HG62" s="242"/>
      <c r="HH62" s="242"/>
      <c r="HI62" s="242"/>
      <c r="HJ62" s="242"/>
      <c r="HK62" s="242"/>
      <c r="HL62" s="242"/>
      <c r="HM62" s="242"/>
      <c r="HN62" s="242"/>
      <c r="HO62" s="242"/>
      <c r="HP62" s="242"/>
      <c r="HQ62" s="242"/>
      <c r="HR62" s="242"/>
      <c r="HS62" s="242"/>
      <c r="HT62" s="242"/>
      <c r="HU62" s="242"/>
      <c r="HV62" s="242"/>
      <c r="HW62" s="242"/>
      <c r="HX62" s="242"/>
      <c r="HY62" s="242"/>
      <c r="HZ62" s="242"/>
      <c r="IA62" s="242"/>
      <c r="IB62" s="242"/>
      <c r="IC62" s="242"/>
      <c r="ID62" s="242"/>
      <c r="IE62" s="242"/>
      <c r="IF62" s="242"/>
      <c r="IG62" s="242"/>
      <c r="IH62" s="242"/>
      <c r="II62" s="242"/>
      <c r="IJ62" s="242"/>
      <c r="IK62" s="242"/>
      <c r="IL62" s="242"/>
      <c r="IM62" s="242"/>
      <c r="IN62" s="242"/>
      <c r="IO62" s="242"/>
      <c r="IP62" s="242"/>
      <c r="IQ62" s="242"/>
      <c r="IR62" s="242"/>
      <c r="IS62" s="242"/>
      <c r="IT62" s="242"/>
      <c r="IU62" s="242"/>
      <c r="IV62" s="242"/>
      <c r="IW62" s="242"/>
    </row>
    <row r="63" customFormat="false" ht="12.75" hidden="false" customHeight="true" outlineLevel="0" collapsed="false">
      <c r="A63" s="248"/>
      <c r="B63" s="248"/>
      <c r="C63" s="248"/>
      <c r="D63" s="248"/>
      <c r="E63" s="248"/>
      <c r="F63" s="248"/>
      <c r="G63" s="248"/>
      <c r="H63" s="248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48"/>
      <c r="AB63" s="248"/>
      <c r="AC63" s="248"/>
      <c r="AD63" s="242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BD63" s="242"/>
      <c r="BE63" s="242"/>
      <c r="BF63" s="184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42"/>
      <c r="CA63" s="242"/>
      <c r="CB63" s="242"/>
      <c r="CC63" s="242"/>
      <c r="CD63" s="242"/>
      <c r="CE63" s="242"/>
      <c r="CF63" s="242"/>
      <c r="CG63" s="242"/>
      <c r="CH63" s="242"/>
      <c r="CI63" s="242"/>
      <c r="CJ63" s="242"/>
      <c r="CK63" s="242"/>
      <c r="CL63" s="242"/>
      <c r="CM63" s="242"/>
      <c r="CN63" s="242"/>
      <c r="CO63" s="242"/>
      <c r="CP63" s="242"/>
      <c r="CQ63" s="242"/>
      <c r="CR63" s="242"/>
      <c r="CS63" s="242"/>
      <c r="CT63" s="242"/>
      <c r="CU63" s="242"/>
      <c r="CV63" s="242"/>
      <c r="CW63" s="242"/>
      <c r="CX63" s="242"/>
      <c r="CY63" s="242"/>
      <c r="CZ63" s="242"/>
      <c r="DA63" s="242"/>
      <c r="DB63" s="242"/>
      <c r="DC63" s="242"/>
      <c r="DD63" s="242"/>
      <c r="DE63" s="242"/>
      <c r="DF63" s="242"/>
      <c r="DG63" s="242"/>
      <c r="DH63" s="242"/>
      <c r="DI63" s="242"/>
      <c r="DJ63" s="242"/>
      <c r="DK63" s="242"/>
      <c r="DL63" s="242"/>
      <c r="DM63" s="242"/>
      <c r="DN63" s="242"/>
      <c r="DO63" s="242"/>
      <c r="DP63" s="242"/>
      <c r="DQ63" s="242"/>
      <c r="DR63" s="242"/>
      <c r="DS63" s="242"/>
      <c r="DT63" s="242"/>
      <c r="DU63" s="242"/>
      <c r="DV63" s="242"/>
      <c r="DW63" s="242"/>
      <c r="DX63" s="242"/>
      <c r="DY63" s="242"/>
      <c r="DZ63" s="242"/>
      <c r="EA63" s="242"/>
      <c r="EB63" s="242"/>
      <c r="EC63" s="242"/>
      <c r="ED63" s="242"/>
      <c r="EE63" s="242"/>
      <c r="EF63" s="242"/>
      <c r="EG63" s="242"/>
      <c r="EH63" s="242"/>
      <c r="EI63" s="242"/>
      <c r="EJ63" s="242"/>
      <c r="EK63" s="242"/>
      <c r="EL63" s="242"/>
      <c r="EM63" s="242"/>
      <c r="EN63" s="242"/>
      <c r="EO63" s="242"/>
      <c r="EP63" s="242"/>
      <c r="EQ63" s="242"/>
      <c r="ER63" s="242"/>
      <c r="ES63" s="242"/>
      <c r="ET63" s="242"/>
      <c r="EU63" s="242"/>
      <c r="EV63" s="242"/>
      <c r="EW63" s="242"/>
      <c r="EX63" s="242"/>
      <c r="EY63" s="242"/>
      <c r="EZ63" s="242"/>
      <c r="FA63" s="242"/>
      <c r="FB63" s="242"/>
      <c r="FC63" s="242"/>
      <c r="FD63" s="242"/>
      <c r="FE63" s="242"/>
      <c r="FF63" s="242"/>
      <c r="FG63" s="242"/>
      <c r="FH63" s="242"/>
      <c r="FI63" s="242"/>
      <c r="FJ63" s="242"/>
      <c r="FK63" s="242"/>
      <c r="FL63" s="242"/>
      <c r="FM63" s="242"/>
      <c r="FN63" s="242"/>
      <c r="FO63" s="242"/>
      <c r="FP63" s="242"/>
      <c r="FQ63" s="242"/>
      <c r="FR63" s="242"/>
      <c r="FS63" s="242"/>
      <c r="FT63" s="242"/>
      <c r="FU63" s="242"/>
      <c r="FV63" s="242"/>
      <c r="FW63" s="242"/>
      <c r="FX63" s="242"/>
      <c r="FY63" s="242"/>
      <c r="FZ63" s="242"/>
      <c r="GA63" s="242"/>
      <c r="GB63" s="242"/>
      <c r="GC63" s="242"/>
      <c r="GD63" s="242"/>
      <c r="GE63" s="242"/>
      <c r="GF63" s="242"/>
      <c r="GG63" s="242"/>
      <c r="GH63" s="242"/>
      <c r="GI63" s="242"/>
      <c r="GJ63" s="242"/>
      <c r="GK63" s="242"/>
      <c r="GL63" s="242"/>
      <c r="GM63" s="242"/>
      <c r="GN63" s="242"/>
      <c r="GO63" s="242"/>
      <c r="GP63" s="242"/>
      <c r="GQ63" s="242"/>
      <c r="GR63" s="242"/>
      <c r="GS63" s="242"/>
      <c r="GT63" s="242"/>
      <c r="GU63" s="242"/>
      <c r="GV63" s="242"/>
      <c r="GW63" s="242"/>
      <c r="GX63" s="242"/>
      <c r="GY63" s="242"/>
      <c r="GZ63" s="242"/>
      <c r="HA63" s="242"/>
      <c r="HB63" s="242"/>
      <c r="HC63" s="242"/>
      <c r="HD63" s="242"/>
      <c r="HE63" s="242"/>
      <c r="HF63" s="242"/>
      <c r="HG63" s="242"/>
      <c r="HH63" s="242"/>
      <c r="HI63" s="242"/>
      <c r="HJ63" s="242"/>
      <c r="HK63" s="242"/>
      <c r="HL63" s="242"/>
      <c r="HM63" s="242"/>
      <c r="HN63" s="242"/>
      <c r="HO63" s="242"/>
      <c r="HP63" s="242"/>
      <c r="HQ63" s="242"/>
      <c r="HR63" s="242"/>
      <c r="HS63" s="242"/>
      <c r="HT63" s="242"/>
      <c r="HU63" s="242"/>
      <c r="HV63" s="242"/>
      <c r="HW63" s="242"/>
      <c r="HX63" s="242"/>
      <c r="HY63" s="242"/>
      <c r="HZ63" s="242"/>
      <c r="IA63" s="242"/>
      <c r="IB63" s="242"/>
      <c r="IC63" s="242"/>
      <c r="ID63" s="242"/>
      <c r="IE63" s="242"/>
      <c r="IF63" s="242"/>
      <c r="IG63" s="242"/>
      <c r="IH63" s="242"/>
      <c r="II63" s="242"/>
      <c r="IJ63" s="242"/>
      <c r="IK63" s="242"/>
      <c r="IL63" s="242"/>
      <c r="IM63" s="242"/>
      <c r="IN63" s="242"/>
      <c r="IO63" s="242"/>
      <c r="IP63" s="242"/>
      <c r="IQ63" s="242"/>
      <c r="IR63" s="242"/>
      <c r="IS63" s="242"/>
      <c r="IT63" s="242"/>
      <c r="IU63" s="242"/>
      <c r="IV63" s="242"/>
      <c r="IW63" s="242"/>
    </row>
    <row r="64" customFormat="false" ht="12.75" hidden="false" customHeight="true" outlineLevel="0" collapsed="false">
      <c r="A64" s="248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2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BD64" s="242"/>
      <c r="BE64" s="242"/>
      <c r="BF64" s="184"/>
      <c r="BG64" s="242"/>
      <c r="BH64" s="242"/>
      <c r="BI64" s="242"/>
      <c r="BJ64" s="242"/>
      <c r="BK64" s="242"/>
      <c r="BL64" s="242"/>
      <c r="BM64" s="242"/>
      <c r="BN64" s="242"/>
      <c r="BO64" s="242"/>
      <c r="BP64" s="242"/>
      <c r="BQ64" s="242"/>
      <c r="BR64" s="242"/>
      <c r="BS64" s="242"/>
      <c r="BT64" s="242"/>
      <c r="BU64" s="242"/>
      <c r="BV64" s="242"/>
      <c r="BW64" s="242"/>
      <c r="BX64" s="242"/>
      <c r="BY64" s="242"/>
      <c r="BZ64" s="242"/>
      <c r="CA64" s="242"/>
      <c r="CB64" s="242"/>
      <c r="CC64" s="242"/>
      <c r="CD64" s="242"/>
      <c r="CE64" s="242"/>
      <c r="CF64" s="242"/>
      <c r="CG64" s="242"/>
      <c r="CH64" s="242"/>
      <c r="CI64" s="242"/>
      <c r="CJ64" s="242"/>
      <c r="CK64" s="242"/>
      <c r="CL64" s="242"/>
      <c r="CM64" s="242"/>
      <c r="CN64" s="242"/>
      <c r="CO64" s="242"/>
      <c r="CP64" s="242"/>
      <c r="CQ64" s="242"/>
      <c r="CR64" s="242"/>
      <c r="CS64" s="242"/>
      <c r="CT64" s="242"/>
      <c r="CU64" s="242"/>
      <c r="CV64" s="242"/>
      <c r="CW64" s="242"/>
      <c r="CX64" s="242"/>
      <c r="CY64" s="242"/>
      <c r="CZ64" s="242"/>
      <c r="DA64" s="242"/>
      <c r="DB64" s="242"/>
      <c r="DC64" s="242"/>
      <c r="DD64" s="242"/>
      <c r="DE64" s="242"/>
      <c r="DF64" s="242"/>
      <c r="DG64" s="242"/>
      <c r="DH64" s="242"/>
      <c r="DI64" s="242"/>
      <c r="DJ64" s="242"/>
      <c r="DK64" s="242"/>
      <c r="DL64" s="242"/>
      <c r="DM64" s="242"/>
      <c r="DN64" s="242"/>
      <c r="DO64" s="242"/>
      <c r="DP64" s="242"/>
      <c r="DQ64" s="242"/>
      <c r="DR64" s="242"/>
      <c r="DS64" s="242"/>
      <c r="DT64" s="242"/>
      <c r="DU64" s="242"/>
      <c r="DV64" s="242"/>
      <c r="DW64" s="242"/>
      <c r="DX64" s="242"/>
      <c r="DY64" s="242"/>
      <c r="DZ64" s="242"/>
      <c r="EA64" s="242"/>
      <c r="EB64" s="242"/>
      <c r="EC64" s="242"/>
      <c r="ED64" s="242"/>
      <c r="EE64" s="242"/>
      <c r="EF64" s="242"/>
      <c r="EG64" s="242"/>
      <c r="EH64" s="242"/>
      <c r="EI64" s="242"/>
      <c r="EJ64" s="242"/>
      <c r="EK64" s="242"/>
      <c r="EL64" s="242"/>
      <c r="EM64" s="242"/>
      <c r="EN64" s="242"/>
      <c r="EO64" s="242"/>
      <c r="EP64" s="242"/>
      <c r="EQ64" s="242"/>
      <c r="ER64" s="242"/>
      <c r="ES64" s="242"/>
      <c r="ET64" s="242"/>
      <c r="EU64" s="242"/>
      <c r="EV64" s="242"/>
      <c r="EW64" s="242"/>
      <c r="EX64" s="242"/>
      <c r="EY64" s="242"/>
      <c r="EZ64" s="242"/>
      <c r="FA64" s="242"/>
      <c r="FB64" s="242"/>
      <c r="FC64" s="242"/>
      <c r="FD64" s="242"/>
      <c r="FE64" s="242"/>
      <c r="FF64" s="242"/>
      <c r="FG64" s="242"/>
      <c r="FH64" s="242"/>
      <c r="FI64" s="242"/>
      <c r="FJ64" s="242"/>
      <c r="FK64" s="242"/>
      <c r="FL64" s="242"/>
      <c r="FM64" s="242"/>
      <c r="FN64" s="242"/>
      <c r="FO64" s="242"/>
      <c r="FP64" s="242"/>
      <c r="FQ64" s="242"/>
      <c r="FR64" s="242"/>
      <c r="FS64" s="242"/>
      <c r="FT64" s="242"/>
      <c r="FU64" s="242"/>
      <c r="FV64" s="242"/>
      <c r="FW64" s="242"/>
      <c r="FX64" s="242"/>
      <c r="FY64" s="242"/>
      <c r="FZ64" s="242"/>
      <c r="GA64" s="242"/>
      <c r="GB64" s="242"/>
      <c r="GC64" s="242"/>
      <c r="GD64" s="242"/>
      <c r="GE64" s="242"/>
      <c r="GF64" s="242"/>
      <c r="GG64" s="242"/>
      <c r="GH64" s="242"/>
      <c r="GI64" s="242"/>
      <c r="GJ64" s="242"/>
      <c r="GK64" s="242"/>
      <c r="GL64" s="242"/>
      <c r="GM64" s="242"/>
      <c r="GN64" s="242"/>
      <c r="GO64" s="242"/>
      <c r="GP64" s="242"/>
      <c r="GQ64" s="242"/>
      <c r="GR64" s="242"/>
      <c r="GS64" s="242"/>
      <c r="GT64" s="242"/>
      <c r="GU64" s="242"/>
      <c r="GV64" s="242"/>
      <c r="GW64" s="242"/>
      <c r="GX64" s="242"/>
      <c r="GY64" s="242"/>
      <c r="GZ64" s="242"/>
      <c r="HA64" s="242"/>
      <c r="HB64" s="242"/>
      <c r="HC64" s="242"/>
      <c r="HD64" s="242"/>
      <c r="HE64" s="242"/>
      <c r="HF64" s="242"/>
      <c r="HG64" s="242"/>
      <c r="HH64" s="242"/>
      <c r="HI64" s="242"/>
      <c r="HJ64" s="242"/>
      <c r="HK64" s="242"/>
      <c r="HL64" s="242"/>
      <c r="HM64" s="242"/>
      <c r="HN64" s="242"/>
      <c r="HO64" s="242"/>
      <c r="HP64" s="242"/>
      <c r="HQ64" s="242"/>
      <c r="HR64" s="242"/>
      <c r="HS64" s="242"/>
      <c r="HT64" s="242"/>
      <c r="HU64" s="242"/>
      <c r="HV64" s="242"/>
      <c r="HW64" s="242"/>
      <c r="HX64" s="242"/>
      <c r="HY64" s="242"/>
      <c r="HZ64" s="242"/>
      <c r="IA64" s="242"/>
      <c r="IB64" s="242"/>
      <c r="IC64" s="242"/>
      <c r="ID64" s="242"/>
      <c r="IE64" s="242"/>
      <c r="IF64" s="242"/>
      <c r="IG64" s="242"/>
      <c r="IH64" s="242"/>
      <c r="II64" s="242"/>
      <c r="IJ64" s="242"/>
      <c r="IK64" s="242"/>
      <c r="IL64" s="242"/>
      <c r="IM64" s="242"/>
      <c r="IN64" s="242"/>
      <c r="IO64" s="242"/>
      <c r="IP64" s="242"/>
      <c r="IQ64" s="242"/>
      <c r="IR64" s="242"/>
      <c r="IS64" s="242"/>
      <c r="IT64" s="242"/>
      <c r="IU64" s="242"/>
      <c r="IV64" s="242"/>
      <c r="IW64" s="242"/>
    </row>
    <row r="65" customFormat="false" ht="12.75" hidden="false" customHeight="true" outlineLevel="0" collapsed="false">
      <c r="A65" s="248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2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BD65" s="242"/>
      <c r="BE65" s="242"/>
      <c r="BF65" s="184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2"/>
      <c r="BR65" s="242"/>
      <c r="BS65" s="242"/>
      <c r="BT65" s="242"/>
      <c r="BU65" s="242"/>
      <c r="BV65" s="242"/>
      <c r="BW65" s="242"/>
      <c r="BX65" s="242"/>
      <c r="BY65" s="242"/>
      <c r="BZ65" s="242"/>
      <c r="CA65" s="242"/>
      <c r="CB65" s="242"/>
      <c r="CC65" s="242"/>
      <c r="CD65" s="242"/>
      <c r="CE65" s="242"/>
      <c r="CF65" s="242"/>
      <c r="CG65" s="242"/>
      <c r="CH65" s="242"/>
      <c r="CI65" s="242"/>
      <c r="CJ65" s="242"/>
      <c r="CK65" s="242"/>
      <c r="CL65" s="242"/>
      <c r="CM65" s="242"/>
      <c r="CN65" s="242"/>
      <c r="CO65" s="242"/>
      <c r="CP65" s="242"/>
      <c r="CQ65" s="242"/>
      <c r="CR65" s="242"/>
      <c r="CS65" s="242"/>
      <c r="CT65" s="242"/>
      <c r="CU65" s="242"/>
      <c r="CV65" s="242"/>
      <c r="CW65" s="242"/>
      <c r="CX65" s="242"/>
      <c r="CY65" s="242"/>
      <c r="CZ65" s="242"/>
      <c r="DA65" s="242"/>
      <c r="DB65" s="242"/>
      <c r="DC65" s="242"/>
      <c r="DD65" s="242"/>
      <c r="DE65" s="242"/>
      <c r="DF65" s="242"/>
      <c r="DG65" s="242"/>
      <c r="DH65" s="242"/>
      <c r="DI65" s="242"/>
      <c r="DJ65" s="242"/>
      <c r="DK65" s="242"/>
      <c r="DL65" s="242"/>
      <c r="DM65" s="242"/>
      <c r="DN65" s="242"/>
      <c r="DO65" s="242"/>
      <c r="DP65" s="242"/>
      <c r="DQ65" s="242"/>
      <c r="DR65" s="242"/>
      <c r="DS65" s="242"/>
      <c r="DT65" s="242"/>
      <c r="DU65" s="242"/>
      <c r="DV65" s="242"/>
      <c r="DW65" s="242"/>
      <c r="DX65" s="242"/>
      <c r="DY65" s="242"/>
      <c r="DZ65" s="242"/>
      <c r="EA65" s="242"/>
      <c r="EB65" s="242"/>
      <c r="EC65" s="242"/>
      <c r="ED65" s="242"/>
      <c r="EE65" s="242"/>
      <c r="EF65" s="242"/>
      <c r="EG65" s="242"/>
      <c r="EH65" s="242"/>
      <c r="EI65" s="242"/>
      <c r="EJ65" s="242"/>
      <c r="EK65" s="242"/>
      <c r="EL65" s="242"/>
      <c r="EM65" s="242"/>
      <c r="EN65" s="242"/>
      <c r="EO65" s="242"/>
      <c r="EP65" s="242"/>
      <c r="EQ65" s="242"/>
      <c r="ER65" s="242"/>
      <c r="ES65" s="242"/>
      <c r="ET65" s="242"/>
      <c r="EU65" s="242"/>
      <c r="EV65" s="242"/>
      <c r="EW65" s="242"/>
      <c r="EX65" s="242"/>
      <c r="EY65" s="242"/>
      <c r="EZ65" s="242"/>
      <c r="FA65" s="242"/>
      <c r="FB65" s="242"/>
      <c r="FC65" s="242"/>
      <c r="FD65" s="242"/>
      <c r="FE65" s="242"/>
      <c r="FF65" s="242"/>
      <c r="FG65" s="242"/>
      <c r="FH65" s="242"/>
      <c r="FI65" s="242"/>
      <c r="FJ65" s="242"/>
      <c r="FK65" s="242"/>
      <c r="FL65" s="242"/>
      <c r="FM65" s="242"/>
      <c r="FN65" s="242"/>
      <c r="FO65" s="242"/>
      <c r="FP65" s="242"/>
      <c r="FQ65" s="242"/>
      <c r="FR65" s="242"/>
      <c r="FS65" s="242"/>
      <c r="FT65" s="242"/>
      <c r="FU65" s="242"/>
      <c r="FV65" s="242"/>
      <c r="FW65" s="242"/>
      <c r="FX65" s="242"/>
      <c r="FY65" s="242"/>
      <c r="FZ65" s="242"/>
      <c r="GA65" s="242"/>
      <c r="GB65" s="242"/>
      <c r="GC65" s="242"/>
      <c r="GD65" s="242"/>
      <c r="GE65" s="242"/>
      <c r="GF65" s="242"/>
      <c r="GG65" s="242"/>
      <c r="GH65" s="242"/>
      <c r="GI65" s="242"/>
      <c r="GJ65" s="242"/>
      <c r="GK65" s="242"/>
      <c r="GL65" s="242"/>
      <c r="GM65" s="242"/>
      <c r="GN65" s="242"/>
      <c r="GO65" s="242"/>
      <c r="GP65" s="242"/>
      <c r="GQ65" s="242"/>
      <c r="GR65" s="242"/>
      <c r="GS65" s="242"/>
      <c r="GT65" s="242"/>
      <c r="GU65" s="242"/>
      <c r="GV65" s="242"/>
      <c r="GW65" s="242"/>
      <c r="GX65" s="242"/>
      <c r="GY65" s="242"/>
      <c r="GZ65" s="242"/>
      <c r="HA65" s="242"/>
      <c r="HB65" s="242"/>
      <c r="HC65" s="242"/>
      <c r="HD65" s="242"/>
      <c r="HE65" s="242"/>
      <c r="HF65" s="242"/>
      <c r="HG65" s="242"/>
      <c r="HH65" s="242"/>
      <c r="HI65" s="242"/>
      <c r="HJ65" s="242"/>
      <c r="HK65" s="242"/>
      <c r="HL65" s="242"/>
      <c r="HM65" s="242"/>
      <c r="HN65" s="242"/>
      <c r="HO65" s="242"/>
      <c r="HP65" s="242"/>
      <c r="HQ65" s="242"/>
      <c r="HR65" s="242"/>
      <c r="HS65" s="242"/>
      <c r="HT65" s="242"/>
      <c r="HU65" s="242"/>
      <c r="HV65" s="242"/>
      <c r="HW65" s="242"/>
      <c r="HX65" s="242"/>
      <c r="HY65" s="242"/>
      <c r="HZ65" s="242"/>
      <c r="IA65" s="242"/>
      <c r="IB65" s="242"/>
      <c r="IC65" s="242"/>
      <c r="ID65" s="242"/>
      <c r="IE65" s="242"/>
      <c r="IF65" s="242"/>
      <c r="IG65" s="242"/>
      <c r="IH65" s="242"/>
      <c r="II65" s="242"/>
      <c r="IJ65" s="242"/>
      <c r="IK65" s="242"/>
      <c r="IL65" s="242"/>
      <c r="IM65" s="242"/>
      <c r="IN65" s="242"/>
      <c r="IO65" s="242"/>
      <c r="IP65" s="242"/>
      <c r="IQ65" s="242"/>
      <c r="IR65" s="242"/>
      <c r="IS65" s="242"/>
      <c r="IT65" s="242"/>
      <c r="IU65" s="242"/>
      <c r="IV65" s="242"/>
      <c r="IW65" s="242"/>
    </row>
    <row r="66" customFormat="false" ht="12.75" hidden="false" customHeight="true" outlineLevel="0" collapsed="false">
      <c r="A66" s="248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2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BD66" s="242"/>
      <c r="BE66" s="242"/>
      <c r="BF66" s="184"/>
      <c r="BG66" s="242"/>
      <c r="BH66" s="242"/>
      <c r="BI66" s="242"/>
      <c r="BJ66" s="242"/>
      <c r="BK66" s="242"/>
      <c r="BL66" s="242"/>
      <c r="BM66" s="242"/>
      <c r="BN66" s="242"/>
      <c r="BO66" s="242"/>
      <c r="BP66" s="242"/>
      <c r="BQ66" s="242"/>
      <c r="BR66" s="242"/>
      <c r="BS66" s="242"/>
      <c r="BT66" s="242"/>
      <c r="BU66" s="242"/>
      <c r="BV66" s="242"/>
      <c r="BW66" s="242"/>
      <c r="BX66" s="242"/>
      <c r="BY66" s="242"/>
      <c r="BZ66" s="242"/>
      <c r="CA66" s="242"/>
      <c r="CB66" s="242"/>
      <c r="CC66" s="242"/>
      <c r="CD66" s="242"/>
      <c r="CE66" s="242"/>
      <c r="CF66" s="242"/>
      <c r="CG66" s="242"/>
      <c r="CH66" s="242"/>
      <c r="CI66" s="242"/>
      <c r="CJ66" s="242"/>
      <c r="CK66" s="242"/>
      <c r="CL66" s="242"/>
      <c r="CM66" s="242"/>
      <c r="CN66" s="242"/>
      <c r="CO66" s="242"/>
      <c r="CP66" s="242"/>
      <c r="CQ66" s="242"/>
      <c r="CR66" s="242"/>
      <c r="CS66" s="242"/>
      <c r="CT66" s="242"/>
      <c r="CU66" s="242"/>
      <c r="CV66" s="242"/>
      <c r="CW66" s="242"/>
      <c r="CX66" s="242"/>
      <c r="CY66" s="242"/>
      <c r="CZ66" s="242"/>
      <c r="DA66" s="242"/>
      <c r="DB66" s="242"/>
      <c r="DC66" s="242"/>
      <c r="DD66" s="242"/>
      <c r="DE66" s="242"/>
      <c r="DF66" s="242"/>
      <c r="DG66" s="242"/>
      <c r="DH66" s="242"/>
      <c r="DI66" s="242"/>
      <c r="DJ66" s="242"/>
      <c r="DK66" s="242"/>
      <c r="DL66" s="242"/>
      <c r="DM66" s="242"/>
      <c r="DN66" s="242"/>
      <c r="DO66" s="242"/>
      <c r="DP66" s="242"/>
      <c r="DQ66" s="242"/>
      <c r="DR66" s="242"/>
      <c r="DS66" s="242"/>
      <c r="DT66" s="242"/>
      <c r="DU66" s="242"/>
      <c r="DV66" s="242"/>
      <c r="DW66" s="242"/>
      <c r="DX66" s="242"/>
      <c r="DY66" s="242"/>
      <c r="DZ66" s="242"/>
      <c r="EA66" s="242"/>
      <c r="EB66" s="242"/>
      <c r="EC66" s="242"/>
      <c r="ED66" s="242"/>
      <c r="EE66" s="242"/>
      <c r="EF66" s="242"/>
      <c r="EG66" s="242"/>
      <c r="EH66" s="242"/>
      <c r="EI66" s="242"/>
      <c r="EJ66" s="242"/>
      <c r="EK66" s="242"/>
      <c r="EL66" s="242"/>
      <c r="EM66" s="242"/>
      <c r="EN66" s="242"/>
      <c r="EO66" s="242"/>
      <c r="EP66" s="242"/>
      <c r="EQ66" s="242"/>
      <c r="ER66" s="242"/>
      <c r="ES66" s="242"/>
      <c r="ET66" s="242"/>
      <c r="EU66" s="242"/>
      <c r="EV66" s="242"/>
      <c r="EW66" s="242"/>
      <c r="EX66" s="242"/>
      <c r="EY66" s="242"/>
      <c r="EZ66" s="242"/>
      <c r="FA66" s="242"/>
      <c r="FB66" s="242"/>
      <c r="FC66" s="242"/>
      <c r="FD66" s="242"/>
      <c r="FE66" s="242"/>
      <c r="FF66" s="242"/>
      <c r="FG66" s="242"/>
      <c r="FH66" s="242"/>
      <c r="FI66" s="242"/>
      <c r="FJ66" s="242"/>
      <c r="FK66" s="242"/>
      <c r="FL66" s="242"/>
      <c r="FM66" s="242"/>
      <c r="FN66" s="242"/>
      <c r="FO66" s="242"/>
      <c r="FP66" s="242"/>
      <c r="FQ66" s="242"/>
      <c r="FR66" s="242"/>
      <c r="FS66" s="242"/>
      <c r="FT66" s="242"/>
      <c r="FU66" s="242"/>
      <c r="FV66" s="242"/>
      <c r="FW66" s="242"/>
      <c r="FX66" s="242"/>
      <c r="FY66" s="242"/>
      <c r="FZ66" s="242"/>
      <c r="GA66" s="242"/>
      <c r="GB66" s="242"/>
      <c r="GC66" s="242"/>
      <c r="GD66" s="242"/>
      <c r="GE66" s="242"/>
      <c r="GF66" s="242"/>
      <c r="GG66" s="242"/>
      <c r="GH66" s="242"/>
      <c r="GI66" s="242"/>
      <c r="GJ66" s="242"/>
      <c r="GK66" s="242"/>
      <c r="GL66" s="242"/>
      <c r="GM66" s="242"/>
      <c r="GN66" s="242"/>
      <c r="GO66" s="242"/>
      <c r="GP66" s="242"/>
      <c r="GQ66" s="242"/>
      <c r="GR66" s="242"/>
      <c r="GS66" s="242"/>
      <c r="GT66" s="242"/>
      <c r="GU66" s="242"/>
      <c r="GV66" s="242"/>
      <c r="GW66" s="242"/>
      <c r="GX66" s="242"/>
      <c r="GY66" s="242"/>
      <c r="GZ66" s="242"/>
      <c r="HA66" s="242"/>
      <c r="HB66" s="242"/>
      <c r="HC66" s="242"/>
      <c r="HD66" s="242"/>
      <c r="HE66" s="242"/>
      <c r="HF66" s="242"/>
      <c r="HG66" s="242"/>
      <c r="HH66" s="242"/>
      <c r="HI66" s="242"/>
      <c r="HJ66" s="242"/>
      <c r="HK66" s="242"/>
      <c r="HL66" s="242"/>
      <c r="HM66" s="242"/>
      <c r="HN66" s="242"/>
      <c r="HO66" s="242"/>
      <c r="HP66" s="242"/>
      <c r="HQ66" s="242"/>
      <c r="HR66" s="242"/>
      <c r="HS66" s="242"/>
      <c r="HT66" s="242"/>
      <c r="HU66" s="242"/>
      <c r="HV66" s="242"/>
      <c r="HW66" s="242"/>
      <c r="HX66" s="242"/>
      <c r="HY66" s="242"/>
      <c r="HZ66" s="242"/>
      <c r="IA66" s="242"/>
      <c r="IB66" s="242"/>
      <c r="IC66" s="242"/>
      <c r="ID66" s="242"/>
      <c r="IE66" s="242"/>
      <c r="IF66" s="242"/>
      <c r="IG66" s="242"/>
      <c r="IH66" s="242"/>
      <c r="II66" s="242"/>
      <c r="IJ66" s="242"/>
      <c r="IK66" s="242"/>
      <c r="IL66" s="242"/>
      <c r="IM66" s="242"/>
      <c r="IN66" s="242"/>
      <c r="IO66" s="242"/>
      <c r="IP66" s="242"/>
      <c r="IQ66" s="242"/>
      <c r="IR66" s="242"/>
      <c r="IS66" s="242"/>
      <c r="IT66" s="242"/>
      <c r="IU66" s="242"/>
      <c r="IV66" s="242"/>
      <c r="IW66" s="242"/>
    </row>
    <row r="67" customFormat="false" ht="12.75" hidden="false" customHeight="true" outlineLevel="0" collapsed="false">
      <c r="A67" s="248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2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BD67" s="242"/>
      <c r="BE67" s="242"/>
      <c r="BF67" s="184"/>
      <c r="BG67" s="242"/>
      <c r="BH67" s="242"/>
      <c r="BI67" s="242"/>
      <c r="BJ67" s="242"/>
      <c r="BK67" s="242"/>
      <c r="BL67" s="242"/>
      <c r="BM67" s="242"/>
      <c r="BN67" s="242"/>
      <c r="BO67" s="242"/>
      <c r="BP67" s="242"/>
      <c r="BQ67" s="242"/>
      <c r="BR67" s="242"/>
      <c r="BS67" s="242"/>
      <c r="BT67" s="242"/>
      <c r="BU67" s="242"/>
      <c r="BV67" s="242"/>
      <c r="BW67" s="242"/>
      <c r="BX67" s="242"/>
      <c r="BY67" s="242"/>
      <c r="BZ67" s="242"/>
      <c r="CA67" s="242"/>
      <c r="CB67" s="242"/>
      <c r="CC67" s="242"/>
      <c r="CD67" s="242"/>
      <c r="CE67" s="242"/>
      <c r="CF67" s="242"/>
      <c r="CG67" s="242"/>
      <c r="CH67" s="242"/>
      <c r="CI67" s="242"/>
      <c r="CJ67" s="242"/>
      <c r="CK67" s="242"/>
      <c r="CL67" s="242"/>
      <c r="CM67" s="242"/>
      <c r="CN67" s="242"/>
      <c r="CO67" s="242"/>
      <c r="CP67" s="242"/>
      <c r="CQ67" s="242"/>
      <c r="CR67" s="242"/>
      <c r="CS67" s="242"/>
      <c r="CT67" s="242"/>
      <c r="CU67" s="242"/>
      <c r="CV67" s="242"/>
      <c r="CW67" s="242"/>
      <c r="CX67" s="242"/>
      <c r="CY67" s="242"/>
      <c r="CZ67" s="242"/>
      <c r="DA67" s="242"/>
      <c r="DB67" s="242"/>
      <c r="DC67" s="242"/>
      <c r="DD67" s="242"/>
      <c r="DE67" s="242"/>
      <c r="DF67" s="242"/>
      <c r="DG67" s="242"/>
      <c r="DH67" s="242"/>
      <c r="DI67" s="242"/>
      <c r="DJ67" s="242"/>
      <c r="DK67" s="242"/>
      <c r="DL67" s="242"/>
      <c r="DM67" s="242"/>
      <c r="DN67" s="242"/>
      <c r="DO67" s="242"/>
      <c r="DP67" s="242"/>
      <c r="DQ67" s="242"/>
      <c r="DR67" s="242"/>
      <c r="DS67" s="242"/>
      <c r="DT67" s="242"/>
      <c r="DU67" s="242"/>
      <c r="DV67" s="242"/>
      <c r="DW67" s="242"/>
      <c r="DX67" s="242"/>
      <c r="DY67" s="242"/>
      <c r="DZ67" s="242"/>
      <c r="EA67" s="242"/>
      <c r="EB67" s="242"/>
      <c r="EC67" s="242"/>
      <c r="ED67" s="242"/>
      <c r="EE67" s="242"/>
      <c r="EF67" s="242"/>
      <c r="EG67" s="242"/>
      <c r="EH67" s="242"/>
      <c r="EI67" s="242"/>
      <c r="EJ67" s="242"/>
      <c r="EK67" s="242"/>
      <c r="EL67" s="242"/>
      <c r="EM67" s="242"/>
      <c r="EN67" s="242"/>
      <c r="EO67" s="242"/>
      <c r="EP67" s="242"/>
      <c r="EQ67" s="242"/>
      <c r="ER67" s="242"/>
      <c r="ES67" s="242"/>
      <c r="ET67" s="242"/>
      <c r="EU67" s="242"/>
      <c r="EV67" s="242"/>
      <c r="EW67" s="242"/>
      <c r="EX67" s="242"/>
      <c r="EY67" s="242"/>
      <c r="EZ67" s="242"/>
      <c r="FA67" s="242"/>
      <c r="FB67" s="242"/>
      <c r="FC67" s="242"/>
      <c r="FD67" s="242"/>
      <c r="FE67" s="242"/>
      <c r="FF67" s="242"/>
      <c r="FG67" s="242"/>
      <c r="FH67" s="242"/>
      <c r="FI67" s="242"/>
      <c r="FJ67" s="242"/>
      <c r="FK67" s="242"/>
      <c r="FL67" s="242"/>
      <c r="FM67" s="242"/>
      <c r="FN67" s="242"/>
      <c r="FO67" s="242"/>
      <c r="FP67" s="242"/>
      <c r="FQ67" s="242"/>
      <c r="FR67" s="242"/>
      <c r="FS67" s="242"/>
      <c r="FT67" s="242"/>
      <c r="FU67" s="242"/>
      <c r="FV67" s="242"/>
      <c r="FW67" s="242"/>
      <c r="FX67" s="242"/>
      <c r="FY67" s="242"/>
      <c r="FZ67" s="242"/>
      <c r="GA67" s="242"/>
      <c r="GB67" s="242"/>
      <c r="GC67" s="242"/>
      <c r="GD67" s="242"/>
      <c r="GE67" s="242"/>
      <c r="GF67" s="242"/>
      <c r="GG67" s="242"/>
      <c r="GH67" s="242"/>
      <c r="GI67" s="242"/>
      <c r="GJ67" s="242"/>
      <c r="GK67" s="242"/>
      <c r="GL67" s="242"/>
      <c r="GM67" s="242"/>
      <c r="GN67" s="242"/>
      <c r="GO67" s="242"/>
      <c r="GP67" s="242"/>
      <c r="GQ67" s="242"/>
      <c r="GR67" s="242"/>
      <c r="GS67" s="242"/>
      <c r="GT67" s="242"/>
      <c r="GU67" s="242"/>
      <c r="GV67" s="242"/>
      <c r="GW67" s="242"/>
      <c r="GX67" s="242"/>
      <c r="GY67" s="242"/>
      <c r="GZ67" s="242"/>
      <c r="HA67" s="242"/>
      <c r="HB67" s="242"/>
      <c r="HC67" s="242"/>
      <c r="HD67" s="242"/>
      <c r="HE67" s="242"/>
      <c r="HF67" s="242"/>
      <c r="HG67" s="242"/>
      <c r="HH67" s="242"/>
      <c r="HI67" s="242"/>
      <c r="HJ67" s="242"/>
      <c r="HK67" s="242"/>
      <c r="HL67" s="242"/>
      <c r="HM67" s="242"/>
      <c r="HN67" s="242"/>
      <c r="HO67" s="242"/>
      <c r="HP67" s="242"/>
      <c r="HQ67" s="242"/>
      <c r="HR67" s="242"/>
      <c r="HS67" s="242"/>
      <c r="HT67" s="242"/>
      <c r="HU67" s="242"/>
      <c r="HV67" s="242"/>
      <c r="HW67" s="242"/>
      <c r="HX67" s="242"/>
      <c r="HY67" s="242"/>
      <c r="HZ67" s="242"/>
      <c r="IA67" s="242"/>
      <c r="IB67" s="242"/>
      <c r="IC67" s="242"/>
      <c r="ID67" s="242"/>
      <c r="IE67" s="242"/>
      <c r="IF67" s="242"/>
      <c r="IG67" s="242"/>
      <c r="IH67" s="242"/>
      <c r="II67" s="242"/>
      <c r="IJ67" s="242"/>
      <c r="IK67" s="242"/>
      <c r="IL67" s="242"/>
      <c r="IM67" s="242"/>
      <c r="IN67" s="242"/>
      <c r="IO67" s="242"/>
      <c r="IP67" s="242"/>
      <c r="IQ67" s="242"/>
      <c r="IR67" s="242"/>
      <c r="IS67" s="242"/>
      <c r="IT67" s="242"/>
      <c r="IU67" s="242"/>
      <c r="IV67" s="242"/>
      <c r="IW67" s="242"/>
    </row>
    <row r="68" customFormat="false" ht="12.75" hidden="false" customHeight="true" outlineLevel="0" collapsed="false">
      <c r="A68" s="248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2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BD68" s="242"/>
      <c r="BE68" s="242"/>
      <c r="BF68" s="184"/>
      <c r="BG68" s="242"/>
      <c r="BH68" s="242"/>
      <c r="BI68" s="242"/>
      <c r="BJ68" s="242"/>
      <c r="BK68" s="242"/>
      <c r="BL68" s="242"/>
      <c r="BM68" s="242"/>
      <c r="BN68" s="242"/>
      <c r="BO68" s="242"/>
      <c r="BP68" s="242"/>
      <c r="BQ68" s="242"/>
      <c r="BR68" s="242"/>
      <c r="BS68" s="242"/>
      <c r="BT68" s="242"/>
      <c r="BU68" s="242"/>
      <c r="BV68" s="242"/>
      <c r="BW68" s="242"/>
      <c r="BX68" s="242"/>
      <c r="BY68" s="242"/>
      <c r="BZ68" s="242"/>
      <c r="CA68" s="242"/>
      <c r="CB68" s="242"/>
      <c r="CC68" s="242"/>
      <c r="CD68" s="242"/>
      <c r="CE68" s="242"/>
      <c r="CF68" s="242"/>
      <c r="CG68" s="242"/>
      <c r="CH68" s="242"/>
      <c r="CI68" s="242"/>
      <c r="CJ68" s="242"/>
      <c r="CK68" s="242"/>
      <c r="CL68" s="242"/>
      <c r="CM68" s="242"/>
      <c r="CN68" s="242"/>
      <c r="CO68" s="242"/>
      <c r="CP68" s="242"/>
      <c r="CQ68" s="242"/>
      <c r="CR68" s="242"/>
      <c r="CS68" s="242"/>
      <c r="CT68" s="242"/>
      <c r="CU68" s="242"/>
      <c r="CV68" s="242"/>
      <c r="CW68" s="242"/>
      <c r="CX68" s="242"/>
      <c r="CY68" s="242"/>
      <c r="CZ68" s="242"/>
      <c r="DA68" s="242"/>
      <c r="DB68" s="242"/>
      <c r="DC68" s="242"/>
      <c r="DD68" s="242"/>
      <c r="DE68" s="242"/>
      <c r="DF68" s="242"/>
      <c r="DG68" s="242"/>
      <c r="DH68" s="242"/>
      <c r="DI68" s="242"/>
      <c r="DJ68" s="242"/>
      <c r="DK68" s="242"/>
      <c r="DL68" s="242"/>
      <c r="DM68" s="242"/>
      <c r="DN68" s="242"/>
      <c r="DO68" s="242"/>
      <c r="DP68" s="242"/>
      <c r="DQ68" s="242"/>
      <c r="DR68" s="242"/>
      <c r="DS68" s="242"/>
      <c r="DT68" s="242"/>
      <c r="DU68" s="242"/>
      <c r="DV68" s="242"/>
      <c r="DW68" s="242"/>
      <c r="DX68" s="242"/>
      <c r="DY68" s="242"/>
      <c r="DZ68" s="242"/>
      <c r="EA68" s="242"/>
      <c r="EB68" s="242"/>
      <c r="EC68" s="242"/>
      <c r="ED68" s="242"/>
      <c r="EE68" s="242"/>
      <c r="EF68" s="242"/>
      <c r="EG68" s="242"/>
      <c r="EH68" s="242"/>
      <c r="EI68" s="242"/>
      <c r="EJ68" s="242"/>
      <c r="EK68" s="242"/>
      <c r="EL68" s="242"/>
      <c r="EM68" s="242"/>
      <c r="EN68" s="242"/>
      <c r="EO68" s="242"/>
      <c r="EP68" s="242"/>
      <c r="EQ68" s="242"/>
      <c r="ER68" s="242"/>
      <c r="ES68" s="242"/>
      <c r="ET68" s="242"/>
      <c r="EU68" s="242"/>
      <c r="EV68" s="242"/>
      <c r="EW68" s="242"/>
      <c r="EX68" s="242"/>
      <c r="EY68" s="242"/>
      <c r="EZ68" s="242"/>
      <c r="FA68" s="242"/>
      <c r="FB68" s="242"/>
      <c r="FC68" s="242"/>
      <c r="FD68" s="242"/>
      <c r="FE68" s="242"/>
      <c r="FF68" s="242"/>
      <c r="FG68" s="242"/>
      <c r="FH68" s="242"/>
      <c r="FI68" s="242"/>
      <c r="FJ68" s="242"/>
      <c r="FK68" s="242"/>
      <c r="FL68" s="242"/>
      <c r="FM68" s="242"/>
      <c r="FN68" s="242"/>
      <c r="FO68" s="242"/>
      <c r="FP68" s="242"/>
      <c r="FQ68" s="242"/>
      <c r="FR68" s="242"/>
      <c r="FS68" s="242"/>
      <c r="FT68" s="242"/>
      <c r="FU68" s="242"/>
      <c r="FV68" s="242"/>
      <c r="FW68" s="242"/>
      <c r="FX68" s="242"/>
      <c r="FY68" s="242"/>
      <c r="FZ68" s="242"/>
      <c r="GA68" s="242"/>
      <c r="GB68" s="242"/>
      <c r="GC68" s="242"/>
      <c r="GD68" s="242"/>
      <c r="GE68" s="242"/>
      <c r="GF68" s="242"/>
      <c r="GG68" s="242"/>
      <c r="GH68" s="242"/>
      <c r="GI68" s="242"/>
      <c r="GJ68" s="242"/>
      <c r="GK68" s="242"/>
      <c r="GL68" s="242"/>
      <c r="GM68" s="242"/>
      <c r="GN68" s="242"/>
      <c r="GO68" s="242"/>
      <c r="GP68" s="242"/>
      <c r="GQ68" s="242"/>
      <c r="GR68" s="242"/>
      <c r="GS68" s="242"/>
      <c r="GT68" s="242"/>
      <c r="GU68" s="242"/>
      <c r="GV68" s="242"/>
      <c r="GW68" s="242"/>
      <c r="GX68" s="242"/>
      <c r="GY68" s="242"/>
      <c r="GZ68" s="242"/>
      <c r="HA68" s="242"/>
      <c r="HB68" s="242"/>
      <c r="HC68" s="242"/>
      <c r="HD68" s="242"/>
      <c r="HE68" s="242"/>
      <c r="HF68" s="242"/>
      <c r="HG68" s="242"/>
      <c r="HH68" s="242"/>
      <c r="HI68" s="242"/>
      <c r="HJ68" s="242"/>
      <c r="HK68" s="242"/>
      <c r="HL68" s="242"/>
      <c r="HM68" s="242"/>
      <c r="HN68" s="242"/>
      <c r="HO68" s="242"/>
      <c r="HP68" s="242"/>
      <c r="HQ68" s="242"/>
      <c r="HR68" s="242"/>
      <c r="HS68" s="242"/>
      <c r="HT68" s="242"/>
      <c r="HU68" s="242"/>
      <c r="HV68" s="242"/>
      <c r="HW68" s="242"/>
      <c r="HX68" s="242"/>
      <c r="HY68" s="242"/>
      <c r="HZ68" s="242"/>
      <c r="IA68" s="242"/>
      <c r="IB68" s="242"/>
      <c r="IC68" s="242"/>
      <c r="ID68" s="242"/>
      <c r="IE68" s="242"/>
      <c r="IF68" s="242"/>
      <c r="IG68" s="242"/>
      <c r="IH68" s="242"/>
      <c r="II68" s="242"/>
      <c r="IJ68" s="242"/>
      <c r="IK68" s="242"/>
      <c r="IL68" s="242"/>
      <c r="IM68" s="242"/>
      <c r="IN68" s="242"/>
      <c r="IO68" s="242"/>
      <c r="IP68" s="242"/>
      <c r="IQ68" s="242"/>
      <c r="IR68" s="242"/>
      <c r="IS68" s="242"/>
      <c r="IT68" s="242"/>
      <c r="IU68" s="242"/>
      <c r="IV68" s="242"/>
      <c r="IW68" s="242"/>
    </row>
    <row r="69" customFormat="false" ht="12.75" hidden="false" customHeight="true" outlineLevel="0" collapsed="false">
      <c r="A69" s="248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2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BD69" s="242"/>
      <c r="BE69" s="242"/>
      <c r="BF69" s="184"/>
      <c r="BG69" s="242"/>
      <c r="BH69" s="242"/>
      <c r="BI69" s="242"/>
      <c r="BJ69" s="242"/>
      <c r="BK69" s="242"/>
      <c r="BL69" s="242"/>
      <c r="BM69" s="242"/>
      <c r="BN69" s="242"/>
      <c r="BO69" s="242"/>
      <c r="BP69" s="242"/>
      <c r="BQ69" s="242"/>
      <c r="BR69" s="242"/>
      <c r="BS69" s="242"/>
      <c r="BT69" s="242"/>
      <c r="BU69" s="242"/>
      <c r="BV69" s="242"/>
      <c r="BW69" s="242"/>
      <c r="BX69" s="242"/>
      <c r="BY69" s="242"/>
      <c r="BZ69" s="242"/>
      <c r="CA69" s="242"/>
      <c r="CB69" s="242"/>
      <c r="CC69" s="242"/>
      <c r="CD69" s="242"/>
      <c r="CE69" s="242"/>
      <c r="CF69" s="242"/>
      <c r="CG69" s="242"/>
      <c r="CH69" s="242"/>
      <c r="CI69" s="242"/>
      <c r="CJ69" s="242"/>
      <c r="CK69" s="242"/>
      <c r="CL69" s="242"/>
      <c r="CM69" s="242"/>
      <c r="CN69" s="242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2"/>
      <c r="DG69" s="242"/>
      <c r="DH69" s="242"/>
      <c r="DI69" s="242"/>
      <c r="DJ69" s="242"/>
      <c r="DK69" s="242"/>
      <c r="DL69" s="242"/>
      <c r="DM69" s="242"/>
      <c r="DN69" s="242"/>
      <c r="DO69" s="242"/>
      <c r="DP69" s="242"/>
      <c r="DQ69" s="242"/>
      <c r="DR69" s="242"/>
      <c r="DS69" s="242"/>
      <c r="DT69" s="242"/>
      <c r="DU69" s="242"/>
      <c r="DV69" s="242"/>
      <c r="DW69" s="242"/>
      <c r="DX69" s="242"/>
      <c r="DY69" s="242"/>
      <c r="DZ69" s="242"/>
      <c r="EA69" s="242"/>
      <c r="EB69" s="242"/>
      <c r="EC69" s="242"/>
      <c r="ED69" s="242"/>
      <c r="EE69" s="242"/>
      <c r="EF69" s="242"/>
      <c r="EG69" s="242"/>
      <c r="EH69" s="242"/>
      <c r="EI69" s="242"/>
      <c r="EJ69" s="242"/>
      <c r="EK69" s="242"/>
      <c r="EL69" s="242"/>
      <c r="EM69" s="242"/>
      <c r="EN69" s="242"/>
      <c r="EO69" s="242"/>
      <c r="EP69" s="242"/>
      <c r="EQ69" s="242"/>
      <c r="ER69" s="242"/>
      <c r="ES69" s="242"/>
      <c r="ET69" s="242"/>
      <c r="EU69" s="242"/>
      <c r="EV69" s="242"/>
      <c r="EW69" s="242"/>
      <c r="EX69" s="242"/>
      <c r="EY69" s="242"/>
      <c r="EZ69" s="242"/>
      <c r="FA69" s="242"/>
      <c r="FB69" s="242"/>
      <c r="FC69" s="242"/>
      <c r="FD69" s="242"/>
      <c r="FE69" s="242"/>
      <c r="FF69" s="242"/>
      <c r="FG69" s="242"/>
      <c r="FH69" s="242"/>
      <c r="FI69" s="242"/>
      <c r="FJ69" s="242"/>
      <c r="FK69" s="242"/>
      <c r="FL69" s="242"/>
      <c r="FM69" s="242"/>
      <c r="FN69" s="242"/>
      <c r="FO69" s="242"/>
      <c r="FP69" s="242"/>
      <c r="FQ69" s="242"/>
      <c r="FR69" s="242"/>
      <c r="FS69" s="242"/>
      <c r="FT69" s="242"/>
      <c r="FU69" s="242"/>
      <c r="FV69" s="242"/>
      <c r="FW69" s="242"/>
      <c r="FX69" s="242"/>
      <c r="FY69" s="242"/>
      <c r="FZ69" s="242"/>
      <c r="GA69" s="242"/>
      <c r="GB69" s="242"/>
      <c r="GC69" s="242"/>
      <c r="GD69" s="242"/>
      <c r="GE69" s="242"/>
      <c r="GF69" s="242"/>
      <c r="GG69" s="242"/>
      <c r="GH69" s="242"/>
      <c r="GI69" s="242"/>
      <c r="GJ69" s="242"/>
      <c r="GK69" s="242"/>
      <c r="GL69" s="242"/>
      <c r="GM69" s="242"/>
      <c r="GN69" s="242"/>
      <c r="GO69" s="242"/>
      <c r="GP69" s="242"/>
      <c r="GQ69" s="242"/>
      <c r="GR69" s="242"/>
      <c r="GS69" s="242"/>
      <c r="GT69" s="242"/>
      <c r="GU69" s="242"/>
      <c r="GV69" s="242"/>
      <c r="GW69" s="242"/>
      <c r="GX69" s="242"/>
      <c r="GY69" s="242"/>
      <c r="GZ69" s="242"/>
      <c r="HA69" s="242"/>
      <c r="HB69" s="242"/>
      <c r="HC69" s="242"/>
      <c r="HD69" s="242"/>
      <c r="HE69" s="242"/>
      <c r="HF69" s="242"/>
      <c r="HG69" s="242"/>
      <c r="HH69" s="242"/>
      <c r="HI69" s="242"/>
      <c r="HJ69" s="242"/>
      <c r="HK69" s="242"/>
      <c r="HL69" s="242"/>
      <c r="HM69" s="242"/>
      <c r="HN69" s="242"/>
      <c r="HO69" s="242"/>
      <c r="HP69" s="242"/>
      <c r="HQ69" s="242"/>
      <c r="HR69" s="242"/>
      <c r="HS69" s="242"/>
      <c r="HT69" s="242"/>
      <c r="HU69" s="242"/>
      <c r="HV69" s="242"/>
      <c r="HW69" s="242"/>
      <c r="HX69" s="242"/>
      <c r="HY69" s="242"/>
      <c r="HZ69" s="242"/>
      <c r="IA69" s="242"/>
      <c r="IB69" s="242"/>
      <c r="IC69" s="242"/>
      <c r="ID69" s="242"/>
      <c r="IE69" s="242"/>
      <c r="IF69" s="242"/>
      <c r="IG69" s="242"/>
      <c r="IH69" s="242"/>
      <c r="II69" s="242"/>
      <c r="IJ69" s="242"/>
      <c r="IK69" s="242"/>
      <c r="IL69" s="242"/>
      <c r="IM69" s="242"/>
      <c r="IN69" s="242"/>
      <c r="IO69" s="242"/>
      <c r="IP69" s="242"/>
      <c r="IQ69" s="242"/>
      <c r="IR69" s="242"/>
      <c r="IS69" s="242"/>
      <c r="IT69" s="242"/>
      <c r="IU69" s="242"/>
      <c r="IV69" s="242"/>
      <c r="IW69" s="242"/>
    </row>
    <row r="70" customFormat="false" ht="12.75" hidden="false" customHeight="true" outlineLevel="0" collapsed="false">
      <c r="A70" s="248"/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2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BD70" s="242"/>
      <c r="BE70" s="242"/>
      <c r="BF70" s="184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2"/>
      <c r="BR70" s="242"/>
      <c r="BS70" s="242"/>
      <c r="BT70" s="242"/>
      <c r="BU70" s="242"/>
      <c r="BV70" s="242"/>
      <c r="BW70" s="242"/>
      <c r="BX70" s="242"/>
      <c r="BY70" s="242"/>
      <c r="BZ70" s="242"/>
      <c r="CA70" s="242"/>
      <c r="CB70" s="242"/>
      <c r="CC70" s="242"/>
      <c r="CD70" s="242"/>
      <c r="CE70" s="242"/>
      <c r="CF70" s="242"/>
      <c r="CG70" s="242"/>
      <c r="CH70" s="242"/>
      <c r="CI70" s="242"/>
      <c r="CJ70" s="242"/>
      <c r="CK70" s="242"/>
      <c r="CL70" s="242"/>
      <c r="CM70" s="242"/>
      <c r="CN70" s="242"/>
      <c r="CO70" s="242"/>
      <c r="CP70" s="242"/>
      <c r="CQ70" s="242"/>
      <c r="CR70" s="242"/>
      <c r="CS70" s="242"/>
      <c r="CT70" s="242"/>
      <c r="CU70" s="242"/>
      <c r="CV70" s="242"/>
      <c r="CW70" s="242"/>
      <c r="CX70" s="242"/>
      <c r="CY70" s="242"/>
      <c r="CZ70" s="242"/>
      <c r="DA70" s="242"/>
      <c r="DB70" s="242"/>
      <c r="DC70" s="242"/>
      <c r="DD70" s="242"/>
      <c r="DE70" s="242"/>
      <c r="DF70" s="242"/>
      <c r="DG70" s="242"/>
      <c r="DH70" s="242"/>
      <c r="DI70" s="242"/>
      <c r="DJ70" s="242"/>
      <c r="DK70" s="242"/>
      <c r="DL70" s="242"/>
      <c r="DM70" s="242"/>
      <c r="DN70" s="242"/>
      <c r="DO70" s="242"/>
      <c r="DP70" s="242"/>
      <c r="DQ70" s="242"/>
      <c r="DR70" s="242"/>
      <c r="DS70" s="242"/>
      <c r="DT70" s="242"/>
      <c r="DU70" s="242"/>
      <c r="DV70" s="242"/>
      <c r="DW70" s="242"/>
      <c r="DX70" s="242"/>
      <c r="DY70" s="242"/>
      <c r="DZ70" s="242"/>
      <c r="EA70" s="242"/>
      <c r="EB70" s="242"/>
      <c r="EC70" s="242"/>
      <c r="ED70" s="242"/>
      <c r="EE70" s="242"/>
      <c r="EF70" s="242"/>
      <c r="EG70" s="242"/>
      <c r="EH70" s="242"/>
      <c r="EI70" s="242"/>
      <c r="EJ70" s="242"/>
      <c r="EK70" s="242"/>
      <c r="EL70" s="242"/>
      <c r="EM70" s="242"/>
      <c r="EN70" s="242"/>
      <c r="EO70" s="242"/>
      <c r="EP70" s="242"/>
      <c r="EQ70" s="242"/>
      <c r="ER70" s="242"/>
      <c r="ES70" s="242"/>
      <c r="ET70" s="242"/>
      <c r="EU70" s="242"/>
      <c r="EV70" s="242"/>
      <c r="EW70" s="242"/>
      <c r="EX70" s="242"/>
      <c r="EY70" s="242"/>
      <c r="EZ70" s="242"/>
      <c r="FA70" s="242"/>
      <c r="FB70" s="242"/>
      <c r="FC70" s="242"/>
      <c r="FD70" s="242"/>
      <c r="FE70" s="242"/>
      <c r="FF70" s="242"/>
      <c r="FG70" s="242"/>
      <c r="FH70" s="242"/>
      <c r="FI70" s="242"/>
      <c r="FJ70" s="242"/>
      <c r="FK70" s="242"/>
      <c r="FL70" s="242"/>
      <c r="FM70" s="242"/>
      <c r="FN70" s="242"/>
      <c r="FO70" s="242"/>
      <c r="FP70" s="242"/>
      <c r="FQ70" s="242"/>
      <c r="FR70" s="242"/>
      <c r="FS70" s="242"/>
      <c r="FT70" s="242"/>
      <c r="FU70" s="242"/>
      <c r="FV70" s="242"/>
      <c r="FW70" s="242"/>
      <c r="FX70" s="242"/>
      <c r="FY70" s="242"/>
      <c r="FZ70" s="242"/>
      <c r="GA70" s="242"/>
      <c r="GB70" s="242"/>
      <c r="GC70" s="242"/>
      <c r="GD70" s="242"/>
      <c r="GE70" s="242"/>
      <c r="GF70" s="242"/>
      <c r="GG70" s="242"/>
      <c r="GH70" s="242"/>
      <c r="GI70" s="242"/>
      <c r="GJ70" s="242"/>
      <c r="GK70" s="242"/>
      <c r="GL70" s="242"/>
      <c r="GM70" s="242"/>
      <c r="GN70" s="242"/>
      <c r="GO70" s="242"/>
      <c r="GP70" s="242"/>
      <c r="GQ70" s="242"/>
      <c r="GR70" s="242"/>
      <c r="GS70" s="242"/>
      <c r="GT70" s="242"/>
      <c r="GU70" s="242"/>
      <c r="GV70" s="242"/>
      <c r="GW70" s="242"/>
      <c r="GX70" s="242"/>
      <c r="GY70" s="242"/>
      <c r="GZ70" s="242"/>
      <c r="HA70" s="242"/>
      <c r="HB70" s="242"/>
      <c r="HC70" s="242"/>
      <c r="HD70" s="242"/>
      <c r="HE70" s="242"/>
      <c r="HF70" s="242"/>
      <c r="HG70" s="242"/>
      <c r="HH70" s="242"/>
      <c r="HI70" s="242"/>
      <c r="HJ70" s="242"/>
      <c r="HK70" s="242"/>
      <c r="HL70" s="242"/>
      <c r="HM70" s="242"/>
      <c r="HN70" s="242"/>
      <c r="HO70" s="242"/>
      <c r="HP70" s="242"/>
      <c r="HQ70" s="242"/>
      <c r="HR70" s="242"/>
      <c r="HS70" s="242"/>
      <c r="HT70" s="242"/>
      <c r="HU70" s="242"/>
      <c r="HV70" s="242"/>
      <c r="HW70" s="242"/>
      <c r="HX70" s="242"/>
      <c r="HY70" s="242"/>
      <c r="HZ70" s="242"/>
      <c r="IA70" s="242"/>
      <c r="IB70" s="242"/>
      <c r="IC70" s="242"/>
      <c r="ID70" s="242"/>
      <c r="IE70" s="242"/>
      <c r="IF70" s="242"/>
      <c r="IG70" s="242"/>
      <c r="IH70" s="242"/>
      <c r="II70" s="242"/>
      <c r="IJ70" s="242"/>
      <c r="IK70" s="242"/>
      <c r="IL70" s="242"/>
      <c r="IM70" s="242"/>
      <c r="IN70" s="242"/>
      <c r="IO70" s="242"/>
      <c r="IP70" s="242"/>
      <c r="IQ70" s="242"/>
      <c r="IR70" s="242"/>
      <c r="IS70" s="242"/>
      <c r="IT70" s="242"/>
      <c r="IU70" s="242"/>
      <c r="IV70" s="242"/>
      <c r="IW70" s="242"/>
    </row>
    <row r="71" customFormat="false" ht="12.75" hidden="false" customHeight="true" outlineLevel="0" collapsed="false">
      <c r="A71" s="248"/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184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242"/>
    </row>
    <row r="72" customFormat="false" ht="12.75" hidden="false" customHeight="true" outlineLevel="0" collapsed="false">
      <c r="A72" s="248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168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242"/>
    </row>
    <row r="73" customFormat="false" ht="12.75" hidden="false" customHeight="true" outlineLevel="0" collapsed="false">
      <c r="A73" s="248"/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2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BD73" s="242"/>
      <c r="BE73" s="242"/>
      <c r="BF73" s="184"/>
      <c r="BG73" s="242"/>
      <c r="BH73" s="242"/>
      <c r="BI73" s="242"/>
      <c r="BJ73" s="242"/>
      <c r="BK73" s="242"/>
      <c r="BL73" s="242"/>
      <c r="BM73" s="242"/>
      <c r="BN73" s="242"/>
      <c r="BO73" s="242"/>
      <c r="BP73" s="242"/>
      <c r="BQ73" s="242"/>
      <c r="BR73" s="242"/>
      <c r="BS73" s="242"/>
      <c r="BT73" s="242"/>
      <c r="BU73" s="242"/>
      <c r="BV73" s="242"/>
      <c r="BW73" s="242"/>
      <c r="BX73" s="242"/>
      <c r="BY73" s="242"/>
      <c r="BZ73" s="242"/>
      <c r="CA73" s="242"/>
      <c r="CB73" s="242"/>
      <c r="CC73" s="242"/>
      <c r="CD73" s="242"/>
      <c r="CE73" s="242"/>
      <c r="CF73" s="242"/>
      <c r="CG73" s="242"/>
      <c r="CH73" s="242"/>
      <c r="CI73" s="242"/>
      <c r="CJ73" s="242"/>
      <c r="CK73" s="242"/>
      <c r="CL73" s="242"/>
      <c r="CM73" s="242"/>
      <c r="CN73" s="242"/>
      <c r="CO73" s="242"/>
      <c r="CP73" s="242"/>
      <c r="CQ73" s="242"/>
      <c r="CR73" s="242"/>
      <c r="CS73" s="242"/>
      <c r="CT73" s="242"/>
      <c r="CU73" s="242"/>
      <c r="CV73" s="242"/>
      <c r="CW73" s="242"/>
      <c r="CX73" s="242"/>
      <c r="CY73" s="242"/>
      <c r="CZ73" s="242"/>
      <c r="DA73" s="242"/>
      <c r="DB73" s="242"/>
      <c r="DC73" s="242"/>
      <c r="DD73" s="242"/>
      <c r="DE73" s="242"/>
      <c r="DF73" s="242"/>
      <c r="DG73" s="242"/>
      <c r="DH73" s="242"/>
      <c r="DI73" s="242"/>
      <c r="DJ73" s="242"/>
      <c r="DK73" s="242"/>
      <c r="DL73" s="242"/>
      <c r="DM73" s="242"/>
      <c r="DN73" s="242"/>
      <c r="DO73" s="242"/>
      <c r="DP73" s="242"/>
      <c r="DQ73" s="242"/>
      <c r="DR73" s="242"/>
      <c r="DS73" s="242"/>
      <c r="DT73" s="242"/>
      <c r="DU73" s="242"/>
      <c r="DV73" s="242"/>
      <c r="DW73" s="242"/>
      <c r="DX73" s="242"/>
      <c r="DY73" s="242"/>
      <c r="DZ73" s="242"/>
      <c r="EA73" s="242"/>
      <c r="EB73" s="242"/>
      <c r="EC73" s="242"/>
      <c r="ED73" s="242"/>
      <c r="EE73" s="242"/>
      <c r="EF73" s="242"/>
      <c r="EG73" s="242"/>
      <c r="EH73" s="242"/>
      <c r="EI73" s="242"/>
      <c r="EJ73" s="242"/>
      <c r="EK73" s="242"/>
      <c r="EL73" s="242"/>
      <c r="EM73" s="242"/>
      <c r="EN73" s="242"/>
      <c r="EO73" s="242"/>
      <c r="EP73" s="242"/>
      <c r="EQ73" s="242"/>
      <c r="ER73" s="242"/>
      <c r="ES73" s="242"/>
      <c r="ET73" s="242"/>
      <c r="EU73" s="242"/>
      <c r="EV73" s="242"/>
      <c r="EW73" s="242"/>
      <c r="EX73" s="242"/>
      <c r="EY73" s="242"/>
      <c r="EZ73" s="242"/>
      <c r="FA73" s="242"/>
      <c r="FB73" s="242"/>
      <c r="FC73" s="242"/>
      <c r="FD73" s="242"/>
      <c r="FE73" s="242"/>
      <c r="FF73" s="242"/>
      <c r="FG73" s="242"/>
      <c r="FH73" s="242"/>
      <c r="FI73" s="242"/>
      <c r="FJ73" s="242"/>
      <c r="FK73" s="242"/>
      <c r="FL73" s="242"/>
      <c r="FM73" s="242"/>
      <c r="FN73" s="242"/>
      <c r="FO73" s="242"/>
      <c r="FP73" s="242"/>
      <c r="FQ73" s="242"/>
      <c r="FR73" s="242"/>
      <c r="FS73" s="242"/>
      <c r="FT73" s="242"/>
      <c r="FU73" s="242"/>
      <c r="FV73" s="242"/>
      <c r="FW73" s="242"/>
      <c r="FX73" s="242"/>
      <c r="FY73" s="242"/>
      <c r="FZ73" s="242"/>
      <c r="GA73" s="242"/>
      <c r="GB73" s="242"/>
      <c r="GC73" s="242"/>
      <c r="GD73" s="242"/>
      <c r="GE73" s="242"/>
      <c r="GF73" s="242"/>
      <c r="GG73" s="242"/>
      <c r="GH73" s="242"/>
      <c r="GI73" s="242"/>
      <c r="GJ73" s="242"/>
      <c r="GK73" s="242"/>
      <c r="GL73" s="242"/>
      <c r="GM73" s="242"/>
      <c r="GN73" s="242"/>
      <c r="GO73" s="242"/>
      <c r="GP73" s="242"/>
      <c r="GQ73" s="242"/>
      <c r="GR73" s="242"/>
      <c r="GS73" s="242"/>
      <c r="GT73" s="242"/>
      <c r="GU73" s="242"/>
      <c r="GV73" s="242"/>
      <c r="GW73" s="242"/>
      <c r="GX73" s="242"/>
      <c r="GY73" s="242"/>
      <c r="GZ73" s="242"/>
      <c r="HA73" s="242"/>
      <c r="HB73" s="242"/>
      <c r="HC73" s="242"/>
      <c r="HD73" s="242"/>
      <c r="HE73" s="242"/>
      <c r="HF73" s="242"/>
      <c r="HG73" s="242"/>
      <c r="HH73" s="242"/>
      <c r="HI73" s="242"/>
      <c r="HJ73" s="242"/>
      <c r="HK73" s="242"/>
      <c r="HL73" s="242"/>
      <c r="HM73" s="242"/>
      <c r="HN73" s="242"/>
      <c r="HO73" s="242"/>
      <c r="HP73" s="242"/>
      <c r="HQ73" s="242"/>
      <c r="HR73" s="242"/>
      <c r="HS73" s="242"/>
      <c r="HT73" s="242"/>
      <c r="HU73" s="242"/>
      <c r="HV73" s="242"/>
      <c r="HW73" s="242"/>
      <c r="HX73" s="242"/>
      <c r="HY73" s="242"/>
      <c r="HZ73" s="242"/>
      <c r="IA73" s="242"/>
      <c r="IB73" s="242"/>
      <c r="IC73" s="242"/>
      <c r="ID73" s="242"/>
      <c r="IE73" s="242"/>
      <c r="IF73" s="242"/>
      <c r="IG73" s="242"/>
      <c r="IH73" s="242"/>
      <c r="II73" s="242"/>
      <c r="IJ73" s="242"/>
      <c r="IK73" s="242"/>
      <c r="IL73" s="242"/>
      <c r="IM73" s="242"/>
      <c r="IN73" s="242"/>
      <c r="IO73" s="242"/>
      <c r="IP73" s="242"/>
      <c r="IQ73" s="242"/>
      <c r="IR73" s="242"/>
      <c r="IS73" s="242"/>
      <c r="IT73" s="242"/>
      <c r="IU73" s="242"/>
      <c r="IV73" s="242"/>
      <c r="IW73" s="242"/>
    </row>
    <row r="74" customFormat="false" ht="12.75" hidden="false" customHeight="true" outlineLevel="0" collapsed="false">
      <c r="A74" s="248"/>
      <c r="B74" s="248"/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2"/>
      <c r="AE74" s="256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BD74" s="242"/>
      <c r="BE74" s="242"/>
      <c r="BF74" s="184"/>
      <c r="BG74" s="242"/>
      <c r="BH74" s="242"/>
      <c r="BI74" s="242"/>
      <c r="BJ74" s="242"/>
      <c r="BK74" s="242"/>
      <c r="BL74" s="242"/>
      <c r="BM74" s="242"/>
      <c r="BN74" s="242"/>
      <c r="BO74" s="242"/>
      <c r="BP74" s="242"/>
      <c r="BQ74" s="242"/>
      <c r="BR74" s="242"/>
      <c r="BS74" s="242"/>
      <c r="BT74" s="242"/>
      <c r="BU74" s="242"/>
      <c r="BV74" s="242"/>
      <c r="BW74" s="242"/>
      <c r="BX74" s="242"/>
      <c r="BY74" s="242"/>
      <c r="BZ74" s="242"/>
      <c r="CA74" s="242"/>
      <c r="CB74" s="242"/>
      <c r="CC74" s="242"/>
      <c r="CD74" s="242"/>
      <c r="CE74" s="242"/>
      <c r="CF74" s="242"/>
      <c r="CG74" s="242"/>
      <c r="CH74" s="242"/>
      <c r="CI74" s="242"/>
      <c r="CJ74" s="242"/>
      <c r="CK74" s="242"/>
      <c r="CL74" s="242"/>
      <c r="CM74" s="242"/>
      <c r="CN74" s="242"/>
      <c r="CO74" s="242"/>
      <c r="CP74" s="242"/>
      <c r="CQ74" s="242"/>
      <c r="CR74" s="242"/>
      <c r="CS74" s="242"/>
      <c r="CT74" s="242"/>
      <c r="CU74" s="242"/>
      <c r="CV74" s="242"/>
      <c r="CW74" s="242"/>
      <c r="CX74" s="242"/>
      <c r="CY74" s="242"/>
      <c r="CZ74" s="242"/>
      <c r="DA74" s="242"/>
      <c r="DB74" s="242"/>
      <c r="DC74" s="242"/>
      <c r="DD74" s="242"/>
      <c r="DE74" s="242"/>
      <c r="DF74" s="242"/>
      <c r="DG74" s="242"/>
      <c r="DH74" s="242"/>
      <c r="DI74" s="242"/>
      <c r="DJ74" s="242"/>
      <c r="DK74" s="242"/>
      <c r="DL74" s="242"/>
      <c r="DM74" s="242"/>
      <c r="DN74" s="242"/>
      <c r="DO74" s="242"/>
      <c r="DP74" s="242"/>
      <c r="DQ74" s="242"/>
      <c r="DR74" s="242"/>
      <c r="DS74" s="242"/>
      <c r="DT74" s="242"/>
      <c r="DU74" s="242"/>
      <c r="DV74" s="242"/>
      <c r="DW74" s="242"/>
      <c r="DX74" s="242"/>
      <c r="DY74" s="242"/>
      <c r="DZ74" s="242"/>
      <c r="EA74" s="242"/>
      <c r="EB74" s="242"/>
      <c r="EC74" s="242"/>
      <c r="ED74" s="242"/>
      <c r="EE74" s="242"/>
      <c r="EF74" s="242"/>
      <c r="EG74" s="242"/>
      <c r="EH74" s="242"/>
      <c r="EI74" s="242"/>
      <c r="EJ74" s="242"/>
      <c r="EK74" s="242"/>
      <c r="EL74" s="242"/>
      <c r="EM74" s="242"/>
      <c r="EN74" s="242"/>
      <c r="EO74" s="242"/>
      <c r="EP74" s="242"/>
      <c r="EQ74" s="242"/>
      <c r="ER74" s="242"/>
      <c r="ES74" s="242"/>
      <c r="ET74" s="242"/>
      <c r="EU74" s="242"/>
      <c r="EV74" s="242"/>
      <c r="EW74" s="242"/>
      <c r="EX74" s="242"/>
      <c r="EY74" s="242"/>
      <c r="EZ74" s="242"/>
      <c r="FA74" s="242"/>
      <c r="FB74" s="242"/>
      <c r="FC74" s="242"/>
      <c r="FD74" s="242"/>
      <c r="FE74" s="242"/>
      <c r="FF74" s="242"/>
      <c r="FG74" s="242"/>
      <c r="FH74" s="242"/>
      <c r="FI74" s="242"/>
      <c r="FJ74" s="242"/>
      <c r="FK74" s="242"/>
      <c r="FL74" s="242"/>
      <c r="FM74" s="242"/>
      <c r="FN74" s="242"/>
      <c r="FO74" s="242"/>
      <c r="FP74" s="242"/>
      <c r="FQ74" s="242"/>
      <c r="FR74" s="242"/>
      <c r="FS74" s="242"/>
      <c r="FT74" s="242"/>
      <c r="FU74" s="242"/>
      <c r="FV74" s="242"/>
      <c r="FW74" s="242"/>
      <c r="FX74" s="242"/>
      <c r="FY74" s="242"/>
      <c r="FZ74" s="242"/>
      <c r="GA74" s="242"/>
      <c r="GB74" s="242"/>
      <c r="GC74" s="242"/>
      <c r="GD74" s="242"/>
      <c r="GE74" s="242"/>
      <c r="GF74" s="242"/>
      <c r="GG74" s="242"/>
      <c r="GH74" s="242"/>
      <c r="GI74" s="242"/>
      <c r="GJ74" s="242"/>
      <c r="GK74" s="242"/>
      <c r="GL74" s="242"/>
      <c r="GM74" s="242"/>
      <c r="GN74" s="242"/>
      <c r="GO74" s="242"/>
      <c r="GP74" s="242"/>
      <c r="GQ74" s="242"/>
      <c r="GR74" s="242"/>
      <c r="GS74" s="242"/>
      <c r="GT74" s="242"/>
      <c r="GU74" s="242"/>
      <c r="GV74" s="242"/>
      <c r="GW74" s="242"/>
      <c r="GX74" s="242"/>
      <c r="GY74" s="242"/>
      <c r="GZ74" s="242"/>
      <c r="HA74" s="242"/>
      <c r="HB74" s="242"/>
      <c r="HC74" s="242"/>
      <c r="HD74" s="242"/>
      <c r="HE74" s="242"/>
      <c r="HF74" s="242"/>
      <c r="HG74" s="242"/>
      <c r="HH74" s="242"/>
      <c r="HI74" s="242"/>
      <c r="HJ74" s="242"/>
      <c r="HK74" s="242"/>
      <c r="HL74" s="242"/>
      <c r="HM74" s="242"/>
      <c r="HN74" s="242"/>
      <c r="HO74" s="242"/>
      <c r="HP74" s="242"/>
      <c r="HQ74" s="242"/>
      <c r="HR74" s="242"/>
      <c r="HS74" s="242"/>
      <c r="HT74" s="242"/>
      <c r="HU74" s="242"/>
      <c r="HV74" s="242"/>
      <c r="HW74" s="242"/>
      <c r="HX74" s="242"/>
      <c r="HY74" s="242"/>
      <c r="HZ74" s="242"/>
      <c r="IA74" s="242"/>
      <c r="IB74" s="242"/>
      <c r="IC74" s="242"/>
      <c r="ID74" s="242"/>
      <c r="IE74" s="242"/>
      <c r="IF74" s="242"/>
      <c r="IG74" s="242"/>
      <c r="IH74" s="242"/>
      <c r="II74" s="242"/>
      <c r="IJ74" s="242"/>
      <c r="IK74" s="242"/>
      <c r="IL74" s="242"/>
      <c r="IM74" s="242"/>
      <c r="IN74" s="242"/>
      <c r="IO74" s="242"/>
      <c r="IP74" s="242"/>
      <c r="IQ74" s="242"/>
      <c r="IR74" s="242"/>
      <c r="IS74" s="242"/>
      <c r="IT74" s="242"/>
      <c r="IU74" s="242"/>
      <c r="IV74" s="242"/>
      <c r="IW74" s="242"/>
    </row>
    <row r="75" customFormat="false" ht="15" hidden="false" customHeight="true" outlineLevel="0" collapsed="false">
      <c r="A75" s="248"/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2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7"/>
      <c r="BD75" s="242"/>
      <c r="BE75" s="242"/>
      <c r="BF75" s="184"/>
      <c r="BG75" s="242"/>
      <c r="BH75" s="242"/>
      <c r="BI75" s="242"/>
      <c r="BJ75" s="242"/>
      <c r="BK75" s="242"/>
      <c r="BL75" s="242"/>
      <c r="BM75" s="242"/>
      <c r="BN75" s="242"/>
      <c r="BO75" s="242"/>
      <c r="BP75" s="242"/>
      <c r="BQ75" s="242"/>
      <c r="BR75" s="242"/>
      <c r="BS75" s="242"/>
      <c r="BT75" s="242"/>
      <c r="BU75" s="242"/>
      <c r="BV75" s="242"/>
      <c r="BW75" s="242"/>
      <c r="BX75" s="242"/>
      <c r="BY75" s="242"/>
      <c r="BZ75" s="242"/>
      <c r="CA75" s="242"/>
      <c r="CB75" s="242"/>
      <c r="CC75" s="242"/>
      <c r="CD75" s="242"/>
      <c r="CE75" s="242"/>
      <c r="CF75" s="242"/>
      <c r="CG75" s="242"/>
      <c r="CH75" s="242"/>
      <c r="CI75" s="242"/>
      <c r="CJ75" s="242"/>
      <c r="CK75" s="242"/>
      <c r="CL75" s="242"/>
      <c r="CM75" s="242"/>
      <c r="CN75" s="242"/>
      <c r="CO75" s="242"/>
      <c r="CP75" s="242"/>
      <c r="CQ75" s="242"/>
      <c r="CR75" s="242"/>
      <c r="CS75" s="242"/>
      <c r="CT75" s="242"/>
      <c r="CU75" s="242"/>
      <c r="CV75" s="242"/>
      <c r="CW75" s="242"/>
      <c r="CX75" s="242"/>
      <c r="CY75" s="242"/>
      <c r="CZ75" s="242"/>
      <c r="DA75" s="242"/>
      <c r="DB75" s="242"/>
      <c r="DC75" s="242"/>
      <c r="DD75" s="242"/>
      <c r="DE75" s="242"/>
      <c r="DF75" s="242"/>
      <c r="DG75" s="242"/>
      <c r="DH75" s="242"/>
      <c r="DI75" s="242"/>
      <c r="DJ75" s="242"/>
      <c r="DK75" s="242"/>
      <c r="DL75" s="242"/>
      <c r="DM75" s="242"/>
      <c r="DN75" s="242"/>
      <c r="DO75" s="242"/>
      <c r="DP75" s="242"/>
      <c r="DQ75" s="242"/>
      <c r="DR75" s="242"/>
      <c r="DS75" s="242"/>
      <c r="DT75" s="242"/>
      <c r="DU75" s="242"/>
      <c r="DV75" s="242"/>
      <c r="DW75" s="242"/>
      <c r="DX75" s="242"/>
      <c r="DY75" s="242"/>
      <c r="DZ75" s="242"/>
      <c r="EA75" s="242"/>
      <c r="EB75" s="242"/>
      <c r="EC75" s="242"/>
      <c r="ED75" s="242"/>
      <c r="EE75" s="242"/>
      <c r="EF75" s="242"/>
      <c r="EG75" s="242"/>
      <c r="EH75" s="242"/>
      <c r="EI75" s="242"/>
      <c r="EJ75" s="242"/>
      <c r="EK75" s="242"/>
      <c r="EL75" s="242"/>
      <c r="EM75" s="242"/>
      <c r="EN75" s="242"/>
      <c r="EO75" s="242"/>
      <c r="EP75" s="242"/>
      <c r="EQ75" s="242"/>
      <c r="ER75" s="242"/>
      <c r="ES75" s="242"/>
      <c r="ET75" s="242"/>
      <c r="EU75" s="242"/>
      <c r="EV75" s="242"/>
      <c r="EW75" s="242"/>
      <c r="EX75" s="242"/>
      <c r="EY75" s="242"/>
      <c r="EZ75" s="242"/>
      <c r="FA75" s="242"/>
      <c r="FB75" s="242"/>
      <c r="FC75" s="242"/>
      <c r="FD75" s="242"/>
      <c r="FE75" s="242"/>
      <c r="FF75" s="242"/>
      <c r="FG75" s="242"/>
      <c r="FH75" s="242"/>
      <c r="FI75" s="242"/>
      <c r="FJ75" s="242"/>
      <c r="FK75" s="242"/>
      <c r="FL75" s="242"/>
      <c r="FM75" s="242"/>
      <c r="FN75" s="242"/>
      <c r="FO75" s="242"/>
      <c r="FP75" s="242"/>
      <c r="FQ75" s="242"/>
      <c r="FR75" s="242"/>
      <c r="FS75" s="242"/>
      <c r="FT75" s="242"/>
      <c r="FU75" s="242"/>
      <c r="FV75" s="242"/>
      <c r="FW75" s="242"/>
      <c r="FX75" s="242"/>
      <c r="FY75" s="242"/>
      <c r="FZ75" s="242"/>
      <c r="GA75" s="242"/>
      <c r="GB75" s="242"/>
      <c r="GC75" s="242"/>
      <c r="GD75" s="242"/>
      <c r="GE75" s="242"/>
      <c r="GF75" s="242"/>
      <c r="GG75" s="242"/>
      <c r="GH75" s="242"/>
      <c r="GI75" s="242"/>
      <c r="GJ75" s="242"/>
      <c r="GK75" s="242"/>
      <c r="GL75" s="242"/>
      <c r="GM75" s="242"/>
      <c r="GN75" s="242"/>
      <c r="GO75" s="242"/>
      <c r="GP75" s="242"/>
      <c r="GQ75" s="242"/>
      <c r="GR75" s="242"/>
      <c r="GS75" s="242"/>
      <c r="GT75" s="242"/>
      <c r="GU75" s="242"/>
      <c r="GV75" s="242"/>
      <c r="GW75" s="242"/>
      <c r="GX75" s="242"/>
      <c r="GY75" s="242"/>
      <c r="GZ75" s="242"/>
      <c r="HA75" s="242"/>
      <c r="HB75" s="242"/>
      <c r="HC75" s="242"/>
      <c r="HD75" s="242"/>
      <c r="HE75" s="242"/>
      <c r="HF75" s="242"/>
      <c r="HG75" s="242"/>
      <c r="HH75" s="242"/>
      <c r="HI75" s="242"/>
      <c r="HJ75" s="242"/>
      <c r="HK75" s="242"/>
      <c r="HL75" s="242"/>
      <c r="HM75" s="242"/>
      <c r="HN75" s="242"/>
      <c r="HO75" s="242"/>
      <c r="HP75" s="242"/>
      <c r="HQ75" s="242"/>
      <c r="HR75" s="242"/>
      <c r="HS75" s="242"/>
      <c r="HT75" s="242"/>
      <c r="HU75" s="242"/>
      <c r="HV75" s="242"/>
      <c r="HW75" s="242"/>
      <c r="HX75" s="242"/>
      <c r="HY75" s="242"/>
      <c r="HZ75" s="242"/>
      <c r="IA75" s="242"/>
      <c r="IB75" s="242"/>
      <c r="IC75" s="242"/>
      <c r="ID75" s="242"/>
      <c r="IE75" s="242"/>
      <c r="IF75" s="242"/>
      <c r="IG75" s="242"/>
      <c r="IH75" s="242"/>
      <c r="II75" s="242"/>
      <c r="IJ75" s="242"/>
      <c r="IK75" s="242"/>
      <c r="IL75" s="242"/>
      <c r="IM75" s="242"/>
      <c r="IN75" s="242"/>
      <c r="IO75" s="242"/>
      <c r="IP75" s="242"/>
      <c r="IQ75" s="242"/>
      <c r="IR75" s="242"/>
      <c r="IS75" s="242"/>
      <c r="IT75" s="242"/>
      <c r="IU75" s="242"/>
      <c r="IV75" s="242"/>
      <c r="IW75" s="242"/>
    </row>
    <row r="76" customFormat="false" ht="12.6" hidden="false" customHeight="true" outlineLevel="0" collapsed="false">
      <c r="A76" s="248"/>
      <c r="B76" s="248"/>
      <c r="C76" s="248"/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2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BD76" s="242"/>
      <c r="BE76" s="242"/>
      <c r="BF76" s="184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2"/>
      <c r="CC76" s="242"/>
      <c r="CD76" s="242"/>
      <c r="CE76" s="242"/>
      <c r="CF76" s="242"/>
      <c r="CG76" s="242"/>
      <c r="CH76" s="242"/>
      <c r="CI76" s="242"/>
      <c r="CJ76" s="242"/>
      <c r="CK76" s="242"/>
      <c r="CL76" s="242"/>
      <c r="CM76" s="242"/>
      <c r="CN76" s="242"/>
      <c r="CO76" s="242"/>
      <c r="CP76" s="242"/>
      <c r="CQ76" s="242"/>
      <c r="CR76" s="242"/>
      <c r="CS76" s="242"/>
      <c r="CT76" s="242"/>
      <c r="CU76" s="242"/>
      <c r="CV76" s="242"/>
      <c r="CW76" s="242"/>
      <c r="CX76" s="242"/>
      <c r="CY76" s="242"/>
      <c r="CZ76" s="242"/>
      <c r="DA76" s="242"/>
      <c r="DB76" s="242"/>
      <c r="DC76" s="242"/>
      <c r="DD76" s="242"/>
      <c r="DE76" s="242"/>
      <c r="DF76" s="242"/>
      <c r="DG76" s="242"/>
      <c r="DH76" s="242"/>
      <c r="DI76" s="242"/>
      <c r="DJ76" s="242"/>
      <c r="DK76" s="242"/>
      <c r="DL76" s="242"/>
      <c r="DM76" s="242"/>
      <c r="DN76" s="242"/>
      <c r="DO76" s="242"/>
      <c r="DP76" s="242"/>
      <c r="DQ76" s="242"/>
      <c r="DR76" s="242"/>
      <c r="DS76" s="242"/>
      <c r="DT76" s="242"/>
      <c r="DU76" s="242"/>
      <c r="DV76" s="242"/>
      <c r="DW76" s="242"/>
      <c r="DX76" s="242"/>
      <c r="DY76" s="242"/>
      <c r="DZ76" s="242"/>
      <c r="EA76" s="242"/>
      <c r="EB76" s="242"/>
      <c r="EC76" s="242"/>
      <c r="ED76" s="242"/>
      <c r="EE76" s="242"/>
      <c r="EF76" s="242"/>
      <c r="EG76" s="242"/>
      <c r="EH76" s="242"/>
      <c r="EI76" s="242"/>
      <c r="EJ76" s="242"/>
      <c r="EK76" s="242"/>
      <c r="EL76" s="242"/>
      <c r="EM76" s="242"/>
      <c r="EN76" s="242"/>
      <c r="EO76" s="242"/>
      <c r="EP76" s="242"/>
      <c r="EQ76" s="242"/>
      <c r="ER76" s="242"/>
      <c r="ES76" s="242"/>
      <c r="ET76" s="242"/>
      <c r="EU76" s="242"/>
      <c r="EV76" s="242"/>
      <c r="EW76" s="242"/>
      <c r="EX76" s="242"/>
      <c r="EY76" s="242"/>
      <c r="EZ76" s="242"/>
      <c r="FA76" s="242"/>
      <c r="FB76" s="242"/>
      <c r="FC76" s="242"/>
      <c r="FD76" s="242"/>
      <c r="FE76" s="242"/>
      <c r="FF76" s="242"/>
      <c r="FG76" s="242"/>
      <c r="FH76" s="242"/>
      <c r="FI76" s="242"/>
      <c r="FJ76" s="242"/>
      <c r="FK76" s="242"/>
      <c r="FL76" s="242"/>
      <c r="FM76" s="242"/>
      <c r="FN76" s="242"/>
      <c r="FO76" s="242"/>
      <c r="FP76" s="242"/>
      <c r="FQ76" s="242"/>
      <c r="FR76" s="242"/>
      <c r="FS76" s="242"/>
      <c r="FT76" s="242"/>
      <c r="FU76" s="242"/>
      <c r="FV76" s="242"/>
      <c r="FW76" s="242"/>
      <c r="FX76" s="242"/>
      <c r="FY76" s="242"/>
      <c r="FZ76" s="242"/>
      <c r="GA76" s="242"/>
      <c r="GB76" s="242"/>
      <c r="GC76" s="242"/>
      <c r="GD76" s="242"/>
      <c r="GE76" s="242"/>
      <c r="GF76" s="242"/>
      <c r="GG76" s="242"/>
      <c r="GH76" s="242"/>
      <c r="GI76" s="242"/>
      <c r="GJ76" s="242"/>
      <c r="GK76" s="242"/>
      <c r="GL76" s="242"/>
      <c r="GM76" s="242"/>
      <c r="GN76" s="242"/>
      <c r="GO76" s="242"/>
      <c r="GP76" s="242"/>
      <c r="GQ76" s="242"/>
      <c r="GR76" s="242"/>
      <c r="GS76" s="242"/>
      <c r="GT76" s="242"/>
      <c r="GU76" s="242"/>
      <c r="GV76" s="242"/>
      <c r="GW76" s="242"/>
      <c r="GX76" s="242"/>
      <c r="GY76" s="242"/>
      <c r="GZ76" s="242"/>
      <c r="HA76" s="242"/>
      <c r="HB76" s="242"/>
      <c r="HC76" s="242"/>
      <c r="HD76" s="242"/>
      <c r="HE76" s="242"/>
      <c r="HF76" s="242"/>
      <c r="HG76" s="242"/>
      <c r="HH76" s="242"/>
      <c r="HI76" s="242"/>
      <c r="HJ76" s="242"/>
      <c r="HK76" s="242"/>
      <c r="HL76" s="242"/>
      <c r="HM76" s="242"/>
      <c r="HN76" s="242"/>
      <c r="HO76" s="242"/>
      <c r="HP76" s="242"/>
      <c r="HQ76" s="242"/>
      <c r="HR76" s="242"/>
      <c r="HS76" s="242"/>
      <c r="HT76" s="242"/>
      <c r="HU76" s="242"/>
      <c r="HV76" s="242"/>
      <c r="HW76" s="242"/>
      <c r="HX76" s="242"/>
      <c r="HY76" s="242"/>
      <c r="HZ76" s="242"/>
      <c r="IA76" s="242"/>
      <c r="IB76" s="242"/>
      <c r="IC76" s="242"/>
      <c r="ID76" s="242"/>
      <c r="IE76" s="242"/>
      <c r="IF76" s="242"/>
      <c r="IG76" s="242"/>
      <c r="IH76" s="242"/>
      <c r="II76" s="242"/>
      <c r="IJ76" s="242"/>
      <c r="IK76" s="242"/>
      <c r="IL76" s="242"/>
      <c r="IM76" s="242"/>
      <c r="IN76" s="242"/>
      <c r="IO76" s="242"/>
      <c r="IP76" s="242"/>
      <c r="IQ76" s="242"/>
      <c r="IR76" s="242"/>
      <c r="IS76" s="242"/>
      <c r="IT76" s="242"/>
      <c r="IU76" s="242"/>
      <c r="IV76" s="242"/>
      <c r="IW76" s="184"/>
    </row>
    <row r="77" customFormat="false" ht="12.6" hidden="false" customHeight="true" outlineLevel="0" collapsed="false">
      <c r="A77" s="248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168"/>
      <c r="AB77" s="168"/>
      <c r="AC77" s="248"/>
      <c r="AD77" s="242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BD77" s="242"/>
      <c r="BE77" s="242"/>
      <c r="BF77" s="184"/>
      <c r="BG77" s="242"/>
      <c r="BH77" s="242"/>
      <c r="BI77" s="242"/>
      <c r="BJ77" s="242"/>
      <c r="BK77" s="242"/>
      <c r="BL77" s="242"/>
      <c r="BM77" s="242"/>
      <c r="BN77" s="242"/>
      <c r="BO77" s="242"/>
      <c r="BP77" s="242"/>
      <c r="BQ77" s="242"/>
      <c r="BR77" s="242"/>
      <c r="BS77" s="242"/>
      <c r="BT77" s="242"/>
      <c r="BU77" s="242"/>
      <c r="BV77" s="242"/>
      <c r="BW77" s="242"/>
      <c r="BX77" s="242"/>
      <c r="BY77" s="242"/>
      <c r="BZ77" s="242"/>
      <c r="CA77" s="242"/>
      <c r="CB77" s="242"/>
      <c r="CC77" s="242"/>
      <c r="CD77" s="242"/>
      <c r="CE77" s="242"/>
      <c r="CF77" s="242"/>
      <c r="CG77" s="242"/>
      <c r="CH77" s="242"/>
      <c r="CI77" s="242"/>
      <c r="CJ77" s="242"/>
      <c r="CK77" s="242"/>
      <c r="CL77" s="242"/>
      <c r="CM77" s="242"/>
      <c r="CN77" s="242"/>
      <c r="CO77" s="242"/>
      <c r="CP77" s="242"/>
      <c r="CQ77" s="242"/>
      <c r="CR77" s="242"/>
      <c r="CS77" s="242"/>
      <c r="CT77" s="242"/>
      <c r="CU77" s="242"/>
      <c r="CV77" s="242"/>
      <c r="CW77" s="242"/>
      <c r="CX77" s="242"/>
      <c r="CY77" s="242"/>
      <c r="CZ77" s="242"/>
      <c r="DA77" s="242"/>
      <c r="DB77" s="242"/>
      <c r="DC77" s="242"/>
      <c r="DD77" s="242"/>
      <c r="DE77" s="242"/>
      <c r="DF77" s="242"/>
      <c r="DG77" s="242"/>
      <c r="DH77" s="242"/>
      <c r="DI77" s="242"/>
      <c r="DJ77" s="242"/>
      <c r="DK77" s="242"/>
      <c r="DL77" s="242"/>
      <c r="DM77" s="242"/>
      <c r="DN77" s="242"/>
      <c r="DO77" s="242"/>
      <c r="DP77" s="242"/>
      <c r="DQ77" s="242"/>
      <c r="DR77" s="242"/>
      <c r="DS77" s="242"/>
      <c r="DT77" s="242"/>
      <c r="DU77" s="242"/>
      <c r="DV77" s="242"/>
      <c r="DW77" s="242"/>
      <c r="DX77" s="242"/>
      <c r="DY77" s="242"/>
      <c r="DZ77" s="242"/>
      <c r="EA77" s="242"/>
      <c r="EB77" s="242"/>
      <c r="EC77" s="242"/>
      <c r="ED77" s="242"/>
      <c r="EE77" s="242"/>
      <c r="EF77" s="242"/>
      <c r="EG77" s="242"/>
      <c r="EH77" s="242"/>
      <c r="EI77" s="242"/>
      <c r="EJ77" s="242"/>
      <c r="EK77" s="242"/>
      <c r="EL77" s="242"/>
      <c r="EM77" s="242"/>
      <c r="EN77" s="242"/>
      <c r="EO77" s="242"/>
      <c r="EP77" s="242"/>
      <c r="EQ77" s="242"/>
      <c r="ER77" s="242"/>
      <c r="ES77" s="242"/>
      <c r="ET77" s="242"/>
      <c r="EU77" s="242"/>
      <c r="EV77" s="242"/>
      <c r="EW77" s="242"/>
      <c r="EX77" s="242"/>
      <c r="EY77" s="242"/>
      <c r="EZ77" s="242"/>
      <c r="FA77" s="242"/>
      <c r="FB77" s="242"/>
      <c r="FC77" s="242"/>
      <c r="FD77" s="242"/>
      <c r="FE77" s="242"/>
      <c r="FF77" s="242"/>
      <c r="FG77" s="242"/>
      <c r="FH77" s="242"/>
      <c r="FI77" s="242"/>
      <c r="FJ77" s="242"/>
      <c r="FK77" s="242"/>
      <c r="FL77" s="242"/>
      <c r="FM77" s="242"/>
      <c r="FN77" s="242"/>
      <c r="FO77" s="242"/>
      <c r="FP77" s="242"/>
      <c r="FQ77" s="242"/>
      <c r="FR77" s="242"/>
      <c r="FS77" s="242"/>
      <c r="FT77" s="242"/>
      <c r="FU77" s="242"/>
      <c r="FV77" s="242"/>
      <c r="FW77" s="242"/>
      <c r="FX77" s="242"/>
      <c r="FY77" s="242"/>
      <c r="FZ77" s="242"/>
      <c r="GA77" s="242"/>
      <c r="GB77" s="242"/>
      <c r="GC77" s="242"/>
      <c r="GD77" s="242"/>
      <c r="GE77" s="242"/>
      <c r="GF77" s="242"/>
      <c r="GG77" s="242"/>
      <c r="GH77" s="242"/>
      <c r="GI77" s="242"/>
      <c r="GJ77" s="242"/>
      <c r="GK77" s="242"/>
      <c r="GL77" s="242"/>
      <c r="GM77" s="242"/>
      <c r="GN77" s="242"/>
      <c r="GO77" s="242"/>
      <c r="GP77" s="242"/>
      <c r="GQ77" s="242"/>
      <c r="GR77" s="242"/>
      <c r="GS77" s="242"/>
      <c r="GT77" s="242"/>
      <c r="GU77" s="242"/>
      <c r="GV77" s="242"/>
      <c r="GW77" s="242"/>
      <c r="GX77" s="242"/>
      <c r="GY77" s="242"/>
      <c r="GZ77" s="242"/>
      <c r="HA77" s="242"/>
      <c r="HB77" s="242"/>
      <c r="HC77" s="242"/>
      <c r="HD77" s="242"/>
      <c r="HE77" s="242"/>
      <c r="HF77" s="242"/>
      <c r="HG77" s="242"/>
      <c r="HH77" s="242"/>
      <c r="HI77" s="242"/>
      <c r="HJ77" s="242"/>
      <c r="HK77" s="242"/>
      <c r="HL77" s="242"/>
      <c r="HM77" s="242"/>
      <c r="HN77" s="242"/>
      <c r="HO77" s="242"/>
      <c r="HP77" s="242"/>
      <c r="HQ77" s="242"/>
      <c r="HR77" s="242"/>
      <c r="HS77" s="242"/>
      <c r="HT77" s="242"/>
      <c r="HU77" s="242"/>
      <c r="HV77" s="242"/>
      <c r="HW77" s="242"/>
      <c r="HX77" s="242"/>
      <c r="HY77" s="242"/>
      <c r="HZ77" s="242"/>
      <c r="IA77" s="242"/>
      <c r="IB77" s="242"/>
      <c r="IC77" s="242"/>
      <c r="ID77" s="242"/>
      <c r="IE77" s="242"/>
      <c r="IF77" s="242"/>
      <c r="IG77" s="242"/>
      <c r="IH77" s="242"/>
      <c r="II77" s="242"/>
      <c r="IJ77" s="242"/>
      <c r="IK77" s="242"/>
      <c r="IL77" s="242"/>
      <c r="IM77" s="242"/>
      <c r="IN77" s="242"/>
      <c r="IO77" s="242"/>
      <c r="IP77" s="242"/>
      <c r="IQ77" s="242"/>
      <c r="IR77" s="242"/>
      <c r="IS77" s="242"/>
      <c r="IT77" s="242"/>
      <c r="IU77" s="242"/>
      <c r="IV77" s="242"/>
      <c r="IW77" s="184"/>
    </row>
    <row r="78" customFormat="false" ht="12.6" hidden="false" customHeight="true" outlineLevel="0" collapsed="false">
      <c r="A78" s="248"/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184"/>
      <c r="AE78" s="260"/>
      <c r="AF78" s="260"/>
      <c r="AG78" s="260"/>
      <c r="AH78" s="260"/>
      <c r="AI78" s="260"/>
      <c r="AJ78" s="260"/>
      <c r="AK78" s="260"/>
      <c r="AL78" s="260"/>
      <c r="AM78" s="260"/>
      <c r="AN78" s="260"/>
      <c r="AO78" s="260"/>
      <c r="AP78" s="260"/>
      <c r="AQ78" s="260"/>
      <c r="AR78" s="260"/>
      <c r="AS78" s="260"/>
      <c r="AT78" s="260"/>
      <c r="BD78" s="184"/>
      <c r="BE78" s="184"/>
      <c r="BF78" s="184"/>
      <c r="BG78" s="184"/>
      <c r="BH78" s="184"/>
      <c r="BI78" s="184"/>
      <c r="BJ78" s="184"/>
      <c r="BK78" s="184"/>
      <c r="BL78" s="184"/>
      <c r="BM78" s="184"/>
      <c r="BN78" s="184"/>
      <c r="BO78" s="184"/>
      <c r="BP78" s="184"/>
      <c r="BQ78" s="184"/>
      <c r="BR78" s="184"/>
      <c r="BS78" s="184"/>
      <c r="BT78" s="184"/>
      <c r="BU78" s="184"/>
      <c r="BV78" s="184"/>
      <c r="BW78" s="184"/>
      <c r="BX78" s="184"/>
      <c r="BY78" s="184"/>
      <c r="BZ78" s="184"/>
      <c r="CA78" s="184"/>
      <c r="CB78" s="184"/>
      <c r="CC78" s="184"/>
      <c r="CD78" s="184"/>
      <c r="CE78" s="184"/>
      <c r="CF78" s="184"/>
      <c r="CG78" s="184"/>
      <c r="CH78" s="184"/>
      <c r="CI78" s="184"/>
      <c r="CJ78" s="184"/>
      <c r="CK78" s="184"/>
      <c r="CL78" s="184"/>
      <c r="CM78" s="184"/>
      <c r="CN78" s="184"/>
      <c r="CO78" s="184"/>
      <c r="CP78" s="184"/>
      <c r="CQ78" s="184"/>
      <c r="CR78" s="184"/>
      <c r="CS78" s="184"/>
      <c r="CT78" s="184"/>
      <c r="CU78" s="184"/>
      <c r="CV78" s="184"/>
      <c r="CW78" s="184"/>
      <c r="CX78" s="184"/>
      <c r="CY78" s="184"/>
      <c r="CZ78" s="184"/>
      <c r="DA78" s="184"/>
      <c r="DB78" s="184"/>
      <c r="DC78" s="184"/>
      <c r="DD78" s="184"/>
      <c r="DE78" s="184"/>
      <c r="DF78" s="184"/>
      <c r="DG78" s="184"/>
      <c r="DH78" s="184"/>
      <c r="DI78" s="184"/>
      <c r="DJ78" s="184"/>
      <c r="DK78" s="184"/>
      <c r="DL78" s="184"/>
      <c r="DM78" s="184"/>
      <c r="DN78" s="184"/>
      <c r="DO78" s="184"/>
      <c r="DP78" s="184"/>
      <c r="DQ78" s="184"/>
      <c r="DR78" s="184"/>
      <c r="DS78" s="184"/>
      <c r="DT78" s="184"/>
      <c r="DU78" s="184"/>
      <c r="DV78" s="184"/>
      <c r="DW78" s="184"/>
      <c r="DX78" s="184"/>
      <c r="DY78" s="184"/>
      <c r="DZ78" s="184"/>
      <c r="EA78" s="184"/>
      <c r="EB78" s="184"/>
      <c r="EC78" s="184"/>
      <c r="ED78" s="184"/>
      <c r="EE78" s="184"/>
      <c r="EF78" s="184"/>
      <c r="EG78" s="184"/>
      <c r="EH78" s="184"/>
      <c r="EI78" s="184"/>
      <c r="EJ78" s="184"/>
      <c r="EK78" s="184"/>
      <c r="EL78" s="184"/>
      <c r="EM78" s="184"/>
      <c r="EN78" s="184"/>
      <c r="EO78" s="184"/>
      <c r="EP78" s="184"/>
      <c r="EQ78" s="184"/>
      <c r="ER78" s="184"/>
      <c r="ES78" s="184"/>
      <c r="ET78" s="184"/>
      <c r="EU78" s="184"/>
      <c r="EV78" s="184"/>
      <c r="EW78" s="184"/>
      <c r="EX78" s="184"/>
      <c r="EY78" s="184"/>
      <c r="EZ78" s="184"/>
      <c r="FA78" s="184"/>
      <c r="FB78" s="184"/>
      <c r="FC78" s="184"/>
      <c r="FD78" s="184"/>
      <c r="FE78" s="184"/>
      <c r="FF78" s="184"/>
      <c r="FG78" s="184"/>
      <c r="FH78" s="184"/>
      <c r="FI78" s="184"/>
      <c r="FJ78" s="184"/>
      <c r="FK78" s="184"/>
      <c r="FL78" s="184"/>
      <c r="FM78" s="184"/>
      <c r="FN78" s="184"/>
      <c r="FO78" s="184"/>
      <c r="FP78" s="184"/>
      <c r="FQ78" s="184"/>
      <c r="FR78" s="184"/>
      <c r="FS78" s="184"/>
      <c r="FT78" s="184"/>
      <c r="FU78" s="184"/>
      <c r="FV78" s="184"/>
      <c r="FW78" s="184"/>
      <c r="FX78" s="184"/>
      <c r="FY78" s="184"/>
      <c r="FZ78" s="184"/>
      <c r="GA78" s="184"/>
      <c r="GB78" s="184"/>
      <c r="GC78" s="184"/>
      <c r="GD78" s="184"/>
      <c r="GE78" s="184"/>
      <c r="GF78" s="184"/>
      <c r="GG78" s="184"/>
      <c r="GH78" s="184"/>
      <c r="GI78" s="184"/>
      <c r="GJ78" s="184"/>
      <c r="GK78" s="184"/>
      <c r="GL78" s="184"/>
      <c r="GM78" s="184"/>
      <c r="GN78" s="184"/>
      <c r="GO78" s="184"/>
      <c r="GP78" s="184"/>
      <c r="GQ78" s="184"/>
      <c r="GR78" s="184"/>
      <c r="GS78" s="184"/>
      <c r="GT78" s="184"/>
      <c r="GU78" s="184"/>
      <c r="GV78" s="184"/>
      <c r="GW78" s="184"/>
      <c r="GX78" s="184"/>
      <c r="GY78" s="184"/>
      <c r="GZ78" s="184"/>
      <c r="HA78" s="184"/>
      <c r="HB78" s="184"/>
      <c r="HC78" s="184"/>
      <c r="HD78" s="184"/>
      <c r="HE78" s="184"/>
      <c r="HF78" s="184"/>
      <c r="HG78" s="184"/>
      <c r="HH78" s="184"/>
      <c r="HI78" s="184"/>
      <c r="HJ78" s="184"/>
      <c r="HK78" s="184"/>
      <c r="HL78" s="184"/>
      <c r="HM78" s="184"/>
      <c r="HN78" s="184"/>
      <c r="HO78" s="184"/>
      <c r="HP78" s="184"/>
      <c r="HQ78" s="184"/>
      <c r="HR78" s="184"/>
      <c r="HS78" s="184"/>
      <c r="HT78" s="184"/>
      <c r="HU78" s="184"/>
      <c r="HV78" s="184"/>
      <c r="HW78" s="184"/>
      <c r="HX78" s="184"/>
      <c r="HY78" s="184"/>
      <c r="HZ78" s="184"/>
      <c r="IA78" s="184"/>
      <c r="IB78" s="184"/>
      <c r="IC78" s="184"/>
      <c r="ID78" s="184"/>
      <c r="IE78" s="184"/>
      <c r="IF78" s="184"/>
      <c r="IG78" s="184"/>
      <c r="IH78" s="184"/>
      <c r="II78" s="184"/>
      <c r="IJ78" s="184"/>
      <c r="IK78" s="184"/>
      <c r="IL78" s="184"/>
      <c r="IM78" s="184"/>
      <c r="IN78" s="184"/>
      <c r="IO78" s="184"/>
      <c r="IP78" s="184"/>
      <c r="IQ78" s="184"/>
      <c r="IR78" s="184"/>
      <c r="IS78" s="184"/>
      <c r="IT78" s="184"/>
      <c r="IU78" s="184"/>
      <c r="IV78" s="184"/>
      <c r="IW78" s="242"/>
    </row>
    <row r="79" customFormat="false" ht="12.6" hidden="false" customHeight="true" outlineLevel="0" collapsed="false">
      <c r="A79" s="248"/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26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I79" s="184"/>
      <c r="EJ79" s="184"/>
      <c r="EK79" s="184"/>
      <c r="EL79" s="184"/>
      <c r="EM79" s="184"/>
      <c r="EN79" s="184"/>
      <c r="EO79" s="184"/>
      <c r="EP79" s="184"/>
      <c r="EQ79" s="184"/>
      <c r="ER79" s="184"/>
      <c r="ES79" s="184"/>
      <c r="ET79" s="184"/>
      <c r="EU79" s="184"/>
      <c r="EV79" s="184"/>
      <c r="EW79" s="184"/>
      <c r="EX79" s="184"/>
      <c r="EY79" s="184"/>
      <c r="EZ79" s="184"/>
      <c r="FA79" s="184"/>
      <c r="FB79" s="184"/>
      <c r="FC79" s="184"/>
      <c r="FD79" s="184"/>
      <c r="FE79" s="184"/>
      <c r="FF79" s="184"/>
      <c r="FG79" s="184"/>
      <c r="FH79" s="184"/>
      <c r="FI79" s="184"/>
      <c r="FJ79" s="184"/>
      <c r="FK79" s="184"/>
      <c r="FL79" s="184"/>
      <c r="FM79" s="184"/>
      <c r="FN79" s="184"/>
      <c r="FO79" s="184"/>
      <c r="FP79" s="184"/>
      <c r="FQ79" s="184"/>
      <c r="FR79" s="184"/>
      <c r="FS79" s="184"/>
      <c r="FT79" s="184"/>
      <c r="FU79" s="184"/>
      <c r="FV79" s="184"/>
      <c r="FW79" s="184"/>
      <c r="FX79" s="184"/>
      <c r="FY79" s="184"/>
      <c r="FZ79" s="184"/>
      <c r="GA79" s="184"/>
      <c r="GB79" s="184"/>
      <c r="GC79" s="184"/>
      <c r="GD79" s="184"/>
      <c r="GE79" s="184"/>
      <c r="GF79" s="184"/>
      <c r="GG79" s="184"/>
      <c r="GH79" s="184"/>
      <c r="GI79" s="184"/>
      <c r="GJ79" s="184"/>
      <c r="GK79" s="184"/>
      <c r="GL79" s="184"/>
      <c r="GM79" s="184"/>
      <c r="GN79" s="184"/>
      <c r="GO79" s="184"/>
      <c r="GP79" s="184"/>
      <c r="GQ79" s="184"/>
      <c r="GR79" s="184"/>
      <c r="GS79" s="184"/>
      <c r="GT79" s="184"/>
      <c r="GU79" s="184"/>
      <c r="GV79" s="184"/>
      <c r="GW79" s="184"/>
      <c r="GX79" s="184"/>
      <c r="GY79" s="184"/>
      <c r="GZ79" s="184"/>
      <c r="HA79" s="184"/>
      <c r="HB79" s="184"/>
      <c r="HC79" s="184"/>
      <c r="HD79" s="184"/>
      <c r="HE79" s="184"/>
      <c r="HF79" s="184"/>
      <c r="HG79" s="184"/>
      <c r="HH79" s="184"/>
      <c r="HI79" s="184"/>
      <c r="HJ79" s="184"/>
      <c r="HK79" s="184"/>
      <c r="HL79" s="184"/>
      <c r="HM79" s="184"/>
      <c r="HN79" s="184"/>
      <c r="HO79" s="184"/>
      <c r="HP79" s="184"/>
      <c r="HQ79" s="184"/>
      <c r="HR79" s="184"/>
      <c r="HS79" s="184"/>
      <c r="HT79" s="184"/>
      <c r="HU79" s="184"/>
      <c r="HV79" s="184"/>
      <c r="HW79" s="184"/>
      <c r="HX79" s="184"/>
      <c r="HY79" s="184"/>
      <c r="HZ79" s="184"/>
      <c r="IA79" s="184"/>
      <c r="IB79" s="184"/>
      <c r="IC79" s="184"/>
      <c r="ID79" s="184"/>
      <c r="IE79" s="184"/>
      <c r="IF79" s="184"/>
      <c r="IG79" s="184"/>
      <c r="IH79" s="184"/>
      <c r="II79" s="184"/>
      <c r="IJ79" s="184"/>
      <c r="IK79" s="184"/>
      <c r="IL79" s="184"/>
      <c r="IM79" s="184"/>
      <c r="IN79" s="184"/>
      <c r="IO79" s="184"/>
      <c r="IP79" s="184"/>
      <c r="IQ79" s="184"/>
      <c r="IR79" s="184"/>
      <c r="IS79" s="184"/>
      <c r="IT79" s="184"/>
      <c r="IU79" s="184"/>
      <c r="IV79" s="184"/>
      <c r="IW79" s="242"/>
    </row>
    <row r="80" customFormat="false" ht="12.6" hidden="false" customHeight="true" outlineLevel="0" collapsed="false">
      <c r="A80" s="248"/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168"/>
      <c r="AA80" s="248"/>
      <c r="AB80" s="248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BD80" s="184"/>
      <c r="BE80" s="184"/>
      <c r="BF80" s="184"/>
      <c r="BG80" s="184"/>
      <c r="BH80" s="184"/>
      <c r="BI80" s="184"/>
      <c r="BJ80" s="184"/>
      <c r="BK80" s="184"/>
      <c r="BL80" s="184"/>
      <c r="BM80" s="184"/>
      <c r="BN80" s="184"/>
      <c r="BO80" s="184"/>
      <c r="BP80" s="184"/>
      <c r="BQ80" s="184"/>
      <c r="BR80" s="184"/>
      <c r="BS80" s="184"/>
      <c r="BT80" s="184"/>
      <c r="BU80" s="184"/>
      <c r="BV80" s="184"/>
      <c r="BW80" s="184"/>
      <c r="BX80" s="184"/>
      <c r="BY80" s="184"/>
      <c r="BZ80" s="184"/>
      <c r="CA80" s="184"/>
      <c r="CB80" s="184"/>
      <c r="CC80" s="184"/>
      <c r="CD80" s="184"/>
      <c r="CE80" s="184"/>
      <c r="CF80" s="184"/>
      <c r="CG80" s="184"/>
      <c r="CH80" s="184"/>
      <c r="CI80" s="184"/>
      <c r="CJ80" s="184"/>
      <c r="CK80" s="184"/>
      <c r="CL80" s="184"/>
      <c r="CM80" s="184"/>
      <c r="CN80" s="184"/>
      <c r="CO80" s="184"/>
      <c r="CP80" s="184"/>
      <c r="CQ80" s="184"/>
      <c r="CR80" s="184"/>
      <c r="CS80" s="184"/>
      <c r="CT80" s="184"/>
      <c r="CU80" s="184"/>
      <c r="CV80" s="184"/>
      <c r="CW80" s="184"/>
      <c r="CX80" s="184"/>
      <c r="CY80" s="184"/>
      <c r="CZ80" s="184"/>
      <c r="DA80" s="184"/>
      <c r="DB80" s="184"/>
      <c r="DC80" s="184"/>
      <c r="DD80" s="184"/>
      <c r="DE80" s="184"/>
      <c r="DF80" s="184"/>
      <c r="DG80" s="184"/>
      <c r="DH80" s="184"/>
      <c r="DI80" s="184"/>
      <c r="DJ80" s="184"/>
      <c r="DK80" s="184"/>
      <c r="DL80" s="184"/>
      <c r="DM80" s="184"/>
      <c r="DN80" s="184"/>
      <c r="DO80" s="184"/>
      <c r="DP80" s="184"/>
      <c r="DQ80" s="184"/>
      <c r="DR80" s="184"/>
      <c r="DS80" s="184"/>
      <c r="DT80" s="184"/>
      <c r="DU80" s="184"/>
      <c r="DV80" s="184"/>
      <c r="DW80" s="184"/>
      <c r="DX80" s="184"/>
      <c r="DY80" s="184"/>
      <c r="DZ80" s="184"/>
      <c r="EA80" s="184"/>
      <c r="EB80" s="184"/>
      <c r="EC80" s="184"/>
      <c r="ED80" s="184"/>
      <c r="EE80" s="184"/>
      <c r="EF80" s="184"/>
      <c r="EG80" s="184"/>
      <c r="EH80" s="184"/>
      <c r="EI80" s="184"/>
      <c r="EJ80" s="184"/>
      <c r="EK80" s="184"/>
      <c r="EL80" s="184"/>
      <c r="EM80" s="184"/>
      <c r="EN80" s="184"/>
      <c r="EO80" s="184"/>
      <c r="EP80" s="184"/>
      <c r="EQ80" s="184"/>
      <c r="ER80" s="184"/>
      <c r="ES80" s="184"/>
      <c r="ET80" s="184"/>
      <c r="EU80" s="184"/>
      <c r="EV80" s="184"/>
      <c r="EW80" s="184"/>
      <c r="EX80" s="184"/>
      <c r="EY80" s="184"/>
      <c r="EZ80" s="184"/>
      <c r="FA80" s="184"/>
      <c r="FB80" s="184"/>
      <c r="FC80" s="184"/>
      <c r="FD80" s="184"/>
      <c r="FE80" s="184"/>
      <c r="FF80" s="184"/>
      <c r="FG80" s="184"/>
      <c r="FH80" s="184"/>
      <c r="FI80" s="184"/>
      <c r="FJ80" s="184"/>
      <c r="FK80" s="184"/>
      <c r="FL80" s="184"/>
      <c r="FM80" s="184"/>
      <c r="FN80" s="184"/>
      <c r="FO80" s="184"/>
      <c r="FP80" s="184"/>
      <c r="FQ80" s="184"/>
      <c r="FR80" s="184"/>
      <c r="FS80" s="184"/>
      <c r="FT80" s="184"/>
      <c r="FU80" s="184"/>
      <c r="FV80" s="184"/>
      <c r="FW80" s="184"/>
      <c r="FX80" s="184"/>
      <c r="FY80" s="184"/>
      <c r="FZ80" s="184"/>
      <c r="GA80" s="184"/>
      <c r="GB80" s="184"/>
      <c r="GC80" s="184"/>
      <c r="GD80" s="184"/>
      <c r="GE80" s="184"/>
      <c r="GF80" s="184"/>
      <c r="GG80" s="184"/>
      <c r="GH80" s="184"/>
      <c r="GI80" s="184"/>
      <c r="GJ80" s="184"/>
      <c r="GK80" s="184"/>
      <c r="GL80" s="184"/>
      <c r="GM80" s="184"/>
      <c r="GN80" s="184"/>
      <c r="GO80" s="184"/>
      <c r="GP80" s="184"/>
      <c r="GQ80" s="184"/>
      <c r="GR80" s="184"/>
      <c r="GS80" s="184"/>
      <c r="GT80" s="184"/>
      <c r="GU80" s="184"/>
      <c r="GV80" s="184"/>
      <c r="GW80" s="184"/>
      <c r="GX80" s="184"/>
      <c r="GY80" s="184"/>
      <c r="GZ80" s="184"/>
      <c r="HA80" s="184"/>
      <c r="HB80" s="184"/>
      <c r="HC80" s="184"/>
      <c r="HD80" s="184"/>
      <c r="HE80" s="184"/>
      <c r="HF80" s="184"/>
      <c r="HG80" s="184"/>
      <c r="HH80" s="184"/>
      <c r="HI80" s="184"/>
      <c r="HJ80" s="184"/>
      <c r="HK80" s="184"/>
      <c r="HL80" s="184"/>
      <c r="HM80" s="184"/>
      <c r="HN80" s="184"/>
      <c r="HO80" s="184"/>
      <c r="HP80" s="184"/>
      <c r="HQ80" s="184"/>
      <c r="HR80" s="184"/>
      <c r="HS80" s="184"/>
      <c r="HT80" s="184"/>
      <c r="HU80" s="184"/>
      <c r="HV80" s="184"/>
      <c r="HW80" s="184"/>
      <c r="HX80" s="184"/>
      <c r="HY80" s="184"/>
      <c r="HZ80" s="184"/>
      <c r="IA80" s="184"/>
      <c r="IB80" s="184"/>
      <c r="IC80" s="184"/>
      <c r="ID80" s="184"/>
      <c r="IE80" s="184"/>
      <c r="IF80" s="184"/>
      <c r="IG80" s="184"/>
      <c r="IH80" s="184"/>
      <c r="II80" s="184"/>
      <c r="IJ80" s="184"/>
      <c r="IK80" s="184"/>
      <c r="IL80" s="184"/>
      <c r="IM80" s="184"/>
      <c r="IN80" s="184"/>
      <c r="IO80" s="184"/>
      <c r="IP80" s="184"/>
      <c r="IQ80" s="184"/>
      <c r="IR80" s="184"/>
      <c r="IS80" s="184"/>
      <c r="IT80" s="184"/>
      <c r="IU80" s="184"/>
      <c r="IV80" s="184"/>
      <c r="IW80" s="242"/>
    </row>
    <row r="81" customFormat="false" ht="12.6" hidden="false" customHeight="true" outlineLevel="0" collapsed="false">
      <c r="A81" s="248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184"/>
      <c r="AD81" s="184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BD81" s="184"/>
      <c r="BE81" s="184"/>
      <c r="BF81" s="184"/>
      <c r="BG81" s="184"/>
      <c r="BH81" s="184"/>
      <c r="BI81" s="184"/>
      <c r="BJ81" s="184"/>
      <c r="BK81" s="184"/>
      <c r="BL81" s="184"/>
      <c r="BM81" s="184"/>
      <c r="BN81" s="184"/>
      <c r="BO81" s="184"/>
      <c r="BP81" s="184"/>
      <c r="BQ81" s="184"/>
      <c r="BR81" s="184"/>
      <c r="BS81" s="184"/>
      <c r="BT81" s="184"/>
      <c r="BU81" s="184"/>
      <c r="BV81" s="184"/>
      <c r="BW81" s="184"/>
      <c r="BX81" s="184"/>
      <c r="BY81" s="184"/>
      <c r="BZ81" s="184"/>
      <c r="CA81" s="184"/>
      <c r="CB81" s="184"/>
      <c r="CC81" s="184"/>
      <c r="CD81" s="184"/>
      <c r="CE81" s="184"/>
      <c r="CF81" s="184"/>
      <c r="CG81" s="184"/>
      <c r="CH81" s="184"/>
      <c r="CI81" s="184"/>
      <c r="CJ81" s="184"/>
      <c r="CK81" s="184"/>
      <c r="CL81" s="184"/>
      <c r="CM81" s="184"/>
      <c r="CN81" s="184"/>
      <c r="CO81" s="184"/>
      <c r="CP81" s="184"/>
      <c r="CQ81" s="184"/>
      <c r="CR81" s="184"/>
      <c r="CS81" s="184"/>
      <c r="CT81" s="184"/>
      <c r="CU81" s="184"/>
      <c r="CV81" s="184"/>
      <c r="CW81" s="184"/>
      <c r="CX81" s="184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4"/>
      <c r="DM81" s="184"/>
      <c r="DN81" s="184"/>
      <c r="DO81" s="184"/>
      <c r="DP81" s="184"/>
      <c r="DQ81" s="184"/>
      <c r="DR81" s="184"/>
      <c r="DS81" s="184"/>
      <c r="DT81" s="184"/>
      <c r="DU81" s="184"/>
      <c r="DV81" s="184"/>
      <c r="DW81" s="184"/>
      <c r="DX81" s="184"/>
      <c r="DY81" s="184"/>
      <c r="DZ81" s="184"/>
      <c r="EA81" s="184"/>
      <c r="EB81" s="184"/>
      <c r="EC81" s="184"/>
      <c r="ED81" s="184"/>
      <c r="EE81" s="184"/>
      <c r="EF81" s="184"/>
      <c r="EG81" s="184"/>
      <c r="EH81" s="184"/>
      <c r="EI81" s="184"/>
      <c r="EJ81" s="184"/>
      <c r="EK81" s="184"/>
      <c r="EL81" s="184"/>
      <c r="EM81" s="184"/>
      <c r="EN81" s="184"/>
      <c r="EO81" s="184"/>
      <c r="EP81" s="184"/>
      <c r="EQ81" s="184"/>
      <c r="ER81" s="184"/>
      <c r="ES81" s="184"/>
      <c r="ET81" s="184"/>
      <c r="EU81" s="184"/>
      <c r="EV81" s="184"/>
      <c r="EW81" s="184"/>
      <c r="EX81" s="184"/>
      <c r="EY81" s="184"/>
      <c r="EZ81" s="184"/>
      <c r="FA81" s="184"/>
      <c r="FB81" s="184"/>
      <c r="FC81" s="184"/>
      <c r="FD81" s="184"/>
      <c r="FE81" s="184"/>
      <c r="FF81" s="184"/>
      <c r="FG81" s="184"/>
      <c r="FH81" s="184"/>
      <c r="FI81" s="184"/>
      <c r="FJ81" s="184"/>
      <c r="FK81" s="184"/>
      <c r="FL81" s="184"/>
      <c r="FM81" s="184"/>
      <c r="FN81" s="184"/>
      <c r="FO81" s="184"/>
      <c r="FP81" s="184"/>
      <c r="FQ81" s="184"/>
      <c r="FR81" s="184"/>
      <c r="FS81" s="184"/>
      <c r="FT81" s="184"/>
      <c r="FU81" s="184"/>
      <c r="FV81" s="184"/>
      <c r="FW81" s="184"/>
      <c r="FX81" s="184"/>
      <c r="FY81" s="184"/>
      <c r="FZ81" s="184"/>
      <c r="GA81" s="184"/>
      <c r="GB81" s="184"/>
      <c r="GC81" s="184"/>
      <c r="GD81" s="184"/>
      <c r="GE81" s="184"/>
      <c r="GF81" s="184"/>
      <c r="GG81" s="184"/>
      <c r="GH81" s="184"/>
      <c r="GI81" s="184"/>
      <c r="GJ81" s="184"/>
      <c r="GK81" s="184"/>
      <c r="GL81" s="184"/>
      <c r="GM81" s="184"/>
      <c r="GN81" s="184"/>
      <c r="GO81" s="184"/>
      <c r="GP81" s="184"/>
      <c r="GQ81" s="184"/>
      <c r="GR81" s="184"/>
      <c r="GS81" s="184"/>
      <c r="GT81" s="184"/>
      <c r="GU81" s="184"/>
      <c r="GV81" s="184"/>
      <c r="GW81" s="184"/>
      <c r="GX81" s="184"/>
      <c r="GY81" s="184"/>
      <c r="GZ81" s="184"/>
      <c r="HA81" s="184"/>
      <c r="HB81" s="184"/>
      <c r="HC81" s="184"/>
      <c r="HD81" s="184"/>
      <c r="HE81" s="184"/>
      <c r="HF81" s="184"/>
      <c r="HG81" s="184"/>
      <c r="HH81" s="184"/>
      <c r="HI81" s="184"/>
      <c r="HJ81" s="184"/>
      <c r="HK81" s="184"/>
      <c r="HL81" s="184"/>
      <c r="HM81" s="184"/>
      <c r="HN81" s="184"/>
      <c r="HO81" s="184"/>
      <c r="HP81" s="184"/>
      <c r="HQ81" s="184"/>
      <c r="HR81" s="184"/>
      <c r="HS81" s="184"/>
      <c r="HT81" s="184"/>
      <c r="HU81" s="184"/>
      <c r="HV81" s="184"/>
      <c r="HW81" s="184"/>
      <c r="HX81" s="184"/>
      <c r="HY81" s="184"/>
      <c r="HZ81" s="184"/>
      <c r="IA81" s="184"/>
      <c r="IB81" s="184"/>
      <c r="IC81" s="184"/>
      <c r="ID81" s="184"/>
      <c r="IE81" s="184"/>
      <c r="IF81" s="184"/>
      <c r="IG81" s="184"/>
      <c r="IH81" s="184"/>
      <c r="II81" s="184"/>
      <c r="IJ81" s="184"/>
      <c r="IK81" s="184"/>
      <c r="IL81" s="184"/>
      <c r="IM81" s="184"/>
      <c r="IN81" s="184"/>
      <c r="IO81" s="184"/>
      <c r="IP81" s="184"/>
      <c r="IQ81" s="184"/>
      <c r="IR81" s="184"/>
      <c r="IS81" s="184"/>
      <c r="IT81" s="184"/>
      <c r="IU81" s="184"/>
      <c r="IV81" s="184"/>
      <c r="IW81" s="242"/>
    </row>
    <row r="82" customFormat="false" ht="12.6" hidden="false" customHeight="true" outlineLevel="0" collapsed="false">
      <c r="A82" s="248"/>
      <c r="B82" s="248"/>
      <c r="C82" s="248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22"/>
      <c r="AD82" s="242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BD82" s="242"/>
      <c r="BE82" s="242"/>
      <c r="BF82" s="184"/>
      <c r="BG82" s="242"/>
      <c r="BH82" s="242"/>
      <c r="BI82" s="242"/>
      <c r="BJ82" s="242"/>
      <c r="BK82" s="242"/>
      <c r="BL82" s="242"/>
      <c r="BM82" s="242"/>
      <c r="BN82" s="242"/>
      <c r="BO82" s="242"/>
      <c r="BP82" s="242"/>
      <c r="BQ82" s="242"/>
      <c r="BR82" s="242"/>
      <c r="BS82" s="242"/>
      <c r="BT82" s="242"/>
      <c r="BU82" s="242"/>
      <c r="BV82" s="242"/>
      <c r="BW82" s="242"/>
      <c r="BX82" s="242"/>
      <c r="BY82" s="242"/>
      <c r="BZ82" s="242"/>
      <c r="CA82" s="242"/>
      <c r="CB82" s="242"/>
      <c r="CC82" s="242"/>
      <c r="CD82" s="242"/>
      <c r="CE82" s="242"/>
      <c r="CF82" s="242"/>
      <c r="CG82" s="242"/>
      <c r="CH82" s="242"/>
      <c r="CI82" s="242"/>
      <c r="CJ82" s="242"/>
      <c r="CK82" s="242"/>
      <c r="CL82" s="242"/>
      <c r="CM82" s="242"/>
      <c r="CN82" s="242"/>
      <c r="CO82" s="242"/>
      <c r="CP82" s="242"/>
      <c r="CQ82" s="242"/>
      <c r="CR82" s="242"/>
      <c r="CS82" s="242"/>
      <c r="CT82" s="242"/>
      <c r="CU82" s="242"/>
      <c r="CV82" s="242"/>
      <c r="CW82" s="242"/>
      <c r="CX82" s="242"/>
      <c r="CY82" s="242"/>
      <c r="CZ82" s="242"/>
      <c r="DA82" s="242"/>
      <c r="DB82" s="242"/>
      <c r="DC82" s="242"/>
      <c r="DD82" s="242"/>
      <c r="DE82" s="242"/>
      <c r="DF82" s="242"/>
      <c r="DG82" s="242"/>
      <c r="DH82" s="242"/>
      <c r="DI82" s="242"/>
      <c r="DJ82" s="242"/>
      <c r="DK82" s="242"/>
      <c r="DL82" s="242"/>
      <c r="DM82" s="242"/>
      <c r="DN82" s="242"/>
      <c r="DO82" s="242"/>
      <c r="DP82" s="242"/>
      <c r="DQ82" s="242"/>
      <c r="DR82" s="242"/>
      <c r="DS82" s="242"/>
      <c r="DT82" s="242"/>
      <c r="DU82" s="242"/>
      <c r="DV82" s="242"/>
      <c r="DW82" s="242"/>
      <c r="DX82" s="242"/>
      <c r="DY82" s="242"/>
      <c r="DZ82" s="242"/>
      <c r="EA82" s="242"/>
      <c r="EB82" s="242"/>
      <c r="EC82" s="242"/>
      <c r="ED82" s="242"/>
      <c r="EE82" s="242"/>
      <c r="EF82" s="242"/>
      <c r="EG82" s="242"/>
      <c r="EH82" s="242"/>
      <c r="EI82" s="242"/>
      <c r="EJ82" s="242"/>
      <c r="EK82" s="242"/>
      <c r="EL82" s="242"/>
      <c r="EM82" s="242"/>
      <c r="EN82" s="242"/>
      <c r="EO82" s="242"/>
      <c r="EP82" s="242"/>
      <c r="EQ82" s="242"/>
      <c r="ER82" s="242"/>
      <c r="ES82" s="242"/>
      <c r="ET82" s="242"/>
      <c r="EU82" s="242"/>
      <c r="EV82" s="242"/>
      <c r="EW82" s="242"/>
      <c r="EX82" s="242"/>
      <c r="EY82" s="242"/>
      <c r="EZ82" s="242"/>
      <c r="FA82" s="242"/>
      <c r="FB82" s="242"/>
      <c r="FC82" s="242"/>
      <c r="FD82" s="242"/>
      <c r="FE82" s="242"/>
      <c r="FF82" s="242"/>
      <c r="FG82" s="242"/>
      <c r="FH82" s="242"/>
      <c r="FI82" s="242"/>
      <c r="FJ82" s="242"/>
      <c r="FK82" s="242"/>
      <c r="FL82" s="242"/>
      <c r="FM82" s="242"/>
      <c r="FN82" s="242"/>
      <c r="FO82" s="242"/>
      <c r="FP82" s="242"/>
      <c r="FQ82" s="242"/>
      <c r="FR82" s="242"/>
      <c r="FS82" s="242"/>
      <c r="FT82" s="242"/>
      <c r="FU82" s="242"/>
      <c r="FV82" s="242"/>
      <c r="FW82" s="242"/>
      <c r="FX82" s="242"/>
      <c r="FY82" s="242"/>
      <c r="FZ82" s="242"/>
      <c r="GA82" s="242"/>
      <c r="GB82" s="242"/>
      <c r="GC82" s="242"/>
      <c r="GD82" s="242"/>
      <c r="GE82" s="242"/>
      <c r="GF82" s="242"/>
      <c r="GG82" s="242"/>
      <c r="GH82" s="242"/>
      <c r="GI82" s="242"/>
      <c r="GJ82" s="242"/>
      <c r="GK82" s="242"/>
      <c r="GL82" s="242"/>
      <c r="GM82" s="242"/>
      <c r="GN82" s="242"/>
      <c r="GO82" s="242"/>
      <c r="GP82" s="242"/>
      <c r="GQ82" s="242"/>
      <c r="GR82" s="242"/>
      <c r="GS82" s="242"/>
      <c r="GT82" s="242"/>
      <c r="GU82" s="242"/>
      <c r="GV82" s="242"/>
      <c r="GW82" s="242"/>
      <c r="GX82" s="242"/>
      <c r="GY82" s="242"/>
      <c r="GZ82" s="242"/>
      <c r="HA82" s="242"/>
      <c r="HB82" s="242"/>
      <c r="HC82" s="242"/>
      <c r="HD82" s="242"/>
      <c r="HE82" s="242"/>
      <c r="HF82" s="242"/>
      <c r="HG82" s="242"/>
      <c r="HH82" s="242"/>
      <c r="HI82" s="242"/>
      <c r="HJ82" s="242"/>
      <c r="HK82" s="242"/>
      <c r="HL82" s="242"/>
      <c r="HM82" s="242"/>
      <c r="HN82" s="242"/>
      <c r="HO82" s="242"/>
      <c r="HP82" s="242"/>
      <c r="HQ82" s="242"/>
      <c r="HR82" s="242"/>
      <c r="HS82" s="242"/>
      <c r="HT82" s="242"/>
      <c r="HU82" s="242"/>
      <c r="HV82" s="242"/>
      <c r="HW82" s="242"/>
      <c r="HX82" s="242"/>
      <c r="HY82" s="242"/>
      <c r="HZ82" s="242"/>
      <c r="IA82" s="242"/>
      <c r="IB82" s="242"/>
      <c r="IC82" s="242"/>
      <c r="ID82" s="242"/>
      <c r="IE82" s="242"/>
      <c r="IF82" s="242"/>
      <c r="IG82" s="242"/>
      <c r="IH82" s="242"/>
      <c r="II82" s="242"/>
      <c r="IJ82" s="242"/>
      <c r="IK82" s="242"/>
      <c r="IL82" s="242"/>
      <c r="IM82" s="242"/>
      <c r="IN82" s="242"/>
      <c r="IO82" s="242"/>
      <c r="IP82" s="242"/>
      <c r="IQ82" s="242"/>
      <c r="IR82" s="242"/>
      <c r="IS82" s="242"/>
      <c r="IT82" s="242"/>
      <c r="IU82" s="242"/>
      <c r="IV82" s="242"/>
      <c r="IW82" s="242"/>
    </row>
    <row r="83" customFormat="false" ht="12.6" hidden="false" customHeight="true" outlineLevel="0" collapsed="false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248"/>
      <c r="AA83" s="248"/>
      <c r="AB83" s="248"/>
      <c r="AC83" s="184"/>
      <c r="AD83" s="242"/>
      <c r="AE83" s="260"/>
      <c r="AF83" s="260"/>
      <c r="AG83" s="260"/>
      <c r="AH83" s="260"/>
      <c r="AI83" s="260"/>
      <c r="AJ83" s="260"/>
      <c r="AK83" s="260"/>
      <c r="AL83" s="260"/>
      <c r="AM83" s="260"/>
      <c r="AN83" s="260"/>
      <c r="AO83" s="260"/>
      <c r="AP83" s="260"/>
      <c r="AQ83" s="260"/>
      <c r="AR83" s="260"/>
      <c r="AS83" s="260"/>
      <c r="AT83" s="260"/>
      <c r="BD83" s="242"/>
      <c r="BE83" s="242"/>
      <c r="BF83" s="184"/>
      <c r="BG83" s="242"/>
      <c r="BH83" s="242"/>
      <c r="BI83" s="242"/>
      <c r="BJ83" s="242"/>
      <c r="BK83" s="242"/>
      <c r="BL83" s="242"/>
      <c r="BM83" s="242"/>
      <c r="BN83" s="242"/>
      <c r="BO83" s="242"/>
      <c r="BP83" s="242"/>
      <c r="BQ83" s="242"/>
      <c r="BR83" s="242"/>
      <c r="BS83" s="242"/>
      <c r="BT83" s="242"/>
      <c r="BU83" s="242"/>
      <c r="BV83" s="242"/>
      <c r="BW83" s="242"/>
      <c r="BX83" s="242"/>
      <c r="BY83" s="242"/>
      <c r="BZ83" s="242"/>
      <c r="CA83" s="242"/>
      <c r="CB83" s="242"/>
      <c r="CC83" s="242"/>
      <c r="CD83" s="242"/>
      <c r="CE83" s="242"/>
      <c r="CF83" s="242"/>
      <c r="CG83" s="242"/>
      <c r="CH83" s="242"/>
      <c r="CI83" s="242"/>
      <c r="CJ83" s="242"/>
      <c r="CK83" s="242"/>
      <c r="CL83" s="242"/>
      <c r="CM83" s="242"/>
      <c r="CN83" s="242"/>
      <c r="CO83" s="242"/>
      <c r="CP83" s="242"/>
      <c r="CQ83" s="242"/>
      <c r="CR83" s="242"/>
      <c r="CS83" s="242"/>
      <c r="CT83" s="242"/>
      <c r="CU83" s="242"/>
      <c r="CV83" s="242"/>
      <c r="CW83" s="242"/>
      <c r="CX83" s="242"/>
      <c r="CY83" s="242"/>
      <c r="CZ83" s="242"/>
      <c r="DA83" s="242"/>
      <c r="DB83" s="242"/>
      <c r="DC83" s="242"/>
      <c r="DD83" s="242"/>
      <c r="DE83" s="242"/>
      <c r="DF83" s="242"/>
      <c r="DG83" s="242"/>
      <c r="DH83" s="242"/>
      <c r="DI83" s="242"/>
      <c r="DJ83" s="242"/>
      <c r="DK83" s="242"/>
      <c r="DL83" s="242"/>
      <c r="DM83" s="242"/>
      <c r="DN83" s="242"/>
      <c r="DO83" s="242"/>
      <c r="DP83" s="242"/>
      <c r="DQ83" s="242"/>
      <c r="DR83" s="242"/>
      <c r="DS83" s="242"/>
      <c r="DT83" s="242"/>
      <c r="DU83" s="242"/>
      <c r="DV83" s="242"/>
      <c r="DW83" s="242"/>
      <c r="DX83" s="242"/>
      <c r="DY83" s="242"/>
      <c r="DZ83" s="242"/>
      <c r="EA83" s="242"/>
      <c r="EB83" s="242"/>
      <c r="EC83" s="242"/>
      <c r="ED83" s="242"/>
      <c r="EE83" s="242"/>
      <c r="EF83" s="242"/>
      <c r="EG83" s="242"/>
      <c r="EH83" s="242"/>
      <c r="EI83" s="242"/>
      <c r="EJ83" s="242"/>
      <c r="EK83" s="242"/>
      <c r="EL83" s="242"/>
      <c r="EM83" s="242"/>
      <c r="EN83" s="242"/>
      <c r="EO83" s="242"/>
      <c r="EP83" s="242"/>
      <c r="EQ83" s="242"/>
      <c r="ER83" s="242"/>
      <c r="ES83" s="242"/>
      <c r="ET83" s="242"/>
      <c r="EU83" s="242"/>
      <c r="EV83" s="242"/>
      <c r="EW83" s="242"/>
      <c r="EX83" s="242"/>
      <c r="EY83" s="242"/>
      <c r="EZ83" s="242"/>
      <c r="FA83" s="242"/>
      <c r="FB83" s="242"/>
      <c r="FC83" s="242"/>
      <c r="FD83" s="242"/>
      <c r="FE83" s="242"/>
      <c r="FF83" s="242"/>
      <c r="FG83" s="242"/>
      <c r="FH83" s="242"/>
      <c r="FI83" s="242"/>
      <c r="FJ83" s="242"/>
      <c r="FK83" s="242"/>
      <c r="FL83" s="242"/>
      <c r="FM83" s="242"/>
      <c r="FN83" s="242"/>
      <c r="FO83" s="242"/>
      <c r="FP83" s="242"/>
      <c r="FQ83" s="242"/>
      <c r="FR83" s="242"/>
      <c r="FS83" s="242"/>
      <c r="FT83" s="242"/>
      <c r="FU83" s="242"/>
      <c r="FV83" s="242"/>
      <c r="FW83" s="242"/>
      <c r="FX83" s="242"/>
      <c r="FY83" s="242"/>
      <c r="FZ83" s="242"/>
      <c r="GA83" s="242"/>
      <c r="GB83" s="242"/>
      <c r="GC83" s="242"/>
      <c r="GD83" s="242"/>
      <c r="GE83" s="242"/>
      <c r="GF83" s="242"/>
      <c r="GG83" s="242"/>
      <c r="GH83" s="242"/>
      <c r="GI83" s="242"/>
      <c r="GJ83" s="242"/>
      <c r="GK83" s="242"/>
      <c r="GL83" s="242"/>
      <c r="GM83" s="242"/>
      <c r="GN83" s="242"/>
      <c r="GO83" s="242"/>
      <c r="GP83" s="242"/>
      <c r="GQ83" s="242"/>
      <c r="GR83" s="242"/>
      <c r="GS83" s="242"/>
      <c r="GT83" s="242"/>
      <c r="GU83" s="242"/>
      <c r="GV83" s="242"/>
      <c r="GW83" s="242"/>
      <c r="GX83" s="242"/>
      <c r="GY83" s="242"/>
      <c r="GZ83" s="242"/>
      <c r="HA83" s="242"/>
      <c r="HB83" s="242"/>
      <c r="HC83" s="242"/>
      <c r="HD83" s="242"/>
      <c r="HE83" s="242"/>
      <c r="HF83" s="242"/>
      <c r="HG83" s="242"/>
      <c r="HH83" s="242"/>
      <c r="HI83" s="242"/>
      <c r="HJ83" s="242"/>
      <c r="HK83" s="242"/>
      <c r="HL83" s="242"/>
      <c r="HM83" s="242"/>
      <c r="HN83" s="242"/>
      <c r="HO83" s="242"/>
      <c r="HP83" s="242"/>
      <c r="HQ83" s="242"/>
      <c r="HR83" s="242"/>
      <c r="HS83" s="242"/>
      <c r="HT83" s="242"/>
      <c r="HU83" s="242"/>
      <c r="HV83" s="242"/>
      <c r="HW83" s="242"/>
      <c r="HX83" s="242"/>
      <c r="HY83" s="242"/>
      <c r="HZ83" s="242"/>
      <c r="IA83" s="242"/>
      <c r="IB83" s="242"/>
      <c r="IC83" s="242"/>
      <c r="ID83" s="242"/>
      <c r="IE83" s="242"/>
      <c r="IF83" s="242"/>
      <c r="IG83" s="242"/>
      <c r="IH83" s="242"/>
      <c r="II83" s="242"/>
      <c r="IJ83" s="242"/>
      <c r="IK83" s="242"/>
      <c r="IL83" s="242"/>
      <c r="IM83" s="242"/>
      <c r="IN83" s="242"/>
      <c r="IO83" s="242"/>
      <c r="IP83" s="242"/>
      <c r="IQ83" s="242"/>
      <c r="IR83" s="242"/>
      <c r="IS83" s="242"/>
      <c r="IT83" s="242"/>
      <c r="IU83" s="242"/>
      <c r="IV83" s="242"/>
      <c r="IW83" s="184"/>
    </row>
    <row r="84" customFormat="false" ht="12.6" hidden="false" customHeight="true" outlineLevel="0" collapsed="false">
      <c r="A84" s="248"/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2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BD84" s="242"/>
      <c r="BE84" s="242"/>
      <c r="BF84" s="184"/>
      <c r="BG84" s="242"/>
      <c r="BH84" s="242"/>
      <c r="BI84" s="242"/>
      <c r="BJ84" s="242"/>
      <c r="BK84" s="242"/>
      <c r="BL84" s="242"/>
      <c r="BM84" s="242"/>
      <c r="BN84" s="242"/>
      <c r="BO84" s="242"/>
      <c r="BP84" s="242"/>
      <c r="BQ84" s="242"/>
      <c r="BR84" s="242"/>
      <c r="BS84" s="242"/>
      <c r="BT84" s="242"/>
      <c r="BU84" s="242"/>
      <c r="BV84" s="242"/>
      <c r="BW84" s="242"/>
      <c r="BX84" s="242"/>
      <c r="BY84" s="242"/>
      <c r="BZ84" s="242"/>
      <c r="CA84" s="242"/>
      <c r="CB84" s="242"/>
      <c r="CC84" s="242"/>
      <c r="CD84" s="242"/>
      <c r="CE84" s="242"/>
      <c r="CF84" s="242"/>
      <c r="CG84" s="242"/>
      <c r="CH84" s="242"/>
      <c r="CI84" s="242"/>
      <c r="CJ84" s="242"/>
      <c r="CK84" s="242"/>
      <c r="CL84" s="242"/>
      <c r="CM84" s="242"/>
      <c r="CN84" s="242"/>
      <c r="CO84" s="242"/>
      <c r="CP84" s="242"/>
      <c r="CQ84" s="242"/>
      <c r="CR84" s="242"/>
      <c r="CS84" s="242"/>
      <c r="CT84" s="242"/>
      <c r="CU84" s="242"/>
      <c r="CV84" s="242"/>
      <c r="CW84" s="242"/>
      <c r="CX84" s="242"/>
      <c r="CY84" s="242"/>
      <c r="CZ84" s="242"/>
      <c r="DA84" s="242"/>
      <c r="DB84" s="242"/>
      <c r="DC84" s="242"/>
      <c r="DD84" s="242"/>
      <c r="DE84" s="242"/>
      <c r="DF84" s="242"/>
      <c r="DG84" s="242"/>
      <c r="DH84" s="242"/>
      <c r="DI84" s="242"/>
      <c r="DJ84" s="242"/>
      <c r="DK84" s="242"/>
      <c r="DL84" s="242"/>
      <c r="DM84" s="242"/>
      <c r="DN84" s="242"/>
      <c r="DO84" s="242"/>
      <c r="DP84" s="242"/>
      <c r="DQ84" s="242"/>
      <c r="DR84" s="242"/>
      <c r="DS84" s="242"/>
      <c r="DT84" s="242"/>
      <c r="DU84" s="242"/>
      <c r="DV84" s="242"/>
      <c r="DW84" s="242"/>
      <c r="DX84" s="242"/>
      <c r="DY84" s="242"/>
      <c r="DZ84" s="242"/>
      <c r="EA84" s="242"/>
      <c r="EB84" s="242"/>
      <c r="EC84" s="242"/>
      <c r="ED84" s="242"/>
      <c r="EE84" s="242"/>
      <c r="EF84" s="242"/>
      <c r="EG84" s="242"/>
      <c r="EH84" s="242"/>
      <c r="EI84" s="242"/>
      <c r="EJ84" s="242"/>
      <c r="EK84" s="242"/>
      <c r="EL84" s="242"/>
      <c r="EM84" s="242"/>
      <c r="EN84" s="242"/>
      <c r="EO84" s="242"/>
      <c r="EP84" s="242"/>
      <c r="EQ84" s="242"/>
      <c r="ER84" s="242"/>
      <c r="ES84" s="242"/>
      <c r="ET84" s="242"/>
      <c r="EU84" s="242"/>
      <c r="EV84" s="242"/>
      <c r="EW84" s="242"/>
      <c r="EX84" s="242"/>
      <c r="EY84" s="242"/>
      <c r="EZ84" s="242"/>
      <c r="FA84" s="242"/>
      <c r="FB84" s="242"/>
      <c r="FC84" s="242"/>
      <c r="FD84" s="242"/>
      <c r="FE84" s="242"/>
      <c r="FF84" s="242"/>
      <c r="FG84" s="242"/>
      <c r="FH84" s="242"/>
      <c r="FI84" s="242"/>
      <c r="FJ84" s="242"/>
      <c r="FK84" s="242"/>
      <c r="FL84" s="242"/>
      <c r="FM84" s="242"/>
      <c r="FN84" s="242"/>
      <c r="FO84" s="242"/>
      <c r="FP84" s="242"/>
      <c r="FQ84" s="242"/>
      <c r="FR84" s="242"/>
      <c r="FS84" s="242"/>
      <c r="FT84" s="242"/>
      <c r="FU84" s="242"/>
      <c r="FV84" s="242"/>
      <c r="FW84" s="242"/>
      <c r="FX84" s="242"/>
      <c r="FY84" s="242"/>
      <c r="FZ84" s="242"/>
      <c r="GA84" s="242"/>
      <c r="GB84" s="242"/>
      <c r="GC84" s="242"/>
      <c r="GD84" s="242"/>
      <c r="GE84" s="242"/>
      <c r="GF84" s="242"/>
      <c r="GG84" s="242"/>
      <c r="GH84" s="242"/>
      <c r="GI84" s="242"/>
      <c r="GJ84" s="242"/>
      <c r="GK84" s="242"/>
      <c r="GL84" s="242"/>
      <c r="GM84" s="242"/>
      <c r="GN84" s="242"/>
      <c r="GO84" s="242"/>
      <c r="GP84" s="242"/>
      <c r="GQ84" s="242"/>
      <c r="GR84" s="242"/>
      <c r="GS84" s="242"/>
      <c r="GT84" s="242"/>
      <c r="GU84" s="242"/>
      <c r="GV84" s="242"/>
      <c r="GW84" s="242"/>
      <c r="GX84" s="242"/>
      <c r="GY84" s="242"/>
      <c r="GZ84" s="242"/>
      <c r="HA84" s="242"/>
      <c r="HB84" s="242"/>
      <c r="HC84" s="242"/>
      <c r="HD84" s="242"/>
      <c r="HE84" s="242"/>
      <c r="HF84" s="242"/>
      <c r="HG84" s="242"/>
      <c r="HH84" s="242"/>
      <c r="HI84" s="242"/>
      <c r="HJ84" s="242"/>
      <c r="HK84" s="242"/>
      <c r="HL84" s="242"/>
      <c r="HM84" s="242"/>
      <c r="HN84" s="242"/>
      <c r="HO84" s="242"/>
      <c r="HP84" s="242"/>
      <c r="HQ84" s="242"/>
      <c r="HR84" s="242"/>
      <c r="HS84" s="242"/>
      <c r="HT84" s="242"/>
      <c r="HU84" s="242"/>
      <c r="HV84" s="242"/>
      <c r="HW84" s="242"/>
      <c r="HX84" s="242"/>
      <c r="HY84" s="242"/>
      <c r="HZ84" s="242"/>
      <c r="IA84" s="242"/>
      <c r="IB84" s="242"/>
      <c r="IC84" s="242"/>
      <c r="ID84" s="242"/>
      <c r="IE84" s="242"/>
      <c r="IF84" s="242"/>
      <c r="IG84" s="242"/>
      <c r="IH84" s="242"/>
      <c r="II84" s="242"/>
      <c r="IJ84" s="242"/>
      <c r="IK84" s="242"/>
      <c r="IL84" s="242"/>
      <c r="IM84" s="242"/>
      <c r="IN84" s="242"/>
      <c r="IO84" s="242"/>
      <c r="IP84" s="242"/>
      <c r="IQ84" s="242"/>
      <c r="IR84" s="242"/>
      <c r="IS84" s="242"/>
      <c r="IT84" s="242"/>
      <c r="IU84" s="242"/>
      <c r="IV84" s="242"/>
      <c r="IW84" s="184"/>
    </row>
    <row r="85" customFormat="false" ht="12.6" hidden="false" customHeight="true" outlineLevel="0" collapsed="false">
      <c r="A85" s="248"/>
      <c r="B85" s="248"/>
      <c r="C85" s="248"/>
      <c r="D85" s="248"/>
      <c r="E85" s="248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184"/>
      <c r="AB85" s="184"/>
      <c r="AC85" s="248"/>
      <c r="AD85" s="184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BD85" s="242"/>
      <c r="BE85" s="242"/>
      <c r="BF85" s="184"/>
      <c r="BG85" s="242"/>
      <c r="BH85" s="242"/>
      <c r="BI85" s="242"/>
      <c r="BJ85" s="242"/>
      <c r="BK85" s="242"/>
      <c r="BL85" s="242"/>
      <c r="BM85" s="242"/>
      <c r="BN85" s="242"/>
      <c r="BO85" s="242"/>
      <c r="BP85" s="242"/>
      <c r="BQ85" s="242"/>
      <c r="BR85" s="242"/>
      <c r="BS85" s="242"/>
      <c r="BT85" s="242"/>
      <c r="BU85" s="242"/>
      <c r="BV85" s="242"/>
      <c r="BW85" s="242"/>
      <c r="BX85" s="242"/>
      <c r="BY85" s="242"/>
      <c r="BZ85" s="242"/>
      <c r="CA85" s="242"/>
      <c r="CB85" s="242"/>
      <c r="CC85" s="242"/>
      <c r="CD85" s="242"/>
      <c r="CE85" s="242"/>
      <c r="CF85" s="242"/>
      <c r="CG85" s="242"/>
      <c r="CH85" s="242"/>
      <c r="CI85" s="242"/>
      <c r="CJ85" s="242"/>
      <c r="CK85" s="242"/>
      <c r="CL85" s="242"/>
      <c r="CM85" s="242"/>
      <c r="CN85" s="242"/>
      <c r="CO85" s="242"/>
      <c r="CP85" s="242"/>
      <c r="CQ85" s="242"/>
      <c r="CR85" s="242"/>
      <c r="CS85" s="242"/>
      <c r="CT85" s="242"/>
      <c r="CU85" s="242"/>
      <c r="CV85" s="242"/>
      <c r="CW85" s="242"/>
      <c r="CX85" s="242"/>
      <c r="CY85" s="242"/>
      <c r="CZ85" s="242"/>
      <c r="DA85" s="242"/>
      <c r="DB85" s="242"/>
      <c r="DC85" s="242"/>
      <c r="DD85" s="242"/>
      <c r="DE85" s="242"/>
      <c r="DF85" s="242"/>
      <c r="DG85" s="242"/>
      <c r="DH85" s="242"/>
      <c r="DI85" s="242"/>
      <c r="DJ85" s="242"/>
      <c r="DK85" s="242"/>
      <c r="DL85" s="242"/>
      <c r="DM85" s="242"/>
      <c r="DN85" s="242"/>
      <c r="DO85" s="242"/>
      <c r="DP85" s="242"/>
      <c r="DQ85" s="242"/>
      <c r="DR85" s="242"/>
      <c r="DS85" s="242"/>
      <c r="DT85" s="242"/>
      <c r="DU85" s="242"/>
      <c r="DV85" s="242"/>
      <c r="DW85" s="242"/>
      <c r="DX85" s="242"/>
      <c r="DY85" s="242"/>
      <c r="DZ85" s="242"/>
      <c r="EA85" s="242"/>
      <c r="EB85" s="242"/>
      <c r="EC85" s="242"/>
      <c r="ED85" s="242"/>
      <c r="EE85" s="242"/>
      <c r="EF85" s="242"/>
      <c r="EG85" s="242"/>
      <c r="EH85" s="242"/>
      <c r="EI85" s="242"/>
      <c r="EJ85" s="242"/>
      <c r="EK85" s="242"/>
      <c r="EL85" s="242"/>
      <c r="EM85" s="242"/>
      <c r="EN85" s="242"/>
      <c r="EO85" s="242"/>
      <c r="EP85" s="242"/>
      <c r="EQ85" s="242"/>
      <c r="ER85" s="242"/>
      <c r="ES85" s="242"/>
      <c r="ET85" s="242"/>
      <c r="EU85" s="242"/>
      <c r="EV85" s="242"/>
      <c r="EW85" s="242"/>
      <c r="EX85" s="242"/>
      <c r="EY85" s="242"/>
      <c r="EZ85" s="242"/>
      <c r="FA85" s="242"/>
      <c r="FB85" s="242"/>
      <c r="FC85" s="242"/>
      <c r="FD85" s="242"/>
      <c r="FE85" s="242"/>
      <c r="FF85" s="242"/>
      <c r="FG85" s="242"/>
      <c r="FH85" s="242"/>
      <c r="FI85" s="242"/>
      <c r="FJ85" s="242"/>
      <c r="FK85" s="242"/>
      <c r="FL85" s="242"/>
      <c r="FM85" s="242"/>
      <c r="FN85" s="242"/>
      <c r="FO85" s="242"/>
      <c r="FP85" s="242"/>
      <c r="FQ85" s="242"/>
      <c r="FR85" s="242"/>
      <c r="FS85" s="242"/>
      <c r="FT85" s="242"/>
      <c r="FU85" s="242"/>
      <c r="FV85" s="242"/>
      <c r="FW85" s="242"/>
      <c r="FX85" s="242"/>
      <c r="FY85" s="242"/>
      <c r="FZ85" s="242"/>
      <c r="GA85" s="242"/>
      <c r="GB85" s="242"/>
      <c r="GC85" s="242"/>
      <c r="GD85" s="242"/>
      <c r="GE85" s="242"/>
      <c r="GF85" s="242"/>
      <c r="GG85" s="242"/>
      <c r="GH85" s="242"/>
      <c r="GI85" s="242"/>
      <c r="GJ85" s="242"/>
      <c r="GK85" s="242"/>
      <c r="GL85" s="242"/>
      <c r="GM85" s="242"/>
      <c r="GN85" s="242"/>
      <c r="GO85" s="242"/>
      <c r="GP85" s="242"/>
      <c r="GQ85" s="242"/>
      <c r="GR85" s="242"/>
      <c r="GS85" s="242"/>
      <c r="GT85" s="242"/>
      <c r="GU85" s="242"/>
      <c r="GV85" s="242"/>
      <c r="GW85" s="242"/>
      <c r="GX85" s="242"/>
      <c r="GY85" s="242"/>
      <c r="GZ85" s="242"/>
      <c r="HA85" s="242"/>
      <c r="HB85" s="242"/>
      <c r="HC85" s="242"/>
      <c r="HD85" s="242"/>
      <c r="HE85" s="242"/>
      <c r="HF85" s="242"/>
      <c r="HG85" s="242"/>
      <c r="HH85" s="242"/>
      <c r="HI85" s="242"/>
      <c r="HJ85" s="242"/>
      <c r="HK85" s="242"/>
      <c r="HL85" s="242"/>
      <c r="HM85" s="242"/>
      <c r="HN85" s="242"/>
      <c r="HO85" s="242"/>
      <c r="HP85" s="242"/>
      <c r="HQ85" s="242"/>
      <c r="HR85" s="242"/>
      <c r="HS85" s="242"/>
      <c r="HT85" s="242"/>
      <c r="HU85" s="242"/>
      <c r="HV85" s="242"/>
      <c r="HW85" s="242"/>
      <c r="HX85" s="242"/>
      <c r="HY85" s="242"/>
      <c r="HZ85" s="242"/>
      <c r="IA85" s="242"/>
      <c r="IB85" s="242"/>
      <c r="IC85" s="242"/>
      <c r="ID85" s="242"/>
      <c r="IE85" s="242"/>
      <c r="IF85" s="242"/>
      <c r="IG85" s="242"/>
      <c r="IH85" s="242"/>
      <c r="II85" s="242"/>
      <c r="IJ85" s="242"/>
      <c r="IK85" s="242"/>
      <c r="IL85" s="242"/>
      <c r="IM85" s="242"/>
      <c r="IN85" s="242"/>
      <c r="IO85" s="242"/>
      <c r="IP85" s="242"/>
      <c r="IQ85" s="242"/>
      <c r="IR85" s="242"/>
      <c r="IS85" s="242"/>
      <c r="IT85" s="242"/>
      <c r="IU85" s="242"/>
      <c r="IV85" s="242"/>
      <c r="IW85" s="184"/>
    </row>
    <row r="86" customFormat="false" ht="12.6" hidden="false" customHeight="true" outlineLevel="0" collapsed="false">
      <c r="A86" s="248"/>
      <c r="B86" s="248"/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184"/>
      <c r="AB86" s="184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BD86" s="242"/>
      <c r="BE86" s="242"/>
      <c r="BF86" s="184"/>
      <c r="BG86" s="242"/>
      <c r="BH86" s="242"/>
      <c r="BI86" s="242"/>
      <c r="BJ86" s="242"/>
      <c r="BK86" s="242"/>
      <c r="BL86" s="242"/>
      <c r="BM86" s="242"/>
      <c r="BN86" s="242"/>
      <c r="BO86" s="242"/>
      <c r="BP86" s="242"/>
      <c r="BQ86" s="242"/>
      <c r="BR86" s="242"/>
      <c r="BS86" s="242"/>
      <c r="BT86" s="242"/>
      <c r="BU86" s="242"/>
      <c r="BV86" s="242"/>
      <c r="BW86" s="242"/>
      <c r="BX86" s="242"/>
      <c r="BY86" s="242"/>
      <c r="BZ86" s="242"/>
      <c r="CA86" s="242"/>
      <c r="CB86" s="242"/>
      <c r="CC86" s="242"/>
      <c r="CD86" s="242"/>
      <c r="CE86" s="242"/>
      <c r="CF86" s="242"/>
      <c r="CG86" s="242"/>
      <c r="CH86" s="242"/>
      <c r="CI86" s="242"/>
      <c r="CJ86" s="242"/>
      <c r="CK86" s="242"/>
      <c r="CL86" s="242"/>
      <c r="CM86" s="242"/>
      <c r="CN86" s="242"/>
      <c r="CO86" s="242"/>
      <c r="CP86" s="242"/>
      <c r="CQ86" s="242"/>
      <c r="CR86" s="242"/>
      <c r="CS86" s="242"/>
      <c r="CT86" s="242"/>
      <c r="CU86" s="242"/>
      <c r="CV86" s="242"/>
      <c r="CW86" s="242"/>
      <c r="CX86" s="242"/>
      <c r="CY86" s="242"/>
      <c r="CZ86" s="242"/>
      <c r="DA86" s="242"/>
      <c r="DB86" s="242"/>
      <c r="DC86" s="242"/>
      <c r="DD86" s="242"/>
      <c r="DE86" s="242"/>
      <c r="DF86" s="242"/>
      <c r="DG86" s="242"/>
      <c r="DH86" s="242"/>
      <c r="DI86" s="242"/>
      <c r="DJ86" s="242"/>
      <c r="DK86" s="242"/>
      <c r="DL86" s="242"/>
      <c r="DM86" s="242"/>
      <c r="DN86" s="242"/>
      <c r="DO86" s="242"/>
      <c r="DP86" s="242"/>
      <c r="DQ86" s="242"/>
      <c r="DR86" s="242"/>
      <c r="DS86" s="242"/>
      <c r="DT86" s="242"/>
      <c r="DU86" s="242"/>
      <c r="DV86" s="242"/>
      <c r="DW86" s="242"/>
      <c r="DX86" s="242"/>
      <c r="DY86" s="242"/>
      <c r="DZ86" s="242"/>
      <c r="EA86" s="242"/>
      <c r="EB86" s="242"/>
      <c r="EC86" s="242"/>
      <c r="ED86" s="242"/>
      <c r="EE86" s="242"/>
      <c r="EF86" s="242"/>
      <c r="EG86" s="242"/>
      <c r="EH86" s="242"/>
      <c r="EI86" s="242"/>
      <c r="EJ86" s="242"/>
      <c r="EK86" s="242"/>
      <c r="EL86" s="242"/>
      <c r="EM86" s="242"/>
      <c r="EN86" s="242"/>
      <c r="EO86" s="242"/>
      <c r="EP86" s="242"/>
      <c r="EQ86" s="242"/>
      <c r="ER86" s="242"/>
      <c r="ES86" s="242"/>
      <c r="ET86" s="242"/>
      <c r="EU86" s="242"/>
      <c r="EV86" s="242"/>
      <c r="EW86" s="242"/>
      <c r="EX86" s="242"/>
      <c r="EY86" s="242"/>
      <c r="EZ86" s="242"/>
      <c r="FA86" s="242"/>
      <c r="FB86" s="242"/>
      <c r="FC86" s="242"/>
      <c r="FD86" s="242"/>
      <c r="FE86" s="242"/>
      <c r="FF86" s="242"/>
      <c r="FG86" s="242"/>
      <c r="FH86" s="242"/>
      <c r="FI86" s="242"/>
      <c r="FJ86" s="242"/>
      <c r="FK86" s="242"/>
      <c r="FL86" s="242"/>
      <c r="FM86" s="242"/>
      <c r="FN86" s="242"/>
      <c r="FO86" s="242"/>
      <c r="FP86" s="242"/>
      <c r="FQ86" s="242"/>
      <c r="FR86" s="242"/>
      <c r="FS86" s="242"/>
      <c r="FT86" s="242"/>
      <c r="FU86" s="242"/>
      <c r="FV86" s="242"/>
      <c r="FW86" s="242"/>
      <c r="FX86" s="242"/>
      <c r="FY86" s="242"/>
      <c r="FZ86" s="242"/>
      <c r="GA86" s="242"/>
      <c r="GB86" s="242"/>
      <c r="GC86" s="242"/>
      <c r="GD86" s="242"/>
      <c r="GE86" s="242"/>
      <c r="GF86" s="242"/>
      <c r="GG86" s="242"/>
      <c r="GH86" s="242"/>
      <c r="GI86" s="242"/>
      <c r="GJ86" s="242"/>
      <c r="GK86" s="242"/>
      <c r="GL86" s="242"/>
      <c r="GM86" s="242"/>
      <c r="GN86" s="242"/>
      <c r="GO86" s="242"/>
      <c r="GP86" s="242"/>
      <c r="GQ86" s="242"/>
      <c r="GR86" s="242"/>
      <c r="GS86" s="242"/>
      <c r="GT86" s="242"/>
      <c r="GU86" s="242"/>
      <c r="GV86" s="242"/>
      <c r="GW86" s="242"/>
      <c r="GX86" s="242"/>
      <c r="GY86" s="242"/>
      <c r="GZ86" s="242"/>
      <c r="HA86" s="242"/>
      <c r="HB86" s="242"/>
      <c r="HC86" s="242"/>
      <c r="HD86" s="242"/>
      <c r="HE86" s="242"/>
      <c r="HF86" s="242"/>
      <c r="HG86" s="242"/>
      <c r="HH86" s="242"/>
      <c r="HI86" s="242"/>
      <c r="HJ86" s="242"/>
      <c r="HK86" s="242"/>
      <c r="HL86" s="242"/>
      <c r="HM86" s="242"/>
      <c r="HN86" s="242"/>
      <c r="HO86" s="242"/>
      <c r="HP86" s="242"/>
      <c r="HQ86" s="242"/>
      <c r="HR86" s="242"/>
      <c r="HS86" s="242"/>
      <c r="HT86" s="242"/>
      <c r="HU86" s="242"/>
      <c r="HV86" s="242"/>
      <c r="HW86" s="242"/>
      <c r="HX86" s="242"/>
      <c r="HY86" s="242"/>
      <c r="HZ86" s="242"/>
      <c r="IA86" s="242"/>
      <c r="IB86" s="242"/>
      <c r="IC86" s="242"/>
      <c r="ID86" s="242"/>
      <c r="IE86" s="242"/>
      <c r="IF86" s="242"/>
      <c r="IG86" s="242"/>
      <c r="IH86" s="242"/>
      <c r="II86" s="242"/>
      <c r="IJ86" s="242"/>
      <c r="IK86" s="242"/>
      <c r="IL86" s="242"/>
      <c r="IM86" s="242"/>
      <c r="IN86" s="242"/>
      <c r="IO86" s="242"/>
      <c r="IP86" s="242"/>
      <c r="IQ86" s="242"/>
      <c r="IR86" s="242"/>
      <c r="IS86" s="242"/>
      <c r="IT86" s="242"/>
      <c r="IU86" s="242"/>
      <c r="IV86" s="242"/>
      <c r="IW86" s="184"/>
    </row>
    <row r="87" customFormat="false" ht="12.6" hidden="false" customHeight="true" outlineLevel="0" collapsed="false">
      <c r="A87" s="248"/>
      <c r="B87" s="248"/>
      <c r="C87" s="248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22"/>
      <c r="AB87" s="222"/>
      <c r="AC87" s="248"/>
      <c r="AD87" s="242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  <c r="AQ87" s="257"/>
      <c r="AR87" s="257"/>
      <c r="AS87" s="257"/>
      <c r="AT87" s="257"/>
      <c r="BD87" s="242"/>
      <c r="BE87" s="242"/>
      <c r="BF87" s="184"/>
      <c r="BG87" s="242"/>
      <c r="BH87" s="242"/>
      <c r="BI87" s="242"/>
      <c r="BJ87" s="242"/>
      <c r="BK87" s="242"/>
      <c r="BL87" s="242"/>
      <c r="BM87" s="242"/>
      <c r="BN87" s="242"/>
      <c r="BO87" s="242"/>
      <c r="BP87" s="242"/>
      <c r="BQ87" s="242"/>
      <c r="BR87" s="242"/>
      <c r="BS87" s="242"/>
      <c r="BT87" s="242"/>
      <c r="BU87" s="242"/>
      <c r="BV87" s="242"/>
      <c r="BW87" s="242"/>
      <c r="BX87" s="242"/>
      <c r="BY87" s="242"/>
      <c r="BZ87" s="242"/>
      <c r="CA87" s="242"/>
      <c r="CB87" s="242"/>
      <c r="CC87" s="242"/>
      <c r="CD87" s="242"/>
      <c r="CE87" s="242"/>
      <c r="CF87" s="242"/>
      <c r="CG87" s="242"/>
      <c r="CH87" s="242"/>
      <c r="CI87" s="242"/>
      <c r="CJ87" s="242"/>
      <c r="CK87" s="242"/>
      <c r="CL87" s="242"/>
      <c r="CM87" s="242"/>
      <c r="CN87" s="242"/>
      <c r="CO87" s="242"/>
      <c r="CP87" s="242"/>
      <c r="CQ87" s="242"/>
      <c r="CR87" s="242"/>
      <c r="CS87" s="242"/>
      <c r="CT87" s="242"/>
      <c r="CU87" s="242"/>
      <c r="CV87" s="242"/>
      <c r="CW87" s="242"/>
      <c r="CX87" s="242"/>
      <c r="CY87" s="242"/>
      <c r="CZ87" s="242"/>
      <c r="DA87" s="242"/>
      <c r="DB87" s="242"/>
      <c r="DC87" s="242"/>
      <c r="DD87" s="242"/>
      <c r="DE87" s="242"/>
      <c r="DF87" s="242"/>
      <c r="DG87" s="242"/>
      <c r="DH87" s="242"/>
      <c r="DI87" s="242"/>
      <c r="DJ87" s="242"/>
      <c r="DK87" s="242"/>
      <c r="DL87" s="242"/>
      <c r="DM87" s="242"/>
      <c r="DN87" s="242"/>
      <c r="DO87" s="242"/>
      <c r="DP87" s="242"/>
      <c r="DQ87" s="242"/>
      <c r="DR87" s="242"/>
      <c r="DS87" s="242"/>
      <c r="DT87" s="242"/>
      <c r="DU87" s="242"/>
      <c r="DV87" s="242"/>
      <c r="DW87" s="242"/>
      <c r="DX87" s="242"/>
      <c r="DY87" s="242"/>
      <c r="DZ87" s="242"/>
      <c r="EA87" s="242"/>
      <c r="EB87" s="242"/>
      <c r="EC87" s="242"/>
      <c r="ED87" s="242"/>
      <c r="EE87" s="242"/>
      <c r="EF87" s="242"/>
      <c r="EG87" s="242"/>
      <c r="EH87" s="242"/>
      <c r="EI87" s="242"/>
      <c r="EJ87" s="242"/>
      <c r="EK87" s="242"/>
      <c r="EL87" s="242"/>
      <c r="EM87" s="242"/>
      <c r="EN87" s="242"/>
      <c r="EO87" s="242"/>
      <c r="EP87" s="242"/>
      <c r="EQ87" s="242"/>
      <c r="ER87" s="242"/>
      <c r="ES87" s="242"/>
      <c r="ET87" s="242"/>
      <c r="EU87" s="242"/>
      <c r="EV87" s="242"/>
      <c r="EW87" s="242"/>
      <c r="EX87" s="242"/>
      <c r="EY87" s="242"/>
      <c r="EZ87" s="242"/>
      <c r="FA87" s="242"/>
      <c r="FB87" s="242"/>
      <c r="FC87" s="242"/>
      <c r="FD87" s="242"/>
      <c r="FE87" s="242"/>
      <c r="FF87" s="242"/>
      <c r="FG87" s="242"/>
      <c r="FH87" s="242"/>
      <c r="FI87" s="242"/>
      <c r="FJ87" s="242"/>
      <c r="FK87" s="242"/>
      <c r="FL87" s="242"/>
      <c r="FM87" s="242"/>
      <c r="FN87" s="242"/>
      <c r="FO87" s="242"/>
      <c r="FP87" s="242"/>
      <c r="FQ87" s="242"/>
      <c r="FR87" s="242"/>
      <c r="FS87" s="242"/>
      <c r="FT87" s="242"/>
      <c r="FU87" s="242"/>
      <c r="FV87" s="242"/>
      <c r="FW87" s="242"/>
      <c r="FX87" s="242"/>
      <c r="FY87" s="242"/>
      <c r="FZ87" s="242"/>
      <c r="GA87" s="242"/>
      <c r="GB87" s="242"/>
      <c r="GC87" s="242"/>
      <c r="GD87" s="242"/>
      <c r="GE87" s="242"/>
      <c r="GF87" s="242"/>
      <c r="GG87" s="242"/>
      <c r="GH87" s="242"/>
      <c r="GI87" s="242"/>
      <c r="GJ87" s="242"/>
      <c r="GK87" s="242"/>
      <c r="GL87" s="242"/>
      <c r="GM87" s="242"/>
      <c r="GN87" s="242"/>
      <c r="GO87" s="242"/>
      <c r="GP87" s="242"/>
      <c r="GQ87" s="242"/>
      <c r="GR87" s="242"/>
      <c r="GS87" s="242"/>
      <c r="GT87" s="242"/>
      <c r="GU87" s="242"/>
      <c r="GV87" s="242"/>
      <c r="GW87" s="242"/>
      <c r="GX87" s="242"/>
      <c r="GY87" s="242"/>
      <c r="GZ87" s="242"/>
      <c r="HA87" s="242"/>
      <c r="HB87" s="242"/>
      <c r="HC87" s="242"/>
      <c r="HD87" s="242"/>
      <c r="HE87" s="242"/>
      <c r="HF87" s="242"/>
      <c r="HG87" s="242"/>
      <c r="HH87" s="242"/>
      <c r="HI87" s="242"/>
      <c r="HJ87" s="242"/>
      <c r="HK87" s="242"/>
      <c r="HL87" s="242"/>
      <c r="HM87" s="242"/>
      <c r="HN87" s="242"/>
      <c r="HO87" s="242"/>
      <c r="HP87" s="242"/>
      <c r="HQ87" s="242"/>
      <c r="HR87" s="242"/>
      <c r="HS87" s="242"/>
      <c r="HT87" s="242"/>
      <c r="HU87" s="242"/>
      <c r="HV87" s="242"/>
      <c r="HW87" s="242"/>
      <c r="HX87" s="242"/>
      <c r="HY87" s="242"/>
      <c r="HZ87" s="242"/>
      <c r="IA87" s="242"/>
      <c r="IB87" s="242"/>
      <c r="IC87" s="242"/>
      <c r="ID87" s="242"/>
      <c r="IE87" s="242"/>
      <c r="IF87" s="242"/>
      <c r="IG87" s="242"/>
      <c r="IH87" s="242"/>
      <c r="II87" s="242"/>
      <c r="IJ87" s="242"/>
      <c r="IK87" s="242"/>
      <c r="IL87" s="242"/>
      <c r="IM87" s="242"/>
      <c r="IN87" s="242"/>
      <c r="IO87" s="242"/>
      <c r="IP87" s="242"/>
      <c r="IQ87" s="242"/>
      <c r="IR87" s="242"/>
      <c r="IS87" s="242"/>
      <c r="IT87" s="242"/>
      <c r="IU87" s="242"/>
      <c r="IV87" s="242"/>
      <c r="IW87" s="242"/>
    </row>
    <row r="88" customFormat="false" ht="12.6" hidden="false" customHeight="true" outlineLevel="0" collapsed="false">
      <c r="A88" s="248"/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184"/>
      <c r="AA88" s="184"/>
      <c r="AB88" s="184"/>
      <c r="AC88" s="184"/>
      <c r="AD88" s="184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BD88" s="184"/>
      <c r="BE88" s="184"/>
      <c r="BF88" s="184"/>
      <c r="BG88" s="184"/>
      <c r="BH88" s="184"/>
      <c r="BI88" s="184"/>
      <c r="BJ88" s="184"/>
      <c r="BK88" s="184"/>
      <c r="BL88" s="184"/>
      <c r="BM88" s="184"/>
      <c r="BN88" s="184"/>
      <c r="BO88" s="184"/>
      <c r="BP88" s="184"/>
      <c r="BQ88" s="184"/>
      <c r="BR88" s="184"/>
      <c r="BS88" s="184"/>
      <c r="BT88" s="184"/>
      <c r="BU88" s="184"/>
      <c r="BV88" s="184"/>
      <c r="BW88" s="184"/>
      <c r="BX88" s="184"/>
      <c r="BY88" s="184"/>
      <c r="BZ88" s="184"/>
      <c r="CA88" s="184"/>
      <c r="CB88" s="184"/>
      <c r="CC88" s="184"/>
      <c r="CD88" s="184"/>
      <c r="CE88" s="184"/>
      <c r="CF88" s="184"/>
      <c r="CG88" s="184"/>
      <c r="CH88" s="184"/>
      <c r="CI88" s="184"/>
      <c r="CJ88" s="184"/>
      <c r="CK88" s="184"/>
      <c r="CL88" s="184"/>
      <c r="CM88" s="184"/>
      <c r="CN88" s="184"/>
      <c r="CO88" s="184"/>
      <c r="CP88" s="184"/>
      <c r="CQ88" s="184"/>
      <c r="CR88" s="184"/>
      <c r="CS88" s="184"/>
      <c r="CT88" s="184"/>
      <c r="CU88" s="184"/>
      <c r="CV88" s="184"/>
      <c r="CW88" s="184"/>
      <c r="CX88" s="184"/>
      <c r="CY88" s="184"/>
      <c r="CZ88" s="184"/>
      <c r="DA88" s="184"/>
      <c r="DB88" s="184"/>
      <c r="DC88" s="184"/>
      <c r="DD88" s="184"/>
      <c r="DE88" s="184"/>
      <c r="DF88" s="184"/>
      <c r="DG88" s="184"/>
      <c r="DH88" s="184"/>
      <c r="DI88" s="184"/>
      <c r="DJ88" s="184"/>
      <c r="DK88" s="184"/>
      <c r="DL88" s="184"/>
      <c r="DM88" s="184"/>
      <c r="DN88" s="184"/>
      <c r="DO88" s="184"/>
      <c r="DP88" s="184"/>
      <c r="DQ88" s="184"/>
      <c r="DR88" s="184"/>
      <c r="DS88" s="184"/>
      <c r="DT88" s="184"/>
      <c r="DU88" s="184"/>
      <c r="DV88" s="184"/>
      <c r="DW88" s="184"/>
      <c r="DX88" s="184"/>
      <c r="DY88" s="184"/>
      <c r="DZ88" s="184"/>
      <c r="EA88" s="184"/>
      <c r="EB88" s="184"/>
      <c r="EC88" s="184"/>
      <c r="ED88" s="184"/>
      <c r="EE88" s="184"/>
      <c r="EF88" s="184"/>
      <c r="EG88" s="184"/>
      <c r="EH88" s="184"/>
      <c r="EI88" s="184"/>
      <c r="EJ88" s="184"/>
      <c r="EK88" s="184"/>
      <c r="EL88" s="184"/>
      <c r="EM88" s="184"/>
      <c r="EN88" s="184"/>
      <c r="EO88" s="184"/>
      <c r="EP88" s="184"/>
      <c r="EQ88" s="184"/>
      <c r="ER88" s="184"/>
      <c r="ES88" s="184"/>
      <c r="ET88" s="184"/>
      <c r="EU88" s="184"/>
      <c r="EV88" s="184"/>
      <c r="EW88" s="184"/>
      <c r="EX88" s="184"/>
      <c r="EY88" s="184"/>
      <c r="EZ88" s="184"/>
      <c r="FA88" s="184"/>
      <c r="FB88" s="184"/>
      <c r="FC88" s="184"/>
      <c r="FD88" s="184"/>
      <c r="FE88" s="184"/>
      <c r="FF88" s="184"/>
      <c r="FG88" s="184"/>
      <c r="FH88" s="184"/>
      <c r="FI88" s="184"/>
      <c r="FJ88" s="184"/>
      <c r="FK88" s="184"/>
      <c r="FL88" s="184"/>
      <c r="FM88" s="184"/>
      <c r="FN88" s="184"/>
      <c r="FO88" s="184"/>
      <c r="FP88" s="184"/>
      <c r="FQ88" s="184"/>
      <c r="FR88" s="184"/>
      <c r="FS88" s="184"/>
      <c r="FT88" s="184"/>
      <c r="FU88" s="184"/>
      <c r="FV88" s="184"/>
      <c r="FW88" s="184"/>
      <c r="FX88" s="184"/>
      <c r="FY88" s="184"/>
      <c r="FZ88" s="184"/>
      <c r="GA88" s="184"/>
      <c r="GB88" s="184"/>
      <c r="GC88" s="184"/>
      <c r="GD88" s="184"/>
      <c r="GE88" s="184"/>
      <c r="GF88" s="184"/>
      <c r="GG88" s="184"/>
      <c r="GH88" s="184"/>
      <c r="GI88" s="184"/>
      <c r="GJ88" s="184"/>
      <c r="GK88" s="184"/>
      <c r="GL88" s="184"/>
      <c r="GM88" s="184"/>
      <c r="GN88" s="184"/>
      <c r="GO88" s="184"/>
      <c r="GP88" s="184"/>
      <c r="GQ88" s="184"/>
      <c r="GR88" s="184"/>
      <c r="GS88" s="184"/>
      <c r="GT88" s="184"/>
      <c r="GU88" s="184"/>
      <c r="GV88" s="184"/>
      <c r="GW88" s="184"/>
      <c r="GX88" s="184"/>
      <c r="GY88" s="184"/>
      <c r="GZ88" s="184"/>
      <c r="HA88" s="184"/>
      <c r="HB88" s="184"/>
      <c r="HC88" s="184"/>
      <c r="HD88" s="184"/>
      <c r="HE88" s="184"/>
      <c r="HF88" s="184"/>
      <c r="HG88" s="184"/>
      <c r="HH88" s="184"/>
      <c r="HI88" s="184"/>
      <c r="HJ88" s="184"/>
      <c r="HK88" s="184"/>
      <c r="HL88" s="184"/>
      <c r="HM88" s="184"/>
      <c r="HN88" s="184"/>
      <c r="HO88" s="184"/>
      <c r="HP88" s="184"/>
      <c r="HQ88" s="184"/>
      <c r="HR88" s="184"/>
      <c r="HS88" s="184"/>
      <c r="HT88" s="184"/>
      <c r="HU88" s="184"/>
      <c r="HV88" s="184"/>
      <c r="HW88" s="184"/>
      <c r="HX88" s="184"/>
      <c r="HY88" s="184"/>
      <c r="HZ88" s="184"/>
      <c r="IA88" s="184"/>
      <c r="IB88" s="184"/>
      <c r="IC88" s="184"/>
      <c r="ID88" s="184"/>
      <c r="IE88" s="184"/>
      <c r="IF88" s="184"/>
      <c r="IG88" s="184"/>
      <c r="IH88" s="184"/>
      <c r="II88" s="184"/>
      <c r="IJ88" s="184"/>
      <c r="IK88" s="184"/>
      <c r="IL88" s="184"/>
      <c r="IM88" s="184"/>
      <c r="IN88" s="184"/>
      <c r="IO88" s="184"/>
      <c r="IP88" s="184"/>
      <c r="IQ88" s="184"/>
      <c r="IR88" s="184"/>
      <c r="IS88" s="184"/>
      <c r="IT88" s="184"/>
      <c r="IU88" s="184"/>
      <c r="IV88" s="184"/>
      <c r="IW88" s="242"/>
    </row>
    <row r="89" customFormat="false" ht="12.6" hidden="false" customHeight="true" outlineLevel="0" collapsed="false">
      <c r="A89" s="248"/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184"/>
      <c r="AA89" s="248"/>
      <c r="AB89" s="248"/>
      <c r="AC89" s="184"/>
      <c r="AD89" s="184"/>
      <c r="AE89" s="270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247"/>
      <c r="AR89" s="247"/>
      <c r="AS89" s="247"/>
      <c r="AT89" s="184"/>
      <c r="BD89" s="184"/>
      <c r="BE89" s="184"/>
      <c r="BF89" s="184"/>
      <c r="BG89" s="184"/>
      <c r="BH89" s="184"/>
      <c r="BI89" s="184"/>
      <c r="BJ89" s="184"/>
      <c r="BK89" s="184"/>
      <c r="BL89" s="184"/>
      <c r="BM89" s="184"/>
      <c r="BN89" s="184"/>
      <c r="BO89" s="184"/>
      <c r="BP89" s="184"/>
      <c r="BQ89" s="184"/>
      <c r="BR89" s="184"/>
      <c r="BS89" s="184"/>
      <c r="BT89" s="184"/>
      <c r="BU89" s="184"/>
      <c r="BV89" s="184"/>
      <c r="BW89" s="184"/>
      <c r="BX89" s="184"/>
      <c r="BY89" s="184"/>
      <c r="BZ89" s="184"/>
      <c r="CA89" s="184"/>
      <c r="CB89" s="184"/>
      <c r="CC89" s="184"/>
      <c r="CD89" s="184"/>
      <c r="CE89" s="184"/>
      <c r="CF89" s="184"/>
      <c r="CG89" s="184"/>
      <c r="CH89" s="184"/>
      <c r="CI89" s="184"/>
      <c r="CJ89" s="184"/>
      <c r="CK89" s="184"/>
      <c r="CL89" s="184"/>
      <c r="CM89" s="184"/>
      <c r="CN89" s="184"/>
      <c r="CO89" s="184"/>
      <c r="CP89" s="184"/>
      <c r="CQ89" s="184"/>
      <c r="CR89" s="184"/>
      <c r="CS89" s="184"/>
      <c r="CT89" s="184"/>
      <c r="CU89" s="184"/>
      <c r="CV89" s="184"/>
      <c r="CW89" s="184"/>
      <c r="CX89" s="184"/>
      <c r="CY89" s="184"/>
      <c r="CZ89" s="184"/>
      <c r="DA89" s="184"/>
      <c r="DB89" s="184"/>
      <c r="DC89" s="184"/>
      <c r="DD89" s="184"/>
      <c r="DE89" s="184"/>
      <c r="DF89" s="184"/>
      <c r="DG89" s="184"/>
      <c r="DH89" s="184"/>
      <c r="DI89" s="184"/>
      <c r="DJ89" s="184"/>
      <c r="DK89" s="184"/>
      <c r="DL89" s="184"/>
      <c r="DM89" s="184"/>
      <c r="DN89" s="184"/>
      <c r="DO89" s="184"/>
      <c r="DP89" s="184"/>
      <c r="DQ89" s="184"/>
      <c r="DR89" s="184"/>
      <c r="DS89" s="184"/>
      <c r="DT89" s="184"/>
      <c r="DU89" s="184"/>
      <c r="DV89" s="184"/>
      <c r="DW89" s="184"/>
      <c r="DX89" s="184"/>
      <c r="DY89" s="184"/>
      <c r="DZ89" s="184"/>
      <c r="EA89" s="184"/>
      <c r="EB89" s="184"/>
      <c r="EC89" s="184"/>
      <c r="ED89" s="184"/>
      <c r="EE89" s="184"/>
      <c r="EF89" s="184"/>
      <c r="EG89" s="184"/>
      <c r="EH89" s="184"/>
      <c r="EI89" s="184"/>
      <c r="EJ89" s="184"/>
      <c r="EK89" s="184"/>
      <c r="EL89" s="184"/>
      <c r="EM89" s="184"/>
      <c r="EN89" s="184"/>
      <c r="EO89" s="184"/>
      <c r="EP89" s="184"/>
      <c r="EQ89" s="184"/>
      <c r="ER89" s="184"/>
      <c r="ES89" s="184"/>
      <c r="ET89" s="184"/>
      <c r="EU89" s="184"/>
      <c r="EV89" s="184"/>
      <c r="EW89" s="184"/>
      <c r="EX89" s="184"/>
      <c r="EY89" s="184"/>
      <c r="EZ89" s="184"/>
      <c r="FA89" s="184"/>
      <c r="FB89" s="184"/>
      <c r="FC89" s="184"/>
      <c r="FD89" s="184"/>
      <c r="FE89" s="184"/>
      <c r="FF89" s="184"/>
      <c r="FG89" s="184"/>
      <c r="FH89" s="184"/>
      <c r="FI89" s="184"/>
      <c r="FJ89" s="184"/>
      <c r="FK89" s="184"/>
      <c r="FL89" s="184"/>
      <c r="FM89" s="184"/>
      <c r="FN89" s="184"/>
      <c r="FO89" s="184"/>
      <c r="FP89" s="184"/>
      <c r="FQ89" s="184"/>
      <c r="FR89" s="184"/>
      <c r="FS89" s="184"/>
      <c r="FT89" s="184"/>
      <c r="FU89" s="184"/>
      <c r="FV89" s="184"/>
      <c r="FW89" s="184"/>
      <c r="FX89" s="184"/>
      <c r="FY89" s="184"/>
      <c r="FZ89" s="184"/>
      <c r="GA89" s="184"/>
      <c r="GB89" s="184"/>
      <c r="GC89" s="184"/>
      <c r="GD89" s="184"/>
      <c r="GE89" s="184"/>
      <c r="GF89" s="184"/>
      <c r="GG89" s="184"/>
      <c r="GH89" s="184"/>
      <c r="GI89" s="184"/>
      <c r="GJ89" s="184"/>
      <c r="GK89" s="184"/>
      <c r="GL89" s="184"/>
      <c r="GM89" s="184"/>
      <c r="GN89" s="184"/>
      <c r="GO89" s="184"/>
      <c r="GP89" s="184"/>
      <c r="GQ89" s="184"/>
      <c r="GR89" s="184"/>
      <c r="GS89" s="184"/>
      <c r="GT89" s="184"/>
      <c r="GU89" s="184"/>
      <c r="GV89" s="184"/>
      <c r="GW89" s="184"/>
      <c r="GX89" s="184"/>
      <c r="GY89" s="184"/>
      <c r="GZ89" s="184"/>
      <c r="HA89" s="184"/>
      <c r="HB89" s="184"/>
      <c r="HC89" s="184"/>
      <c r="HD89" s="184"/>
      <c r="HE89" s="184"/>
      <c r="HF89" s="184"/>
      <c r="HG89" s="184"/>
      <c r="HH89" s="184"/>
      <c r="HI89" s="184"/>
      <c r="HJ89" s="184"/>
      <c r="HK89" s="184"/>
      <c r="HL89" s="184"/>
      <c r="HM89" s="184"/>
      <c r="HN89" s="184"/>
      <c r="HO89" s="184"/>
      <c r="HP89" s="184"/>
      <c r="HQ89" s="184"/>
      <c r="HR89" s="184"/>
      <c r="HS89" s="184"/>
      <c r="HT89" s="184"/>
      <c r="HU89" s="184"/>
      <c r="HV89" s="184"/>
      <c r="HW89" s="184"/>
      <c r="HX89" s="184"/>
      <c r="HY89" s="184"/>
      <c r="HZ89" s="184"/>
      <c r="IA89" s="184"/>
      <c r="IB89" s="184"/>
      <c r="IC89" s="184"/>
      <c r="ID89" s="184"/>
      <c r="IE89" s="184"/>
      <c r="IF89" s="184"/>
      <c r="IG89" s="184"/>
      <c r="IH89" s="184"/>
      <c r="II89" s="184"/>
      <c r="IJ89" s="184"/>
      <c r="IK89" s="184"/>
      <c r="IL89" s="184"/>
      <c r="IM89" s="184"/>
      <c r="IN89" s="184"/>
      <c r="IO89" s="184"/>
      <c r="IP89" s="184"/>
      <c r="IQ89" s="184"/>
      <c r="IR89" s="184"/>
      <c r="IS89" s="184"/>
      <c r="IT89" s="184"/>
      <c r="IU89" s="184"/>
      <c r="IV89" s="184"/>
      <c r="IW89" s="242"/>
    </row>
    <row r="90" customFormat="false" ht="12.6" hidden="false" customHeight="true" outlineLevel="0" collapsed="false">
      <c r="A90" s="248"/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22"/>
      <c r="AA90" s="248"/>
      <c r="AB90" s="248"/>
      <c r="AC90" s="222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BD90" s="184"/>
      <c r="BE90" s="184"/>
      <c r="BF90" s="184"/>
      <c r="BG90" s="184"/>
      <c r="BH90" s="184"/>
      <c r="BI90" s="184"/>
      <c r="BJ90" s="184"/>
      <c r="BK90" s="184"/>
      <c r="BL90" s="184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  <c r="FQ90" s="184"/>
      <c r="FR90" s="184"/>
      <c r="FS90" s="184"/>
      <c r="FT90" s="184"/>
      <c r="FU90" s="184"/>
      <c r="FV90" s="184"/>
      <c r="FW90" s="184"/>
      <c r="FX90" s="184"/>
      <c r="FY90" s="184"/>
      <c r="FZ90" s="184"/>
      <c r="GA90" s="184"/>
      <c r="GB90" s="184"/>
      <c r="GC90" s="184"/>
      <c r="GD90" s="184"/>
      <c r="GE90" s="184"/>
      <c r="GF90" s="184"/>
      <c r="GG90" s="184"/>
      <c r="GH90" s="184"/>
      <c r="GI90" s="184"/>
      <c r="GJ90" s="184"/>
      <c r="GK90" s="184"/>
      <c r="GL90" s="184"/>
      <c r="GM90" s="184"/>
      <c r="GN90" s="184"/>
      <c r="GO90" s="184"/>
      <c r="GP90" s="184"/>
      <c r="GQ90" s="184"/>
      <c r="GR90" s="184"/>
      <c r="GS90" s="184"/>
      <c r="GT90" s="184"/>
      <c r="GU90" s="184"/>
      <c r="GV90" s="184"/>
      <c r="GW90" s="184"/>
      <c r="GX90" s="184"/>
      <c r="GY90" s="184"/>
      <c r="GZ90" s="184"/>
      <c r="HA90" s="184"/>
      <c r="HB90" s="184"/>
      <c r="HC90" s="184"/>
      <c r="HD90" s="184"/>
      <c r="HE90" s="184"/>
      <c r="HF90" s="184"/>
      <c r="HG90" s="184"/>
      <c r="HH90" s="184"/>
      <c r="HI90" s="184"/>
      <c r="HJ90" s="184"/>
      <c r="HK90" s="184"/>
      <c r="HL90" s="184"/>
      <c r="HM90" s="184"/>
      <c r="HN90" s="184"/>
      <c r="HO90" s="184"/>
      <c r="HP90" s="184"/>
      <c r="HQ90" s="184"/>
      <c r="HR90" s="184"/>
      <c r="HS90" s="184"/>
      <c r="HT90" s="184"/>
      <c r="HU90" s="184"/>
      <c r="HV90" s="184"/>
      <c r="HW90" s="184"/>
      <c r="HX90" s="184"/>
      <c r="HY90" s="184"/>
      <c r="HZ90" s="184"/>
      <c r="IA90" s="184"/>
      <c r="IB90" s="184"/>
      <c r="IC90" s="184"/>
      <c r="ID90" s="184"/>
      <c r="IE90" s="184"/>
      <c r="IF90" s="184"/>
      <c r="IG90" s="184"/>
      <c r="IH90" s="184"/>
      <c r="II90" s="184"/>
      <c r="IJ90" s="184"/>
      <c r="IK90" s="184"/>
      <c r="IL90" s="184"/>
      <c r="IM90" s="184"/>
      <c r="IN90" s="184"/>
      <c r="IO90" s="184"/>
      <c r="IP90" s="184"/>
      <c r="IQ90" s="184"/>
      <c r="IR90" s="184"/>
      <c r="IS90" s="184"/>
      <c r="IT90" s="184"/>
      <c r="IU90" s="184"/>
      <c r="IV90" s="184"/>
      <c r="IW90" s="242"/>
    </row>
    <row r="91" customFormat="false" ht="12.6" hidden="false" customHeight="true" outlineLevel="0" collapsed="false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242"/>
      <c r="AB91" s="242"/>
      <c r="AC91" s="248"/>
      <c r="AD91" s="242"/>
      <c r="AE91" s="254"/>
      <c r="AF91" s="254"/>
      <c r="AG91" s="254"/>
      <c r="AH91" s="254"/>
      <c r="AI91" s="254"/>
      <c r="AJ91" s="254"/>
      <c r="AK91" s="254"/>
      <c r="AL91" s="254"/>
      <c r="AM91" s="254"/>
      <c r="AN91" s="254"/>
      <c r="AO91" s="254"/>
      <c r="AP91" s="254"/>
      <c r="AQ91" s="254"/>
      <c r="AR91" s="254"/>
      <c r="AS91" s="254"/>
      <c r="AT91" s="254"/>
      <c r="BD91" s="242"/>
      <c r="BE91" s="242"/>
      <c r="BF91" s="184"/>
      <c r="BG91" s="242"/>
      <c r="BH91" s="242"/>
      <c r="BI91" s="242"/>
      <c r="BJ91" s="242"/>
      <c r="BK91" s="242"/>
      <c r="BL91" s="242"/>
      <c r="BM91" s="242"/>
      <c r="BN91" s="242"/>
      <c r="BO91" s="242"/>
      <c r="BP91" s="242"/>
      <c r="BQ91" s="242"/>
      <c r="BR91" s="242"/>
      <c r="BS91" s="242"/>
      <c r="BT91" s="242"/>
      <c r="BU91" s="242"/>
      <c r="BV91" s="242"/>
      <c r="BW91" s="242"/>
      <c r="BX91" s="242"/>
      <c r="BY91" s="242"/>
      <c r="BZ91" s="242"/>
      <c r="CA91" s="242"/>
      <c r="CB91" s="242"/>
      <c r="CC91" s="242"/>
      <c r="CD91" s="242"/>
      <c r="CE91" s="242"/>
      <c r="CF91" s="242"/>
      <c r="CG91" s="242"/>
      <c r="CH91" s="242"/>
      <c r="CI91" s="242"/>
      <c r="CJ91" s="242"/>
      <c r="CK91" s="242"/>
      <c r="CL91" s="242"/>
      <c r="CM91" s="242"/>
      <c r="CN91" s="242"/>
      <c r="CO91" s="242"/>
      <c r="CP91" s="242"/>
      <c r="CQ91" s="242"/>
      <c r="CR91" s="242"/>
      <c r="CS91" s="242"/>
      <c r="CT91" s="242"/>
      <c r="CU91" s="242"/>
      <c r="CV91" s="242"/>
      <c r="CW91" s="242"/>
      <c r="CX91" s="242"/>
      <c r="CY91" s="242"/>
      <c r="CZ91" s="242"/>
      <c r="DA91" s="242"/>
      <c r="DB91" s="242"/>
      <c r="DC91" s="242"/>
      <c r="DD91" s="242"/>
      <c r="DE91" s="242"/>
      <c r="DF91" s="242"/>
      <c r="DG91" s="242"/>
      <c r="DH91" s="242"/>
      <c r="DI91" s="242"/>
      <c r="DJ91" s="242"/>
      <c r="DK91" s="242"/>
      <c r="DL91" s="242"/>
      <c r="DM91" s="242"/>
      <c r="DN91" s="242"/>
      <c r="DO91" s="242"/>
      <c r="DP91" s="242"/>
      <c r="DQ91" s="242"/>
      <c r="DR91" s="242"/>
      <c r="DS91" s="242"/>
      <c r="DT91" s="242"/>
      <c r="DU91" s="242"/>
      <c r="DV91" s="242"/>
      <c r="DW91" s="242"/>
      <c r="DX91" s="242"/>
      <c r="DY91" s="242"/>
      <c r="DZ91" s="242"/>
      <c r="EA91" s="242"/>
      <c r="EB91" s="242"/>
      <c r="EC91" s="242"/>
      <c r="ED91" s="242"/>
      <c r="EE91" s="242"/>
      <c r="EF91" s="242"/>
      <c r="EG91" s="242"/>
      <c r="EH91" s="242"/>
      <c r="EI91" s="242"/>
      <c r="EJ91" s="242"/>
      <c r="EK91" s="242"/>
      <c r="EL91" s="242"/>
      <c r="EM91" s="242"/>
      <c r="EN91" s="242"/>
      <c r="EO91" s="242"/>
      <c r="EP91" s="242"/>
      <c r="EQ91" s="242"/>
      <c r="ER91" s="242"/>
      <c r="ES91" s="242"/>
      <c r="ET91" s="242"/>
      <c r="EU91" s="242"/>
      <c r="EV91" s="242"/>
      <c r="EW91" s="242"/>
      <c r="EX91" s="242"/>
      <c r="EY91" s="242"/>
      <c r="EZ91" s="242"/>
      <c r="FA91" s="242"/>
      <c r="FB91" s="242"/>
      <c r="FC91" s="242"/>
      <c r="FD91" s="242"/>
      <c r="FE91" s="242"/>
      <c r="FF91" s="242"/>
      <c r="FG91" s="242"/>
      <c r="FH91" s="242"/>
      <c r="FI91" s="242"/>
      <c r="FJ91" s="242"/>
      <c r="FK91" s="242"/>
      <c r="FL91" s="242"/>
      <c r="FM91" s="242"/>
      <c r="FN91" s="242"/>
      <c r="FO91" s="242"/>
      <c r="FP91" s="242"/>
      <c r="FQ91" s="242"/>
      <c r="FR91" s="242"/>
      <c r="FS91" s="242"/>
      <c r="FT91" s="242"/>
      <c r="FU91" s="242"/>
      <c r="FV91" s="242"/>
      <c r="FW91" s="242"/>
      <c r="FX91" s="242"/>
      <c r="FY91" s="242"/>
      <c r="FZ91" s="242"/>
      <c r="GA91" s="242"/>
      <c r="GB91" s="242"/>
      <c r="GC91" s="242"/>
      <c r="GD91" s="242"/>
      <c r="GE91" s="242"/>
      <c r="GF91" s="242"/>
      <c r="GG91" s="242"/>
      <c r="GH91" s="242"/>
      <c r="GI91" s="242"/>
      <c r="GJ91" s="242"/>
      <c r="GK91" s="242"/>
      <c r="GL91" s="242"/>
      <c r="GM91" s="242"/>
      <c r="GN91" s="242"/>
      <c r="GO91" s="242"/>
      <c r="GP91" s="242"/>
      <c r="GQ91" s="242"/>
      <c r="GR91" s="242"/>
      <c r="GS91" s="242"/>
      <c r="GT91" s="242"/>
      <c r="GU91" s="242"/>
      <c r="GV91" s="242"/>
      <c r="GW91" s="242"/>
      <c r="GX91" s="242"/>
      <c r="GY91" s="242"/>
      <c r="GZ91" s="242"/>
      <c r="HA91" s="242"/>
      <c r="HB91" s="242"/>
      <c r="HC91" s="242"/>
      <c r="HD91" s="242"/>
      <c r="HE91" s="242"/>
      <c r="HF91" s="242"/>
      <c r="HG91" s="242"/>
      <c r="HH91" s="242"/>
      <c r="HI91" s="242"/>
      <c r="HJ91" s="242"/>
      <c r="HK91" s="242"/>
      <c r="HL91" s="242"/>
      <c r="HM91" s="242"/>
      <c r="HN91" s="242"/>
      <c r="HO91" s="242"/>
      <c r="HP91" s="242"/>
      <c r="HQ91" s="242"/>
      <c r="HR91" s="242"/>
      <c r="HS91" s="242"/>
      <c r="HT91" s="242"/>
      <c r="HU91" s="242"/>
      <c r="HV91" s="242"/>
      <c r="HW91" s="242"/>
      <c r="HX91" s="242"/>
      <c r="HY91" s="242"/>
      <c r="HZ91" s="242"/>
      <c r="IA91" s="242"/>
      <c r="IB91" s="242"/>
      <c r="IC91" s="242"/>
      <c r="ID91" s="242"/>
      <c r="IE91" s="242"/>
      <c r="IF91" s="242"/>
      <c r="IG91" s="242"/>
      <c r="IH91" s="242"/>
      <c r="II91" s="242"/>
      <c r="IJ91" s="242"/>
      <c r="IK91" s="242"/>
      <c r="IL91" s="242"/>
      <c r="IM91" s="242"/>
      <c r="IN91" s="242"/>
      <c r="IO91" s="242"/>
      <c r="IP91" s="242"/>
      <c r="IQ91" s="242"/>
      <c r="IR91" s="242"/>
      <c r="IS91" s="242"/>
      <c r="IT91" s="242"/>
      <c r="IU91" s="242"/>
      <c r="IV91" s="242"/>
      <c r="IW91" s="242"/>
    </row>
    <row r="92" customFormat="false" ht="12.6" hidden="false" customHeight="true" outlineLevel="0" collapsed="false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248"/>
      <c r="AA92" s="248"/>
      <c r="AB92" s="248"/>
      <c r="AC92" s="248"/>
      <c r="AD92" s="242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4"/>
      <c r="AP92" s="254"/>
      <c r="AQ92" s="254"/>
      <c r="AR92" s="254"/>
      <c r="AS92" s="254"/>
      <c r="AT92" s="254"/>
      <c r="BD92" s="242"/>
      <c r="BE92" s="242"/>
      <c r="BF92" s="184"/>
      <c r="BG92" s="242"/>
      <c r="BH92" s="242"/>
      <c r="BI92" s="242"/>
      <c r="BJ92" s="242"/>
      <c r="BK92" s="242"/>
      <c r="BL92" s="242"/>
      <c r="BM92" s="242"/>
      <c r="BN92" s="242"/>
      <c r="BO92" s="242"/>
      <c r="BP92" s="242"/>
      <c r="BQ92" s="242"/>
      <c r="BR92" s="242"/>
      <c r="BS92" s="242"/>
      <c r="BT92" s="242"/>
      <c r="BU92" s="242"/>
      <c r="BV92" s="242"/>
      <c r="BW92" s="242"/>
      <c r="BX92" s="242"/>
      <c r="BY92" s="242"/>
      <c r="BZ92" s="242"/>
      <c r="CA92" s="242"/>
      <c r="CB92" s="242"/>
      <c r="CC92" s="242"/>
      <c r="CD92" s="242"/>
      <c r="CE92" s="242"/>
      <c r="CF92" s="242"/>
      <c r="CG92" s="242"/>
      <c r="CH92" s="242"/>
      <c r="CI92" s="242"/>
      <c r="CJ92" s="242"/>
      <c r="CK92" s="242"/>
      <c r="CL92" s="242"/>
      <c r="CM92" s="242"/>
      <c r="CN92" s="242"/>
      <c r="CO92" s="242"/>
      <c r="CP92" s="242"/>
      <c r="CQ92" s="242"/>
      <c r="CR92" s="242"/>
      <c r="CS92" s="242"/>
      <c r="CT92" s="242"/>
      <c r="CU92" s="242"/>
      <c r="CV92" s="242"/>
      <c r="CW92" s="242"/>
      <c r="CX92" s="242"/>
      <c r="CY92" s="242"/>
      <c r="CZ92" s="242"/>
      <c r="DA92" s="242"/>
      <c r="DB92" s="242"/>
      <c r="DC92" s="242"/>
      <c r="DD92" s="242"/>
      <c r="DE92" s="242"/>
      <c r="DF92" s="242"/>
      <c r="DG92" s="242"/>
      <c r="DH92" s="242"/>
      <c r="DI92" s="242"/>
      <c r="DJ92" s="242"/>
      <c r="DK92" s="242"/>
      <c r="DL92" s="242"/>
      <c r="DM92" s="242"/>
      <c r="DN92" s="242"/>
      <c r="DO92" s="242"/>
      <c r="DP92" s="242"/>
      <c r="DQ92" s="242"/>
      <c r="DR92" s="242"/>
      <c r="DS92" s="242"/>
      <c r="DT92" s="242"/>
      <c r="DU92" s="242"/>
      <c r="DV92" s="242"/>
      <c r="DW92" s="242"/>
      <c r="DX92" s="242"/>
      <c r="DY92" s="242"/>
      <c r="DZ92" s="242"/>
      <c r="EA92" s="242"/>
      <c r="EB92" s="242"/>
      <c r="EC92" s="242"/>
      <c r="ED92" s="242"/>
      <c r="EE92" s="242"/>
      <c r="EF92" s="242"/>
      <c r="EG92" s="242"/>
      <c r="EH92" s="242"/>
      <c r="EI92" s="242"/>
      <c r="EJ92" s="242"/>
      <c r="EK92" s="242"/>
      <c r="EL92" s="242"/>
      <c r="EM92" s="242"/>
      <c r="EN92" s="242"/>
      <c r="EO92" s="242"/>
      <c r="EP92" s="242"/>
      <c r="EQ92" s="242"/>
      <c r="ER92" s="242"/>
      <c r="ES92" s="242"/>
      <c r="ET92" s="242"/>
      <c r="EU92" s="242"/>
      <c r="EV92" s="242"/>
      <c r="EW92" s="242"/>
      <c r="EX92" s="242"/>
      <c r="EY92" s="242"/>
      <c r="EZ92" s="242"/>
      <c r="FA92" s="242"/>
      <c r="FB92" s="242"/>
      <c r="FC92" s="242"/>
      <c r="FD92" s="242"/>
      <c r="FE92" s="242"/>
      <c r="FF92" s="242"/>
      <c r="FG92" s="242"/>
      <c r="FH92" s="242"/>
      <c r="FI92" s="242"/>
      <c r="FJ92" s="242"/>
      <c r="FK92" s="242"/>
      <c r="FL92" s="242"/>
      <c r="FM92" s="242"/>
      <c r="FN92" s="242"/>
      <c r="FO92" s="242"/>
      <c r="FP92" s="242"/>
      <c r="FQ92" s="242"/>
      <c r="FR92" s="242"/>
      <c r="FS92" s="242"/>
      <c r="FT92" s="242"/>
      <c r="FU92" s="242"/>
      <c r="FV92" s="242"/>
      <c r="FW92" s="242"/>
      <c r="FX92" s="242"/>
      <c r="FY92" s="242"/>
      <c r="FZ92" s="242"/>
      <c r="GA92" s="242"/>
      <c r="GB92" s="242"/>
      <c r="GC92" s="242"/>
      <c r="GD92" s="242"/>
      <c r="GE92" s="242"/>
      <c r="GF92" s="242"/>
      <c r="GG92" s="242"/>
      <c r="GH92" s="242"/>
      <c r="GI92" s="242"/>
      <c r="GJ92" s="242"/>
      <c r="GK92" s="242"/>
      <c r="GL92" s="242"/>
      <c r="GM92" s="242"/>
      <c r="GN92" s="242"/>
      <c r="GO92" s="242"/>
      <c r="GP92" s="242"/>
      <c r="GQ92" s="242"/>
      <c r="GR92" s="242"/>
      <c r="GS92" s="242"/>
      <c r="GT92" s="242"/>
      <c r="GU92" s="242"/>
      <c r="GV92" s="242"/>
      <c r="GW92" s="242"/>
      <c r="GX92" s="242"/>
      <c r="GY92" s="242"/>
      <c r="GZ92" s="242"/>
      <c r="HA92" s="242"/>
      <c r="HB92" s="242"/>
      <c r="HC92" s="242"/>
      <c r="HD92" s="242"/>
      <c r="HE92" s="242"/>
      <c r="HF92" s="242"/>
      <c r="HG92" s="242"/>
      <c r="HH92" s="242"/>
      <c r="HI92" s="242"/>
      <c r="HJ92" s="242"/>
      <c r="HK92" s="242"/>
      <c r="HL92" s="242"/>
      <c r="HM92" s="242"/>
      <c r="HN92" s="242"/>
      <c r="HO92" s="242"/>
      <c r="HP92" s="242"/>
      <c r="HQ92" s="242"/>
      <c r="HR92" s="242"/>
      <c r="HS92" s="242"/>
      <c r="HT92" s="242"/>
      <c r="HU92" s="242"/>
      <c r="HV92" s="242"/>
      <c r="HW92" s="242"/>
      <c r="HX92" s="242"/>
      <c r="HY92" s="242"/>
      <c r="HZ92" s="242"/>
      <c r="IA92" s="242"/>
      <c r="IB92" s="242"/>
      <c r="IC92" s="242"/>
      <c r="ID92" s="242"/>
      <c r="IE92" s="242"/>
      <c r="IF92" s="242"/>
      <c r="IG92" s="242"/>
      <c r="IH92" s="242"/>
      <c r="II92" s="242"/>
      <c r="IJ92" s="242"/>
      <c r="IK92" s="242"/>
      <c r="IL92" s="242"/>
      <c r="IM92" s="242"/>
      <c r="IN92" s="242"/>
      <c r="IO92" s="242"/>
      <c r="IP92" s="242"/>
      <c r="IQ92" s="242"/>
      <c r="IR92" s="242"/>
      <c r="IS92" s="242"/>
      <c r="IT92" s="242"/>
      <c r="IU92" s="242"/>
      <c r="IV92" s="242"/>
      <c r="IW92" s="242"/>
    </row>
    <row r="93" customFormat="false" ht="12.6" hidden="false" customHeight="true" outlineLevel="0" collapsed="false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48"/>
      <c r="AA93" s="184"/>
      <c r="AB93" s="184"/>
      <c r="AC93" s="248"/>
      <c r="AD93" s="242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71"/>
      <c r="BD93" s="242"/>
      <c r="BE93" s="242"/>
      <c r="BF93" s="184"/>
      <c r="BG93" s="242"/>
      <c r="BH93" s="242"/>
      <c r="BI93" s="242"/>
      <c r="BJ93" s="242"/>
      <c r="BK93" s="242"/>
      <c r="BL93" s="242"/>
      <c r="BM93" s="242"/>
      <c r="BN93" s="242"/>
      <c r="BO93" s="242"/>
      <c r="BP93" s="242"/>
      <c r="BQ93" s="242"/>
      <c r="BR93" s="242"/>
      <c r="BS93" s="242"/>
      <c r="BT93" s="242"/>
      <c r="BU93" s="242"/>
      <c r="BV93" s="242"/>
      <c r="BW93" s="242"/>
      <c r="BX93" s="242"/>
      <c r="BY93" s="242"/>
      <c r="BZ93" s="242"/>
      <c r="CA93" s="242"/>
      <c r="CB93" s="242"/>
      <c r="CC93" s="242"/>
      <c r="CD93" s="242"/>
      <c r="CE93" s="242"/>
      <c r="CF93" s="242"/>
      <c r="CG93" s="242"/>
      <c r="CH93" s="242"/>
      <c r="CI93" s="242"/>
      <c r="CJ93" s="242"/>
      <c r="CK93" s="242"/>
      <c r="CL93" s="242"/>
      <c r="CM93" s="242"/>
      <c r="CN93" s="242"/>
      <c r="CO93" s="242"/>
      <c r="CP93" s="242"/>
      <c r="CQ93" s="242"/>
      <c r="CR93" s="242"/>
      <c r="CS93" s="242"/>
      <c r="CT93" s="242"/>
      <c r="CU93" s="242"/>
      <c r="CV93" s="242"/>
      <c r="CW93" s="242"/>
      <c r="CX93" s="242"/>
      <c r="CY93" s="242"/>
      <c r="CZ93" s="242"/>
      <c r="DA93" s="242"/>
      <c r="DB93" s="242"/>
      <c r="DC93" s="242"/>
      <c r="DD93" s="242"/>
      <c r="DE93" s="242"/>
      <c r="DF93" s="242"/>
      <c r="DG93" s="242"/>
      <c r="DH93" s="242"/>
      <c r="DI93" s="242"/>
      <c r="DJ93" s="242"/>
      <c r="DK93" s="242"/>
      <c r="DL93" s="242"/>
      <c r="DM93" s="242"/>
      <c r="DN93" s="242"/>
      <c r="DO93" s="242"/>
      <c r="DP93" s="242"/>
      <c r="DQ93" s="242"/>
      <c r="DR93" s="242"/>
      <c r="DS93" s="242"/>
      <c r="DT93" s="242"/>
      <c r="DU93" s="242"/>
      <c r="DV93" s="242"/>
      <c r="DW93" s="242"/>
      <c r="DX93" s="242"/>
      <c r="DY93" s="242"/>
      <c r="DZ93" s="242"/>
      <c r="EA93" s="242"/>
      <c r="EB93" s="242"/>
      <c r="EC93" s="242"/>
      <c r="ED93" s="242"/>
      <c r="EE93" s="242"/>
      <c r="EF93" s="242"/>
      <c r="EG93" s="242"/>
      <c r="EH93" s="242"/>
      <c r="EI93" s="242"/>
      <c r="EJ93" s="242"/>
      <c r="EK93" s="242"/>
      <c r="EL93" s="242"/>
      <c r="EM93" s="242"/>
      <c r="EN93" s="242"/>
      <c r="EO93" s="242"/>
      <c r="EP93" s="242"/>
      <c r="EQ93" s="242"/>
      <c r="ER93" s="242"/>
      <c r="ES93" s="242"/>
      <c r="ET93" s="242"/>
      <c r="EU93" s="242"/>
      <c r="EV93" s="242"/>
      <c r="EW93" s="242"/>
      <c r="EX93" s="242"/>
      <c r="EY93" s="242"/>
      <c r="EZ93" s="242"/>
      <c r="FA93" s="242"/>
      <c r="FB93" s="242"/>
      <c r="FC93" s="242"/>
      <c r="FD93" s="242"/>
      <c r="FE93" s="242"/>
      <c r="FF93" s="242"/>
      <c r="FG93" s="242"/>
      <c r="FH93" s="242"/>
      <c r="FI93" s="242"/>
      <c r="FJ93" s="242"/>
      <c r="FK93" s="242"/>
      <c r="FL93" s="242"/>
      <c r="FM93" s="242"/>
      <c r="FN93" s="242"/>
      <c r="FO93" s="242"/>
      <c r="FP93" s="242"/>
      <c r="FQ93" s="242"/>
      <c r="FR93" s="242"/>
      <c r="FS93" s="242"/>
      <c r="FT93" s="242"/>
      <c r="FU93" s="242"/>
      <c r="FV93" s="242"/>
      <c r="FW93" s="242"/>
      <c r="FX93" s="242"/>
      <c r="FY93" s="242"/>
      <c r="FZ93" s="242"/>
      <c r="GA93" s="242"/>
      <c r="GB93" s="242"/>
      <c r="GC93" s="242"/>
      <c r="GD93" s="242"/>
      <c r="GE93" s="242"/>
      <c r="GF93" s="242"/>
      <c r="GG93" s="242"/>
      <c r="GH93" s="242"/>
      <c r="GI93" s="242"/>
      <c r="GJ93" s="242"/>
      <c r="GK93" s="242"/>
      <c r="GL93" s="242"/>
      <c r="GM93" s="242"/>
      <c r="GN93" s="242"/>
      <c r="GO93" s="242"/>
      <c r="GP93" s="242"/>
      <c r="GQ93" s="242"/>
      <c r="GR93" s="242"/>
      <c r="GS93" s="242"/>
      <c r="GT93" s="242"/>
      <c r="GU93" s="242"/>
      <c r="GV93" s="242"/>
      <c r="GW93" s="242"/>
      <c r="GX93" s="242"/>
      <c r="GY93" s="242"/>
      <c r="GZ93" s="242"/>
      <c r="HA93" s="242"/>
      <c r="HB93" s="242"/>
      <c r="HC93" s="242"/>
      <c r="HD93" s="242"/>
      <c r="HE93" s="242"/>
      <c r="HF93" s="242"/>
      <c r="HG93" s="242"/>
      <c r="HH93" s="242"/>
      <c r="HI93" s="242"/>
      <c r="HJ93" s="242"/>
      <c r="HK93" s="242"/>
      <c r="HL93" s="242"/>
      <c r="HM93" s="242"/>
      <c r="HN93" s="242"/>
      <c r="HO93" s="242"/>
      <c r="HP93" s="242"/>
      <c r="HQ93" s="242"/>
      <c r="HR93" s="242"/>
      <c r="HS93" s="242"/>
      <c r="HT93" s="242"/>
      <c r="HU93" s="242"/>
      <c r="HV93" s="242"/>
      <c r="HW93" s="242"/>
      <c r="HX93" s="242"/>
      <c r="HY93" s="242"/>
      <c r="HZ93" s="242"/>
      <c r="IA93" s="242"/>
      <c r="IB93" s="242"/>
      <c r="IC93" s="242"/>
      <c r="ID93" s="242"/>
      <c r="IE93" s="242"/>
      <c r="IF93" s="242"/>
      <c r="IG93" s="242"/>
      <c r="IH93" s="242"/>
      <c r="II93" s="242"/>
      <c r="IJ93" s="242"/>
      <c r="IK93" s="242"/>
      <c r="IL93" s="242"/>
      <c r="IM93" s="242"/>
      <c r="IN93" s="242"/>
      <c r="IO93" s="242"/>
      <c r="IP93" s="242"/>
      <c r="IQ93" s="242"/>
      <c r="IR93" s="242"/>
      <c r="IS93" s="242"/>
      <c r="IT93" s="242"/>
      <c r="IU93" s="242"/>
      <c r="IV93" s="242"/>
      <c r="IW93" s="184"/>
    </row>
    <row r="94" customFormat="false" ht="12.6" hidden="false" customHeight="true" outlineLevel="0" collapsed="false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242"/>
      <c r="AA94" s="184"/>
      <c r="AB94" s="184"/>
      <c r="AC94" s="248"/>
      <c r="AD94" s="242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BD94" s="242"/>
      <c r="BE94" s="242"/>
      <c r="BF94" s="184"/>
      <c r="BG94" s="242"/>
      <c r="BH94" s="242"/>
      <c r="BI94" s="242"/>
      <c r="BJ94" s="242"/>
      <c r="BK94" s="242"/>
      <c r="BL94" s="242"/>
      <c r="BM94" s="242"/>
      <c r="BN94" s="242"/>
      <c r="BO94" s="242"/>
      <c r="BP94" s="242"/>
      <c r="BQ94" s="242"/>
      <c r="BR94" s="242"/>
      <c r="BS94" s="242"/>
      <c r="BT94" s="242"/>
      <c r="BU94" s="242"/>
      <c r="BV94" s="242"/>
      <c r="BW94" s="242"/>
      <c r="BX94" s="242"/>
      <c r="BY94" s="242"/>
      <c r="BZ94" s="242"/>
      <c r="CA94" s="242"/>
      <c r="CB94" s="242"/>
      <c r="CC94" s="242"/>
      <c r="CD94" s="242"/>
      <c r="CE94" s="242"/>
      <c r="CF94" s="242"/>
      <c r="CG94" s="242"/>
      <c r="CH94" s="242"/>
      <c r="CI94" s="242"/>
      <c r="CJ94" s="242"/>
      <c r="CK94" s="242"/>
      <c r="CL94" s="242"/>
      <c r="CM94" s="242"/>
      <c r="CN94" s="242"/>
      <c r="CO94" s="242"/>
      <c r="CP94" s="242"/>
      <c r="CQ94" s="242"/>
      <c r="CR94" s="242"/>
      <c r="CS94" s="242"/>
      <c r="CT94" s="242"/>
      <c r="CU94" s="242"/>
      <c r="CV94" s="242"/>
      <c r="CW94" s="242"/>
      <c r="CX94" s="242"/>
      <c r="CY94" s="242"/>
      <c r="CZ94" s="242"/>
      <c r="DA94" s="242"/>
      <c r="DB94" s="242"/>
      <c r="DC94" s="242"/>
      <c r="DD94" s="242"/>
      <c r="DE94" s="242"/>
      <c r="DF94" s="242"/>
      <c r="DG94" s="242"/>
      <c r="DH94" s="242"/>
      <c r="DI94" s="242"/>
      <c r="DJ94" s="242"/>
      <c r="DK94" s="242"/>
      <c r="DL94" s="242"/>
      <c r="DM94" s="242"/>
      <c r="DN94" s="242"/>
      <c r="DO94" s="242"/>
      <c r="DP94" s="242"/>
      <c r="DQ94" s="242"/>
      <c r="DR94" s="242"/>
      <c r="DS94" s="242"/>
      <c r="DT94" s="242"/>
      <c r="DU94" s="242"/>
      <c r="DV94" s="242"/>
      <c r="DW94" s="242"/>
      <c r="DX94" s="242"/>
      <c r="DY94" s="242"/>
      <c r="DZ94" s="242"/>
      <c r="EA94" s="242"/>
      <c r="EB94" s="242"/>
      <c r="EC94" s="242"/>
      <c r="ED94" s="242"/>
      <c r="EE94" s="242"/>
      <c r="EF94" s="242"/>
      <c r="EG94" s="242"/>
      <c r="EH94" s="242"/>
      <c r="EI94" s="242"/>
      <c r="EJ94" s="242"/>
      <c r="EK94" s="242"/>
      <c r="EL94" s="242"/>
      <c r="EM94" s="242"/>
      <c r="EN94" s="242"/>
      <c r="EO94" s="242"/>
      <c r="EP94" s="242"/>
      <c r="EQ94" s="242"/>
      <c r="ER94" s="242"/>
      <c r="ES94" s="242"/>
      <c r="ET94" s="242"/>
      <c r="EU94" s="242"/>
      <c r="EV94" s="242"/>
      <c r="EW94" s="242"/>
      <c r="EX94" s="242"/>
      <c r="EY94" s="242"/>
      <c r="EZ94" s="242"/>
      <c r="FA94" s="242"/>
      <c r="FB94" s="242"/>
      <c r="FC94" s="242"/>
      <c r="FD94" s="242"/>
      <c r="FE94" s="242"/>
      <c r="FF94" s="242"/>
      <c r="FG94" s="242"/>
      <c r="FH94" s="242"/>
      <c r="FI94" s="242"/>
      <c r="FJ94" s="242"/>
      <c r="FK94" s="242"/>
      <c r="FL94" s="242"/>
      <c r="FM94" s="242"/>
      <c r="FN94" s="242"/>
      <c r="FO94" s="242"/>
      <c r="FP94" s="242"/>
      <c r="FQ94" s="242"/>
      <c r="FR94" s="242"/>
      <c r="FS94" s="242"/>
      <c r="FT94" s="242"/>
      <c r="FU94" s="242"/>
      <c r="FV94" s="242"/>
      <c r="FW94" s="242"/>
      <c r="FX94" s="242"/>
      <c r="FY94" s="242"/>
      <c r="FZ94" s="242"/>
      <c r="GA94" s="242"/>
      <c r="GB94" s="242"/>
      <c r="GC94" s="242"/>
      <c r="GD94" s="242"/>
      <c r="GE94" s="242"/>
      <c r="GF94" s="242"/>
      <c r="GG94" s="242"/>
      <c r="GH94" s="242"/>
      <c r="GI94" s="242"/>
      <c r="GJ94" s="242"/>
      <c r="GK94" s="242"/>
      <c r="GL94" s="242"/>
      <c r="GM94" s="242"/>
      <c r="GN94" s="242"/>
      <c r="GO94" s="242"/>
      <c r="GP94" s="242"/>
      <c r="GQ94" s="242"/>
      <c r="GR94" s="242"/>
      <c r="GS94" s="242"/>
      <c r="GT94" s="242"/>
      <c r="GU94" s="242"/>
      <c r="GV94" s="242"/>
      <c r="GW94" s="242"/>
      <c r="GX94" s="242"/>
      <c r="GY94" s="242"/>
      <c r="GZ94" s="242"/>
      <c r="HA94" s="242"/>
      <c r="HB94" s="242"/>
      <c r="HC94" s="242"/>
      <c r="HD94" s="242"/>
      <c r="HE94" s="242"/>
      <c r="HF94" s="242"/>
      <c r="HG94" s="242"/>
      <c r="HH94" s="242"/>
      <c r="HI94" s="242"/>
      <c r="HJ94" s="242"/>
      <c r="HK94" s="242"/>
      <c r="HL94" s="242"/>
      <c r="HM94" s="242"/>
      <c r="HN94" s="242"/>
      <c r="HO94" s="242"/>
      <c r="HP94" s="242"/>
      <c r="HQ94" s="242"/>
      <c r="HR94" s="242"/>
      <c r="HS94" s="242"/>
      <c r="HT94" s="242"/>
      <c r="HU94" s="242"/>
      <c r="HV94" s="242"/>
      <c r="HW94" s="242"/>
      <c r="HX94" s="242"/>
      <c r="HY94" s="242"/>
      <c r="HZ94" s="242"/>
      <c r="IA94" s="242"/>
      <c r="IB94" s="242"/>
      <c r="IC94" s="242"/>
      <c r="ID94" s="242"/>
      <c r="IE94" s="242"/>
      <c r="IF94" s="242"/>
      <c r="IG94" s="242"/>
      <c r="IH94" s="242"/>
      <c r="II94" s="242"/>
      <c r="IJ94" s="242"/>
      <c r="IK94" s="242"/>
      <c r="IL94" s="242"/>
      <c r="IM94" s="242"/>
      <c r="IN94" s="242"/>
      <c r="IO94" s="242"/>
      <c r="IP94" s="242"/>
      <c r="IQ94" s="242"/>
      <c r="IR94" s="242"/>
      <c r="IS94" s="242"/>
      <c r="IT94" s="242"/>
      <c r="IU94" s="242"/>
      <c r="IV94" s="242"/>
      <c r="IW94" s="184"/>
    </row>
    <row r="95" customFormat="false" ht="12.6" hidden="false" customHeight="true" outlineLevel="0" collapsed="false">
      <c r="A95" s="248"/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22"/>
      <c r="AB95" s="222"/>
      <c r="AC95" s="248"/>
      <c r="AD95" s="242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54"/>
      <c r="AT95" s="254"/>
      <c r="BD95" s="242"/>
      <c r="BE95" s="242"/>
      <c r="BF95" s="184"/>
      <c r="BG95" s="242"/>
      <c r="BH95" s="242"/>
      <c r="BI95" s="242"/>
      <c r="BJ95" s="242"/>
      <c r="BK95" s="242"/>
      <c r="BL95" s="242"/>
      <c r="BM95" s="242"/>
      <c r="BN95" s="242"/>
      <c r="BO95" s="242"/>
      <c r="BP95" s="242"/>
      <c r="BQ95" s="242"/>
      <c r="BR95" s="242"/>
      <c r="BS95" s="242"/>
      <c r="BT95" s="242"/>
      <c r="BU95" s="242"/>
      <c r="BV95" s="242"/>
      <c r="BW95" s="242"/>
      <c r="BX95" s="242"/>
      <c r="BY95" s="242"/>
      <c r="BZ95" s="242"/>
      <c r="CA95" s="242"/>
      <c r="CB95" s="242"/>
      <c r="CC95" s="242"/>
      <c r="CD95" s="242"/>
      <c r="CE95" s="242"/>
      <c r="CF95" s="242"/>
      <c r="CG95" s="242"/>
      <c r="CH95" s="242"/>
      <c r="CI95" s="242"/>
      <c r="CJ95" s="242"/>
      <c r="CK95" s="242"/>
      <c r="CL95" s="242"/>
      <c r="CM95" s="242"/>
      <c r="CN95" s="242"/>
      <c r="CO95" s="242"/>
      <c r="CP95" s="242"/>
      <c r="CQ95" s="242"/>
      <c r="CR95" s="242"/>
      <c r="CS95" s="242"/>
      <c r="CT95" s="242"/>
      <c r="CU95" s="242"/>
      <c r="CV95" s="242"/>
      <c r="CW95" s="242"/>
      <c r="CX95" s="242"/>
      <c r="CY95" s="242"/>
      <c r="CZ95" s="242"/>
      <c r="DA95" s="242"/>
      <c r="DB95" s="242"/>
      <c r="DC95" s="242"/>
      <c r="DD95" s="242"/>
      <c r="DE95" s="242"/>
      <c r="DF95" s="242"/>
      <c r="DG95" s="242"/>
      <c r="DH95" s="242"/>
      <c r="DI95" s="242"/>
      <c r="DJ95" s="242"/>
      <c r="DK95" s="242"/>
      <c r="DL95" s="242"/>
      <c r="DM95" s="242"/>
      <c r="DN95" s="242"/>
      <c r="DO95" s="242"/>
      <c r="DP95" s="242"/>
      <c r="DQ95" s="242"/>
      <c r="DR95" s="242"/>
      <c r="DS95" s="242"/>
      <c r="DT95" s="242"/>
      <c r="DU95" s="242"/>
      <c r="DV95" s="242"/>
      <c r="DW95" s="242"/>
      <c r="DX95" s="242"/>
      <c r="DY95" s="242"/>
      <c r="DZ95" s="242"/>
      <c r="EA95" s="242"/>
      <c r="EB95" s="242"/>
      <c r="EC95" s="242"/>
      <c r="ED95" s="242"/>
      <c r="EE95" s="242"/>
      <c r="EF95" s="242"/>
      <c r="EG95" s="242"/>
      <c r="EH95" s="242"/>
      <c r="EI95" s="242"/>
      <c r="EJ95" s="242"/>
      <c r="EK95" s="242"/>
      <c r="EL95" s="242"/>
      <c r="EM95" s="242"/>
      <c r="EN95" s="242"/>
      <c r="EO95" s="242"/>
      <c r="EP95" s="242"/>
      <c r="EQ95" s="242"/>
      <c r="ER95" s="242"/>
      <c r="ES95" s="242"/>
      <c r="ET95" s="242"/>
      <c r="EU95" s="242"/>
      <c r="EV95" s="242"/>
      <c r="EW95" s="242"/>
      <c r="EX95" s="242"/>
      <c r="EY95" s="242"/>
      <c r="EZ95" s="242"/>
      <c r="FA95" s="242"/>
      <c r="FB95" s="242"/>
      <c r="FC95" s="242"/>
      <c r="FD95" s="242"/>
      <c r="FE95" s="242"/>
      <c r="FF95" s="242"/>
      <c r="FG95" s="242"/>
      <c r="FH95" s="242"/>
      <c r="FI95" s="242"/>
      <c r="FJ95" s="242"/>
      <c r="FK95" s="242"/>
      <c r="FL95" s="242"/>
      <c r="FM95" s="242"/>
      <c r="FN95" s="242"/>
      <c r="FO95" s="242"/>
      <c r="FP95" s="242"/>
      <c r="FQ95" s="242"/>
      <c r="FR95" s="242"/>
      <c r="FS95" s="242"/>
      <c r="FT95" s="242"/>
      <c r="FU95" s="242"/>
      <c r="FV95" s="242"/>
      <c r="FW95" s="242"/>
      <c r="FX95" s="242"/>
      <c r="FY95" s="242"/>
      <c r="FZ95" s="242"/>
      <c r="GA95" s="242"/>
      <c r="GB95" s="242"/>
      <c r="GC95" s="242"/>
      <c r="GD95" s="242"/>
      <c r="GE95" s="242"/>
      <c r="GF95" s="242"/>
      <c r="GG95" s="242"/>
      <c r="GH95" s="242"/>
      <c r="GI95" s="242"/>
      <c r="GJ95" s="242"/>
      <c r="GK95" s="242"/>
      <c r="GL95" s="242"/>
      <c r="GM95" s="242"/>
      <c r="GN95" s="242"/>
      <c r="GO95" s="242"/>
      <c r="GP95" s="242"/>
      <c r="GQ95" s="242"/>
      <c r="GR95" s="242"/>
      <c r="GS95" s="242"/>
      <c r="GT95" s="242"/>
      <c r="GU95" s="242"/>
      <c r="GV95" s="242"/>
      <c r="GW95" s="242"/>
      <c r="GX95" s="242"/>
      <c r="GY95" s="242"/>
      <c r="GZ95" s="242"/>
      <c r="HA95" s="242"/>
      <c r="HB95" s="242"/>
      <c r="HC95" s="242"/>
      <c r="HD95" s="242"/>
      <c r="HE95" s="242"/>
      <c r="HF95" s="242"/>
      <c r="HG95" s="242"/>
      <c r="HH95" s="242"/>
      <c r="HI95" s="242"/>
      <c r="HJ95" s="242"/>
      <c r="HK95" s="242"/>
      <c r="HL95" s="242"/>
      <c r="HM95" s="242"/>
      <c r="HN95" s="242"/>
      <c r="HO95" s="242"/>
      <c r="HP95" s="242"/>
      <c r="HQ95" s="242"/>
      <c r="HR95" s="242"/>
      <c r="HS95" s="242"/>
      <c r="HT95" s="242"/>
      <c r="HU95" s="242"/>
      <c r="HV95" s="242"/>
      <c r="HW95" s="242"/>
      <c r="HX95" s="242"/>
      <c r="HY95" s="242"/>
      <c r="HZ95" s="242"/>
      <c r="IA95" s="242"/>
      <c r="IB95" s="242"/>
      <c r="IC95" s="242"/>
      <c r="ID95" s="242"/>
      <c r="IE95" s="242"/>
      <c r="IF95" s="242"/>
      <c r="IG95" s="242"/>
      <c r="IH95" s="242"/>
      <c r="II95" s="242"/>
      <c r="IJ95" s="242"/>
      <c r="IK95" s="242"/>
      <c r="IL95" s="242"/>
      <c r="IM95" s="242"/>
      <c r="IN95" s="242"/>
      <c r="IO95" s="242"/>
      <c r="IP95" s="242"/>
      <c r="IQ95" s="242"/>
      <c r="IR95" s="242"/>
      <c r="IS95" s="242"/>
      <c r="IT95" s="242"/>
      <c r="IU95" s="242"/>
      <c r="IV95" s="242"/>
      <c r="IW95" s="184"/>
    </row>
    <row r="96" customFormat="false" ht="12.6" hidden="false" customHeight="true" outlineLevel="0" collapsed="false">
      <c r="A96" s="248"/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184"/>
      <c r="AA96" s="248"/>
      <c r="AB96" s="248"/>
      <c r="AC96" s="248"/>
      <c r="AD96" s="242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54"/>
      <c r="AT96" s="254"/>
      <c r="BD96" s="242"/>
      <c r="BE96" s="242"/>
      <c r="BF96" s="184"/>
      <c r="BG96" s="242"/>
      <c r="BH96" s="242"/>
      <c r="BI96" s="242"/>
      <c r="BJ96" s="242"/>
      <c r="BK96" s="242"/>
      <c r="BL96" s="242"/>
      <c r="BM96" s="242"/>
      <c r="BN96" s="242"/>
      <c r="BO96" s="242"/>
      <c r="BP96" s="242"/>
      <c r="BQ96" s="242"/>
      <c r="BR96" s="242"/>
      <c r="BS96" s="242"/>
      <c r="BT96" s="242"/>
      <c r="BU96" s="242"/>
      <c r="BV96" s="242"/>
      <c r="BW96" s="242"/>
      <c r="BX96" s="242"/>
      <c r="BY96" s="242"/>
      <c r="BZ96" s="242"/>
      <c r="CA96" s="242"/>
      <c r="CB96" s="242"/>
      <c r="CC96" s="242"/>
      <c r="CD96" s="242"/>
      <c r="CE96" s="242"/>
      <c r="CF96" s="242"/>
      <c r="CG96" s="242"/>
      <c r="CH96" s="242"/>
      <c r="CI96" s="242"/>
      <c r="CJ96" s="242"/>
      <c r="CK96" s="242"/>
      <c r="CL96" s="242"/>
      <c r="CM96" s="242"/>
      <c r="CN96" s="242"/>
      <c r="CO96" s="242"/>
      <c r="CP96" s="242"/>
      <c r="CQ96" s="242"/>
      <c r="CR96" s="242"/>
      <c r="CS96" s="242"/>
      <c r="CT96" s="242"/>
      <c r="CU96" s="242"/>
      <c r="CV96" s="242"/>
      <c r="CW96" s="242"/>
      <c r="CX96" s="242"/>
      <c r="CY96" s="242"/>
      <c r="CZ96" s="242"/>
      <c r="DA96" s="242"/>
      <c r="DB96" s="242"/>
      <c r="DC96" s="242"/>
      <c r="DD96" s="242"/>
      <c r="DE96" s="242"/>
      <c r="DF96" s="242"/>
      <c r="DG96" s="242"/>
      <c r="DH96" s="242"/>
      <c r="DI96" s="242"/>
      <c r="DJ96" s="242"/>
      <c r="DK96" s="242"/>
      <c r="DL96" s="242"/>
      <c r="DM96" s="242"/>
      <c r="DN96" s="242"/>
      <c r="DO96" s="242"/>
      <c r="DP96" s="242"/>
      <c r="DQ96" s="242"/>
      <c r="DR96" s="242"/>
      <c r="DS96" s="242"/>
      <c r="DT96" s="242"/>
      <c r="DU96" s="242"/>
      <c r="DV96" s="242"/>
      <c r="DW96" s="242"/>
      <c r="DX96" s="242"/>
      <c r="DY96" s="242"/>
      <c r="DZ96" s="242"/>
      <c r="EA96" s="242"/>
      <c r="EB96" s="242"/>
      <c r="EC96" s="242"/>
      <c r="ED96" s="242"/>
      <c r="EE96" s="242"/>
      <c r="EF96" s="242"/>
      <c r="EG96" s="242"/>
      <c r="EH96" s="242"/>
      <c r="EI96" s="242"/>
      <c r="EJ96" s="242"/>
      <c r="EK96" s="242"/>
      <c r="EL96" s="242"/>
      <c r="EM96" s="242"/>
      <c r="EN96" s="242"/>
      <c r="EO96" s="242"/>
      <c r="EP96" s="242"/>
      <c r="EQ96" s="242"/>
      <c r="ER96" s="242"/>
      <c r="ES96" s="242"/>
      <c r="ET96" s="242"/>
      <c r="EU96" s="242"/>
      <c r="EV96" s="242"/>
      <c r="EW96" s="242"/>
      <c r="EX96" s="242"/>
      <c r="EY96" s="242"/>
      <c r="EZ96" s="242"/>
      <c r="FA96" s="242"/>
      <c r="FB96" s="242"/>
      <c r="FC96" s="242"/>
      <c r="FD96" s="242"/>
      <c r="FE96" s="242"/>
      <c r="FF96" s="242"/>
      <c r="FG96" s="242"/>
      <c r="FH96" s="242"/>
      <c r="FI96" s="242"/>
      <c r="FJ96" s="242"/>
      <c r="FK96" s="242"/>
      <c r="FL96" s="242"/>
      <c r="FM96" s="242"/>
      <c r="FN96" s="242"/>
      <c r="FO96" s="242"/>
      <c r="FP96" s="242"/>
      <c r="FQ96" s="242"/>
      <c r="FR96" s="242"/>
      <c r="FS96" s="242"/>
      <c r="FT96" s="242"/>
      <c r="FU96" s="242"/>
      <c r="FV96" s="242"/>
      <c r="FW96" s="242"/>
      <c r="FX96" s="242"/>
      <c r="FY96" s="242"/>
      <c r="FZ96" s="242"/>
      <c r="GA96" s="242"/>
      <c r="GB96" s="242"/>
      <c r="GC96" s="242"/>
      <c r="GD96" s="242"/>
      <c r="GE96" s="242"/>
      <c r="GF96" s="242"/>
      <c r="GG96" s="242"/>
      <c r="GH96" s="242"/>
      <c r="GI96" s="242"/>
      <c r="GJ96" s="242"/>
      <c r="GK96" s="242"/>
      <c r="GL96" s="242"/>
      <c r="GM96" s="242"/>
      <c r="GN96" s="242"/>
      <c r="GO96" s="242"/>
      <c r="GP96" s="242"/>
      <c r="GQ96" s="242"/>
      <c r="GR96" s="242"/>
      <c r="GS96" s="242"/>
      <c r="GT96" s="242"/>
      <c r="GU96" s="242"/>
      <c r="GV96" s="242"/>
      <c r="GW96" s="242"/>
      <c r="GX96" s="242"/>
      <c r="GY96" s="242"/>
      <c r="GZ96" s="242"/>
      <c r="HA96" s="242"/>
      <c r="HB96" s="242"/>
      <c r="HC96" s="242"/>
      <c r="HD96" s="242"/>
      <c r="HE96" s="242"/>
      <c r="HF96" s="242"/>
      <c r="HG96" s="242"/>
      <c r="HH96" s="242"/>
      <c r="HI96" s="242"/>
      <c r="HJ96" s="242"/>
      <c r="HK96" s="242"/>
      <c r="HL96" s="242"/>
      <c r="HM96" s="242"/>
      <c r="HN96" s="242"/>
      <c r="HO96" s="242"/>
      <c r="HP96" s="242"/>
      <c r="HQ96" s="242"/>
      <c r="HR96" s="242"/>
      <c r="HS96" s="242"/>
      <c r="HT96" s="242"/>
      <c r="HU96" s="242"/>
      <c r="HV96" s="242"/>
      <c r="HW96" s="242"/>
      <c r="HX96" s="242"/>
      <c r="HY96" s="242"/>
      <c r="HZ96" s="242"/>
      <c r="IA96" s="242"/>
      <c r="IB96" s="242"/>
      <c r="IC96" s="242"/>
      <c r="ID96" s="242"/>
      <c r="IE96" s="242"/>
      <c r="IF96" s="242"/>
      <c r="IG96" s="242"/>
      <c r="IH96" s="242"/>
      <c r="II96" s="242"/>
      <c r="IJ96" s="242"/>
      <c r="IK96" s="242"/>
      <c r="IL96" s="242"/>
      <c r="IM96" s="242"/>
      <c r="IN96" s="242"/>
      <c r="IO96" s="242"/>
      <c r="IP96" s="242"/>
      <c r="IQ96" s="242"/>
      <c r="IR96" s="242"/>
      <c r="IS96" s="242"/>
      <c r="IT96" s="242"/>
      <c r="IU96" s="242"/>
      <c r="IV96" s="242"/>
      <c r="IW96" s="242"/>
    </row>
    <row r="97" customFormat="false" ht="12.6" hidden="false" customHeight="true" outlineLevel="0" collapsed="false">
      <c r="A97" s="242"/>
      <c r="B97" s="242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184"/>
      <c r="AA97" s="248"/>
      <c r="AB97" s="248"/>
      <c r="AC97" s="248"/>
      <c r="AD97" s="242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54"/>
      <c r="AT97" s="254"/>
      <c r="BD97" s="242"/>
      <c r="BE97" s="242"/>
      <c r="BF97" s="184"/>
      <c r="BG97" s="242"/>
      <c r="BH97" s="242"/>
      <c r="BI97" s="242"/>
      <c r="BJ97" s="242"/>
      <c r="BK97" s="242"/>
      <c r="BL97" s="242"/>
      <c r="BM97" s="242"/>
      <c r="BN97" s="242"/>
      <c r="BO97" s="242"/>
      <c r="BP97" s="242"/>
      <c r="BQ97" s="242"/>
      <c r="BR97" s="242"/>
      <c r="BS97" s="242"/>
      <c r="BT97" s="242"/>
      <c r="BU97" s="242"/>
      <c r="BV97" s="242"/>
      <c r="BW97" s="242"/>
      <c r="BX97" s="242"/>
      <c r="BY97" s="242"/>
      <c r="BZ97" s="242"/>
      <c r="CA97" s="242"/>
      <c r="CB97" s="242"/>
      <c r="CC97" s="242"/>
      <c r="CD97" s="242"/>
      <c r="CE97" s="242"/>
      <c r="CF97" s="242"/>
      <c r="CG97" s="242"/>
      <c r="CH97" s="242"/>
      <c r="CI97" s="242"/>
      <c r="CJ97" s="242"/>
      <c r="CK97" s="242"/>
      <c r="CL97" s="242"/>
      <c r="CM97" s="242"/>
      <c r="CN97" s="242"/>
      <c r="CO97" s="242"/>
      <c r="CP97" s="242"/>
      <c r="CQ97" s="242"/>
      <c r="CR97" s="242"/>
      <c r="CS97" s="242"/>
      <c r="CT97" s="242"/>
      <c r="CU97" s="242"/>
      <c r="CV97" s="242"/>
      <c r="CW97" s="242"/>
      <c r="CX97" s="242"/>
      <c r="CY97" s="242"/>
      <c r="CZ97" s="242"/>
      <c r="DA97" s="242"/>
      <c r="DB97" s="242"/>
      <c r="DC97" s="242"/>
      <c r="DD97" s="242"/>
      <c r="DE97" s="242"/>
      <c r="DF97" s="242"/>
      <c r="DG97" s="242"/>
      <c r="DH97" s="242"/>
      <c r="DI97" s="242"/>
      <c r="DJ97" s="242"/>
      <c r="DK97" s="242"/>
      <c r="DL97" s="242"/>
      <c r="DM97" s="242"/>
      <c r="DN97" s="242"/>
      <c r="DO97" s="242"/>
      <c r="DP97" s="242"/>
      <c r="DQ97" s="242"/>
      <c r="DR97" s="242"/>
      <c r="DS97" s="242"/>
      <c r="DT97" s="242"/>
      <c r="DU97" s="242"/>
      <c r="DV97" s="242"/>
      <c r="DW97" s="242"/>
      <c r="DX97" s="242"/>
      <c r="DY97" s="242"/>
      <c r="DZ97" s="242"/>
      <c r="EA97" s="242"/>
      <c r="EB97" s="242"/>
      <c r="EC97" s="242"/>
      <c r="ED97" s="242"/>
      <c r="EE97" s="242"/>
      <c r="EF97" s="242"/>
      <c r="EG97" s="242"/>
      <c r="EH97" s="242"/>
      <c r="EI97" s="242"/>
      <c r="EJ97" s="242"/>
      <c r="EK97" s="242"/>
      <c r="EL97" s="242"/>
      <c r="EM97" s="242"/>
      <c r="EN97" s="242"/>
      <c r="EO97" s="242"/>
      <c r="EP97" s="242"/>
      <c r="EQ97" s="242"/>
      <c r="ER97" s="242"/>
      <c r="ES97" s="242"/>
      <c r="ET97" s="242"/>
      <c r="EU97" s="242"/>
      <c r="EV97" s="242"/>
      <c r="EW97" s="242"/>
      <c r="EX97" s="242"/>
      <c r="EY97" s="242"/>
      <c r="EZ97" s="242"/>
      <c r="FA97" s="242"/>
      <c r="FB97" s="242"/>
      <c r="FC97" s="242"/>
      <c r="FD97" s="242"/>
      <c r="FE97" s="242"/>
      <c r="FF97" s="242"/>
      <c r="FG97" s="242"/>
      <c r="FH97" s="242"/>
      <c r="FI97" s="242"/>
      <c r="FJ97" s="242"/>
      <c r="FK97" s="242"/>
      <c r="FL97" s="242"/>
      <c r="FM97" s="242"/>
      <c r="FN97" s="242"/>
      <c r="FO97" s="242"/>
      <c r="FP97" s="242"/>
      <c r="FQ97" s="242"/>
      <c r="FR97" s="242"/>
      <c r="FS97" s="242"/>
      <c r="FT97" s="242"/>
      <c r="FU97" s="242"/>
      <c r="FV97" s="242"/>
      <c r="FW97" s="242"/>
      <c r="FX97" s="242"/>
      <c r="FY97" s="242"/>
      <c r="FZ97" s="242"/>
      <c r="GA97" s="242"/>
      <c r="GB97" s="242"/>
      <c r="GC97" s="242"/>
      <c r="GD97" s="242"/>
      <c r="GE97" s="242"/>
      <c r="GF97" s="242"/>
      <c r="GG97" s="242"/>
      <c r="GH97" s="242"/>
      <c r="GI97" s="242"/>
      <c r="GJ97" s="242"/>
      <c r="GK97" s="242"/>
      <c r="GL97" s="242"/>
      <c r="GM97" s="242"/>
      <c r="GN97" s="242"/>
      <c r="GO97" s="242"/>
      <c r="GP97" s="242"/>
      <c r="GQ97" s="242"/>
      <c r="GR97" s="242"/>
      <c r="GS97" s="242"/>
      <c r="GT97" s="242"/>
      <c r="GU97" s="242"/>
      <c r="GV97" s="242"/>
      <c r="GW97" s="242"/>
      <c r="GX97" s="242"/>
      <c r="GY97" s="242"/>
      <c r="GZ97" s="242"/>
      <c r="HA97" s="242"/>
      <c r="HB97" s="242"/>
      <c r="HC97" s="242"/>
      <c r="HD97" s="242"/>
      <c r="HE97" s="242"/>
      <c r="HF97" s="242"/>
      <c r="HG97" s="242"/>
      <c r="HH97" s="242"/>
      <c r="HI97" s="242"/>
      <c r="HJ97" s="242"/>
      <c r="HK97" s="242"/>
      <c r="HL97" s="242"/>
      <c r="HM97" s="242"/>
      <c r="HN97" s="242"/>
      <c r="HO97" s="242"/>
      <c r="HP97" s="242"/>
      <c r="HQ97" s="242"/>
      <c r="HR97" s="242"/>
      <c r="HS97" s="242"/>
      <c r="HT97" s="242"/>
      <c r="HU97" s="242"/>
      <c r="HV97" s="242"/>
      <c r="HW97" s="242"/>
      <c r="HX97" s="242"/>
      <c r="HY97" s="242"/>
      <c r="HZ97" s="242"/>
      <c r="IA97" s="242"/>
      <c r="IB97" s="242"/>
      <c r="IC97" s="242"/>
      <c r="ID97" s="242"/>
      <c r="IE97" s="242"/>
      <c r="IF97" s="242"/>
      <c r="IG97" s="242"/>
      <c r="IH97" s="242"/>
      <c r="II97" s="242"/>
      <c r="IJ97" s="242"/>
      <c r="IK97" s="242"/>
      <c r="IL97" s="242"/>
      <c r="IM97" s="242"/>
      <c r="IN97" s="242"/>
      <c r="IO97" s="242"/>
      <c r="IP97" s="242"/>
      <c r="IQ97" s="242"/>
      <c r="IR97" s="242"/>
      <c r="IS97" s="242"/>
      <c r="IT97" s="242"/>
      <c r="IU97" s="242"/>
      <c r="IV97" s="242"/>
      <c r="IW97" s="242"/>
    </row>
    <row r="98" customFormat="false" ht="12.6" hidden="false" customHeight="true" outlineLevel="0" collapsed="false">
      <c r="A98" s="248"/>
      <c r="B98" s="248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22"/>
      <c r="AA98" s="248"/>
      <c r="AB98" s="248"/>
      <c r="AC98" s="248"/>
      <c r="AD98" s="18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4"/>
      <c r="AP98" s="254"/>
      <c r="AQ98" s="254"/>
      <c r="AR98" s="254"/>
      <c r="AS98" s="254"/>
      <c r="AT98" s="184"/>
      <c r="BD98" s="184"/>
      <c r="BE98" s="184"/>
      <c r="BF98" s="184"/>
      <c r="BG98" s="184"/>
      <c r="BH98" s="184"/>
      <c r="BI98" s="184"/>
      <c r="BJ98" s="184"/>
      <c r="BK98" s="184"/>
      <c r="BL98" s="184"/>
      <c r="BM98" s="184"/>
      <c r="BN98" s="184"/>
      <c r="BO98" s="184"/>
      <c r="BP98" s="184"/>
      <c r="BQ98" s="184"/>
      <c r="BR98" s="184"/>
      <c r="BS98" s="184"/>
      <c r="BT98" s="184"/>
      <c r="BU98" s="184"/>
      <c r="BV98" s="184"/>
      <c r="BW98" s="184"/>
      <c r="BX98" s="184"/>
      <c r="BY98" s="184"/>
      <c r="BZ98" s="184"/>
      <c r="CA98" s="184"/>
      <c r="CB98" s="184"/>
      <c r="CC98" s="184"/>
      <c r="CD98" s="184"/>
      <c r="CE98" s="184"/>
      <c r="CF98" s="184"/>
      <c r="CG98" s="184"/>
      <c r="CH98" s="184"/>
      <c r="CI98" s="184"/>
      <c r="CJ98" s="184"/>
      <c r="CK98" s="184"/>
      <c r="CL98" s="184"/>
      <c r="CM98" s="184"/>
      <c r="CN98" s="184"/>
      <c r="CO98" s="184"/>
      <c r="CP98" s="184"/>
      <c r="CQ98" s="184"/>
      <c r="CR98" s="184"/>
      <c r="CS98" s="184"/>
      <c r="CT98" s="184"/>
      <c r="CU98" s="184"/>
      <c r="CV98" s="184"/>
      <c r="CW98" s="184"/>
      <c r="CX98" s="184"/>
      <c r="CY98" s="184"/>
      <c r="CZ98" s="184"/>
      <c r="DA98" s="184"/>
      <c r="DB98" s="184"/>
      <c r="DC98" s="184"/>
      <c r="DD98" s="184"/>
      <c r="DE98" s="184"/>
      <c r="DF98" s="184"/>
      <c r="DG98" s="184"/>
      <c r="DH98" s="184"/>
      <c r="DI98" s="184"/>
      <c r="DJ98" s="184"/>
      <c r="DK98" s="184"/>
      <c r="DL98" s="184"/>
      <c r="DM98" s="184"/>
      <c r="DN98" s="184"/>
      <c r="DO98" s="184"/>
      <c r="DP98" s="184"/>
      <c r="DQ98" s="184"/>
      <c r="DR98" s="184"/>
      <c r="DS98" s="184"/>
      <c r="DT98" s="184"/>
      <c r="DU98" s="184"/>
      <c r="DV98" s="184"/>
      <c r="DW98" s="184"/>
      <c r="DX98" s="184"/>
      <c r="DY98" s="184"/>
      <c r="DZ98" s="184"/>
      <c r="EA98" s="184"/>
      <c r="EB98" s="184"/>
      <c r="EC98" s="184"/>
      <c r="ED98" s="184"/>
      <c r="EE98" s="184"/>
      <c r="EF98" s="184"/>
      <c r="EG98" s="184"/>
      <c r="EH98" s="184"/>
      <c r="EI98" s="184"/>
      <c r="EJ98" s="184"/>
      <c r="EK98" s="184"/>
      <c r="EL98" s="184"/>
      <c r="EM98" s="184"/>
      <c r="EN98" s="184"/>
      <c r="EO98" s="184"/>
      <c r="EP98" s="184"/>
      <c r="EQ98" s="184"/>
      <c r="ER98" s="184"/>
      <c r="ES98" s="184"/>
      <c r="ET98" s="184"/>
      <c r="EU98" s="184"/>
      <c r="EV98" s="184"/>
      <c r="EW98" s="184"/>
      <c r="EX98" s="184"/>
      <c r="EY98" s="184"/>
      <c r="EZ98" s="184"/>
      <c r="FA98" s="184"/>
      <c r="FB98" s="184"/>
      <c r="FC98" s="184"/>
      <c r="FD98" s="184"/>
      <c r="FE98" s="184"/>
      <c r="FF98" s="184"/>
      <c r="FG98" s="184"/>
      <c r="FH98" s="184"/>
      <c r="FI98" s="184"/>
      <c r="FJ98" s="184"/>
      <c r="FK98" s="184"/>
      <c r="FL98" s="184"/>
      <c r="FM98" s="184"/>
      <c r="FN98" s="184"/>
      <c r="FO98" s="184"/>
      <c r="FP98" s="184"/>
      <c r="FQ98" s="184"/>
      <c r="FR98" s="184"/>
      <c r="FS98" s="184"/>
      <c r="FT98" s="184"/>
      <c r="FU98" s="184"/>
      <c r="FV98" s="184"/>
      <c r="FW98" s="184"/>
      <c r="FX98" s="184"/>
      <c r="FY98" s="184"/>
      <c r="FZ98" s="184"/>
      <c r="GA98" s="184"/>
      <c r="GB98" s="184"/>
      <c r="GC98" s="184"/>
      <c r="GD98" s="184"/>
      <c r="GE98" s="184"/>
      <c r="GF98" s="184"/>
      <c r="GG98" s="184"/>
      <c r="GH98" s="184"/>
      <c r="GI98" s="184"/>
      <c r="GJ98" s="184"/>
      <c r="GK98" s="184"/>
      <c r="GL98" s="184"/>
      <c r="GM98" s="184"/>
      <c r="GN98" s="184"/>
      <c r="GO98" s="184"/>
      <c r="GP98" s="184"/>
      <c r="GQ98" s="184"/>
      <c r="GR98" s="184"/>
      <c r="GS98" s="184"/>
      <c r="GT98" s="184"/>
      <c r="GU98" s="184"/>
      <c r="GV98" s="184"/>
      <c r="GW98" s="184"/>
      <c r="GX98" s="184"/>
      <c r="GY98" s="184"/>
      <c r="GZ98" s="184"/>
      <c r="HA98" s="184"/>
      <c r="HB98" s="184"/>
      <c r="HC98" s="184"/>
      <c r="HD98" s="184"/>
      <c r="HE98" s="184"/>
      <c r="HF98" s="184"/>
      <c r="HG98" s="184"/>
      <c r="HH98" s="184"/>
      <c r="HI98" s="184"/>
      <c r="HJ98" s="184"/>
      <c r="HK98" s="184"/>
      <c r="HL98" s="184"/>
      <c r="HM98" s="184"/>
      <c r="HN98" s="184"/>
      <c r="HO98" s="184"/>
      <c r="HP98" s="184"/>
      <c r="HQ98" s="184"/>
      <c r="HR98" s="184"/>
      <c r="HS98" s="184"/>
      <c r="HT98" s="184"/>
      <c r="HU98" s="184"/>
      <c r="HV98" s="184"/>
      <c r="HW98" s="184"/>
      <c r="HX98" s="184"/>
      <c r="HY98" s="184"/>
      <c r="HZ98" s="184"/>
      <c r="IA98" s="184"/>
      <c r="IB98" s="184"/>
      <c r="IC98" s="184"/>
      <c r="ID98" s="184"/>
      <c r="IE98" s="184"/>
      <c r="IF98" s="184"/>
      <c r="IG98" s="184"/>
      <c r="IH98" s="184"/>
      <c r="II98" s="184"/>
      <c r="IJ98" s="184"/>
      <c r="IK98" s="184"/>
      <c r="IL98" s="184"/>
      <c r="IM98" s="184"/>
      <c r="IN98" s="184"/>
      <c r="IO98" s="184"/>
      <c r="IP98" s="184"/>
      <c r="IQ98" s="184"/>
      <c r="IR98" s="184"/>
      <c r="IS98" s="184"/>
      <c r="IT98" s="184"/>
      <c r="IU98" s="184"/>
      <c r="IV98" s="184"/>
      <c r="IW98" s="242"/>
    </row>
    <row r="99" customFormat="false" ht="12.6" hidden="false" customHeight="true" outlineLevel="0" collapsed="false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248"/>
      <c r="AA99" s="248"/>
      <c r="AB99" s="248"/>
      <c r="AC99" s="248"/>
      <c r="AD99" s="18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184"/>
      <c r="BD99" s="184"/>
      <c r="BE99" s="184"/>
      <c r="BF99" s="184"/>
      <c r="BG99" s="184"/>
      <c r="BH99" s="184"/>
      <c r="BI99" s="184"/>
      <c r="BJ99" s="184"/>
      <c r="BK99" s="184"/>
      <c r="BL99" s="184"/>
      <c r="BM99" s="184"/>
      <c r="BN99" s="184"/>
      <c r="BO99" s="184"/>
      <c r="BP99" s="184"/>
      <c r="BQ99" s="184"/>
      <c r="BR99" s="184"/>
      <c r="BS99" s="184"/>
      <c r="BT99" s="184"/>
      <c r="BU99" s="184"/>
      <c r="BV99" s="184"/>
      <c r="BW99" s="184"/>
      <c r="BX99" s="184"/>
      <c r="BY99" s="184"/>
      <c r="BZ99" s="184"/>
      <c r="CA99" s="184"/>
      <c r="CB99" s="184"/>
      <c r="CC99" s="184"/>
      <c r="CD99" s="184"/>
      <c r="CE99" s="184"/>
      <c r="CF99" s="184"/>
      <c r="CG99" s="184"/>
      <c r="CH99" s="184"/>
      <c r="CI99" s="184"/>
      <c r="CJ99" s="184"/>
      <c r="CK99" s="184"/>
      <c r="CL99" s="184"/>
      <c r="CM99" s="184"/>
      <c r="CN99" s="184"/>
      <c r="CO99" s="184"/>
      <c r="CP99" s="184"/>
      <c r="CQ99" s="184"/>
      <c r="CR99" s="184"/>
      <c r="CS99" s="184"/>
      <c r="CT99" s="184"/>
      <c r="CU99" s="184"/>
      <c r="CV99" s="184"/>
      <c r="CW99" s="184"/>
      <c r="CX99" s="184"/>
      <c r="CY99" s="184"/>
      <c r="CZ99" s="184"/>
      <c r="DA99" s="184"/>
      <c r="DB99" s="184"/>
      <c r="DC99" s="184"/>
      <c r="DD99" s="184"/>
      <c r="DE99" s="184"/>
      <c r="DF99" s="184"/>
      <c r="DG99" s="184"/>
      <c r="DH99" s="184"/>
      <c r="DI99" s="184"/>
      <c r="DJ99" s="184"/>
      <c r="DK99" s="184"/>
      <c r="DL99" s="184"/>
      <c r="DM99" s="184"/>
      <c r="DN99" s="184"/>
      <c r="DO99" s="184"/>
      <c r="DP99" s="184"/>
      <c r="DQ99" s="184"/>
      <c r="DR99" s="184"/>
      <c r="DS99" s="184"/>
      <c r="DT99" s="184"/>
      <c r="DU99" s="184"/>
      <c r="DV99" s="184"/>
      <c r="DW99" s="184"/>
      <c r="DX99" s="184"/>
      <c r="DY99" s="184"/>
      <c r="DZ99" s="184"/>
      <c r="EA99" s="184"/>
      <c r="EB99" s="184"/>
      <c r="EC99" s="184"/>
      <c r="ED99" s="184"/>
      <c r="EE99" s="184"/>
      <c r="EF99" s="184"/>
      <c r="EG99" s="184"/>
      <c r="EH99" s="184"/>
      <c r="EI99" s="184"/>
      <c r="EJ99" s="184"/>
      <c r="EK99" s="184"/>
      <c r="EL99" s="184"/>
      <c r="EM99" s="184"/>
      <c r="EN99" s="184"/>
      <c r="EO99" s="184"/>
      <c r="EP99" s="184"/>
      <c r="EQ99" s="184"/>
      <c r="ER99" s="184"/>
      <c r="ES99" s="184"/>
      <c r="ET99" s="184"/>
      <c r="EU99" s="184"/>
      <c r="EV99" s="184"/>
      <c r="EW99" s="184"/>
      <c r="EX99" s="184"/>
      <c r="EY99" s="184"/>
      <c r="EZ99" s="184"/>
      <c r="FA99" s="184"/>
      <c r="FB99" s="184"/>
      <c r="FC99" s="184"/>
      <c r="FD99" s="184"/>
      <c r="FE99" s="184"/>
      <c r="FF99" s="184"/>
      <c r="FG99" s="184"/>
      <c r="FH99" s="184"/>
      <c r="FI99" s="184"/>
      <c r="FJ99" s="184"/>
      <c r="FK99" s="184"/>
      <c r="FL99" s="184"/>
      <c r="FM99" s="184"/>
      <c r="FN99" s="184"/>
      <c r="FO99" s="184"/>
      <c r="FP99" s="184"/>
      <c r="FQ99" s="184"/>
      <c r="FR99" s="184"/>
      <c r="FS99" s="184"/>
      <c r="FT99" s="184"/>
      <c r="FU99" s="184"/>
      <c r="FV99" s="184"/>
      <c r="FW99" s="184"/>
      <c r="FX99" s="184"/>
      <c r="FY99" s="184"/>
      <c r="FZ99" s="184"/>
      <c r="GA99" s="184"/>
      <c r="GB99" s="184"/>
      <c r="GC99" s="184"/>
      <c r="GD99" s="184"/>
      <c r="GE99" s="184"/>
      <c r="GF99" s="184"/>
      <c r="GG99" s="184"/>
      <c r="GH99" s="184"/>
      <c r="GI99" s="184"/>
      <c r="GJ99" s="184"/>
      <c r="GK99" s="184"/>
      <c r="GL99" s="184"/>
      <c r="GM99" s="184"/>
      <c r="GN99" s="184"/>
      <c r="GO99" s="184"/>
      <c r="GP99" s="184"/>
      <c r="GQ99" s="184"/>
      <c r="GR99" s="184"/>
      <c r="GS99" s="184"/>
      <c r="GT99" s="184"/>
      <c r="GU99" s="184"/>
      <c r="GV99" s="184"/>
      <c r="GW99" s="184"/>
      <c r="GX99" s="184"/>
      <c r="GY99" s="184"/>
      <c r="GZ99" s="184"/>
      <c r="HA99" s="184"/>
      <c r="HB99" s="184"/>
      <c r="HC99" s="184"/>
      <c r="HD99" s="184"/>
      <c r="HE99" s="184"/>
      <c r="HF99" s="184"/>
      <c r="HG99" s="184"/>
      <c r="HH99" s="184"/>
      <c r="HI99" s="184"/>
      <c r="HJ99" s="184"/>
      <c r="HK99" s="184"/>
      <c r="HL99" s="184"/>
      <c r="HM99" s="184"/>
      <c r="HN99" s="184"/>
      <c r="HO99" s="184"/>
      <c r="HP99" s="184"/>
      <c r="HQ99" s="184"/>
      <c r="HR99" s="184"/>
      <c r="HS99" s="184"/>
      <c r="HT99" s="184"/>
      <c r="HU99" s="184"/>
      <c r="HV99" s="184"/>
      <c r="HW99" s="184"/>
      <c r="HX99" s="184"/>
      <c r="HY99" s="184"/>
      <c r="HZ99" s="184"/>
      <c r="IA99" s="184"/>
      <c r="IB99" s="184"/>
      <c r="IC99" s="184"/>
      <c r="ID99" s="184"/>
      <c r="IE99" s="184"/>
      <c r="IF99" s="184"/>
      <c r="IG99" s="184"/>
      <c r="IH99" s="184"/>
      <c r="II99" s="184"/>
      <c r="IJ99" s="184"/>
      <c r="IK99" s="184"/>
      <c r="IL99" s="184"/>
      <c r="IM99" s="184"/>
      <c r="IN99" s="184"/>
      <c r="IO99" s="184"/>
      <c r="IP99" s="184"/>
      <c r="IQ99" s="184"/>
      <c r="IR99" s="184"/>
      <c r="IS99" s="184"/>
      <c r="IT99" s="184"/>
      <c r="IU99" s="184"/>
      <c r="IV99" s="184"/>
      <c r="IW99" s="242"/>
    </row>
    <row r="100" customFormat="false" ht="12.6" hidden="false" customHeight="true" outlineLevel="0" collapsed="false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248"/>
      <c r="AA100" s="248"/>
      <c r="AB100" s="248"/>
      <c r="AC100" s="248"/>
      <c r="AD100" s="18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54"/>
      <c r="AT100" s="184"/>
      <c r="BD100" s="184"/>
      <c r="BE100" s="184"/>
      <c r="BF100" s="184"/>
      <c r="BG100" s="184"/>
      <c r="BH100" s="184"/>
      <c r="BI100" s="184"/>
      <c r="BJ100" s="184"/>
      <c r="BK100" s="184"/>
      <c r="BL100" s="184"/>
      <c r="BM100" s="184"/>
      <c r="BN100" s="184"/>
      <c r="BO100" s="184"/>
      <c r="BP100" s="184"/>
      <c r="BQ100" s="184"/>
      <c r="BR100" s="184"/>
      <c r="BS100" s="184"/>
      <c r="BT100" s="184"/>
      <c r="BU100" s="184"/>
      <c r="BV100" s="184"/>
      <c r="BW100" s="184"/>
      <c r="BX100" s="184"/>
      <c r="BY100" s="184"/>
      <c r="BZ100" s="184"/>
      <c r="CA100" s="184"/>
      <c r="CB100" s="184"/>
      <c r="CC100" s="184"/>
      <c r="CD100" s="184"/>
      <c r="CE100" s="184"/>
      <c r="CF100" s="184"/>
      <c r="CG100" s="184"/>
      <c r="CH100" s="184"/>
      <c r="CI100" s="184"/>
      <c r="CJ100" s="184"/>
      <c r="CK100" s="184"/>
      <c r="CL100" s="184"/>
      <c r="CM100" s="184"/>
      <c r="CN100" s="184"/>
      <c r="CO100" s="184"/>
      <c r="CP100" s="184"/>
      <c r="CQ100" s="184"/>
      <c r="CR100" s="184"/>
      <c r="CS100" s="184"/>
      <c r="CT100" s="184"/>
      <c r="CU100" s="184"/>
      <c r="CV100" s="184"/>
      <c r="CW100" s="184"/>
      <c r="CX100" s="184"/>
      <c r="CY100" s="184"/>
      <c r="CZ100" s="184"/>
      <c r="DA100" s="184"/>
      <c r="DB100" s="184"/>
      <c r="DC100" s="184"/>
      <c r="DD100" s="184"/>
      <c r="DE100" s="184"/>
      <c r="DF100" s="184"/>
      <c r="DG100" s="184"/>
      <c r="DH100" s="184"/>
      <c r="DI100" s="184"/>
      <c r="DJ100" s="184"/>
      <c r="DK100" s="184"/>
      <c r="DL100" s="184"/>
      <c r="DM100" s="184"/>
      <c r="DN100" s="184"/>
      <c r="DO100" s="184"/>
      <c r="DP100" s="184"/>
      <c r="DQ100" s="184"/>
      <c r="DR100" s="184"/>
      <c r="DS100" s="184"/>
      <c r="DT100" s="184"/>
      <c r="DU100" s="184"/>
      <c r="DV100" s="184"/>
      <c r="DW100" s="184"/>
      <c r="DX100" s="184"/>
      <c r="DY100" s="184"/>
      <c r="DZ100" s="184"/>
      <c r="EA100" s="184"/>
      <c r="EB100" s="184"/>
      <c r="EC100" s="184"/>
      <c r="ED100" s="184"/>
      <c r="EE100" s="184"/>
      <c r="EF100" s="184"/>
      <c r="EG100" s="184"/>
      <c r="EH100" s="184"/>
      <c r="EI100" s="184"/>
      <c r="EJ100" s="184"/>
      <c r="EK100" s="184"/>
      <c r="EL100" s="184"/>
      <c r="EM100" s="184"/>
      <c r="EN100" s="184"/>
      <c r="EO100" s="184"/>
      <c r="EP100" s="184"/>
      <c r="EQ100" s="184"/>
      <c r="ER100" s="184"/>
      <c r="ES100" s="184"/>
      <c r="ET100" s="184"/>
      <c r="EU100" s="184"/>
      <c r="EV100" s="184"/>
      <c r="EW100" s="184"/>
      <c r="EX100" s="184"/>
      <c r="EY100" s="184"/>
      <c r="EZ100" s="184"/>
      <c r="FA100" s="184"/>
      <c r="FB100" s="184"/>
      <c r="FC100" s="184"/>
      <c r="FD100" s="184"/>
      <c r="FE100" s="184"/>
      <c r="FF100" s="184"/>
      <c r="FG100" s="184"/>
      <c r="FH100" s="184"/>
      <c r="FI100" s="184"/>
      <c r="FJ100" s="184"/>
      <c r="FK100" s="184"/>
      <c r="FL100" s="184"/>
      <c r="FM100" s="184"/>
      <c r="FN100" s="184"/>
      <c r="FO100" s="184"/>
      <c r="FP100" s="184"/>
      <c r="FQ100" s="184"/>
      <c r="FR100" s="184"/>
      <c r="FS100" s="184"/>
      <c r="FT100" s="184"/>
      <c r="FU100" s="184"/>
      <c r="FV100" s="184"/>
      <c r="FW100" s="184"/>
      <c r="FX100" s="184"/>
      <c r="FY100" s="184"/>
      <c r="FZ100" s="184"/>
      <c r="GA100" s="184"/>
      <c r="GB100" s="184"/>
      <c r="GC100" s="184"/>
      <c r="GD100" s="184"/>
      <c r="GE100" s="184"/>
      <c r="GF100" s="184"/>
      <c r="GG100" s="184"/>
      <c r="GH100" s="184"/>
      <c r="GI100" s="184"/>
      <c r="GJ100" s="184"/>
      <c r="GK100" s="184"/>
      <c r="GL100" s="184"/>
      <c r="GM100" s="184"/>
      <c r="GN100" s="184"/>
      <c r="GO100" s="184"/>
      <c r="GP100" s="184"/>
      <c r="GQ100" s="184"/>
      <c r="GR100" s="184"/>
      <c r="GS100" s="184"/>
      <c r="GT100" s="184"/>
      <c r="GU100" s="184"/>
      <c r="GV100" s="184"/>
      <c r="GW100" s="184"/>
      <c r="GX100" s="184"/>
      <c r="GY100" s="184"/>
      <c r="GZ100" s="184"/>
      <c r="HA100" s="184"/>
      <c r="HB100" s="184"/>
      <c r="HC100" s="184"/>
      <c r="HD100" s="184"/>
      <c r="HE100" s="184"/>
      <c r="HF100" s="184"/>
      <c r="HG100" s="184"/>
      <c r="HH100" s="184"/>
      <c r="HI100" s="184"/>
      <c r="HJ100" s="184"/>
      <c r="HK100" s="184"/>
      <c r="HL100" s="184"/>
      <c r="HM100" s="184"/>
      <c r="HN100" s="184"/>
      <c r="HO100" s="184"/>
      <c r="HP100" s="184"/>
      <c r="HQ100" s="184"/>
      <c r="HR100" s="184"/>
      <c r="HS100" s="184"/>
      <c r="HT100" s="184"/>
      <c r="HU100" s="184"/>
      <c r="HV100" s="184"/>
      <c r="HW100" s="184"/>
      <c r="HX100" s="184"/>
      <c r="HY100" s="184"/>
      <c r="HZ100" s="184"/>
      <c r="IA100" s="184"/>
      <c r="IB100" s="184"/>
      <c r="IC100" s="184"/>
      <c r="ID100" s="184"/>
      <c r="IE100" s="184"/>
      <c r="IF100" s="184"/>
      <c r="IG100" s="184"/>
      <c r="IH100" s="184"/>
      <c r="II100" s="184"/>
      <c r="IJ100" s="184"/>
      <c r="IK100" s="184"/>
      <c r="IL100" s="184"/>
      <c r="IM100" s="184"/>
      <c r="IN100" s="184"/>
      <c r="IO100" s="184"/>
      <c r="IP100" s="184"/>
      <c r="IQ100" s="184"/>
      <c r="IR100" s="184"/>
      <c r="IS100" s="184"/>
      <c r="IT100" s="184"/>
      <c r="IU100" s="184"/>
      <c r="IV100" s="184"/>
      <c r="IW100" s="242"/>
    </row>
    <row r="101" customFormat="false" ht="12.6" hidden="false" customHeight="true" outlineLevel="0" collapsed="false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48"/>
      <c r="AA101" s="248"/>
      <c r="AB101" s="248"/>
      <c r="AC101" s="248"/>
      <c r="AD101" s="24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3"/>
      <c r="BD101" s="242"/>
      <c r="BE101" s="242"/>
      <c r="BF101" s="184"/>
      <c r="BG101" s="242"/>
      <c r="BH101" s="242"/>
      <c r="BI101" s="242"/>
      <c r="BJ101" s="242"/>
      <c r="BK101" s="242"/>
      <c r="BL101" s="242"/>
      <c r="BM101" s="242"/>
      <c r="BN101" s="242"/>
      <c r="BO101" s="242"/>
      <c r="BP101" s="242"/>
      <c r="BQ101" s="242"/>
      <c r="BR101" s="242"/>
      <c r="BS101" s="242"/>
      <c r="BT101" s="242"/>
      <c r="BU101" s="242"/>
      <c r="BV101" s="242"/>
      <c r="BW101" s="242"/>
      <c r="BX101" s="242"/>
      <c r="BY101" s="242"/>
      <c r="BZ101" s="242"/>
      <c r="CA101" s="242"/>
      <c r="CB101" s="242"/>
      <c r="CC101" s="242"/>
      <c r="CD101" s="242"/>
      <c r="CE101" s="242"/>
      <c r="CF101" s="242"/>
      <c r="CG101" s="242"/>
      <c r="CH101" s="242"/>
      <c r="CI101" s="242"/>
      <c r="CJ101" s="242"/>
      <c r="CK101" s="242"/>
      <c r="CL101" s="242"/>
      <c r="CM101" s="242"/>
      <c r="CN101" s="242"/>
      <c r="CO101" s="242"/>
      <c r="CP101" s="242"/>
      <c r="CQ101" s="242"/>
      <c r="CR101" s="242"/>
      <c r="CS101" s="242"/>
      <c r="CT101" s="242"/>
      <c r="CU101" s="242"/>
      <c r="CV101" s="242"/>
      <c r="CW101" s="242"/>
      <c r="CX101" s="242"/>
      <c r="CY101" s="242"/>
      <c r="CZ101" s="242"/>
      <c r="DA101" s="242"/>
      <c r="DB101" s="242"/>
      <c r="DC101" s="242"/>
      <c r="DD101" s="242"/>
      <c r="DE101" s="242"/>
      <c r="DF101" s="242"/>
      <c r="DG101" s="242"/>
      <c r="DH101" s="242"/>
      <c r="DI101" s="242"/>
      <c r="DJ101" s="242"/>
      <c r="DK101" s="242"/>
      <c r="DL101" s="242"/>
      <c r="DM101" s="242"/>
      <c r="DN101" s="242"/>
      <c r="DO101" s="242"/>
      <c r="DP101" s="242"/>
      <c r="DQ101" s="242"/>
      <c r="DR101" s="242"/>
      <c r="DS101" s="242"/>
      <c r="DT101" s="242"/>
      <c r="DU101" s="242"/>
      <c r="DV101" s="242"/>
      <c r="DW101" s="242"/>
      <c r="DX101" s="242"/>
      <c r="DY101" s="242"/>
      <c r="DZ101" s="242"/>
      <c r="EA101" s="242"/>
      <c r="EB101" s="242"/>
      <c r="EC101" s="242"/>
      <c r="ED101" s="242"/>
      <c r="EE101" s="242"/>
      <c r="EF101" s="242"/>
      <c r="EG101" s="242"/>
      <c r="EH101" s="242"/>
      <c r="EI101" s="242"/>
      <c r="EJ101" s="242"/>
      <c r="EK101" s="242"/>
      <c r="EL101" s="242"/>
      <c r="EM101" s="242"/>
      <c r="EN101" s="242"/>
      <c r="EO101" s="242"/>
      <c r="EP101" s="242"/>
      <c r="EQ101" s="242"/>
      <c r="ER101" s="242"/>
      <c r="ES101" s="242"/>
      <c r="ET101" s="242"/>
      <c r="EU101" s="242"/>
      <c r="EV101" s="242"/>
      <c r="EW101" s="242"/>
      <c r="EX101" s="242"/>
      <c r="EY101" s="242"/>
      <c r="EZ101" s="242"/>
      <c r="FA101" s="242"/>
      <c r="FB101" s="242"/>
      <c r="FC101" s="242"/>
      <c r="FD101" s="242"/>
      <c r="FE101" s="242"/>
      <c r="FF101" s="242"/>
      <c r="FG101" s="242"/>
      <c r="FH101" s="242"/>
      <c r="FI101" s="242"/>
      <c r="FJ101" s="242"/>
      <c r="FK101" s="242"/>
      <c r="FL101" s="242"/>
      <c r="FM101" s="242"/>
      <c r="FN101" s="242"/>
      <c r="FO101" s="242"/>
      <c r="FP101" s="242"/>
      <c r="FQ101" s="242"/>
      <c r="FR101" s="242"/>
      <c r="FS101" s="242"/>
      <c r="FT101" s="242"/>
      <c r="FU101" s="242"/>
      <c r="FV101" s="242"/>
      <c r="FW101" s="242"/>
      <c r="FX101" s="242"/>
      <c r="FY101" s="242"/>
      <c r="FZ101" s="242"/>
      <c r="GA101" s="242"/>
      <c r="GB101" s="242"/>
      <c r="GC101" s="242"/>
      <c r="GD101" s="242"/>
      <c r="GE101" s="242"/>
      <c r="GF101" s="242"/>
      <c r="GG101" s="242"/>
      <c r="GH101" s="242"/>
      <c r="GI101" s="242"/>
      <c r="GJ101" s="242"/>
      <c r="GK101" s="242"/>
      <c r="GL101" s="242"/>
      <c r="GM101" s="242"/>
      <c r="GN101" s="242"/>
      <c r="GO101" s="242"/>
      <c r="GP101" s="242"/>
      <c r="GQ101" s="242"/>
      <c r="GR101" s="242"/>
      <c r="GS101" s="242"/>
      <c r="GT101" s="242"/>
      <c r="GU101" s="242"/>
      <c r="GV101" s="242"/>
      <c r="GW101" s="242"/>
      <c r="GX101" s="242"/>
      <c r="GY101" s="242"/>
      <c r="GZ101" s="242"/>
      <c r="HA101" s="242"/>
      <c r="HB101" s="242"/>
      <c r="HC101" s="242"/>
      <c r="HD101" s="242"/>
      <c r="HE101" s="242"/>
      <c r="HF101" s="242"/>
      <c r="HG101" s="242"/>
      <c r="HH101" s="242"/>
      <c r="HI101" s="242"/>
      <c r="HJ101" s="242"/>
      <c r="HK101" s="242"/>
      <c r="HL101" s="242"/>
      <c r="HM101" s="242"/>
      <c r="HN101" s="242"/>
      <c r="HO101" s="242"/>
      <c r="HP101" s="242"/>
      <c r="HQ101" s="242"/>
      <c r="HR101" s="242"/>
      <c r="HS101" s="242"/>
      <c r="HT101" s="242"/>
      <c r="HU101" s="242"/>
      <c r="HV101" s="242"/>
      <c r="HW101" s="242"/>
      <c r="HX101" s="242"/>
      <c r="HY101" s="242"/>
      <c r="HZ101" s="242"/>
      <c r="IA101" s="242"/>
      <c r="IB101" s="242"/>
      <c r="IC101" s="242"/>
      <c r="ID101" s="242"/>
      <c r="IE101" s="242"/>
      <c r="IF101" s="242"/>
      <c r="IG101" s="242"/>
      <c r="IH101" s="242"/>
      <c r="II101" s="242"/>
      <c r="IJ101" s="242"/>
      <c r="IK101" s="242"/>
      <c r="IL101" s="242"/>
      <c r="IM101" s="242"/>
      <c r="IN101" s="242"/>
      <c r="IO101" s="242"/>
      <c r="IP101" s="242"/>
      <c r="IQ101" s="242"/>
      <c r="IR101" s="242"/>
      <c r="IS101" s="242"/>
      <c r="IT101" s="242"/>
      <c r="IU101" s="242"/>
      <c r="IV101" s="242"/>
      <c r="IW101" s="242"/>
    </row>
    <row r="102" customFormat="false" ht="12.6" hidden="false" customHeight="true" outlineLevel="0" collapsed="false">
      <c r="A102" s="248"/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5"/>
      <c r="AD102" s="242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58"/>
      <c r="AS102" s="258"/>
      <c r="AT102" s="254"/>
      <c r="BD102" s="242"/>
      <c r="BE102" s="242"/>
      <c r="BF102" s="184"/>
      <c r="BG102" s="242"/>
      <c r="BH102" s="242"/>
      <c r="BI102" s="242"/>
      <c r="BJ102" s="242"/>
      <c r="BK102" s="242"/>
      <c r="BL102" s="242"/>
      <c r="BM102" s="242"/>
      <c r="BN102" s="242"/>
      <c r="BO102" s="242"/>
      <c r="BP102" s="242"/>
      <c r="BQ102" s="242"/>
      <c r="BR102" s="242"/>
      <c r="BS102" s="242"/>
      <c r="BT102" s="242"/>
      <c r="BU102" s="242"/>
      <c r="BV102" s="242"/>
      <c r="BW102" s="242"/>
      <c r="BX102" s="242"/>
      <c r="BY102" s="242"/>
      <c r="BZ102" s="242"/>
      <c r="CA102" s="242"/>
      <c r="CB102" s="242"/>
      <c r="CC102" s="242"/>
      <c r="CD102" s="242"/>
      <c r="CE102" s="242"/>
      <c r="CF102" s="242"/>
      <c r="CG102" s="242"/>
      <c r="CH102" s="242"/>
      <c r="CI102" s="242"/>
      <c r="CJ102" s="242"/>
      <c r="CK102" s="242"/>
      <c r="CL102" s="242"/>
      <c r="CM102" s="242"/>
      <c r="CN102" s="242"/>
      <c r="CO102" s="242"/>
      <c r="CP102" s="242"/>
      <c r="CQ102" s="242"/>
      <c r="CR102" s="242"/>
      <c r="CS102" s="242"/>
      <c r="CT102" s="242"/>
      <c r="CU102" s="242"/>
      <c r="CV102" s="242"/>
      <c r="CW102" s="242"/>
      <c r="CX102" s="242"/>
      <c r="CY102" s="242"/>
      <c r="CZ102" s="242"/>
      <c r="DA102" s="242"/>
      <c r="DB102" s="242"/>
      <c r="DC102" s="242"/>
      <c r="DD102" s="242"/>
      <c r="DE102" s="242"/>
      <c r="DF102" s="242"/>
      <c r="DG102" s="242"/>
      <c r="DH102" s="242"/>
      <c r="DI102" s="242"/>
      <c r="DJ102" s="242"/>
      <c r="DK102" s="242"/>
      <c r="DL102" s="242"/>
      <c r="DM102" s="242"/>
      <c r="DN102" s="242"/>
      <c r="DO102" s="242"/>
      <c r="DP102" s="242"/>
      <c r="DQ102" s="242"/>
      <c r="DR102" s="242"/>
      <c r="DS102" s="242"/>
      <c r="DT102" s="242"/>
      <c r="DU102" s="242"/>
      <c r="DV102" s="242"/>
      <c r="DW102" s="242"/>
      <c r="DX102" s="242"/>
      <c r="DY102" s="242"/>
      <c r="DZ102" s="242"/>
      <c r="EA102" s="242"/>
      <c r="EB102" s="242"/>
      <c r="EC102" s="242"/>
      <c r="ED102" s="242"/>
      <c r="EE102" s="242"/>
      <c r="EF102" s="242"/>
      <c r="EG102" s="242"/>
      <c r="EH102" s="242"/>
      <c r="EI102" s="242"/>
      <c r="EJ102" s="242"/>
      <c r="EK102" s="242"/>
      <c r="EL102" s="242"/>
      <c r="EM102" s="242"/>
      <c r="EN102" s="242"/>
      <c r="EO102" s="242"/>
      <c r="EP102" s="242"/>
      <c r="EQ102" s="242"/>
      <c r="ER102" s="242"/>
      <c r="ES102" s="242"/>
      <c r="ET102" s="242"/>
      <c r="EU102" s="242"/>
      <c r="EV102" s="242"/>
      <c r="EW102" s="242"/>
      <c r="EX102" s="242"/>
      <c r="EY102" s="242"/>
      <c r="EZ102" s="242"/>
      <c r="FA102" s="242"/>
      <c r="FB102" s="242"/>
      <c r="FC102" s="242"/>
      <c r="FD102" s="242"/>
      <c r="FE102" s="242"/>
      <c r="FF102" s="242"/>
      <c r="FG102" s="242"/>
      <c r="FH102" s="242"/>
      <c r="FI102" s="242"/>
      <c r="FJ102" s="242"/>
      <c r="FK102" s="242"/>
      <c r="FL102" s="242"/>
      <c r="FM102" s="242"/>
      <c r="FN102" s="242"/>
      <c r="FO102" s="242"/>
      <c r="FP102" s="242"/>
      <c r="FQ102" s="242"/>
      <c r="FR102" s="242"/>
      <c r="FS102" s="242"/>
      <c r="FT102" s="242"/>
      <c r="FU102" s="242"/>
      <c r="FV102" s="242"/>
      <c r="FW102" s="242"/>
      <c r="FX102" s="242"/>
      <c r="FY102" s="242"/>
      <c r="FZ102" s="242"/>
      <c r="GA102" s="242"/>
      <c r="GB102" s="242"/>
      <c r="GC102" s="242"/>
      <c r="GD102" s="242"/>
      <c r="GE102" s="242"/>
      <c r="GF102" s="242"/>
      <c r="GG102" s="242"/>
      <c r="GH102" s="242"/>
      <c r="GI102" s="242"/>
      <c r="GJ102" s="242"/>
      <c r="GK102" s="242"/>
      <c r="GL102" s="242"/>
      <c r="GM102" s="242"/>
      <c r="GN102" s="242"/>
      <c r="GO102" s="242"/>
      <c r="GP102" s="242"/>
      <c r="GQ102" s="242"/>
      <c r="GR102" s="242"/>
      <c r="GS102" s="242"/>
      <c r="GT102" s="242"/>
      <c r="GU102" s="242"/>
      <c r="GV102" s="242"/>
      <c r="GW102" s="242"/>
      <c r="GX102" s="242"/>
      <c r="GY102" s="242"/>
      <c r="GZ102" s="242"/>
      <c r="HA102" s="242"/>
      <c r="HB102" s="242"/>
      <c r="HC102" s="242"/>
      <c r="HD102" s="242"/>
      <c r="HE102" s="242"/>
      <c r="HF102" s="242"/>
      <c r="HG102" s="242"/>
      <c r="HH102" s="242"/>
      <c r="HI102" s="242"/>
      <c r="HJ102" s="242"/>
      <c r="HK102" s="242"/>
      <c r="HL102" s="242"/>
      <c r="HM102" s="242"/>
      <c r="HN102" s="242"/>
      <c r="HO102" s="242"/>
      <c r="HP102" s="242"/>
      <c r="HQ102" s="242"/>
      <c r="HR102" s="242"/>
      <c r="HS102" s="242"/>
      <c r="HT102" s="242"/>
      <c r="HU102" s="242"/>
      <c r="HV102" s="242"/>
      <c r="HW102" s="242"/>
      <c r="HX102" s="242"/>
      <c r="HY102" s="242"/>
      <c r="HZ102" s="242"/>
      <c r="IA102" s="242"/>
      <c r="IB102" s="242"/>
      <c r="IC102" s="242"/>
      <c r="ID102" s="242"/>
      <c r="IE102" s="242"/>
      <c r="IF102" s="242"/>
      <c r="IG102" s="242"/>
      <c r="IH102" s="242"/>
      <c r="II102" s="242"/>
      <c r="IJ102" s="242"/>
      <c r="IK102" s="242"/>
      <c r="IL102" s="242"/>
      <c r="IM102" s="242"/>
      <c r="IN102" s="242"/>
      <c r="IO102" s="242"/>
      <c r="IP102" s="242"/>
      <c r="IQ102" s="242"/>
      <c r="IR102" s="242"/>
      <c r="IS102" s="242"/>
      <c r="IT102" s="242"/>
      <c r="IU102" s="242"/>
      <c r="IV102" s="242"/>
      <c r="IW102" s="242"/>
    </row>
    <row r="103" customFormat="false" ht="12.6" hidden="false" customHeight="true" outlineLevel="0" collapsed="false">
      <c r="A103" s="248"/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BD103" s="242"/>
      <c r="BE103" s="242"/>
      <c r="BF103" s="184"/>
      <c r="BG103" s="242"/>
      <c r="BH103" s="242"/>
      <c r="BI103" s="242"/>
      <c r="BJ103" s="242"/>
      <c r="BK103" s="242"/>
      <c r="BL103" s="242"/>
      <c r="BM103" s="242"/>
      <c r="BN103" s="242"/>
      <c r="BO103" s="242"/>
      <c r="BP103" s="242"/>
      <c r="BQ103" s="242"/>
      <c r="BR103" s="242"/>
      <c r="BS103" s="242"/>
      <c r="BT103" s="242"/>
      <c r="BU103" s="242"/>
      <c r="BV103" s="242"/>
      <c r="BW103" s="242"/>
      <c r="BX103" s="242"/>
      <c r="BY103" s="242"/>
      <c r="BZ103" s="242"/>
      <c r="CA103" s="242"/>
      <c r="CB103" s="242"/>
      <c r="CC103" s="242"/>
      <c r="CD103" s="242"/>
      <c r="CE103" s="242"/>
      <c r="CF103" s="242"/>
      <c r="CG103" s="242"/>
      <c r="CH103" s="242"/>
      <c r="CI103" s="242"/>
      <c r="CJ103" s="242"/>
      <c r="CK103" s="242"/>
      <c r="CL103" s="242"/>
      <c r="CM103" s="242"/>
      <c r="CN103" s="242"/>
      <c r="CO103" s="242"/>
      <c r="CP103" s="242"/>
      <c r="CQ103" s="242"/>
      <c r="CR103" s="242"/>
      <c r="CS103" s="242"/>
      <c r="CT103" s="242"/>
      <c r="CU103" s="242"/>
      <c r="CV103" s="242"/>
      <c r="CW103" s="242"/>
      <c r="CX103" s="242"/>
      <c r="CY103" s="242"/>
      <c r="CZ103" s="242"/>
      <c r="DA103" s="242"/>
      <c r="DB103" s="242"/>
      <c r="DC103" s="242"/>
      <c r="DD103" s="242"/>
      <c r="DE103" s="242"/>
      <c r="DF103" s="242"/>
      <c r="DG103" s="242"/>
      <c r="DH103" s="242"/>
      <c r="DI103" s="242"/>
      <c r="DJ103" s="242"/>
      <c r="DK103" s="242"/>
      <c r="DL103" s="242"/>
      <c r="DM103" s="242"/>
      <c r="DN103" s="242"/>
      <c r="DO103" s="242"/>
      <c r="DP103" s="242"/>
      <c r="DQ103" s="242"/>
      <c r="DR103" s="242"/>
      <c r="DS103" s="242"/>
      <c r="DT103" s="242"/>
      <c r="DU103" s="242"/>
      <c r="DV103" s="242"/>
      <c r="DW103" s="242"/>
      <c r="DX103" s="242"/>
      <c r="DY103" s="242"/>
      <c r="DZ103" s="242"/>
      <c r="EA103" s="242"/>
      <c r="EB103" s="242"/>
      <c r="EC103" s="242"/>
      <c r="ED103" s="242"/>
      <c r="EE103" s="242"/>
      <c r="EF103" s="242"/>
      <c r="EG103" s="242"/>
      <c r="EH103" s="242"/>
      <c r="EI103" s="242"/>
      <c r="EJ103" s="242"/>
      <c r="EK103" s="242"/>
      <c r="EL103" s="242"/>
      <c r="EM103" s="242"/>
      <c r="EN103" s="242"/>
      <c r="EO103" s="242"/>
      <c r="EP103" s="242"/>
      <c r="EQ103" s="242"/>
      <c r="ER103" s="242"/>
      <c r="ES103" s="242"/>
      <c r="ET103" s="242"/>
      <c r="EU103" s="242"/>
      <c r="EV103" s="242"/>
      <c r="EW103" s="242"/>
      <c r="EX103" s="242"/>
      <c r="EY103" s="242"/>
      <c r="EZ103" s="242"/>
      <c r="FA103" s="242"/>
      <c r="FB103" s="242"/>
      <c r="FC103" s="242"/>
      <c r="FD103" s="242"/>
      <c r="FE103" s="242"/>
      <c r="FF103" s="242"/>
      <c r="FG103" s="242"/>
      <c r="FH103" s="242"/>
      <c r="FI103" s="242"/>
      <c r="FJ103" s="242"/>
      <c r="FK103" s="242"/>
      <c r="FL103" s="242"/>
      <c r="FM103" s="242"/>
      <c r="FN103" s="242"/>
      <c r="FO103" s="242"/>
      <c r="FP103" s="242"/>
      <c r="FQ103" s="242"/>
      <c r="FR103" s="242"/>
      <c r="FS103" s="242"/>
      <c r="FT103" s="242"/>
      <c r="FU103" s="242"/>
      <c r="FV103" s="242"/>
      <c r="FW103" s="242"/>
      <c r="FX103" s="242"/>
      <c r="FY103" s="242"/>
      <c r="FZ103" s="242"/>
      <c r="GA103" s="242"/>
      <c r="GB103" s="242"/>
      <c r="GC103" s="242"/>
      <c r="GD103" s="242"/>
      <c r="GE103" s="242"/>
      <c r="GF103" s="242"/>
      <c r="GG103" s="242"/>
      <c r="GH103" s="242"/>
      <c r="GI103" s="242"/>
      <c r="GJ103" s="242"/>
      <c r="GK103" s="242"/>
      <c r="GL103" s="242"/>
      <c r="GM103" s="242"/>
      <c r="GN103" s="242"/>
      <c r="GO103" s="242"/>
      <c r="GP103" s="242"/>
      <c r="GQ103" s="242"/>
      <c r="GR103" s="242"/>
      <c r="GS103" s="242"/>
      <c r="GT103" s="242"/>
      <c r="GU103" s="242"/>
      <c r="GV103" s="242"/>
      <c r="GW103" s="242"/>
      <c r="GX103" s="242"/>
      <c r="GY103" s="242"/>
      <c r="GZ103" s="242"/>
      <c r="HA103" s="242"/>
      <c r="HB103" s="242"/>
      <c r="HC103" s="242"/>
      <c r="HD103" s="242"/>
      <c r="HE103" s="242"/>
      <c r="HF103" s="242"/>
      <c r="HG103" s="242"/>
      <c r="HH103" s="242"/>
      <c r="HI103" s="242"/>
      <c r="HJ103" s="242"/>
      <c r="HK103" s="242"/>
      <c r="HL103" s="242"/>
      <c r="HM103" s="242"/>
      <c r="HN103" s="242"/>
      <c r="HO103" s="242"/>
      <c r="HP103" s="242"/>
      <c r="HQ103" s="242"/>
      <c r="HR103" s="242"/>
      <c r="HS103" s="242"/>
      <c r="HT103" s="242"/>
      <c r="HU103" s="242"/>
      <c r="HV103" s="242"/>
      <c r="HW103" s="242"/>
      <c r="HX103" s="242"/>
      <c r="HY103" s="242"/>
      <c r="HZ103" s="242"/>
      <c r="IA103" s="242"/>
      <c r="IB103" s="242"/>
      <c r="IC103" s="242"/>
      <c r="ID103" s="242"/>
      <c r="IE103" s="242"/>
      <c r="IF103" s="242"/>
      <c r="IG103" s="242"/>
      <c r="IH103" s="242"/>
      <c r="II103" s="242"/>
      <c r="IJ103" s="242"/>
      <c r="IK103" s="242"/>
      <c r="IL103" s="242"/>
      <c r="IM103" s="242"/>
      <c r="IN103" s="242"/>
      <c r="IO103" s="242"/>
      <c r="IP103" s="242"/>
      <c r="IQ103" s="242"/>
      <c r="IR103" s="242"/>
      <c r="IS103" s="242"/>
      <c r="IT103" s="242"/>
      <c r="IU103" s="242"/>
      <c r="IV103" s="242"/>
      <c r="IW103" s="184"/>
    </row>
    <row r="104" customFormat="false" ht="12.6" hidden="false" customHeight="true" outlineLevel="0" collapsed="false">
      <c r="A104" s="248"/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2"/>
      <c r="AD104" s="242"/>
      <c r="AE104" s="242"/>
      <c r="AF104" s="242"/>
      <c r="AG104" s="242"/>
      <c r="AH104" s="242"/>
      <c r="AI104" s="242"/>
      <c r="AJ104" s="242"/>
      <c r="AK104" s="242"/>
      <c r="AL104" s="242"/>
      <c r="AM104" s="242"/>
      <c r="AN104" s="242"/>
      <c r="AO104" s="242"/>
      <c r="AP104" s="242"/>
      <c r="AQ104" s="242"/>
      <c r="AR104" s="242"/>
      <c r="AS104" s="242"/>
      <c r="AT104" s="242"/>
      <c r="BD104" s="242"/>
      <c r="BE104" s="242"/>
      <c r="BF104" s="184"/>
      <c r="BG104" s="242"/>
      <c r="BH104" s="242"/>
      <c r="BI104" s="242"/>
      <c r="BJ104" s="242"/>
      <c r="BK104" s="242"/>
      <c r="BL104" s="242"/>
      <c r="BM104" s="242"/>
      <c r="BN104" s="242"/>
      <c r="BO104" s="242"/>
      <c r="BP104" s="242"/>
      <c r="BQ104" s="242"/>
      <c r="BR104" s="242"/>
      <c r="BS104" s="242"/>
      <c r="BT104" s="242"/>
      <c r="BU104" s="242"/>
      <c r="BV104" s="242"/>
      <c r="BW104" s="242"/>
      <c r="BX104" s="242"/>
      <c r="BY104" s="242"/>
      <c r="BZ104" s="242"/>
      <c r="CA104" s="242"/>
      <c r="CB104" s="242"/>
      <c r="CC104" s="242"/>
      <c r="CD104" s="242"/>
      <c r="CE104" s="242"/>
      <c r="CF104" s="242"/>
      <c r="CG104" s="242"/>
      <c r="CH104" s="242"/>
      <c r="CI104" s="242"/>
      <c r="CJ104" s="242"/>
      <c r="CK104" s="242"/>
      <c r="CL104" s="242"/>
      <c r="CM104" s="242"/>
      <c r="CN104" s="242"/>
      <c r="CO104" s="242"/>
      <c r="CP104" s="242"/>
      <c r="CQ104" s="242"/>
      <c r="CR104" s="242"/>
      <c r="CS104" s="242"/>
      <c r="CT104" s="242"/>
      <c r="CU104" s="242"/>
      <c r="CV104" s="242"/>
      <c r="CW104" s="242"/>
      <c r="CX104" s="242"/>
      <c r="CY104" s="242"/>
      <c r="CZ104" s="242"/>
      <c r="DA104" s="242"/>
      <c r="DB104" s="242"/>
      <c r="DC104" s="242"/>
      <c r="DD104" s="242"/>
      <c r="DE104" s="242"/>
      <c r="DF104" s="242"/>
      <c r="DG104" s="242"/>
      <c r="DH104" s="242"/>
      <c r="DI104" s="242"/>
      <c r="DJ104" s="242"/>
      <c r="DK104" s="242"/>
      <c r="DL104" s="242"/>
      <c r="DM104" s="242"/>
      <c r="DN104" s="242"/>
      <c r="DO104" s="242"/>
      <c r="DP104" s="242"/>
      <c r="DQ104" s="242"/>
      <c r="DR104" s="242"/>
      <c r="DS104" s="242"/>
      <c r="DT104" s="242"/>
      <c r="DU104" s="242"/>
      <c r="DV104" s="242"/>
      <c r="DW104" s="242"/>
      <c r="DX104" s="242"/>
      <c r="DY104" s="242"/>
      <c r="DZ104" s="242"/>
      <c r="EA104" s="242"/>
      <c r="EB104" s="242"/>
      <c r="EC104" s="242"/>
      <c r="ED104" s="242"/>
      <c r="EE104" s="242"/>
      <c r="EF104" s="242"/>
      <c r="EG104" s="242"/>
      <c r="EH104" s="242"/>
      <c r="EI104" s="242"/>
      <c r="EJ104" s="242"/>
      <c r="EK104" s="242"/>
      <c r="EL104" s="242"/>
      <c r="EM104" s="242"/>
      <c r="EN104" s="242"/>
      <c r="EO104" s="242"/>
      <c r="EP104" s="242"/>
      <c r="EQ104" s="242"/>
      <c r="ER104" s="242"/>
      <c r="ES104" s="242"/>
      <c r="ET104" s="242"/>
      <c r="EU104" s="242"/>
      <c r="EV104" s="242"/>
      <c r="EW104" s="242"/>
      <c r="EX104" s="242"/>
      <c r="EY104" s="242"/>
      <c r="EZ104" s="242"/>
      <c r="FA104" s="242"/>
      <c r="FB104" s="242"/>
      <c r="FC104" s="242"/>
      <c r="FD104" s="242"/>
      <c r="FE104" s="242"/>
      <c r="FF104" s="242"/>
      <c r="FG104" s="242"/>
      <c r="FH104" s="242"/>
      <c r="FI104" s="242"/>
      <c r="FJ104" s="242"/>
      <c r="FK104" s="242"/>
      <c r="FL104" s="242"/>
      <c r="FM104" s="242"/>
      <c r="FN104" s="242"/>
      <c r="FO104" s="242"/>
      <c r="FP104" s="242"/>
      <c r="FQ104" s="242"/>
      <c r="FR104" s="242"/>
      <c r="FS104" s="242"/>
      <c r="FT104" s="242"/>
      <c r="FU104" s="242"/>
      <c r="FV104" s="242"/>
      <c r="FW104" s="242"/>
      <c r="FX104" s="242"/>
      <c r="FY104" s="242"/>
      <c r="FZ104" s="242"/>
      <c r="GA104" s="242"/>
      <c r="GB104" s="242"/>
      <c r="GC104" s="242"/>
      <c r="GD104" s="242"/>
      <c r="GE104" s="242"/>
      <c r="GF104" s="242"/>
      <c r="GG104" s="242"/>
      <c r="GH104" s="242"/>
      <c r="GI104" s="242"/>
      <c r="GJ104" s="242"/>
      <c r="GK104" s="242"/>
      <c r="GL104" s="242"/>
      <c r="GM104" s="242"/>
      <c r="GN104" s="242"/>
      <c r="GO104" s="242"/>
      <c r="GP104" s="242"/>
      <c r="GQ104" s="242"/>
      <c r="GR104" s="242"/>
      <c r="GS104" s="242"/>
      <c r="GT104" s="242"/>
      <c r="GU104" s="242"/>
      <c r="GV104" s="242"/>
      <c r="GW104" s="242"/>
      <c r="GX104" s="242"/>
      <c r="GY104" s="242"/>
      <c r="GZ104" s="242"/>
      <c r="HA104" s="242"/>
      <c r="HB104" s="242"/>
      <c r="HC104" s="242"/>
      <c r="HD104" s="242"/>
      <c r="HE104" s="242"/>
      <c r="HF104" s="242"/>
      <c r="HG104" s="242"/>
      <c r="HH104" s="242"/>
      <c r="HI104" s="242"/>
      <c r="HJ104" s="242"/>
      <c r="HK104" s="242"/>
      <c r="HL104" s="242"/>
      <c r="HM104" s="242"/>
      <c r="HN104" s="242"/>
      <c r="HO104" s="242"/>
      <c r="HP104" s="242"/>
      <c r="HQ104" s="242"/>
      <c r="HR104" s="242"/>
      <c r="HS104" s="242"/>
      <c r="HT104" s="242"/>
      <c r="HU104" s="242"/>
      <c r="HV104" s="242"/>
      <c r="HW104" s="242"/>
      <c r="HX104" s="242"/>
      <c r="HY104" s="242"/>
      <c r="HZ104" s="242"/>
      <c r="IA104" s="242"/>
      <c r="IB104" s="242"/>
      <c r="IC104" s="242"/>
      <c r="ID104" s="242"/>
      <c r="IE104" s="242"/>
      <c r="IF104" s="242"/>
      <c r="IG104" s="242"/>
      <c r="IH104" s="242"/>
      <c r="II104" s="242"/>
      <c r="IJ104" s="242"/>
      <c r="IK104" s="242"/>
      <c r="IL104" s="242"/>
      <c r="IM104" s="242"/>
      <c r="IN104" s="242"/>
      <c r="IO104" s="242"/>
      <c r="IP104" s="242"/>
      <c r="IQ104" s="242"/>
      <c r="IR104" s="242"/>
      <c r="IS104" s="242"/>
      <c r="IT104" s="242"/>
      <c r="IU104" s="242"/>
      <c r="IV104" s="242"/>
      <c r="IW104" s="184"/>
    </row>
    <row r="105" customFormat="false" ht="12.6" hidden="false" customHeight="true" outlineLevel="0" collapsed="false">
      <c r="A105" s="248"/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2"/>
      <c r="AD105" s="242"/>
      <c r="AE105" s="242"/>
      <c r="AF105" s="242"/>
      <c r="AG105" s="242"/>
      <c r="AH105" s="242"/>
      <c r="AI105" s="242"/>
      <c r="AJ105" s="242"/>
      <c r="AK105" s="242"/>
      <c r="AL105" s="242"/>
      <c r="AM105" s="242"/>
      <c r="AN105" s="242"/>
      <c r="AO105" s="242"/>
      <c r="AP105" s="242"/>
      <c r="AQ105" s="242"/>
      <c r="AR105" s="242"/>
      <c r="AS105" s="242"/>
      <c r="AT105" s="242"/>
      <c r="BD105" s="242"/>
      <c r="BE105" s="242"/>
      <c r="BF105" s="184"/>
      <c r="BG105" s="242"/>
      <c r="BH105" s="242"/>
      <c r="BI105" s="242"/>
      <c r="BJ105" s="242"/>
      <c r="BK105" s="242"/>
      <c r="BL105" s="242"/>
      <c r="BM105" s="242"/>
      <c r="BN105" s="242"/>
      <c r="BO105" s="242"/>
      <c r="BP105" s="242"/>
      <c r="BQ105" s="242"/>
      <c r="BR105" s="242"/>
      <c r="BS105" s="242"/>
      <c r="BT105" s="242"/>
      <c r="BU105" s="242"/>
      <c r="BV105" s="242"/>
      <c r="BW105" s="242"/>
      <c r="BX105" s="242"/>
      <c r="BY105" s="242"/>
      <c r="BZ105" s="242"/>
      <c r="CA105" s="242"/>
      <c r="CB105" s="242"/>
      <c r="CC105" s="242"/>
      <c r="CD105" s="242"/>
      <c r="CE105" s="242"/>
      <c r="CF105" s="242"/>
      <c r="CG105" s="242"/>
      <c r="CH105" s="242"/>
      <c r="CI105" s="242"/>
      <c r="CJ105" s="242"/>
      <c r="CK105" s="242"/>
      <c r="CL105" s="242"/>
      <c r="CM105" s="242"/>
      <c r="CN105" s="242"/>
      <c r="CO105" s="242"/>
      <c r="CP105" s="242"/>
      <c r="CQ105" s="242"/>
      <c r="CR105" s="242"/>
      <c r="CS105" s="242"/>
      <c r="CT105" s="242"/>
      <c r="CU105" s="242"/>
      <c r="CV105" s="242"/>
      <c r="CW105" s="242"/>
      <c r="CX105" s="242"/>
      <c r="CY105" s="242"/>
      <c r="CZ105" s="242"/>
      <c r="DA105" s="242"/>
      <c r="DB105" s="242"/>
      <c r="DC105" s="242"/>
      <c r="DD105" s="242"/>
      <c r="DE105" s="242"/>
      <c r="DF105" s="242"/>
      <c r="DG105" s="242"/>
      <c r="DH105" s="242"/>
      <c r="DI105" s="242"/>
      <c r="DJ105" s="242"/>
      <c r="DK105" s="242"/>
      <c r="DL105" s="242"/>
      <c r="DM105" s="242"/>
      <c r="DN105" s="242"/>
      <c r="DO105" s="242"/>
      <c r="DP105" s="242"/>
      <c r="DQ105" s="242"/>
      <c r="DR105" s="242"/>
      <c r="DS105" s="242"/>
      <c r="DT105" s="242"/>
      <c r="DU105" s="242"/>
      <c r="DV105" s="242"/>
      <c r="DW105" s="242"/>
      <c r="DX105" s="242"/>
      <c r="DY105" s="242"/>
      <c r="DZ105" s="242"/>
      <c r="EA105" s="242"/>
      <c r="EB105" s="242"/>
      <c r="EC105" s="242"/>
      <c r="ED105" s="242"/>
      <c r="EE105" s="242"/>
      <c r="EF105" s="242"/>
      <c r="EG105" s="242"/>
      <c r="EH105" s="242"/>
      <c r="EI105" s="242"/>
      <c r="EJ105" s="242"/>
      <c r="EK105" s="242"/>
      <c r="EL105" s="242"/>
      <c r="EM105" s="242"/>
      <c r="EN105" s="242"/>
      <c r="EO105" s="242"/>
      <c r="EP105" s="242"/>
      <c r="EQ105" s="242"/>
      <c r="ER105" s="242"/>
      <c r="ES105" s="242"/>
      <c r="ET105" s="242"/>
      <c r="EU105" s="242"/>
      <c r="EV105" s="242"/>
      <c r="EW105" s="242"/>
      <c r="EX105" s="242"/>
      <c r="EY105" s="242"/>
      <c r="EZ105" s="242"/>
      <c r="FA105" s="242"/>
      <c r="FB105" s="242"/>
      <c r="FC105" s="242"/>
      <c r="FD105" s="242"/>
      <c r="FE105" s="242"/>
      <c r="FF105" s="242"/>
      <c r="FG105" s="242"/>
      <c r="FH105" s="242"/>
      <c r="FI105" s="242"/>
      <c r="FJ105" s="242"/>
      <c r="FK105" s="242"/>
      <c r="FL105" s="242"/>
      <c r="FM105" s="242"/>
      <c r="FN105" s="242"/>
      <c r="FO105" s="242"/>
      <c r="FP105" s="242"/>
      <c r="FQ105" s="242"/>
      <c r="FR105" s="242"/>
      <c r="FS105" s="242"/>
      <c r="FT105" s="242"/>
      <c r="FU105" s="242"/>
      <c r="FV105" s="242"/>
      <c r="FW105" s="242"/>
      <c r="FX105" s="242"/>
      <c r="FY105" s="242"/>
      <c r="FZ105" s="242"/>
      <c r="GA105" s="242"/>
      <c r="GB105" s="242"/>
      <c r="GC105" s="242"/>
      <c r="GD105" s="242"/>
      <c r="GE105" s="242"/>
      <c r="GF105" s="242"/>
      <c r="GG105" s="242"/>
      <c r="GH105" s="242"/>
      <c r="GI105" s="242"/>
      <c r="GJ105" s="242"/>
      <c r="GK105" s="242"/>
      <c r="GL105" s="242"/>
      <c r="GM105" s="242"/>
      <c r="GN105" s="242"/>
      <c r="GO105" s="242"/>
      <c r="GP105" s="242"/>
      <c r="GQ105" s="242"/>
      <c r="GR105" s="242"/>
      <c r="GS105" s="242"/>
      <c r="GT105" s="242"/>
      <c r="GU105" s="242"/>
      <c r="GV105" s="242"/>
      <c r="GW105" s="242"/>
      <c r="GX105" s="242"/>
      <c r="GY105" s="242"/>
      <c r="GZ105" s="242"/>
      <c r="HA105" s="242"/>
      <c r="HB105" s="242"/>
      <c r="HC105" s="242"/>
      <c r="HD105" s="242"/>
      <c r="HE105" s="242"/>
      <c r="HF105" s="242"/>
      <c r="HG105" s="242"/>
      <c r="HH105" s="242"/>
      <c r="HI105" s="242"/>
      <c r="HJ105" s="242"/>
      <c r="HK105" s="242"/>
      <c r="HL105" s="242"/>
      <c r="HM105" s="242"/>
      <c r="HN105" s="242"/>
      <c r="HO105" s="242"/>
      <c r="HP105" s="242"/>
      <c r="HQ105" s="242"/>
      <c r="HR105" s="242"/>
      <c r="HS105" s="242"/>
      <c r="HT105" s="242"/>
      <c r="HU105" s="242"/>
      <c r="HV105" s="242"/>
      <c r="HW105" s="242"/>
      <c r="HX105" s="242"/>
      <c r="HY105" s="242"/>
      <c r="HZ105" s="242"/>
      <c r="IA105" s="242"/>
      <c r="IB105" s="242"/>
      <c r="IC105" s="242"/>
      <c r="ID105" s="242"/>
      <c r="IE105" s="242"/>
      <c r="IF105" s="242"/>
      <c r="IG105" s="242"/>
      <c r="IH105" s="242"/>
      <c r="II105" s="242"/>
      <c r="IJ105" s="242"/>
      <c r="IK105" s="242"/>
      <c r="IL105" s="242"/>
      <c r="IM105" s="242"/>
      <c r="IN105" s="242"/>
      <c r="IO105" s="242"/>
      <c r="IP105" s="242"/>
      <c r="IQ105" s="242"/>
      <c r="IR105" s="242"/>
      <c r="IS105" s="242"/>
      <c r="IT105" s="242"/>
      <c r="IU105" s="242"/>
      <c r="IV105" s="242"/>
      <c r="IW105" s="184"/>
    </row>
    <row r="106" customFormat="false" ht="12.6" hidden="false" customHeight="true" outlineLevel="0" collapsed="false">
      <c r="A106" s="248"/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BD106" s="242"/>
      <c r="BE106" s="242"/>
      <c r="BF106" s="184"/>
      <c r="BG106" s="242"/>
      <c r="BH106" s="242"/>
      <c r="BI106" s="242"/>
      <c r="BJ106" s="242"/>
      <c r="BK106" s="242"/>
      <c r="BL106" s="242"/>
      <c r="BM106" s="242"/>
      <c r="BN106" s="242"/>
      <c r="BO106" s="242"/>
      <c r="BP106" s="242"/>
      <c r="BQ106" s="242"/>
      <c r="BR106" s="242"/>
      <c r="BS106" s="242"/>
      <c r="BT106" s="242"/>
      <c r="BU106" s="242"/>
      <c r="BV106" s="242"/>
      <c r="BW106" s="242"/>
      <c r="BX106" s="242"/>
      <c r="BY106" s="242"/>
      <c r="BZ106" s="242"/>
      <c r="CA106" s="242"/>
      <c r="CB106" s="242"/>
      <c r="CC106" s="242"/>
      <c r="CD106" s="242"/>
      <c r="CE106" s="242"/>
      <c r="CF106" s="242"/>
      <c r="CG106" s="242"/>
      <c r="CH106" s="242"/>
      <c r="CI106" s="242"/>
      <c r="CJ106" s="242"/>
      <c r="CK106" s="242"/>
      <c r="CL106" s="242"/>
      <c r="CM106" s="242"/>
      <c r="CN106" s="242"/>
      <c r="CO106" s="242"/>
      <c r="CP106" s="242"/>
      <c r="CQ106" s="242"/>
      <c r="CR106" s="242"/>
      <c r="CS106" s="242"/>
      <c r="CT106" s="242"/>
      <c r="CU106" s="242"/>
      <c r="CV106" s="242"/>
      <c r="CW106" s="242"/>
      <c r="CX106" s="242"/>
      <c r="CY106" s="242"/>
      <c r="CZ106" s="242"/>
      <c r="DA106" s="242"/>
      <c r="DB106" s="242"/>
      <c r="DC106" s="242"/>
      <c r="DD106" s="242"/>
      <c r="DE106" s="242"/>
      <c r="DF106" s="242"/>
      <c r="DG106" s="242"/>
      <c r="DH106" s="242"/>
      <c r="DI106" s="242"/>
      <c r="DJ106" s="242"/>
      <c r="DK106" s="242"/>
      <c r="DL106" s="242"/>
      <c r="DM106" s="242"/>
      <c r="DN106" s="242"/>
      <c r="DO106" s="242"/>
      <c r="DP106" s="242"/>
      <c r="DQ106" s="242"/>
      <c r="DR106" s="242"/>
      <c r="DS106" s="242"/>
      <c r="DT106" s="242"/>
      <c r="DU106" s="242"/>
      <c r="DV106" s="242"/>
      <c r="DW106" s="242"/>
      <c r="DX106" s="242"/>
      <c r="DY106" s="242"/>
      <c r="DZ106" s="242"/>
      <c r="EA106" s="242"/>
      <c r="EB106" s="242"/>
      <c r="EC106" s="242"/>
      <c r="ED106" s="242"/>
      <c r="EE106" s="242"/>
      <c r="EF106" s="242"/>
      <c r="EG106" s="242"/>
      <c r="EH106" s="242"/>
      <c r="EI106" s="242"/>
      <c r="EJ106" s="242"/>
      <c r="EK106" s="242"/>
      <c r="EL106" s="242"/>
      <c r="EM106" s="242"/>
      <c r="EN106" s="242"/>
      <c r="EO106" s="242"/>
      <c r="EP106" s="242"/>
      <c r="EQ106" s="242"/>
      <c r="ER106" s="242"/>
      <c r="ES106" s="242"/>
      <c r="ET106" s="242"/>
      <c r="EU106" s="242"/>
      <c r="EV106" s="242"/>
      <c r="EW106" s="242"/>
      <c r="EX106" s="242"/>
      <c r="EY106" s="242"/>
      <c r="EZ106" s="242"/>
      <c r="FA106" s="242"/>
      <c r="FB106" s="242"/>
      <c r="FC106" s="242"/>
      <c r="FD106" s="242"/>
      <c r="FE106" s="242"/>
      <c r="FF106" s="242"/>
      <c r="FG106" s="242"/>
      <c r="FH106" s="242"/>
      <c r="FI106" s="242"/>
      <c r="FJ106" s="242"/>
      <c r="FK106" s="242"/>
      <c r="FL106" s="242"/>
      <c r="FM106" s="242"/>
      <c r="FN106" s="242"/>
      <c r="FO106" s="242"/>
      <c r="FP106" s="242"/>
      <c r="FQ106" s="242"/>
      <c r="FR106" s="242"/>
      <c r="FS106" s="242"/>
      <c r="FT106" s="242"/>
      <c r="FU106" s="242"/>
      <c r="FV106" s="242"/>
      <c r="FW106" s="242"/>
      <c r="FX106" s="242"/>
      <c r="FY106" s="242"/>
      <c r="FZ106" s="242"/>
      <c r="GA106" s="242"/>
      <c r="GB106" s="242"/>
      <c r="GC106" s="242"/>
      <c r="GD106" s="242"/>
      <c r="GE106" s="242"/>
      <c r="GF106" s="242"/>
      <c r="GG106" s="242"/>
      <c r="GH106" s="242"/>
      <c r="GI106" s="242"/>
      <c r="GJ106" s="242"/>
      <c r="GK106" s="242"/>
      <c r="GL106" s="242"/>
      <c r="GM106" s="242"/>
      <c r="GN106" s="242"/>
      <c r="GO106" s="242"/>
      <c r="GP106" s="242"/>
      <c r="GQ106" s="242"/>
      <c r="GR106" s="242"/>
      <c r="GS106" s="242"/>
      <c r="GT106" s="242"/>
      <c r="GU106" s="242"/>
      <c r="GV106" s="242"/>
      <c r="GW106" s="242"/>
      <c r="GX106" s="242"/>
      <c r="GY106" s="242"/>
      <c r="GZ106" s="242"/>
      <c r="HA106" s="242"/>
      <c r="HB106" s="242"/>
      <c r="HC106" s="242"/>
      <c r="HD106" s="242"/>
      <c r="HE106" s="242"/>
      <c r="HF106" s="242"/>
      <c r="HG106" s="242"/>
      <c r="HH106" s="242"/>
      <c r="HI106" s="242"/>
      <c r="HJ106" s="242"/>
      <c r="HK106" s="242"/>
      <c r="HL106" s="242"/>
      <c r="HM106" s="242"/>
      <c r="HN106" s="242"/>
      <c r="HO106" s="242"/>
      <c r="HP106" s="242"/>
      <c r="HQ106" s="242"/>
      <c r="HR106" s="242"/>
      <c r="HS106" s="242"/>
      <c r="HT106" s="242"/>
      <c r="HU106" s="242"/>
      <c r="HV106" s="242"/>
      <c r="HW106" s="242"/>
      <c r="HX106" s="242"/>
      <c r="HY106" s="242"/>
      <c r="HZ106" s="242"/>
      <c r="IA106" s="242"/>
      <c r="IB106" s="242"/>
      <c r="IC106" s="242"/>
      <c r="ID106" s="242"/>
      <c r="IE106" s="242"/>
      <c r="IF106" s="242"/>
      <c r="IG106" s="242"/>
      <c r="IH106" s="242"/>
      <c r="II106" s="242"/>
      <c r="IJ106" s="242"/>
      <c r="IK106" s="242"/>
      <c r="IL106" s="242"/>
      <c r="IM106" s="242"/>
      <c r="IN106" s="242"/>
      <c r="IO106" s="242"/>
      <c r="IP106" s="242"/>
      <c r="IQ106" s="242"/>
      <c r="IR106" s="242"/>
      <c r="IS106" s="242"/>
      <c r="IT106" s="242"/>
      <c r="IU106" s="242"/>
      <c r="IV106" s="242"/>
      <c r="IW106" s="242"/>
    </row>
    <row r="107" customFormat="false" ht="12.6" hidden="false" customHeight="true" outlineLevel="0" collapsed="false">
      <c r="A107" s="248"/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5"/>
      <c r="AB107" s="245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BD107" s="242"/>
      <c r="BE107" s="242"/>
      <c r="BF107" s="184"/>
      <c r="BG107" s="242"/>
      <c r="BH107" s="242"/>
      <c r="BI107" s="242"/>
      <c r="BJ107" s="242"/>
      <c r="BK107" s="242"/>
      <c r="BL107" s="242"/>
      <c r="BM107" s="242"/>
      <c r="BN107" s="242"/>
      <c r="BO107" s="242"/>
      <c r="BP107" s="242"/>
      <c r="BQ107" s="242"/>
      <c r="BR107" s="242"/>
      <c r="BS107" s="242"/>
      <c r="BT107" s="242"/>
      <c r="BU107" s="242"/>
      <c r="BV107" s="242"/>
      <c r="BW107" s="242"/>
      <c r="BX107" s="242"/>
      <c r="BY107" s="242"/>
      <c r="BZ107" s="242"/>
      <c r="CA107" s="242"/>
      <c r="CB107" s="242"/>
      <c r="CC107" s="242"/>
      <c r="CD107" s="242"/>
      <c r="CE107" s="242"/>
      <c r="CF107" s="242"/>
      <c r="CG107" s="242"/>
      <c r="CH107" s="242"/>
      <c r="CI107" s="242"/>
      <c r="CJ107" s="242"/>
      <c r="CK107" s="242"/>
      <c r="CL107" s="242"/>
      <c r="CM107" s="242"/>
      <c r="CN107" s="242"/>
      <c r="CO107" s="242"/>
      <c r="CP107" s="242"/>
      <c r="CQ107" s="242"/>
      <c r="CR107" s="242"/>
      <c r="CS107" s="242"/>
      <c r="CT107" s="242"/>
      <c r="CU107" s="242"/>
      <c r="CV107" s="242"/>
      <c r="CW107" s="242"/>
      <c r="CX107" s="242"/>
      <c r="CY107" s="242"/>
      <c r="CZ107" s="242"/>
      <c r="DA107" s="242"/>
      <c r="DB107" s="242"/>
      <c r="DC107" s="242"/>
      <c r="DD107" s="242"/>
      <c r="DE107" s="242"/>
      <c r="DF107" s="242"/>
      <c r="DG107" s="242"/>
      <c r="DH107" s="242"/>
      <c r="DI107" s="242"/>
      <c r="DJ107" s="242"/>
      <c r="DK107" s="242"/>
      <c r="DL107" s="242"/>
      <c r="DM107" s="242"/>
      <c r="DN107" s="242"/>
      <c r="DO107" s="242"/>
      <c r="DP107" s="242"/>
      <c r="DQ107" s="242"/>
      <c r="DR107" s="242"/>
      <c r="DS107" s="242"/>
      <c r="DT107" s="242"/>
      <c r="DU107" s="242"/>
      <c r="DV107" s="242"/>
      <c r="DW107" s="242"/>
      <c r="DX107" s="242"/>
      <c r="DY107" s="242"/>
      <c r="DZ107" s="242"/>
      <c r="EA107" s="242"/>
      <c r="EB107" s="242"/>
      <c r="EC107" s="242"/>
      <c r="ED107" s="242"/>
      <c r="EE107" s="242"/>
      <c r="EF107" s="242"/>
      <c r="EG107" s="242"/>
      <c r="EH107" s="242"/>
      <c r="EI107" s="242"/>
      <c r="EJ107" s="242"/>
      <c r="EK107" s="242"/>
      <c r="EL107" s="242"/>
      <c r="EM107" s="242"/>
      <c r="EN107" s="242"/>
      <c r="EO107" s="242"/>
      <c r="EP107" s="242"/>
      <c r="EQ107" s="242"/>
      <c r="ER107" s="242"/>
      <c r="ES107" s="242"/>
      <c r="ET107" s="242"/>
      <c r="EU107" s="242"/>
      <c r="EV107" s="242"/>
      <c r="EW107" s="242"/>
      <c r="EX107" s="242"/>
      <c r="EY107" s="242"/>
      <c r="EZ107" s="242"/>
      <c r="FA107" s="242"/>
      <c r="FB107" s="242"/>
      <c r="FC107" s="242"/>
      <c r="FD107" s="242"/>
      <c r="FE107" s="242"/>
      <c r="FF107" s="242"/>
      <c r="FG107" s="242"/>
      <c r="FH107" s="242"/>
      <c r="FI107" s="242"/>
      <c r="FJ107" s="242"/>
      <c r="FK107" s="242"/>
      <c r="FL107" s="242"/>
      <c r="FM107" s="242"/>
      <c r="FN107" s="242"/>
      <c r="FO107" s="242"/>
      <c r="FP107" s="242"/>
      <c r="FQ107" s="242"/>
      <c r="FR107" s="242"/>
      <c r="FS107" s="242"/>
      <c r="FT107" s="242"/>
      <c r="FU107" s="242"/>
      <c r="FV107" s="242"/>
      <c r="FW107" s="242"/>
      <c r="FX107" s="242"/>
      <c r="FY107" s="242"/>
      <c r="FZ107" s="242"/>
      <c r="GA107" s="242"/>
      <c r="GB107" s="242"/>
      <c r="GC107" s="242"/>
      <c r="GD107" s="242"/>
      <c r="GE107" s="242"/>
      <c r="GF107" s="242"/>
      <c r="GG107" s="242"/>
      <c r="GH107" s="242"/>
      <c r="GI107" s="242"/>
      <c r="GJ107" s="242"/>
      <c r="GK107" s="242"/>
      <c r="GL107" s="242"/>
      <c r="GM107" s="242"/>
      <c r="GN107" s="242"/>
      <c r="GO107" s="242"/>
      <c r="GP107" s="242"/>
      <c r="GQ107" s="242"/>
      <c r="GR107" s="242"/>
      <c r="GS107" s="242"/>
      <c r="GT107" s="242"/>
      <c r="GU107" s="242"/>
      <c r="GV107" s="242"/>
      <c r="GW107" s="242"/>
      <c r="GX107" s="242"/>
      <c r="GY107" s="242"/>
      <c r="GZ107" s="242"/>
      <c r="HA107" s="242"/>
      <c r="HB107" s="242"/>
      <c r="HC107" s="242"/>
      <c r="HD107" s="242"/>
      <c r="HE107" s="242"/>
      <c r="HF107" s="242"/>
      <c r="HG107" s="242"/>
      <c r="HH107" s="242"/>
      <c r="HI107" s="242"/>
      <c r="HJ107" s="242"/>
      <c r="HK107" s="242"/>
      <c r="HL107" s="242"/>
      <c r="HM107" s="242"/>
      <c r="HN107" s="242"/>
      <c r="HO107" s="242"/>
      <c r="HP107" s="242"/>
      <c r="HQ107" s="242"/>
      <c r="HR107" s="242"/>
      <c r="HS107" s="242"/>
      <c r="HT107" s="242"/>
      <c r="HU107" s="242"/>
      <c r="HV107" s="242"/>
      <c r="HW107" s="242"/>
      <c r="HX107" s="242"/>
      <c r="HY107" s="242"/>
      <c r="HZ107" s="242"/>
      <c r="IA107" s="242"/>
      <c r="IB107" s="242"/>
      <c r="IC107" s="242"/>
      <c r="ID107" s="242"/>
      <c r="IE107" s="242"/>
      <c r="IF107" s="242"/>
      <c r="IG107" s="242"/>
      <c r="IH107" s="242"/>
      <c r="II107" s="242"/>
      <c r="IJ107" s="242"/>
      <c r="IK107" s="242"/>
      <c r="IL107" s="242"/>
      <c r="IM107" s="242"/>
      <c r="IN107" s="242"/>
      <c r="IO107" s="242"/>
      <c r="IP107" s="242"/>
      <c r="IQ107" s="242"/>
      <c r="IR107" s="242"/>
      <c r="IS107" s="242"/>
      <c r="IT107" s="242"/>
      <c r="IU107" s="242"/>
      <c r="IV107" s="242"/>
      <c r="IW107" s="242"/>
    </row>
    <row r="108" customFormat="false" ht="12.6" hidden="false" customHeight="true" outlineLevel="0" collapsed="false">
      <c r="A108" s="248"/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2"/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BD108" s="242"/>
      <c r="BE108" s="242"/>
      <c r="BF108" s="184"/>
      <c r="BG108" s="242"/>
      <c r="BH108" s="242"/>
      <c r="BI108" s="242"/>
      <c r="BJ108" s="242"/>
      <c r="BK108" s="242"/>
      <c r="BL108" s="242"/>
      <c r="BM108" s="242"/>
      <c r="BN108" s="242"/>
      <c r="BO108" s="242"/>
      <c r="BP108" s="242"/>
      <c r="BQ108" s="242"/>
      <c r="BR108" s="242"/>
      <c r="BS108" s="242"/>
      <c r="BT108" s="242"/>
      <c r="BU108" s="242"/>
      <c r="BV108" s="242"/>
      <c r="BW108" s="242"/>
      <c r="BX108" s="242"/>
      <c r="BY108" s="242"/>
      <c r="BZ108" s="242"/>
      <c r="CA108" s="242"/>
      <c r="CB108" s="242"/>
      <c r="CC108" s="242"/>
      <c r="CD108" s="242"/>
      <c r="CE108" s="242"/>
      <c r="CF108" s="242"/>
      <c r="CG108" s="242"/>
      <c r="CH108" s="242"/>
      <c r="CI108" s="242"/>
      <c r="CJ108" s="242"/>
      <c r="CK108" s="242"/>
      <c r="CL108" s="242"/>
      <c r="CM108" s="242"/>
      <c r="CN108" s="242"/>
      <c r="CO108" s="242"/>
      <c r="CP108" s="242"/>
      <c r="CQ108" s="242"/>
      <c r="CR108" s="242"/>
      <c r="CS108" s="242"/>
      <c r="CT108" s="242"/>
      <c r="CU108" s="242"/>
      <c r="CV108" s="242"/>
      <c r="CW108" s="242"/>
      <c r="CX108" s="242"/>
      <c r="CY108" s="242"/>
      <c r="CZ108" s="242"/>
      <c r="DA108" s="242"/>
      <c r="DB108" s="242"/>
      <c r="DC108" s="242"/>
      <c r="DD108" s="242"/>
      <c r="DE108" s="242"/>
      <c r="DF108" s="242"/>
      <c r="DG108" s="242"/>
      <c r="DH108" s="242"/>
      <c r="DI108" s="242"/>
      <c r="DJ108" s="242"/>
      <c r="DK108" s="242"/>
      <c r="DL108" s="242"/>
      <c r="DM108" s="242"/>
      <c r="DN108" s="242"/>
      <c r="DO108" s="242"/>
      <c r="DP108" s="242"/>
      <c r="DQ108" s="242"/>
      <c r="DR108" s="242"/>
      <c r="DS108" s="242"/>
      <c r="DT108" s="242"/>
      <c r="DU108" s="242"/>
      <c r="DV108" s="242"/>
      <c r="DW108" s="242"/>
      <c r="DX108" s="242"/>
      <c r="DY108" s="242"/>
      <c r="DZ108" s="242"/>
      <c r="EA108" s="242"/>
      <c r="EB108" s="242"/>
      <c r="EC108" s="242"/>
      <c r="ED108" s="242"/>
      <c r="EE108" s="242"/>
      <c r="EF108" s="242"/>
      <c r="EG108" s="242"/>
      <c r="EH108" s="242"/>
      <c r="EI108" s="242"/>
      <c r="EJ108" s="242"/>
      <c r="EK108" s="242"/>
      <c r="EL108" s="242"/>
      <c r="EM108" s="242"/>
      <c r="EN108" s="242"/>
      <c r="EO108" s="242"/>
      <c r="EP108" s="242"/>
      <c r="EQ108" s="242"/>
      <c r="ER108" s="242"/>
      <c r="ES108" s="242"/>
      <c r="ET108" s="242"/>
      <c r="EU108" s="242"/>
      <c r="EV108" s="242"/>
      <c r="EW108" s="242"/>
      <c r="EX108" s="242"/>
      <c r="EY108" s="242"/>
      <c r="EZ108" s="242"/>
      <c r="FA108" s="242"/>
      <c r="FB108" s="242"/>
      <c r="FC108" s="242"/>
      <c r="FD108" s="242"/>
      <c r="FE108" s="242"/>
      <c r="FF108" s="242"/>
      <c r="FG108" s="242"/>
      <c r="FH108" s="242"/>
      <c r="FI108" s="242"/>
      <c r="FJ108" s="242"/>
      <c r="FK108" s="242"/>
      <c r="FL108" s="242"/>
      <c r="FM108" s="242"/>
      <c r="FN108" s="242"/>
      <c r="FO108" s="242"/>
      <c r="FP108" s="242"/>
      <c r="FQ108" s="242"/>
      <c r="FR108" s="242"/>
      <c r="FS108" s="242"/>
      <c r="FT108" s="242"/>
      <c r="FU108" s="242"/>
      <c r="FV108" s="242"/>
      <c r="FW108" s="242"/>
      <c r="FX108" s="242"/>
      <c r="FY108" s="242"/>
      <c r="FZ108" s="242"/>
      <c r="GA108" s="242"/>
      <c r="GB108" s="242"/>
      <c r="GC108" s="242"/>
      <c r="GD108" s="242"/>
      <c r="GE108" s="242"/>
      <c r="GF108" s="242"/>
      <c r="GG108" s="242"/>
      <c r="GH108" s="242"/>
      <c r="GI108" s="242"/>
      <c r="GJ108" s="242"/>
      <c r="GK108" s="242"/>
      <c r="GL108" s="242"/>
      <c r="GM108" s="242"/>
      <c r="GN108" s="242"/>
      <c r="GO108" s="242"/>
      <c r="GP108" s="242"/>
      <c r="GQ108" s="242"/>
      <c r="GR108" s="242"/>
      <c r="GS108" s="242"/>
      <c r="GT108" s="242"/>
      <c r="GU108" s="242"/>
      <c r="GV108" s="242"/>
      <c r="GW108" s="242"/>
      <c r="GX108" s="242"/>
      <c r="GY108" s="242"/>
      <c r="GZ108" s="242"/>
      <c r="HA108" s="242"/>
      <c r="HB108" s="242"/>
      <c r="HC108" s="242"/>
      <c r="HD108" s="242"/>
      <c r="HE108" s="242"/>
      <c r="HF108" s="242"/>
      <c r="HG108" s="242"/>
      <c r="HH108" s="242"/>
      <c r="HI108" s="242"/>
      <c r="HJ108" s="242"/>
      <c r="HK108" s="242"/>
      <c r="HL108" s="242"/>
      <c r="HM108" s="242"/>
      <c r="HN108" s="242"/>
      <c r="HO108" s="242"/>
      <c r="HP108" s="242"/>
      <c r="HQ108" s="242"/>
      <c r="HR108" s="242"/>
      <c r="HS108" s="242"/>
      <c r="HT108" s="242"/>
      <c r="HU108" s="242"/>
      <c r="HV108" s="242"/>
      <c r="HW108" s="242"/>
      <c r="HX108" s="242"/>
      <c r="HY108" s="242"/>
      <c r="HZ108" s="242"/>
      <c r="IA108" s="242"/>
      <c r="IB108" s="242"/>
      <c r="IC108" s="242"/>
      <c r="ID108" s="242"/>
      <c r="IE108" s="242"/>
      <c r="IF108" s="242"/>
      <c r="IG108" s="242"/>
      <c r="IH108" s="242"/>
      <c r="II108" s="242"/>
      <c r="IJ108" s="242"/>
      <c r="IK108" s="242"/>
      <c r="IL108" s="242"/>
      <c r="IM108" s="242"/>
      <c r="IN108" s="242"/>
      <c r="IO108" s="242"/>
      <c r="IP108" s="242"/>
      <c r="IQ108" s="242"/>
      <c r="IR108" s="242"/>
      <c r="IS108" s="242"/>
      <c r="IT108" s="242"/>
      <c r="IU108" s="242"/>
      <c r="IV108" s="242"/>
      <c r="IW108" s="242"/>
    </row>
    <row r="109" customFormat="false" ht="12.6" hidden="false" customHeight="true" outlineLevel="0" collapsed="false">
      <c r="A109" s="248"/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  <c r="AL109" s="242"/>
      <c r="AM109" s="242"/>
      <c r="AN109" s="242"/>
      <c r="AO109" s="242"/>
      <c r="AP109" s="242"/>
      <c r="AQ109" s="242"/>
      <c r="AR109" s="242"/>
      <c r="AS109" s="242"/>
      <c r="AT109" s="242"/>
      <c r="BD109" s="242"/>
      <c r="BE109" s="242"/>
      <c r="BF109" s="184"/>
      <c r="BG109" s="242"/>
      <c r="BH109" s="242"/>
      <c r="BI109" s="242"/>
      <c r="BJ109" s="242"/>
      <c r="BK109" s="242"/>
      <c r="BL109" s="242"/>
      <c r="BM109" s="242"/>
      <c r="BN109" s="242"/>
      <c r="BO109" s="242"/>
      <c r="BP109" s="242"/>
      <c r="BQ109" s="242"/>
      <c r="BR109" s="242"/>
      <c r="BS109" s="242"/>
      <c r="BT109" s="242"/>
      <c r="BU109" s="242"/>
      <c r="BV109" s="242"/>
      <c r="BW109" s="242"/>
      <c r="BX109" s="242"/>
      <c r="BY109" s="242"/>
      <c r="BZ109" s="242"/>
      <c r="CA109" s="242"/>
      <c r="CB109" s="242"/>
      <c r="CC109" s="242"/>
      <c r="CD109" s="242"/>
      <c r="CE109" s="242"/>
      <c r="CF109" s="242"/>
      <c r="CG109" s="242"/>
      <c r="CH109" s="242"/>
      <c r="CI109" s="242"/>
      <c r="CJ109" s="242"/>
      <c r="CK109" s="242"/>
      <c r="CL109" s="242"/>
      <c r="CM109" s="242"/>
      <c r="CN109" s="242"/>
      <c r="CO109" s="242"/>
      <c r="CP109" s="242"/>
      <c r="CQ109" s="242"/>
      <c r="CR109" s="242"/>
      <c r="CS109" s="242"/>
      <c r="CT109" s="242"/>
      <c r="CU109" s="242"/>
      <c r="CV109" s="242"/>
      <c r="CW109" s="242"/>
      <c r="CX109" s="242"/>
      <c r="CY109" s="242"/>
      <c r="CZ109" s="242"/>
      <c r="DA109" s="242"/>
      <c r="DB109" s="242"/>
      <c r="DC109" s="242"/>
      <c r="DD109" s="242"/>
      <c r="DE109" s="242"/>
      <c r="DF109" s="242"/>
      <c r="DG109" s="242"/>
      <c r="DH109" s="242"/>
      <c r="DI109" s="242"/>
      <c r="DJ109" s="242"/>
      <c r="DK109" s="242"/>
      <c r="DL109" s="242"/>
      <c r="DM109" s="242"/>
      <c r="DN109" s="242"/>
      <c r="DO109" s="242"/>
      <c r="DP109" s="242"/>
      <c r="DQ109" s="242"/>
      <c r="DR109" s="242"/>
      <c r="DS109" s="242"/>
      <c r="DT109" s="242"/>
      <c r="DU109" s="242"/>
      <c r="DV109" s="242"/>
      <c r="DW109" s="242"/>
      <c r="DX109" s="242"/>
      <c r="DY109" s="242"/>
      <c r="DZ109" s="242"/>
      <c r="EA109" s="242"/>
      <c r="EB109" s="242"/>
      <c r="EC109" s="242"/>
      <c r="ED109" s="242"/>
      <c r="EE109" s="242"/>
      <c r="EF109" s="242"/>
      <c r="EG109" s="242"/>
      <c r="EH109" s="242"/>
      <c r="EI109" s="242"/>
      <c r="EJ109" s="242"/>
      <c r="EK109" s="242"/>
      <c r="EL109" s="242"/>
      <c r="EM109" s="242"/>
      <c r="EN109" s="242"/>
      <c r="EO109" s="242"/>
      <c r="EP109" s="242"/>
      <c r="EQ109" s="242"/>
      <c r="ER109" s="242"/>
      <c r="ES109" s="242"/>
      <c r="ET109" s="242"/>
      <c r="EU109" s="242"/>
      <c r="EV109" s="242"/>
      <c r="EW109" s="242"/>
      <c r="EX109" s="242"/>
      <c r="EY109" s="242"/>
      <c r="EZ109" s="242"/>
      <c r="FA109" s="242"/>
      <c r="FB109" s="242"/>
      <c r="FC109" s="242"/>
      <c r="FD109" s="242"/>
      <c r="FE109" s="242"/>
      <c r="FF109" s="242"/>
      <c r="FG109" s="242"/>
      <c r="FH109" s="242"/>
      <c r="FI109" s="242"/>
      <c r="FJ109" s="242"/>
      <c r="FK109" s="242"/>
      <c r="FL109" s="242"/>
      <c r="FM109" s="242"/>
      <c r="FN109" s="242"/>
      <c r="FO109" s="242"/>
      <c r="FP109" s="242"/>
      <c r="FQ109" s="242"/>
      <c r="FR109" s="242"/>
      <c r="FS109" s="242"/>
      <c r="FT109" s="242"/>
      <c r="FU109" s="242"/>
      <c r="FV109" s="242"/>
      <c r="FW109" s="242"/>
      <c r="FX109" s="242"/>
      <c r="FY109" s="242"/>
      <c r="FZ109" s="242"/>
      <c r="GA109" s="242"/>
      <c r="GB109" s="242"/>
      <c r="GC109" s="242"/>
      <c r="GD109" s="242"/>
      <c r="GE109" s="242"/>
      <c r="GF109" s="242"/>
      <c r="GG109" s="242"/>
      <c r="GH109" s="242"/>
      <c r="GI109" s="242"/>
      <c r="GJ109" s="242"/>
      <c r="GK109" s="242"/>
      <c r="GL109" s="242"/>
      <c r="GM109" s="242"/>
      <c r="GN109" s="242"/>
      <c r="GO109" s="242"/>
      <c r="GP109" s="242"/>
      <c r="GQ109" s="242"/>
      <c r="GR109" s="242"/>
      <c r="GS109" s="242"/>
      <c r="GT109" s="242"/>
      <c r="GU109" s="242"/>
      <c r="GV109" s="242"/>
      <c r="GW109" s="242"/>
      <c r="GX109" s="242"/>
      <c r="GY109" s="242"/>
      <c r="GZ109" s="242"/>
      <c r="HA109" s="242"/>
      <c r="HB109" s="242"/>
      <c r="HC109" s="242"/>
      <c r="HD109" s="242"/>
      <c r="HE109" s="242"/>
      <c r="HF109" s="242"/>
      <c r="HG109" s="242"/>
      <c r="HH109" s="242"/>
      <c r="HI109" s="242"/>
      <c r="HJ109" s="242"/>
      <c r="HK109" s="242"/>
      <c r="HL109" s="242"/>
      <c r="HM109" s="242"/>
      <c r="HN109" s="242"/>
      <c r="HO109" s="242"/>
      <c r="HP109" s="242"/>
      <c r="HQ109" s="242"/>
      <c r="HR109" s="242"/>
      <c r="HS109" s="242"/>
      <c r="HT109" s="242"/>
      <c r="HU109" s="242"/>
      <c r="HV109" s="242"/>
      <c r="HW109" s="242"/>
      <c r="HX109" s="242"/>
      <c r="HY109" s="242"/>
      <c r="HZ109" s="242"/>
      <c r="IA109" s="242"/>
      <c r="IB109" s="242"/>
      <c r="IC109" s="242"/>
      <c r="ID109" s="242"/>
      <c r="IE109" s="242"/>
      <c r="IF109" s="242"/>
      <c r="IG109" s="242"/>
      <c r="IH109" s="242"/>
      <c r="II109" s="242"/>
      <c r="IJ109" s="242"/>
      <c r="IK109" s="242"/>
      <c r="IL109" s="242"/>
      <c r="IM109" s="242"/>
      <c r="IN109" s="242"/>
      <c r="IO109" s="242"/>
      <c r="IP109" s="242"/>
      <c r="IQ109" s="242"/>
      <c r="IR109" s="242"/>
      <c r="IS109" s="242"/>
      <c r="IT109" s="242"/>
      <c r="IU109" s="242"/>
      <c r="IV109" s="242"/>
      <c r="IW109" s="242"/>
    </row>
    <row r="110" customFormat="false" ht="12.6" hidden="false" customHeight="true" outlineLevel="0" collapsed="false">
      <c r="A110" s="248"/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5"/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/>
      <c r="AM110" s="242"/>
      <c r="AN110" s="242"/>
      <c r="AO110" s="242"/>
      <c r="AP110" s="242"/>
      <c r="AQ110" s="242"/>
      <c r="AR110" s="242"/>
      <c r="AS110" s="242"/>
      <c r="AT110" s="242"/>
      <c r="BD110" s="242"/>
      <c r="BE110" s="242"/>
      <c r="BF110" s="184"/>
      <c r="BG110" s="242"/>
      <c r="BH110" s="242"/>
      <c r="BI110" s="242"/>
      <c r="BJ110" s="242"/>
      <c r="BK110" s="242"/>
      <c r="BL110" s="242"/>
      <c r="BM110" s="242"/>
      <c r="BN110" s="242"/>
      <c r="BO110" s="242"/>
      <c r="BP110" s="242"/>
      <c r="BQ110" s="242"/>
      <c r="BR110" s="242"/>
      <c r="BS110" s="242"/>
      <c r="BT110" s="242"/>
      <c r="BU110" s="242"/>
      <c r="BV110" s="242"/>
      <c r="BW110" s="242"/>
      <c r="BX110" s="242"/>
      <c r="BY110" s="242"/>
      <c r="BZ110" s="242"/>
      <c r="CA110" s="242"/>
      <c r="CB110" s="242"/>
      <c r="CC110" s="242"/>
      <c r="CD110" s="242"/>
      <c r="CE110" s="242"/>
      <c r="CF110" s="242"/>
      <c r="CG110" s="242"/>
      <c r="CH110" s="242"/>
      <c r="CI110" s="242"/>
      <c r="CJ110" s="242"/>
      <c r="CK110" s="242"/>
      <c r="CL110" s="242"/>
      <c r="CM110" s="242"/>
      <c r="CN110" s="242"/>
      <c r="CO110" s="242"/>
      <c r="CP110" s="242"/>
      <c r="CQ110" s="242"/>
      <c r="CR110" s="242"/>
      <c r="CS110" s="242"/>
      <c r="CT110" s="242"/>
      <c r="CU110" s="242"/>
      <c r="CV110" s="242"/>
      <c r="CW110" s="242"/>
      <c r="CX110" s="242"/>
      <c r="CY110" s="242"/>
      <c r="CZ110" s="242"/>
      <c r="DA110" s="242"/>
      <c r="DB110" s="242"/>
      <c r="DC110" s="242"/>
      <c r="DD110" s="242"/>
      <c r="DE110" s="242"/>
      <c r="DF110" s="242"/>
      <c r="DG110" s="242"/>
      <c r="DH110" s="242"/>
      <c r="DI110" s="242"/>
      <c r="DJ110" s="242"/>
      <c r="DK110" s="242"/>
      <c r="DL110" s="242"/>
      <c r="DM110" s="242"/>
      <c r="DN110" s="242"/>
      <c r="DO110" s="242"/>
      <c r="DP110" s="242"/>
      <c r="DQ110" s="242"/>
      <c r="DR110" s="242"/>
      <c r="DS110" s="242"/>
      <c r="DT110" s="242"/>
      <c r="DU110" s="242"/>
      <c r="DV110" s="242"/>
      <c r="DW110" s="242"/>
      <c r="DX110" s="242"/>
      <c r="DY110" s="242"/>
      <c r="DZ110" s="242"/>
      <c r="EA110" s="242"/>
      <c r="EB110" s="242"/>
      <c r="EC110" s="242"/>
      <c r="ED110" s="242"/>
      <c r="EE110" s="242"/>
      <c r="EF110" s="242"/>
      <c r="EG110" s="242"/>
      <c r="EH110" s="242"/>
      <c r="EI110" s="242"/>
      <c r="EJ110" s="242"/>
      <c r="EK110" s="242"/>
      <c r="EL110" s="242"/>
      <c r="EM110" s="242"/>
      <c r="EN110" s="242"/>
      <c r="EO110" s="242"/>
      <c r="EP110" s="242"/>
      <c r="EQ110" s="242"/>
      <c r="ER110" s="242"/>
      <c r="ES110" s="242"/>
      <c r="ET110" s="242"/>
      <c r="EU110" s="242"/>
      <c r="EV110" s="242"/>
      <c r="EW110" s="242"/>
      <c r="EX110" s="242"/>
      <c r="EY110" s="242"/>
      <c r="EZ110" s="242"/>
      <c r="FA110" s="242"/>
      <c r="FB110" s="242"/>
      <c r="FC110" s="242"/>
      <c r="FD110" s="242"/>
      <c r="FE110" s="242"/>
      <c r="FF110" s="242"/>
      <c r="FG110" s="242"/>
      <c r="FH110" s="242"/>
      <c r="FI110" s="242"/>
      <c r="FJ110" s="242"/>
      <c r="FK110" s="242"/>
      <c r="FL110" s="242"/>
      <c r="FM110" s="242"/>
      <c r="FN110" s="242"/>
      <c r="FO110" s="242"/>
      <c r="FP110" s="242"/>
      <c r="FQ110" s="242"/>
      <c r="FR110" s="242"/>
      <c r="FS110" s="242"/>
      <c r="FT110" s="242"/>
      <c r="FU110" s="242"/>
      <c r="FV110" s="242"/>
      <c r="FW110" s="242"/>
      <c r="FX110" s="242"/>
      <c r="FY110" s="242"/>
      <c r="FZ110" s="242"/>
      <c r="GA110" s="242"/>
      <c r="GB110" s="242"/>
      <c r="GC110" s="242"/>
      <c r="GD110" s="242"/>
      <c r="GE110" s="242"/>
      <c r="GF110" s="242"/>
      <c r="GG110" s="242"/>
      <c r="GH110" s="242"/>
      <c r="GI110" s="242"/>
      <c r="GJ110" s="242"/>
      <c r="GK110" s="242"/>
      <c r="GL110" s="242"/>
      <c r="GM110" s="242"/>
      <c r="GN110" s="242"/>
      <c r="GO110" s="242"/>
      <c r="GP110" s="242"/>
      <c r="GQ110" s="242"/>
      <c r="GR110" s="242"/>
      <c r="GS110" s="242"/>
      <c r="GT110" s="242"/>
      <c r="GU110" s="242"/>
      <c r="GV110" s="242"/>
      <c r="GW110" s="242"/>
      <c r="GX110" s="242"/>
      <c r="GY110" s="242"/>
      <c r="GZ110" s="242"/>
      <c r="HA110" s="242"/>
      <c r="HB110" s="242"/>
      <c r="HC110" s="242"/>
      <c r="HD110" s="242"/>
      <c r="HE110" s="242"/>
      <c r="HF110" s="242"/>
      <c r="HG110" s="242"/>
      <c r="HH110" s="242"/>
      <c r="HI110" s="242"/>
      <c r="HJ110" s="242"/>
      <c r="HK110" s="242"/>
      <c r="HL110" s="242"/>
      <c r="HM110" s="242"/>
      <c r="HN110" s="242"/>
      <c r="HO110" s="242"/>
      <c r="HP110" s="242"/>
      <c r="HQ110" s="242"/>
      <c r="HR110" s="242"/>
      <c r="HS110" s="242"/>
      <c r="HT110" s="242"/>
      <c r="HU110" s="242"/>
      <c r="HV110" s="242"/>
      <c r="HW110" s="242"/>
      <c r="HX110" s="242"/>
      <c r="HY110" s="242"/>
      <c r="HZ110" s="242"/>
      <c r="IA110" s="242"/>
      <c r="IB110" s="242"/>
      <c r="IC110" s="242"/>
      <c r="ID110" s="242"/>
      <c r="IE110" s="242"/>
      <c r="IF110" s="242"/>
      <c r="IG110" s="242"/>
      <c r="IH110" s="242"/>
      <c r="II110" s="242"/>
      <c r="IJ110" s="242"/>
      <c r="IK110" s="242"/>
      <c r="IL110" s="242"/>
      <c r="IM110" s="242"/>
      <c r="IN110" s="242"/>
      <c r="IO110" s="242"/>
      <c r="IP110" s="242"/>
      <c r="IQ110" s="242"/>
      <c r="IR110" s="242"/>
      <c r="IS110" s="242"/>
      <c r="IT110" s="242"/>
      <c r="IU110" s="242"/>
      <c r="IV110" s="242"/>
      <c r="IW110" s="242"/>
    </row>
    <row r="111" customFormat="false" ht="12.6" hidden="false" customHeight="true" outlineLevel="0" collapsed="false">
      <c r="A111" s="248"/>
      <c r="B111" s="248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2"/>
      <c r="AA111" s="242"/>
      <c r="AB111" s="242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BD111" s="184"/>
      <c r="BE111" s="184"/>
      <c r="BF111" s="184"/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  <c r="CN111" s="184"/>
      <c r="CO111" s="184"/>
      <c r="CP111" s="184"/>
      <c r="CQ111" s="184"/>
      <c r="CR111" s="184"/>
      <c r="CS111" s="184"/>
      <c r="CT111" s="184"/>
      <c r="CU111" s="184"/>
      <c r="CV111" s="184"/>
      <c r="CW111" s="184"/>
      <c r="CX111" s="184"/>
      <c r="CY111" s="184"/>
      <c r="CZ111" s="184"/>
      <c r="DA111" s="184"/>
      <c r="DB111" s="184"/>
      <c r="DC111" s="184"/>
      <c r="DD111" s="184"/>
      <c r="DE111" s="184"/>
      <c r="DF111" s="184"/>
      <c r="DG111" s="184"/>
      <c r="DH111" s="184"/>
      <c r="DI111" s="184"/>
      <c r="DJ111" s="184"/>
      <c r="DK111" s="184"/>
      <c r="DL111" s="184"/>
      <c r="DM111" s="184"/>
      <c r="DN111" s="184"/>
      <c r="DO111" s="184"/>
      <c r="DP111" s="184"/>
      <c r="DQ111" s="184"/>
      <c r="DR111" s="184"/>
      <c r="DS111" s="184"/>
      <c r="DT111" s="184"/>
      <c r="DU111" s="184"/>
      <c r="DV111" s="184"/>
      <c r="DW111" s="184"/>
      <c r="DX111" s="184"/>
      <c r="DY111" s="184"/>
      <c r="DZ111" s="184"/>
      <c r="EA111" s="184"/>
      <c r="EB111" s="184"/>
      <c r="EC111" s="184"/>
      <c r="ED111" s="184"/>
      <c r="EE111" s="184"/>
      <c r="EF111" s="184"/>
      <c r="EG111" s="184"/>
      <c r="EH111" s="184"/>
      <c r="EI111" s="184"/>
      <c r="EJ111" s="184"/>
      <c r="EK111" s="184"/>
      <c r="EL111" s="184"/>
      <c r="EM111" s="184"/>
      <c r="EN111" s="184"/>
      <c r="EO111" s="184"/>
      <c r="EP111" s="184"/>
      <c r="EQ111" s="184"/>
      <c r="ER111" s="184"/>
      <c r="ES111" s="184"/>
      <c r="ET111" s="184"/>
      <c r="EU111" s="184"/>
      <c r="EV111" s="184"/>
      <c r="EW111" s="184"/>
      <c r="EX111" s="184"/>
      <c r="EY111" s="184"/>
      <c r="EZ111" s="184"/>
      <c r="FA111" s="184"/>
      <c r="FB111" s="184"/>
      <c r="FC111" s="184"/>
      <c r="FD111" s="184"/>
      <c r="FE111" s="184"/>
      <c r="FF111" s="184"/>
      <c r="FG111" s="184"/>
      <c r="FH111" s="184"/>
      <c r="FI111" s="184"/>
      <c r="FJ111" s="184"/>
      <c r="FK111" s="184"/>
      <c r="FL111" s="184"/>
      <c r="FM111" s="184"/>
      <c r="FN111" s="184"/>
      <c r="FO111" s="184"/>
      <c r="FP111" s="184"/>
      <c r="FQ111" s="184"/>
      <c r="FR111" s="184"/>
      <c r="FS111" s="184"/>
      <c r="FT111" s="184"/>
      <c r="FU111" s="184"/>
      <c r="FV111" s="184"/>
      <c r="FW111" s="184"/>
      <c r="FX111" s="184"/>
      <c r="FY111" s="184"/>
      <c r="FZ111" s="184"/>
      <c r="GA111" s="184"/>
      <c r="GB111" s="184"/>
      <c r="GC111" s="184"/>
      <c r="GD111" s="184"/>
      <c r="GE111" s="184"/>
      <c r="GF111" s="184"/>
      <c r="GG111" s="184"/>
      <c r="GH111" s="184"/>
      <c r="GI111" s="184"/>
      <c r="GJ111" s="184"/>
      <c r="GK111" s="184"/>
      <c r="GL111" s="184"/>
      <c r="GM111" s="184"/>
      <c r="GN111" s="184"/>
      <c r="GO111" s="184"/>
      <c r="GP111" s="184"/>
      <c r="GQ111" s="184"/>
      <c r="GR111" s="184"/>
      <c r="GS111" s="184"/>
      <c r="GT111" s="184"/>
      <c r="GU111" s="184"/>
      <c r="GV111" s="184"/>
      <c r="GW111" s="184"/>
      <c r="GX111" s="184"/>
      <c r="GY111" s="184"/>
      <c r="GZ111" s="184"/>
      <c r="HA111" s="184"/>
      <c r="HB111" s="184"/>
      <c r="HC111" s="184"/>
      <c r="HD111" s="184"/>
      <c r="HE111" s="184"/>
      <c r="HF111" s="184"/>
      <c r="HG111" s="184"/>
      <c r="HH111" s="184"/>
      <c r="HI111" s="184"/>
      <c r="HJ111" s="184"/>
      <c r="HK111" s="184"/>
      <c r="HL111" s="184"/>
      <c r="HM111" s="184"/>
      <c r="HN111" s="184"/>
      <c r="HO111" s="184"/>
      <c r="HP111" s="184"/>
      <c r="HQ111" s="184"/>
      <c r="HR111" s="184"/>
      <c r="HS111" s="184"/>
      <c r="HT111" s="184"/>
      <c r="HU111" s="184"/>
      <c r="HV111" s="184"/>
      <c r="HW111" s="184"/>
      <c r="HX111" s="184"/>
      <c r="HY111" s="184"/>
      <c r="HZ111" s="184"/>
      <c r="IA111" s="184"/>
      <c r="IB111" s="184"/>
      <c r="IC111" s="184"/>
      <c r="ID111" s="184"/>
      <c r="IE111" s="184"/>
      <c r="IF111" s="184"/>
      <c r="IG111" s="184"/>
      <c r="IH111" s="184"/>
      <c r="II111" s="184"/>
      <c r="IJ111" s="184"/>
      <c r="IK111" s="184"/>
      <c r="IL111" s="184"/>
      <c r="IM111" s="184"/>
      <c r="IN111" s="184"/>
      <c r="IO111" s="184"/>
      <c r="IP111" s="184"/>
      <c r="IQ111" s="184"/>
      <c r="IR111" s="184"/>
      <c r="IS111" s="184"/>
      <c r="IT111" s="184"/>
      <c r="IU111" s="184"/>
      <c r="IV111" s="184"/>
      <c r="IW111" s="242"/>
    </row>
    <row r="112" customFormat="false" ht="12.6" hidden="false" customHeight="true" outlineLevel="0" collapsed="false">
      <c r="A112" s="248"/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2"/>
      <c r="AA112" s="242"/>
      <c r="AB112" s="242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BD112" s="184"/>
      <c r="BE112" s="184"/>
      <c r="BF112" s="184"/>
      <c r="BG112" s="184"/>
      <c r="BH112" s="184"/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4"/>
      <c r="BT112" s="184"/>
      <c r="BU112" s="184"/>
      <c r="BV112" s="184"/>
      <c r="BW112" s="184"/>
      <c r="BX112" s="184"/>
      <c r="BY112" s="184"/>
      <c r="BZ112" s="184"/>
      <c r="CA112" s="184"/>
      <c r="CB112" s="184"/>
      <c r="CC112" s="184"/>
      <c r="CD112" s="184"/>
      <c r="CE112" s="184"/>
      <c r="CF112" s="184"/>
      <c r="CG112" s="184"/>
      <c r="CH112" s="184"/>
      <c r="CI112" s="184"/>
      <c r="CJ112" s="184"/>
      <c r="CK112" s="184"/>
      <c r="CL112" s="184"/>
      <c r="CM112" s="184"/>
      <c r="CN112" s="184"/>
      <c r="CO112" s="184"/>
      <c r="CP112" s="184"/>
      <c r="CQ112" s="184"/>
      <c r="CR112" s="184"/>
      <c r="CS112" s="184"/>
      <c r="CT112" s="184"/>
      <c r="CU112" s="184"/>
      <c r="CV112" s="184"/>
      <c r="CW112" s="184"/>
      <c r="CX112" s="184"/>
      <c r="CY112" s="184"/>
      <c r="CZ112" s="184"/>
      <c r="DA112" s="184"/>
      <c r="DB112" s="184"/>
      <c r="DC112" s="184"/>
      <c r="DD112" s="184"/>
      <c r="DE112" s="184"/>
      <c r="DF112" s="184"/>
      <c r="DG112" s="184"/>
      <c r="DH112" s="184"/>
      <c r="DI112" s="184"/>
      <c r="DJ112" s="184"/>
      <c r="DK112" s="184"/>
      <c r="DL112" s="184"/>
      <c r="DM112" s="184"/>
      <c r="DN112" s="184"/>
      <c r="DO112" s="184"/>
      <c r="DP112" s="184"/>
      <c r="DQ112" s="184"/>
      <c r="DR112" s="184"/>
      <c r="DS112" s="184"/>
      <c r="DT112" s="184"/>
      <c r="DU112" s="184"/>
      <c r="DV112" s="184"/>
      <c r="DW112" s="184"/>
      <c r="DX112" s="184"/>
      <c r="DY112" s="184"/>
      <c r="DZ112" s="184"/>
      <c r="EA112" s="184"/>
      <c r="EB112" s="184"/>
      <c r="EC112" s="184"/>
      <c r="ED112" s="184"/>
      <c r="EE112" s="184"/>
      <c r="EF112" s="184"/>
      <c r="EG112" s="184"/>
      <c r="EH112" s="184"/>
      <c r="EI112" s="184"/>
      <c r="EJ112" s="184"/>
      <c r="EK112" s="184"/>
      <c r="EL112" s="184"/>
      <c r="EM112" s="184"/>
      <c r="EN112" s="184"/>
      <c r="EO112" s="184"/>
      <c r="EP112" s="184"/>
      <c r="EQ112" s="184"/>
      <c r="ER112" s="184"/>
      <c r="ES112" s="184"/>
      <c r="ET112" s="184"/>
      <c r="EU112" s="184"/>
      <c r="EV112" s="184"/>
      <c r="EW112" s="184"/>
      <c r="EX112" s="184"/>
      <c r="EY112" s="184"/>
      <c r="EZ112" s="184"/>
      <c r="FA112" s="184"/>
      <c r="FB112" s="184"/>
      <c r="FC112" s="184"/>
      <c r="FD112" s="184"/>
      <c r="FE112" s="184"/>
      <c r="FF112" s="184"/>
      <c r="FG112" s="184"/>
      <c r="FH112" s="184"/>
      <c r="FI112" s="184"/>
      <c r="FJ112" s="184"/>
      <c r="FK112" s="184"/>
      <c r="FL112" s="184"/>
      <c r="FM112" s="184"/>
      <c r="FN112" s="184"/>
      <c r="FO112" s="184"/>
      <c r="FP112" s="184"/>
      <c r="FQ112" s="184"/>
      <c r="FR112" s="184"/>
      <c r="FS112" s="184"/>
      <c r="FT112" s="184"/>
      <c r="FU112" s="184"/>
      <c r="FV112" s="184"/>
      <c r="FW112" s="184"/>
      <c r="FX112" s="184"/>
      <c r="FY112" s="184"/>
      <c r="FZ112" s="184"/>
      <c r="GA112" s="184"/>
      <c r="GB112" s="184"/>
      <c r="GC112" s="184"/>
      <c r="GD112" s="184"/>
      <c r="GE112" s="184"/>
      <c r="GF112" s="184"/>
      <c r="GG112" s="184"/>
      <c r="GH112" s="184"/>
      <c r="GI112" s="184"/>
      <c r="GJ112" s="184"/>
      <c r="GK112" s="184"/>
      <c r="GL112" s="184"/>
      <c r="GM112" s="184"/>
      <c r="GN112" s="184"/>
      <c r="GO112" s="184"/>
      <c r="GP112" s="184"/>
      <c r="GQ112" s="184"/>
      <c r="GR112" s="184"/>
      <c r="GS112" s="184"/>
      <c r="GT112" s="184"/>
      <c r="GU112" s="184"/>
      <c r="GV112" s="184"/>
      <c r="GW112" s="184"/>
      <c r="GX112" s="184"/>
      <c r="GY112" s="184"/>
      <c r="GZ112" s="184"/>
      <c r="HA112" s="184"/>
      <c r="HB112" s="184"/>
      <c r="HC112" s="184"/>
      <c r="HD112" s="184"/>
      <c r="HE112" s="184"/>
      <c r="HF112" s="184"/>
      <c r="HG112" s="184"/>
      <c r="HH112" s="184"/>
      <c r="HI112" s="184"/>
      <c r="HJ112" s="184"/>
      <c r="HK112" s="184"/>
      <c r="HL112" s="184"/>
      <c r="HM112" s="184"/>
      <c r="HN112" s="184"/>
      <c r="HO112" s="184"/>
      <c r="HP112" s="184"/>
      <c r="HQ112" s="184"/>
      <c r="HR112" s="184"/>
      <c r="HS112" s="184"/>
      <c r="HT112" s="184"/>
      <c r="HU112" s="184"/>
      <c r="HV112" s="184"/>
      <c r="HW112" s="184"/>
      <c r="HX112" s="184"/>
      <c r="HY112" s="184"/>
      <c r="HZ112" s="184"/>
      <c r="IA112" s="184"/>
      <c r="IB112" s="184"/>
      <c r="IC112" s="184"/>
      <c r="ID112" s="184"/>
      <c r="IE112" s="184"/>
      <c r="IF112" s="184"/>
      <c r="IG112" s="184"/>
      <c r="IH112" s="184"/>
      <c r="II112" s="184"/>
      <c r="IJ112" s="184"/>
      <c r="IK112" s="184"/>
      <c r="IL112" s="184"/>
      <c r="IM112" s="184"/>
      <c r="IN112" s="184"/>
      <c r="IO112" s="184"/>
      <c r="IP112" s="184"/>
      <c r="IQ112" s="184"/>
      <c r="IR112" s="184"/>
      <c r="IS112" s="184"/>
      <c r="IT112" s="184"/>
      <c r="IU112" s="184"/>
      <c r="IV112" s="184"/>
      <c r="IW112" s="242"/>
    </row>
    <row r="113" customFormat="false" ht="12.6" hidden="false" customHeight="true" outlineLevel="0" collapsed="false">
      <c r="A113" s="245"/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2"/>
      <c r="AA113" s="242"/>
      <c r="AB113" s="242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BD113" s="184"/>
      <c r="BE113" s="184"/>
      <c r="BF113" s="184"/>
      <c r="BG113" s="184"/>
      <c r="BH113" s="184"/>
      <c r="BI113" s="184"/>
      <c r="BJ113" s="184"/>
      <c r="BK113" s="184"/>
      <c r="BL113" s="184"/>
      <c r="BM113" s="184"/>
      <c r="BN113" s="184"/>
      <c r="BO113" s="184"/>
      <c r="BP113" s="184"/>
      <c r="BQ113" s="184"/>
      <c r="BR113" s="184"/>
      <c r="BS113" s="184"/>
      <c r="BT113" s="184"/>
      <c r="BU113" s="184"/>
      <c r="BV113" s="184"/>
      <c r="BW113" s="184"/>
      <c r="BX113" s="184"/>
      <c r="BY113" s="184"/>
      <c r="BZ113" s="184"/>
      <c r="CA113" s="184"/>
      <c r="CB113" s="184"/>
      <c r="CC113" s="184"/>
      <c r="CD113" s="184"/>
      <c r="CE113" s="184"/>
      <c r="CF113" s="184"/>
      <c r="CG113" s="184"/>
      <c r="CH113" s="184"/>
      <c r="CI113" s="184"/>
      <c r="CJ113" s="184"/>
      <c r="CK113" s="184"/>
      <c r="CL113" s="184"/>
      <c r="CM113" s="184"/>
      <c r="CN113" s="184"/>
      <c r="CO113" s="184"/>
      <c r="CP113" s="184"/>
      <c r="CQ113" s="184"/>
      <c r="CR113" s="184"/>
      <c r="CS113" s="184"/>
      <c r="CT113" s="184"/>
      <c r="CU113" s="184"/>
      <c r="CV113" s="184"/>
      <c r="CW113" s="184"/>
      <c r="CX113" s="184"/>
      <c r="CY113" s="184"/>
      <c r="CZ113" s="184"/>
      <c r="DA113" s="184"/>
      <c r="DB113" s="184"/>
      <c r="DC113" s="184"/>
      <c r="DD113" s="184"/>
      <c r="DE113" s="184"/>
      <c r="DF113" s="184"/>
      <c r="DG113" s="184"/>
      <c r="DH113" s="184"/>
      <c r="DI113" s="184"/>
      <c r="DJ113" s="184"/>
      <c r="DK113" s="184"/>
      <c r="DL113" s="184"/>
      <c r="DM113" s="184"/>
      <c r="DN113" s="184"/>
      <c r="DO113" s="184"/>
      <c r="DP113" s="184"/>
      <c r="DQ113" s="184"/>
      <c r="DR113" s="184"/>
      <c r="DS113" s="184"/>
      <c r="DT113" s="184"/>
      <c r="DU113" s="184"/>
      <c r="DV113" s="184"/>
      <c r="DW113" s="184"/>
      <c r="DX113" s="184"/>
      <c r="DY113" s="184"/>
      <c r="DZ113" s="184"/>
      <c r="EA113" s="184"/>
      <c r="EB113" s="184"/>
      <c r="EC113" s="184"/>
      <c r="ED113" s="184"/>
      <c r="EE113" s="184"/>
      <c r="EF113" s="184"/>
      <c r="EG113" s="184"/>
      <c r="EH113" s="184"/>
      <c r="EI113" s="184"/>
      <c r="EJ113" s="184"/>
      <c r="EK113" s="184"/>
      <c r="EL113" s="184"/>
      <c r="EM113" s="184"/>
      <c r="EN113" s="184"/>
      <c r="EO113" s="184"/>
      <c r="EP113" s="184"/>
      <c r="EQ113" s="184"/>
      <c r="ER113" s="184"/>
      <c r="ES113" s="184"/>
      <c r="ET113" s="184"/>
      <c r="EU113" s="184"/>
      <c r="EV113" s="184"/>
      <c r="EW113" s="184"/>
      <c r="EX113" s="184"/>
      <c r="EY113" s="184"/>
      <c r="EZ113" s="184"/>
      <c r="FA113" s="184"/>
      <c r="FB113" s="184"/>
      <c r="FC113" s="184"/>
      <c r="FD113" s="184"/>
      <c r="FE113" s="184"/>
      <c r="FF113" s="184"/>
      <c r="FG113" s="184"/>
      <c r="FH113" s="184"/>
      <c r="FI113" s="184"/>
      <c r="FJ113" s="184"/>
      <c r="FK113" s="184"/>
      <c r="FL113" s="184"/>
      <c r="FM113" s="184"/>
      <c r="FN113" s="184"/>
      <c r="FO113" s="184"/>
      <c r="FP113" s="184"/>
      <c r="FQ113" s="184"/>
      <c r="FR113" s="184"/>
      <c r="FS113" s="184"/>
      <c r="FT113" s="184"/>
      <c r="FU113" s="184"/>
      <c r="FV113" s="184"/>
      <c r="FW113" s="184"/>
      <c r="FX113" s="184"/>
      <c r="FY113" s="184"/>
      <c r="FZ113" s="184"/>
      <c r="GA113" s="184"/>
      <c r="GB113" s="184"/>
      <c r="GC113" s="184"/>
      <c r="GD113" s="184"/>
      <c r="GE113" s="184"/>
      <c r="GF113" s="184"/>
      <c r="GG113" s="184"/>
      <c r="GH113" s="184"/>
      <c r="GI113" s="184"/>
      <c r="GJ113" s="184"/>
      <c r="GK113" s="184"/>
      <c r="GL113" s="184"/>
      <c r="GM113" s="184"/>
      <c r="GN113" s="184"/>
      <c r="GO113" s="184"/>
      <c r="GP113" s="184"/>
      <c r="GQ113" s="184"/>
      <c r="GR113" s="184"/>
      <c r="GS113" s="184"/>
      <c r="GT113" s="184"/>
      <c r="GU113" s="184"/>
      <c r="GV113" s="184"/>
      <c r="GW113" s="184"/>
      <c r="GX113" s="184"/>
      <c r="GY113" s="184"/>
      <c r="GZ113" s="184"/>
      <c r="HA113" s="184"/>
      <c r="HB113" s="184"/>
      <c r="HC113" s="184"/>
      <c r="HD113" s="184"/>
      <c r="HE113" s="184"/>
      <c r="HF113" s="184"/>
      <c r="HG113" s="184"/>
      <c r="HH113" s="184"/>
      <c r="HI113" s="184"/>
      <c r="HJ113" s="184"/>
      <c r="HK113" s="184"/>
      <c r="HL113" s="184"/>
      <c r="HM113" s="184"/>
      <c r="HN113" s="184"/>
      <c r="HO113" s="184"/>
      <c r="HP113" s="184"/>
      <c r="HQ113" s="184"/>
      <c r="HR113" s="184"/>
      <c r="HS113" s="184"/>
      <c r="HT113" s="184"/>
      <c r="HU113" s="184"/>
      <c r="HV113" s="184"/>
      <c r="HW113" s="184"/>
      <c r="HX113" s="184"/>
      <c r="HY113" s="184"/>
      <c r="HZ113" s="184"/>
      <c r="IA113" s="184"/>
      <c r="IB113" s="184"/>
      <c r="IC113" s="184"/>
      <c r="ID113" s="184"/>
      <c r="IE113" s="184"/>
      <c r="IF113" s="184"/>
      <c r="IG113" s="184"/>
      <c r="IH113" s="184"/>
      <c r="II113" s="184"/>
      <c r="IJ113" s="184"/>
      <c r="IK113" s="184"/>
      <c r="IL113" s="184"/>
      <c r="IM113" s="184"/>
      <c r="IN113" s="184"/>
      <c r="IO113" s="184"/>
      <c r="IP113" s="184"/>
      <c r="IQ113" s="184"/>
      <c r="IR113" s="184"/>
      <c r="IS113" s="184"/>
      <c r="IT113" s="184"/>
      <c r="IU113" s="184"/>
      <c r="IV113" s="184"/>
      <c r="IW113" s="242"/>
    </row>
    <row r="114" customFormat="false" ht="12.6" hidden="false" customHeight="true" outlineLevel="0" collapsed="false">
      <c r="A114" s="242"/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DQ114" s="184"/>
      <c r="DR114" s="184"/>
      <c r="DS114" s="184"/>
      <c r="DT114" s="184"/>
      <c r="DU114" s="184"/>
      <c r="DV114" s="184"/>
      <c r="DW114" s="184"/>
      <c r="DX114" s="184"/>
      <c r="DY114" s="184"/>
      <c r="DZ114" s="184"/>
      <c r="EA114" s="184"/>
      <c r="EB114" s="184"/>
      <c r="EC114" s="184"/>
      <c r="ED114" s="184"/>
      <c r="EE114" s="184"/>
      <c r="EF114" s="184"/>
      <c r="EG114" s="184"/>
      <c r="EH114" s="184"/>
      <c r="EI114" s="184"/>
      <c r="EJ114" s="184"/>
      <c r="EK114" s="184"/>
      <c r="EL114" s="184"/>
      <c r="EM114" s="184"/>
      <c r="EN114" s="184"/>
      <c r="EO114" s="184"/>
      <c r="EP114" s="184"/>
      <c r="EQ114" s="184"/>
      <c r="ER114" s="184"/>
      <c r="ES114" s="184"/>
      <c r="ET114" s="184"/>
      <c r="EU114" s="184"/>
      <c r="EV114" s="184"/>
      <c r="EW114" s="184"/>
      <c r="EX114" s="184"/>
      <c r="EY114" s="184"/>
      <c r="EZ114" s="184"/>
      <c r="FA114" s="184"/>
      <c r="FB114" s="184"/>
      <c r="FC114" s="184"/>
      <c r="FD114" s="184"/>
      <c r="FE114" s="184"/>
      <c r="FF114" s="184"/>
      <c r="FG114" s="184"/>
      <c r="FH114" s="184"/>
      <c r="FI114" s="184"/>
      <c r="FJ114" s="184"/>
      <c r="FK114" s="184"/>
      <c r="FL114" s="184"/>
      <c r="FM114" s="184"/>
      <c r="FN114" s="184"/>
      <c r="FO114" s="184"/>
      <c r="FP114" s="184"/>
      <c r="FQ114" s="184"/>
      <c r="FR114" s="184"/>
      <c r="FS114" s="184"/>
      <c r="FT114" s="184"/>
      <c r="FU114" s="184"/>
      <c r="FV114" s="184"/>
      <c r="FW114" s="184"/>
      <c r="FX114" s="184"/>
      <c r="FY114" s="184"/>
      <c r="FZ114" s="184"/>
      <c r="GA114" s="184"/>
      <c r="GB114" s="184"/>
      <c r="GC114" s="184"/>
      <c r="GD114" s="184"/>
      <c r="GE114" s="184"/>
      <c r="GF114" s="184"/>
      <c r="GG114" s="184"/>
      <c r="GH114" s="184"/>
      <c r="GI114" s="184"/>
      <c r="GJ114" s="184"/>
      <c r="GK114" s="184"/>
      <c r="GL114" s="184"/>
      <c r="GM114" s="184"/>
      <c r="GN114" s="184"/>
      <c r="GO114" s="184"/>
      <c r="GP114" s="184"/>
      <c r="GQ114" s="184"/>
      <c r="GR114" s="184"/>
      <c r="GS114" s="184"/>
      <c r="GT114" s="184"/>
      <c r="GU114" s="184"/>
      <c r="GV114" s="184"/>
      <c r="GW114" s="184"/>
      <c r="GX114" s="184"/>
      <c r="GY114" s="184"/>
      <c r="GZ114" s="184"/>
      <c r="HA114" s="184"/>
      <c r="HB114" s="184"/>
      <c r="HC114" s="184"/>
      <c r="HD114" s="184"/>
      <c r="HE114" s="184"/>
      <c r="HF114" s="184"/>
      <c r="HG114" s="184"/>
      <c r="HH114" s="184"/>
      <c r="HI114" s="184"/>
      <c r="HJ114" s="184"/>
      <c r="HK114" s="184"/>
      <c r="HL114" s="184"/>
      <c r="HM114" s="184"/>
      <c r="HN114" s="184"/>
      <c r="HO114" s="184"/>
      <c r="HP114" s="184"/>
      <c r="HQ114" s="184"/>
      <c r="HR114" s="184"/>
      <c r="HS114" s="184"/>
      <c r="HT114" s="184"/>
      <c r="HU114" s="184"/>
      <c r="HV114" s="184"/>
      <c r="HW114" s="184"/>
      <c r="HX114" s="184"/>
      <c r="HY114" s="184"/>
      <c r="HZ114" s="184"/>
      <c r="IA114" s="184"/>
      <c r="IB114" s="184"/>
      <c r="IC114" s="184"/>
      <c r="ID114" s="184"/>
      <c r="IE114" s="184"/>
      <c r="IF114" s="184"/>
      <c r="IG114" s="184"/>
      <c r="IH114" s="184"/>
      <c r="II114" s="184"/>
      <c r="IJ114" s="184"/>
      <c r="IK114" s="184"/>
      <c r="IL114" s="184"/>
      <c r="IM114" s="184"/>
      <c r="IN114" s="184"/>
      <c r="IO114" s="184"/>
      <c r="IP114" s="184"/>
      <c r="IQ114" s="184"/>
      <c r="IR114" s="184"/>
      <c r="IS114" s="184"/>
      <c r="IT114" s="184"/>
      <c r="IU114" s="184"/>
      <c r="IV114" s="184"/>
      <c r="IW114" s="242"/>
    </row>
    <row r="115" customFormat="false" ht="12.6" hidden="false" customHeight="true" outlineLevel="0" collapsed="false">
      <c r="A115" s="242"/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BD115" s="184"/>
      <c r="BE115" s="184"/>
      <c r="BF115" s="184"/>
      <c r="BG115" s="184"/>
      <c r="BH115" s="184"/>
      <c r="BI115" s="184"/>
      <c r="BJ115" s="184"/>
      <c r="BK115" s="184"/>
      <c r="BL115" s="184"/>
      <c r="BM115" s="184"/>
      <c r="BN115" s="184"/>
      <c r="BO115" s="184"/>
      <c r="BP115" s="184"/>
      <c r="BQ115" s="184"/>
      <c r="BR115" s="184"/>
      <c r="BS115" s="184"/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  <c r="CN115" s="184"/>
      <c r="CO115" s="184"/>
      <c r="CP115" s="184"/>
      <c r="CQ115" s="184"/>
      <c r="CR115" s="184"/>
      <c r="CS115" s="184"/>
      <c r="CT115" s="184"/>
      <c r="CU115" s="184"/>
      <c r="CV115" s="184"/>
      <c r="CW115" s="184"/>
      <c r="CX115" s="184"/>
      <c r="CY115" s="184"/>
      <c r="CZ115" s="184"/>
      <c r="DA115" s="184"/>
      <c r="DB115" s="184"/>
      <c r="DC115" s="184"/>
      <c r="DD115" s="184"/>
      <c r="DE115" s="184"/>
      <c r="DF115" s="184"/>
      <c r="DG115" s="184"/>
      <c r="DH115" s="184"/>
      <c r="DI115" s="184"/>
      <c r="DJ115" s="184"/>
      <c r="DK115" s="184"/>
      <c r="DL115" s="184"/>
      <c r="DM115" s="184"/>
      <c r="DN115" s="184"/>
      <c r="DO115" s="184"/>
      <c r="DP115" s="184"/>
      <c r="DQ115" s="184"/>
      <c r="DR115" s="184"/>
      <c r="DS115" s="184"/>
      <c r="DT115" s="184"/>
      <c r="DU115" s="184"/>
      <c r="DV115" s="184"/>
      <c r="DW115" s="184"/>
      <c r="DX115" s="184"/>
      <c r="DY115" s="184"/>
      <c r="DZ115" s="184"/>
      <c r="EA115" s="184"/>
      <c r="EB115" s="184"/>
      <c r="EC115" s="184"/>
      <c r="ED115" s="184"/>
      <c r="EE115" s="184"/>
      <c r="EF115" s="184"/>
      <c r="EG115" s="184"/>
      <c r="EH115" s="184"/>
      <c r="EI115" s="184"/>
      <c r="EJ115" s="184"/>
      <c r="EK115" s="184"/>
      <c r="EL115" s="184"/>
      <c r="EM115" s="184"/>
      <c r="EN115" s="184"/>
      <c r="EO115" s="184"/>
      <c r="EP115" s="184"/>
      <c r="EQ115" s="184"/>
      <c r="ER115" s="184"/>
      <c r="ES115" s="184"/>
      <c r="ET115" s="184"/>
      <c r="EU115" s="184"/>
      <c r="EV115" s="184"/>
      <c r="EW115" s="184"/>
      <c r="EX115" s="184"/>
      <c r="EY115" s="184"/>
      <c r="EZ115" s="184"/>
      <c r="FA115" s="184"/>
      <c r="FB115" s="184"/>
      <c r="FC115" s="184"/>
      <c r="FD115" s="184"/>
      <c r="FE115" s="184"/>
      <c r="FF115" s="184"/>
      <c r="FG115" s="184"/>
      <c r="FH115" s="184"/>
      <c r="FI115" s="184"/>
      <c r="FJ115" s="184"/>
      <c r="FK115" s="184"/>
      <c r="FL115" s="184"/>
      <c r="FM115" s="184"/>
      <c r="FN115" s="184"/>
      <c r="FO115" s="184"/>
      <c r="FP115" s="184"/>
      <c r="FQ115" s="184"/>
      <c r="FR115" s="184"/>
      <c r="FS115" s="184"/>
      <c r="FT115" s="184"/>
      <c r="FU115" s="184"/>
      <c r="FV115" s="184"/>
      <c r="FW115" s="184"/>
      <c r="FX115" s="184"/>
      <c r="FY115" s="184"/>
      <c r="FZ115" s="184"/>
      <c r="GA115" s="184"/>
      <c r="GB115" s="184"/>
      <c r="GC115" s="184"/>
      <c r="GD115" s="184"/>
      <c r="GE115" s="184"/>
      <c r="GF115" s="184"/>
      <c r="GG115" s="184"/>
      <c r="GH115" s="184"/>
      <c r="GI115" s="184"/>
      <c r="GJ115" s="184"/>
      <c r="GK115" s="184"/>
      <c r="GL115" s="184"/>
      <c r="GM115" s="184"/>
      <c r="GN115" s="184"/>
      <c r="GO115" s="184"/>
      <c r="GP115" s="184"/>
      <c r="GQ115" s="184"/>
      <c r="GR115" s="184"/>
      <c r="GS115" s="184"/>
      <c r="GT115" s="184"/>
      <c r="GU115" s="184"/>
      <c r="GV115" s="184"/>
      <c r="GW115" s="184"/>
      <c r="GX115" s="184"/>
      <c r="GY115" s="184"/>
      <c r="GZ115" s="184"/>
      <c r="HA115" s="184"/>
      <c r="HB115" s="184"/>
      <c r="HC115" s="184"/>
      <c r="HD115" s="184"/>
      <c r="HE115" s="184"/>
      <c r="HF115" s="184"/>
      <c r="HG115" s="184"/>
      <c r="HH115" s="184"/>
      <c r="HI115" s="184"/>
      <c r="HJ115" s="184"/>
      <c r="HK115" s="184"/>
      <c r="HL115" s="184"/>
      <c r="HM115" s="184"/>
      <c r="HN115" s="184"/>
      <c r="HO115" s="184"/>
      <c r="HP115" s="184"/>
      <c r="HQ115" s="184"/>
      <c r="HR115" s="184"/>
      <c r="HS115" s="184"/>
      <c r="HT115" s="184"/>
      <c r="HU115" s="184"/>
      <c r="HV115" s="184"/>
      <c r="HW115" s="184"/>
      <c r="HX115" s="184"/>
      <c r="HY115" s="184"/>
      <c r="HZ115" s="184"/>
      <c r="IA115" s="184"/>
      <c r="IB115" s="184"/>
      <c r="IC115" s="184"/>
      <c r="ID115" s="184"/>
      <c r="IE115" s="184"/>
      <c r="IF115" s="184"/>
      <c r="IG115" s="184"/>
      <c r="IH115" s="184"/>
      <c r="II115" s="184"/>
      <c r="IJ115" s="184"/>
      <c r="IK115" s="184"/>
      <c r="IL115" s="184"/>
      <c r="IM115" s="184"/>
      <c r="IN115" s="184"/>
      <c r="IO115" s="184"/>
      <c r="IP115" s="184"/>
      <c r="IQ115" s="184"/>
      <c r="IR115" s="184"/>
      <c r="IS115" s="184"/>
      <c r="IT115" s="184"/>
      <c r="IU115" s="184"/>
      <c r="IV115" s="184"/>
      <c r="IW115" s="242"/>
    </row>
    <row r="116" customFormat="false" ht="12.6" hidden="false" customHeight="true" outlineLevel="0" collapsed="false">
      <c r="A116" s="242"/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4"/>
      <c r="CL116" s="184"/>
      <c r="CM116" s="184"/>
      <c r="CN116" s="184"/>
      <c r="CO116" s="184"/>
      <c r="CP116" s="184"/>
      <c r="CQ116" s="184"/>
      <c r="CR116" s="184"/>
      <c r="CS116" s="184"/>
      <c r="CT116" s="184"/>
      <c r="CU116" s="184"/>
      <c r="CV116" s="184"/>
      <c r="CW116" s="184"/>
      <c r="CX116" s="184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4"/>
      <c r="DM116" s="184"/>
      <c r="DN116" s="184"/>
      <c r="DO116" s="184"/>
      <c r="DP116" s="184"/>
      <c r="DQ116" s="184"/>
      <c r="DR116" s="184"/>
      <c r="DS116" s="184"/>
      <c r="DT116" s="184"/>
      <c r="DU116" s="184"/>
      <c r="DV116" s="184"/>
      <c r="DW116" s="184"/>
      <c r="DX116" s="184"/>
      <c r="DY116" s="184"/>
      <c r="DZ116" s="184"/>
      <c r="EA116" s="184"/>
      <c r="EB116" s="184"/>
      <c r="EC116" s="184"/>
      <c r="ED116" s="184"/>
      <c r="EE116" s="184"/>
      <c r="EF116" s="184"/>
      <c r="EG116" s="184"/>
      <c r="EH116" s="184"/>
      <c r="EI116" s="184"/>
      <c r="EJ116" s="184"/>
      <c r="EK116" s="184"/>
      <c r="EL116" s="184"/>
      <c r="EM116" s="184"/>
      <c r="EN116" s="184"/>
      <c r="EO116" s="184"/>
      <c r="EP116" s="184"/>
      <c r="EQ116" s="184"/>
      <c r="ER116" s="184"/>
      <c r="ES116" s="184"/>
      <c r="ET116" s="184"/>
      <c r="EU116" s="184"/>
      <c r="EV116" s="184"/>
      <c r="EW116" s="184"/>
      <c r="EX116" s="184"/>
      <c r="EY116" s="184"/>
      <c r="EZ116" s="184"/>
      <c r="FA116" s="184"/>
      <c r="FB116" s="184"/>
      <c r="FC116" s="184"/>
      <c r="FD116" s="184"/>
      <c r="FE116" s="184"/>
      <c r="FF116" s="184"/>
      <c r="FG116" s="184"/>
      <c r="FH116" s="184"/>
      <c r="FI116" s="184"/>
      <c r="FJ116" s="184"/>
      <c r="FK116" s="184"/>
      <c r="FL116" s="184"/>
      <c r="FM116" s="184"/>
      <c r="FN116" s="184"/>
      <c r="FO116" s="184"/>
      <c r="FP116" s="184"/>
      <c r="FQ116" s="184"/>
      <c r="FR116" s="184"/>
      <c r="FS116" s="184"/>
      <c r="FT116" s="184"/>
      <c r="FU116" s="184"/>
      <c r="FV116" s="184"/>
      <c r="FW116" s="184"/>
      <c r="FX116" s="184"/>
      <c r="FY116" s="184"/>
      <c r="FZ116" s="184"/>
      <c r="GA116" s="184"/>
      <c r="GB116" s="184"/>
      <c r="GC116" s="184"/>
      <c r="GD116" s="184"/>
      <c r="GE116" s="184"/>
      <c r="GF116" s="184"/>
      <c r="GG116" s="184"/>
      <c r="GH116" s="184"/>
      <c r="GI116" s="184"/>
      <c r="GJ116" s="184"/>
      <c r="GK116" s="184"/>
      <c r="GL116" s="184"/>
      <c r="GM116" s="184"/>
      <c r="GN116" s="184"/>
      <c r="GO116" s="184"/>
      <c r="GP116" s="184"/>
      <c r="GQ116" s="184"/>
      <c r="GR116" s="184"/>
      <c r="GS116" s="184"/>
      <c r="GT116" s="184"/>
      <c r="GU116" s="184"/>
      <c r="GV116" s="184"/>
      <c r="GW116" s="184"/>
      <c r="GX116" s="184"/>
      <c r="GY116" s="184"/>
      <c r="GZ116" s="184"/>
      <c r="HA116" s="184"/>
      <c r="HB116" s="184"/>
      <c r="HC116" s="184"/>
      <c r="HD116" s="184"/>
      <c r="HE116" s="184"/>
      <c r="HF116" s="184"/>
      <c r="HG116" s="184"/>
      <c r="HH116" s="184"/>
      <c r="HI116" s="184"/>
      <c r="HJ116" s="184"/>
      <c r="HK116" s="184"/>
      <c r="HL116" s="184"/>
      <c r="HM116" s="184"/>
      <c r="HN116" s="184"/>
      <c r="HO116" s="184"/>
      <c r="HP116" s="184"/>
      <c r="HQ116" s="184"/>
      <c r="HR116" s="184"/>
      <c r="HS116" s="184"/>
      <c r="HT116" s="184"/>
      <c r="HU116" s="184"/>
      <c r="HV116" s="184"/>
      <c r="HW116" s="184"/>
      <c r="HX116" s="184"/>
      <c r="HY116" s="184"/>
      <c r="HZ116" s="184"/>
      <c r="IA116" s="184"/>
      <c r="IB116" s="184"/>
      <c r="IC116" s="184"/>
      <c r="ID116" s="184"/>
      <c r="IE116" s="184"/>
      <c r="IF116" s="184"/>
      <c r="IG116" s="184"/>
      <c r="IH116" s="184"/>
      <c r="II116" s="184"/>
      <c r="IJ116" s="184"/>
      <c r="IK116" s="184"/>
      <c r="IL116" s="184"/>
      <c r="IM116" s="184"/>
      <c r="IN116" s="184"/>
      <c r="IO116" s="184"/>
      <c r="IP116" s="184"/>
      <c r="IQ116" s="184"/>
      <c r="IR116" s="184"/>
      <c r="IS116" s="184"/>
      <c r="IT116" s="184"/>
      <c r="IU116" s="184"/>
      <c r="IV116" s="184"/>
      <c r="IW116" s="184"/>
    </row>
    <row r="117" customFormat="false" ht="12.6" hidden="false" customHeight="true" outlineLevel="0" collapsed="false">
      <c r="A117" s="242"/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BD117" s="184"/>
      <c r="BE117" s="184"/>
      <c r="BF117" s="184"/>
      <c r="BG117" s="184"/>
      <c r="BH117" s="184"/>
      <c r="BI117" s="184"/>
      <c r="BJ117" s="184"/>
      <c r="BK117" s="184"/>
      <c r="BL117" s="184"/>
      <c r="BM117" s="184"/>
      <c r="BN117" s="184"/>
      <c r="BO117" s="184"/>
      <c r="BP117" s="184"/>
      <c r="BQ117" s="184"/>
      <c r="BR117" s="184"/>
      <c r="BS117" s="184"/>
      <c r="BT117" s="184"/>
      <c r="BU117" s="184"/>
      <c r="BV117" s="184"/>
      <c r="BW117" s="184"/>
      <c r="BX117" s="184"/>
      <c r="BY117" s="184"/>
      <c r="BZ117" s="184"/>
      <c r="CA117" s="184"/>
      <c r="CB117" s="184"/>
      <c r="CC117" s="184"/>
      <c r="CD117" s="184"/>
      <c r="CE117" s="184"/>
      <c r="CF117" s="184"/>
      <c r="CG117" s="184"/>
      <c r="CH117" s="184"/>
      <c r="CI117" s="184"/>
      <c r="CJ117" s="184"/>
      <c r="CK117" s="184"/>
      <c r="CL117" s="184"/>
      <c r="CM117" s="184"/>
      <c r="CN117" s="184"/>
      <c r="CO117" s="184"/>
      <c r="CP117" s="184"/>
      <c r="CQ117" s="184"/>
      <c r="CR117" s="184"/>
      <c r="CS117" s="184"/>
      <c r="CT117" s="184"/>
      <c r="CU117" s="184"/>
      <c r="CV117" s="184"/>
      <c r="CW117" s="184"/>
      <c r="CX117" s="184"/>
      <c r="CY117" s="184"/>
      <c r="CZ117" s="184"/>
      <c r="DA117" s="184"/>
      <c r="DB117" s="184"/>
      <c r="DC117" s="184"/>
      <c r="DD117" s="184"/>
      <c r="DE117" s="184"/>
      <c r="DF117" s="184"/>
      <c r="DG117" s="184"/>
      <c r="DH117" s="184"/>
      <c r="DI117" s="184"/>
      <c r="DJ117" s="184"/>
      <c r="DK117" s="184"/>
      <c r="DL117" s="184"/>
      <c r="DM117" s="184"/>
      <c r="DN117" s="184"/>
      <c r="DO117" s="184"/>
      <c r="DP117" s="184"/>
      <c r="DQ117" s="184"/>
      <c r="DR117" s="184"/>
      <c r="DS117" s="184"/>
      <c r="DT117" s="184"/>
      <c r="DU117" s="184"/>
      <c r="DV117" s="184"/>
      <c r="DW117" s="184"/>
      <c r="DX117" s="184"/>
      <c r="DY117" s="184"/>
      <c r="DZ117" s="184"/>
      <c r="EA117" s="184"/>
      <c r="EB117" s="184"/>
      <c r="EC117" s="184"/>
      <c r="ED117" s="184"/>
      <c r="EE117" s="184"/>
      <c r="EF117" s="184"/>
      <c r="EG117" s="184"/>
      <c r="EH117" s="184"/>
      <c r="EI117" s="184"/>
      <c r="EJ117" s="184"/>
      <c r="EK117" s="184"/>
      <c r="EL117" s="184"/>
      <c r="EM117" s="184"/>
      <c r="EN117" s="184"/>
      <c r="EO117" s="184"/>
      <c r="EP117" s="184"/>
      <c r="EQ117" s="184"/>
      <c r="ER117" s="184"/>
      <c r="ES117" s="184"/>
      <c r="ET117" s="184"/>
      <c r="EU117" s="184"/>
      <c r="EV117" s="184"/>
      <c r="EW117" s="184"/>
      <c r="EX117" s="184"/>
      <c r="EY117" s="184"/>
      <c r="EZ117" s="184"/>
      <c r="FA117" s="184"/>
      <c r="FB117" s="184"/>
      <c r="FC117" s="184"/>
      <c r="FD117" s="184"/>
      <c r="FE117" s="184"/>
      <c r="FF117" s="184"/>
      <c r="FG117" s="184"/>
      <c r="FH117" s="184"/>
      <c r="FI117" s="184"/>
      <c r="FJ117" s="184"/>
      <c r="FK117" s="184"/>
      <c r="FL117" s="184"/>
      <c r="FM117" s="184"/>
      <c r="FN117" s="184"/>
      <c r="FO117" s="184"/>
      <c r="FP117" s="184"/>
      <c r="FQ117" s="184"/>
      <c r="FR117" s="184"/>
      <c r="FS117" s="184"/>
      <c r="FT117" s="184"/>
      <c r="FU117" s="184"/>
      <c r="FV117" s="184"/>
      <c r="FW117" s="184"/>
      <c r="FX117" s="184"/>
      <c r="FY117" s="184"/>
      <c r="FZ117" s="184"/>
      <c r="GA117" s="184"/>
      <c r="GB117" s="184"/>
      <c r="GC117" s="184"/>
      <c r="GD117" s="184"/>
      <c r="GE117" s="184"/>
      <c r="GF117" s="184"/>
      <c r="GG117" s="184"/>
      <c r="GH117" s="184"/>
      <c r="GI117" s="184"/>
      <c r="GJ117" s="184"/>
      <c r="GK117" s="184"/>
      <c r="GL117" s="184"/>
      <c r="GM117" s="184"/>
      <c r="GN117" s="184"/>
      <c r="GO117" s="184"/>
      <c r="GP117" s="184"/>
      <c r="GQ117" s="184"/>
      <c r="GR117" s="184"/>
      <c r="GS117" s="184"/>
      <c r="GT117" s="184"/>
      <c r="GU117" s="184"/>
      <c r="GV117" s="184"/>
      <c r="GW117" s="184"/>
      <c r="GX117" s="184"/>
      <c r="GY117" s="184"/>
      <c r="GZ117" s="184"/>
      <c r="HA117" s="184"/>
      <c r="HB117" s="184"/>
      <c r="HC117" s="184"/>
      <c r="HD117" s="184"/>
      <c r="HE117" s="184"/>
      <c r="HF117" s="184"/>
      <c r="HG117" s="184"/>
      <c r="HH117" s="184"/>
      <c r="HI117" s="184"/>
      <c r="HJ117" s="184"/>
      <c r="HK117" s="184"/>
      <c r="HL117" s="184"/>
      <c r="HM117" s="184"/>
      <c r="HN117" s="184"/>
      <c r="HO117" s="184"/>
      <c r="HP117" s="184"/>
      <c r="HQ117" s="184"/>
      <c r="HR117" s="184"/>
      <c r="HS117" s="184"/>
      <c r="HT117" s="184"/>
      <c r="HU117" s="184"/>
      <c r="HV117" s="184"/>
      <c r="HW117" s="184"/>
      <c r="HX117" s="184"/>
      <c r="HY117" s="184"/>
      <c r="HZ117" s="184"/>
      <c r="IA117" s="184"/>
      <c r="IB117" s="184"/>
      <c r="IC117" s="184"/>
      <c r="ID117" s="184"/>
      <c r="IE117" s="184"/>
      <c r="IF117" s="184"/>
      <c r="IG117" s="184"/>
      <c r="IH117" s="184"/>
      <c r="II117" s="184"/>
      <c r="IJ117" s="184"/>
      <c r="IK117" s="184"/>
      <c r="IL117" s="184"/>
      <c r="IM117" s="184"/>
      <c r="IN117" s="184"/>
      <c r="IO117" s="184"/>
      <c r="IP117" s="184"/>
      <c r="IQ117" s="184"/>
      <c r="IR117" s="184"/>
      <c r="IS117" s="184"/>
      <c r="IT117" s="184"/>
      <c r="IU117" s="184"/>
      <c r="IV117" s="184"/>
      <c r="IW117" s="184"/>
    </row>
    <row r="118" customFormat="false" ht="12.6" hidden="false" customHeight="true" outlineLevel="0" collapsed="false">
      <c r="A118" s="242"/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BD118" s="184"/>
      <c r="BE118" s="184"/>
      <c r="BF118" s="184"/>
      <c r="BG118" s="184"/>
      <c r="BH118" s="184"/>
      <c r="BI118" s="184"/>
      <c r="BJ118" s="184"/>
      <c r="BK118" s="184"/>
      <c r="BL118" s="184"/>
      <c r="BM118" s="184"/>
      <c r="BN118" s="184"/>
      <c r="BO118" s="184"/>
      <c r="BP118" s="184"/>
      <c r="BQ118" s="184"/>
      <c r="BR118" s="184"/>
      <c r="BS118" s="184"/>
      <c r="BT118" s="184"/>
      <c r="BU118" s="184"/>
      <c r="BV118" s="184"/>
      <c r="BW118" s="184"/>
      <c r="BX118" s="184"/>
      <c r="BY118" s="184"/>
      <c r="BZ118" s="184"/>
      <c r="CA118" s="184"/>
      <c r="CB118" s="184"/>
      <c r="CC118" s="184"/>
      <c r="CD118" s="184"/>
      <c r="CE118" s="184"/>
      <c r="CF118" s="184"/>
      <c r="CG118" s="184"/>
      <c r="CH118" s="184"/>
      <c r="CI118" s="184"/>
      <c r="CJ118" s="184"/>
      <c r="CK118" s="184"/>
      <c r="CL118" s="184"/>
      <c r="CM118" s="184"/>
      <c r="CN118" s="184"/>
      <c r="CO118" s="184"/>
      <c r="CP118" s="184"/>
      <c r="CQ118" s="184"/>
      <c r="CR118" s="184"/>
      <c r="CS118" s="184"/>
      <c r="CT118" s="184"/>
      <c r="CU118" s="184"/>
      <c r="CV118" s="184"/>
      <c r="CW118" s="184"/>
      <c r="CX118" s="184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4"/>
      <c r="DM118" s="184"/>
      <c r="DN118" s="184"/>
      <c r="DO118" s="184"/>
      <c r="DP118" s="184"/>
      <c r="DQ118" s="184"/>
      <c r="DR118" s="184"/>
      <c r="DS118" s="184"/>
      <c r="DT118" s="184"/>
      <c r="DU118" s="184"/>
      <c r="DV118" s="184"/>
      <c r="DW118" s="184"/>
      <c r="DX118" s="184"/>
      <c r="DY118" s="184"/>
      <c r="DZ118" s="184"/>
      <c r="EA118" s="184"/>
      <c r="EB118" s="184"/>
      <c r="EC118" s="184"/>
      <c r="ED118" s="184"/>
      <c r="EE118" s="184"/>
      <c r="EF118" s="184"/>
      <c r="EG118" s="184"/>
      <c r="EH118" s="184"/>
      <c r="EI118" s="184"/>
      <c r="EJ118" s="184"/>
      <c r="EK118" s="184"/>
      <c r="EL118" s="184"/>
      <c r="EM118" s="184"/>
      <c r="EN118" s="184"/>
      <c r="EO118" s="184"/>
      <c r="EP118" s="184"/>
      <c r="EQ118" s="184"/>
      <c r="ER118" s="184"/>
      <c r="ES118" s="184"/>
      <c r="ET118" s="184"/>
      <c r="EU118" s="184"/>
      <c r="EV118" s="184"/>
      <c r="EW118" s="184"/>
      <c r="EX118" s="184"/>
      <c r="EY118" s="184"/>
      <c r="EZ118" s="184"/>
      <c r="FA118" s="184"/>
      <c r="FB118" s="184"/>
      <c r="FC118" s="184"/>
      <c r="FD118" s="184"/>
      <c r="FE118" s="184"/>
      <c r="FF118" s="184"/>
      <c r="FG118" s="184"/>
      <c r="FH118" s="184"/>
      <c r="FI118" s="184"/>
      <c r="FJ118" s="184"/>
      <c r="FK118" s="184"/>
      <c r="FL118" s="184"/>
      <c r="FM118" s="184"/>
      <c r="FN118" s="184"/>
      <c r="FO118" s="184"/>
      <c r="FP118" s="184"/>
      <c r="FQ118" s="184"/>
      <c r="FR118" s="184"/>
      <c r="FS118" s="184"/>
      <c r="FT118" s="184"/>
      <c r="FU118" s="184"/>
      <c r="FV118" s="184"/>
      <c r="FW118" s="184"/>
      <c r="FX118" s="184"/>
      <c r="FY118" s="184"/>
      <c r="FZ118" s="184"/>
      <c r="GA118" s="184"/>
      <c r="GB118" s="184"/>
      <c r="GC118" s="184"/>
      <c r="GD118" s="184"/>
      <c r="GE118" s="184"/>
      <c r="GF118" s="184"/>
      <c r="GG118" s="184"/>
      <c r="GH118" s="184"/>
      <c r="GI118" s="184"/>
      <c r="GJ118" s="184"/>
      <c r="GK118" s="184"/>
      <c r="GL118" s="184"/>
      <c r="GM118" s="184"/>
      <c r="GN118" s="184"/>
      <c r="GO118" s="184"/>
      <c r="GP118" s="184"/>
      <c r="GQ118" s="184"/>
      <c r="GR118" s="184"/>
      <c r="GS118" s="184"/>
      <c r="GT118" s="184"/>
      <c r="GU118" s="184"/>
      <c r="GV118" s="184"/>
      <c r="GW118" s="184"/>
      <c r="GX118" s="184"/>
      <c r="GY118" s="184"/>
      <c r="GZ118" s="184"/>
      <c r="HA118" s="184"/>
      <c r="HB118" s="184"/>
      <c r="HC118" s="184"/>
      <c r="HD118" s="184"/>
      <c r="HE118" s="184"/>
      <c r="HF118" s="184"/>
      <c r="HG118" s="184"/>
      <c r="HH118" s="184"/>
      <c r="HI118" s="184"/>
      <c r="HJ118" s="184"/>
      <c r="HK118" s="184"/>
      <c r="HL118" s="184"/>
      <c r="HM118" s="184"/>
      <c r="HN118" s="184"/>
      <c r="HO118" s="184"/>
      <c r="HP118" s="184"/>
      <c r="HQ118" s="184"/>
      <c r="HR118" s="184"/>
      <c r="HS118" s="184"/>
      <c r="HT118" s="184"/>
      <c r="HU118" s="184"/>
      <c r="HV118" s="184"/>
      <c r="HW118" s="184"/>
      <c r="HX118" s="184"/>
      <c r="HY118" s="184"/>
      <c r="HZ118" s="184"/>
      <c r="IA118" s="184"/>
      <c r="IB118" s="184"/>
      <c r="IC118" s="184"/>
      <c r="ID118" s="184"/>
      <c r="IE118" s="184"/>
      <c r="IF118" s="184"/>
      <c r="IG118" s="184"/>
      <c r="IH118" s="184"/>
      <c r="II118" s="184"/>
      <c r="IJ118" s="184"/>
      <c r="IK118" s="184"/>
      <c r="IL118" s="184"/>
      <c r="IM118" s="184"/>
      <c r="IN118" s="184"/>
      <c r="IO118" s="184"/>
      <c r="IP118" s="184"/>
      <c r="IQ118" s="184"/>
      <c r="IR118" s="184"/>
      <c r="IS118" s="184"/>
      <c r="IT118" s="184"/>
      <c r="IU118" s="184"/>
      <c r="IV118" s="184"/>
      <c r="IW118" s="184"/>
    </row>
    <row r="119" customFormat="false" ht="12.6" hidden="false" customHeight="true" outlineLevel="0" collapsed="false">
      <c r="A119" s="242"/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4"/>
      <c r="BN119" s="184"/>
      <c r="BO119" s="184"/>
      <c r="BP119" s="184"/>
      <c r="BQ119" s="184"/>
      <c r="BR119" s="184"/>
      <c r="BS119" s="184"/>
      <c r="BT119" s="184"/>
      <c r="BU119" s="184"/>
      <c r="BV119" s="184"/>
      <c r="BW119" s="184"/>
      <c r="BX119" s="184"/>
      <c r="BY119" s="184"/>
      <c r="BZ119" s="184"/>
      <c r="CA119" s="184"/>
      <c r="CB119" s="184"/>
      <c r="CC119" s="184"/>
      <c r="CD119" s="184"/>
      <c r="CE119" s="184"/>
      <c r="CF119" s="184"/>
      <c r="CG119" s="184"/>
      <c r="CH119" s="184"/>
      <c r="CI119" s="184"/>
      <c r="CJ119" s="184"/>
      <c r="CK119" s="184"/>
      <c r="CL119" s="184"/>
      <c r="CM119" s="184"/>
      <c r="CN119" s="184"/>
      <c r="CO119" s="184"/>
      <c r="CP119" s="184"/>
      <c r="CQ119" s="184"/>
      <c r="CR119" s="184"/>
      <c r="CS119" s="184"/>
      <c r="CT119" s="184"/>
      <c r="CU119" s="184"/>
      <c r="CV119" s="184"/>
      <c r="CW119" s="184"/>
      <c r="CX119" s="184"/>
      <c r="CY119" s="184"/>
      <c r="CZ119" s="184"/>
      <c r="DA119" s="184"/>
      <c r="DB119" s="184"/>
      <c r="DC119" s="184"/>
      <c r="DD119" s="184"/>
      <c r="DE119" s="184"/>
      <c r="DF119" s="184"/>
      <c r="DG119" s="184"/>
      <c r="DH119" s="184"/>
      <c r="DI119" s="184"/>
      <c r="DJ119" s="184"/>
      <c r="DK119" s="184"/>
      <c r="DL119" s="184"/>
      <c r="DM119" s="184"/>
      <c r="DN119" s="184"/>
      <c r="DO119" s="184"/>
      <c r="DP119" s="184"/>
      <c r="DQ119" s="184"/>
      <c r="DR119" s="184"/>
      <c r="DS119" s="184"/>
      <c r="DT119" s="184"/>
      <c r="DU119" s="184"/>
      <c r="DV119" s="184"/>
      <c r="DW119" s="184"/>
      <c r="DX119" s="184"/>
      <c r="DY119" s="184"/>
      <c r="DZ119" s="184"/>
      <c r="EA119" s="184"/>
      <c r="EB119" s="184"/>
      <c r="EC119" s="184"/>
      <c r="ED119" s="184"/>
      <c r="EE119" s="184"/>
      <c r="EF119" s="184"/>
      <c r="EG119" s="184"/>
      <c r="EH119" s="184"/>
      <c r="EI119" s="184"/>
      <c r="EJ119" s="184"/>
      <c r="EK119" s="184"/>
      <c r="EL119" s="184"/>
      <c r="EM119" s="184"/>
      <c r="EN119" s="184"/>
      <c r="EO119" s="184"/>
      <c r="EP119" s="184"/>
      <c r="EQ119" s="184"/>
      <c r="ER119" s="184"/>
      <c r="ES119" s="184"/>
      <c r="ET119" s="184"/>
      <c r="EU119" s="184"/>
      <c r="EV119" s="184"/>
      <c r="EW119" s="184"/>
      <c r="EX119" s="184"/>
      <c r="EY119" s="184"/>
      <c r="EZ119" s="184"/>
      <c r="FA119" s="184"/>
      <c r="FB119" s="184"/>
      <c r="FC119" s="184"/>
      <c r="FD119" s="184"/>
      <c r="FE119" s="184"/>
      <c r="FF119" s="184"/>
      <c r="FG119" s="184"/>
      <c r="FH119" s="184"/>
      <c r="FI119" s="184"/>
      <c r="FJ119" s="184"/>
      <c r="FK119" s="184"/>
      <c r="FL119" s="184"/>
      <c r="FM119" s="184"/>
      <c r="FN119" s="184"/>
      <c r="FO119" s="184"/>
      <c r="FP119" s="184"/>
      <c r="FQ119" s="184"/>
      <c r="FR119" s="184"/>
      <c r="FS119" s="184"/>
      <c r="FT119" s="184"/>
      <c r="FU119" s="184"/>
      <c r="FV119" s="184"/>
      <c r="FW119" s="184"/>
      <c r="FX119" s="184"/>
      <c r="FY119" s="184"/>
      <c r="FZ119" s="184"/>
      <c r="GA119" s="184"/>
      <c r="GB119" s="184"/>
      <c r="GC119" s="184"/>
      <c r="GD119" s="184"/>
      <c r="GE119" s="184"/>
      <c r="GF119" s="184"/>
      <c r="GG119" s="184"/>
      <c r="GH119" s="184"/>
      <c r="GI119" s="184"/>
      <c r="GJ119" s="184"/>
      <c r="GK119" s="184"/>
      <c r="GL119" s="184"/>
      <c r="GM119" s="184"/>
      <c r="GN119" s="184"/>
      <c r="GO119" s="184"/>
      <c r="GP119" s="184"/>
      <c r="GQ119" s="184"/>
      <c r="GR119" s="184"/>
      <c r="GS119" s="184"/>
      <c r="GT119" s="184"/>
      <c r="GU119" s="184"/>
      <c r="GV119" s="184"/>
      <c r="GW119" s="184"/>
      <c r="GX119" s="184"/>
      <c r="GY119" s="184"/>
      <c r="GZ119" s="184"/>
      <c r="HA119" s="184"/>
      <c r="HB119" s="184"/>
      <c r="HC119" s="184"/>
      <c r="HD119" s="184"/>
      <c r="HE119" s="184"/>
      <c r="HF119" s="184"/>
      <c r="HG119" s="184"/>
      <c r="HH119" s="184"/>
      <c r="HI119" s="184"/>
      <c r="HJ119" s="184"/>
      <c r="HK119" s="184"/>
      <c r="HL119" s="184"/>
      <c r="HM119" s="184"/>
      <c r="HN119" s="184"/>
      <c r="HO119" s="184"/>
      <c r="HP119" s="184"/>
      <c r="HQ119" s="184"/>
      <c r="HR119" s="184"/>
      <c r="HS119" s="184"/>
      <c r="HT119" s="184"/>
      <c r="HU119" s="184"/>
      <c r="HV119" s="184"/>
      <c r="HW119" s="184"/>
      <c r="HX119" s="184"/>
      <c r="HY119" s="184"/>
      <c r="HZ119" s="184"/>
      <c r="IA119" s="184"/>
      <c r="IB119" s="184"/>
      <c r="IC119" s="184"/>
      <c r="ID119" s="184"/>
      <c r="IE119" s="184"/>
      <c r="IF119" s="184"/>
      <c r="IG119" s="184"/>
      <c r="IH119" s="184"/>
      <c r="II119" s="184"/>
      <c r="IJ119" s="184"/>
      <c r="IK119" s="184"/>
      <c r="IL119" s="184"/>
      <c r="IM119" s="184"/>
      <c r="IN119" s="184"/>
      <c r="IO119" s="184"/>
      <c r="IP119" s="184"/>
      <c r="IQ119" s="184"/>
      <c r="IR119" s="184"/>
      <c r="IS119" s="184"/>
      <c r="IT119" s="184"/>
      <c r="IU119" s="184"/>
      <c r="IV119" s="184"/>
      <c r="IW119" s="184"/>
    </row>
    <row r="120" customFormat="false" ht="12.6" hidden="false" customHeight="true" outlineLevel="0" collapsed="false">
      <c r="A120" s="242"/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84"/>
      <c r="BN120" s="184"/>
      <c r="BO120" s="184"/>
      <c r="BP120" s="184"/>
      <c r="BQ120" s="184"/>
      <c r="BR120" s="184"/>
      <c r="BS120" s="184"/>
      <c r="BT120" s="184"/>
      <c r="BU120" s="184"/>
      <c r="BV120" s="184"/>
      <c r="BW120" s="184"/>
      <c r="BX120" s="184"/>
      <c r="BY120" s="184"/>
      <c r="BZ120" s="184"/>
      <c r="CA120" s="184"/>
      <c r="CB120" s="184"/>
      <c r="CC120" s="184"/>
      <c r="CD120" s="184"/>
      <c r="CE120" s="184"/>
      <c r="CF120" s="184"/>
      <c r="CG120" s="184"/>
      <c r="CH120" s="184"/>
      <c r="CI120" s="184"/>
      <c r="CJ120" s="184"/>
      <c r="CK120" s="184"/>
      <c r="CL120" s="184"/>
      <c r="CM120" s="184"/>
      <c r="CN120" s="184"/>
      <c r="CO120" s="184"/>
      <c r="CP120" s="184"/>
      <c r="CQ120" s="184"/>
      <c r="CR120" s="184"/>
      <c r="CS120" s="184"/>
      <c r="CT120" s="184"/>
      <c r="CU120" s="184"/>
      <c r="CV120" s="184"/>
      <c r="CW120" s="184"/>
      <c r="CX120" s="184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4"/>
      <c r="DM120" s="184"/>
      <c r="DN120" s="184"/>
      <c r="DO120" s="184"/>
      <c r="DP120" s="184"/>
      <c r="DQ120" s="184"/>
      <c r="DR120" s="184"/>
      <c r="DS120" s="184"/>
      <c r="DT120" s="184"/>
      <c r="DU120" s="184"/>
      <c r="DV120" s="184"/>
      <c r="DW120" s="184"/>
      <c r="DX120" s="184"/>
      <c r="DY120" s="184"/>
      <c r="DZ120" s="184"/>
      <c r="EA120" s="184"/>
      <c r="EB120" s="184"/>
      <c r="EC120" s="184"/>
      <c r="ED120" s="184"/>
      <c r="EE120" s="184"/>
      <c r="EF120" s="184"/>
      <c r="EG120" s="184"/>
      <c r="EH120" s="184"/>
      <c r="EI120" s="184"/>
      <c r="EJ120" s="184"/>
      <c r="EK120" s="184"/>
      <c r="EL120" s="184"/>
      <c r="EM120" s="184"/>
      <c r="EN120" s="184"/>
      <c r="EO120" s="184"/>
      <c r="EP120" s="184"/>
      <c r="EQ120" s="184"/>
      <c r="ER120" s="184"/>
      <c r="ES120" s="184"/>
      <c r="ET120" s="184"/>
      <c r="EU120" s="184"/>
      <c r="EV120" s="184"/>
      <c r="EW120" s="184"/>
      <c r="EX120" s="184"/>
      <c r="EY120" s="184"/>
      <c r="EZ120" s="184"/>
      <c r="FA120" s="184"/>
      <c r="FB120" s="184"/>
      <c r="FC120" s="184"/>
      <c r="FD120" s="184"/>
      <c r="FE120" s="184"/>
      <c r="FF120" s="184"/>
      <c r="FG120" s="184"/>
      <c r="FH120" s="184"/>
      <c r="FI120" s="184"/>
      <c r="FJ120" s="184"/>
      <c r="FK120" s="184"/>
      <c r="FL120" s="184"/>
      <c r="FM120" s="184"/>
      <c r="FN120" s="184"/>
      <c r="FO120" s="184"/>
      <c r="FP120" s="184"/>
      <c r="FQ120" s="184"/>
      <c r="FR120" s="184"/>
      <c r="FS120" s="184"/>
      <c r="FT120" s="184"/>
      <c r="FU120" s="184"/>
      <c r="FV120" s="184"/>
      <c r="FW120" s="184"/>
      <c r="FX120" s="184"/>
      <c r="FY120" s="184"/>
      <c r="FZ120" s="184"/>
      <c r="GA120" s="184"/>
      <c r="GB120" s="184"/>
      <c r="GC120" s="184"/>
      <c r="GD120" s="184"/>
      <c r="GE120" s="184"/>
      <c r="GF120" s="184"/>
      <c r="GG120" s="184"/>
      <c r="GH120" s="184"/>
      <c r="GI120" s="184"/>
      <c r="GJ120" s="184"/>
      <c r="GK120" s="184"/>
      <c r="GL120" s="184"/>
      <c r="GM120" s="184"/>
      <c r="GN120" s="184"/>
      <c r="GO120" s="184"/>
      <c r="GP120" s="184"/>
      <c r="GQ120" s="184"/>
      <c r="GR120" s="184"/>
      <c r="GS120" s="184"/>
      <c r="GT120" s="184"/>
      <c r="GU120" s="184"/>
      <c r="GV120" s="184"/>
      <c r="GW120" s="184"/>
      <c r="GX120" s="184"/>
      <c r="GY120" s="184"/>
      <c r="GZ120" s="184"/>
      <c r="HA120" s="184"/>
      <c r="HB120" s="184"/>
      <c r="HC120" s="184"/>
      <c r="HD120" s="184"/>
      <c r="HE120" s="184"/>
      <c r="HF120" s="184"/>
      <c r="HG120" s="184"/>
      <c r="HH120" s="184"/>
      <c r="HI120" s="184"/>
      <c r="HJ120" s="184"/>
      <c r="HK120" s="184"/>
      <c r="HL120" s="184"/>
      <c r="HM120" s="184"/>
      <c r="HN120" s="184"/>
      <c r="HO120" s="184"/>
      <c r="HP120" s="184"/>
      <c r="HQ120" s="184"/>
      <c r="HR120" s="184"/>
      <c r="HS120" s="184"/>
      <c r="HT120" s="184"/>
      <c r="HU120" s="184"/>
      <c r="HV120" s="184"/>
      <c r="HW120" s="184"/>
      <c r="HX120" s="184"/>
      <c r="HY120" s="184"/>
      <c r="HZ120" s="184"/>
      <c r="IA120" s="184"/>
      <c r="IB120" s="184"/>
      <c r="IC120" s="184"/>
      <c r="ID120" s="184"/>
      <c r="IE120" s="184"/>
      <c r="IF120" s="184"/>
      <c r="IG120" s="184"/>
      <c r="IH120" s="184"/>
      <c r="II120" s="184"/>
      <c r="IJ120" s="184"/>
      <c r="IK120" s="184"/>
      <c r="IL120" s="184"/>
      <c r="IM120" s="184"/>
      <c r="IN120" s="184"/>
      <c r="IO120" s="184"/>
      <c r="IP120" s="184"/>
      <c r="IQ120" s="184"/>
      <c r="IR120" s="184"/>
      <c r="IS120" s="184"/>
      <c r="IT120" s="184"/>
      <c r="IU120" s="184"/>
      <c r="IV120" s="184"/>
      <c r="IW120" s="184"/>
    </row>
    <row r="121" customFormat="false" ht="12.6" hidden="false" customHeight="true" outlineLevel="0" collapsed="false">
      <c r="A121" s="242"/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4"/>
      <c r="BN121" s="184"/>
      <c r="BO121" s="184"/>
      <c r="BP121" s="184"/>
      <c r="BQ121" s="184"/>
      <c r="BR121" s="184"/>
      <c r="BS121" s="184"/>
      <c r="BT121" s="184"/>
      <c r="BU121" s="184"/>
      <c r="BV121" s="184"/>
      <c r="BW121" s="184"/>
      <c r="BX121" s="184"/>
      <c r="BY121" s="184"/>
      <c r="BZ121" s="184"/>
      <c r="CA121" s="184"/>
      <c r="CB121" s="184"/>
      <c r="CC121" s="184"/>
      <c r="CD121" s="184"/>
      <c r="CE121" s="184"/>
      <c r="CF121" s="184"/>
      <c r="CG121" s="184"/>
      <c r="CH121" s="184"/>
      <c r="CI121" s="184"/>
      <c r="CJ121" s="184"/>
      <c r="CK121" s="184"/>
      <c r="CL121" s="184"/>
      <c r="CM121" s="184"/>
      <c r="CN121" s="184"/>
      <c r="CO121" s="184"/>
      <c r="CP121" s="184"/>
      <c r="CQ121" s="184"/>
      <c r="CR121" s="184"/>
      <c r="CS121" s="184"/>
      <c r="CT121" s="184"/>
      <c r="CU121" s="184"/>
      <c r="CV121" s="184"/>
      <c r="CW121" s="184"/>
      <c r="CX121" s="184"/>
      <c r="CY121" s="184"/>
      <c r="CZ121" s="184"/>
      <c r="DA121" s="184"/>
      <c r="DB121" s="184"/>
      <c r="DC121" s="184"/>
      <c r="DD121" s="184"/>
      <c r="DE121" s="184"/>
      <c r="DF121" s="184"/>
      <c r="DG121" s="184"/>
      <c r="DH121" s="184"/>
      <c r="DI121" s="184"/>
      <c r="DJ121" s="184"/>
      <c r="DK121" s="184"/>
      <c r="DL121" s="184"/>
      <c r="DM121" s="184"/>
      <c r="DN121" s="184"/>
      <c r="DO121" s="184"/>
      <c r="DP121" s="184"/>
      <c r="DQ121" s="184"/>
      <c r="DR121" s="184"/>
      <c r="DS121" s="184"/>
      <c r="DT121" s="184"/>
      <c r="DU121" s="184"/>
      <c r="DV121" s="184"/>
      <c r="DW121" s="184"/>
      <c r="DX121" s="184"/>
      <c r="DY121" s="184"/>
      <c r="DZ121" s="184"/>
      <c r="EA121" s="184"/>
      <c r="EB121" s="184"/>
      <c r="EC121" s="184"/>
      <c r="ED121" s="184"/>
      <c r="EE121" s="184"/>
      <c r="EF121" s="184"/>
      <c r="EG121" s="184"/>
      <c r="EH121" s="184"/>
      <c r="EI121" s="184"/>
      <c r="EJ121" s="184"/>
      <c r="EK121" s="184"/>
      <c r="EL121" s="184"/>
      <c r="EM121" s="184"/>
      <c r="EN121" s="184"/>
      <c r="EO121" s="184"/>
      <c r="EP121" s="184"/>
      <c r="EQ121" s="184"/>
      <c r="ER121" s="184"/>
      <c r="ES121" s="184"/>
      <c r="ET121" s="184"/>
      <c r="EU121" s="184"/>
      <c r="EV121" s="184"/>
      <c r="EW121" s="184"/>
      <c r="EX121" s="184"/>
      <c r="EY121" s="184"/>
      <c r="EZ121" s="184"/>
      <c r="FA121" s="184"/>
      <c r="FB121" s="184"/>
      <c r="FC121" s="184"/>
      <c r="FD121" s="184"/>
      <c r="FE121" s="184"/>
      <c r="FF121" s="184"/>
      <c r="FG121" s="184"/>
      <c r="FH121" s="184"/>
      <c r="FI121" s="184"/>
      <c r="FJ121" s="184"/>
      <c r="FK121" s="184"/>
      <c r="FL121" s="184"/>
      <c r="FM121" s="184"/>
      <c r="FN121" s="184"/>
      <c r="FO121" s="184"/>
      <c r="FP121" s="184"/>
      <c r="FQ121" s="184"/>
      <c r="FR121" s="184"/>
      <c r="FS121" s="184"/>
      <c r="FT121" s="184"/>
      <c r="FU121" s="184"/>
      <c r="FV121" s="184"/>
      <c r="FW121" s="184"/>
      <c r="FX121" s="184"/>
      <c r="FY121" s="184"/>
      <c r="FZ121" s="184"/>
      <c r="GA121" s="184"/>
      <c r="GB121" s="184"/>
      <c r="GC121" s="184"/>
      <c r="GD121" s="184"/>
      <c r="GE121" s="184"/>
      <c r="GF121" s="184"/>
      <c r="GG121" s="184"/>
      <c r="GH121" s="184"/>
      <c r="GI121" s="184"/>
      <c r="GJ121" s="184"/>
      <c r="GK121" s="184"/>
      <c r="GL121" s="184"/>
      <c r="GM121" s="184"/>
      <c r="GN121" s="184"/>
      <c r="GO121" s="184"/>
      <c r="GP121" s="184"/>
      <c r="GQ121" s="184"/>
      <c r="GR121" s="184"/>
      <c r="GS121" s="184"/>
      <c r="GT121" s="184"/>
      <c r="GU121" s="184"/>
      <c r="GV121" s="184"/>
      <c r="GW121" s="184"/>
      <c r="GX121" s="184"/>
      <c r="GY121" s="184"/>
      <c r="GZ121" s="184"/>
      <c r="HA121" s="184"/>
      <c r="HB121" s="184"/>
      <c r="HC121" s="184"/>
      <c r="HD121" s="184"/>
      <c r="HE121" s="184"/>
      <c r="HF121" s="184"/>
      <c r="HG121" s="184"/>
      <c r="HH121" s="184"/>
      <c r="HI121" s="184"/>
      <c r="HJ121" s="184"/>
      <c r="HK121" s="184"/>
      <c r="HL121" s="184"/>
      <c r="HM121" s="184"/>
      <c r="HN121" s="184"/>
      <c r="HO121" s="184"/>
      <c r="HP121" s="184"/>
      <c r="HQ121" s="184"/>
      <c r="HR121" s="184"/>
      <c r="HS121" s="184"/>
      <c r="HT121" s="184"/>
      <c r="HU121" s="184"/>
      <c r="HV121" s="184"/>
      <c r="HW121" s="184"/>
      <c r="HX121" s="184"/>
      <c r="HY121" s="184"/>
      <c r="HZ121" s="184"/>
      <c r="IA121" s="184"/>
      <c r="IB121" s="184"/>
      <c r="IC121" s="184"/>
      <c r="ID121" s="184"/>
      <c r="IE121" s="184"/>
      <c r="IF121" s="184"/>
      <c r="IG121" s="184"/>
      <c r="IH121" s="184"/>
      <c r="II121" s="184"/>
      <c r="IJ121" s="184"/>
      <c r="IK121" s="184"/>
      <c r="IL121" s="184"/>
      <c r="IM121" s="184"/>
      <c r="IN121" s="184"/>
      <c r="IO121" s="184"/>
      <c r="IP121" s="184"/>
      <c r="IQ121" s="184"/>
      <c r="IR121" s="184"/>
      <c r="IS121" s="184"/>
      <c r="IT121" s="184"/>
      <c r="IU121" s="184"/>
      <c r="IV121" s="184"/>
      <c r="IW121" s="184"/>
    </row>
    <row r="122" customFormat="false" ht="12.6" hidden="false" customHeight="true" outlineLevel="0" collapsed="false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  <c r="GW122" s="184"/>
      <c r="GX122" s="184"/>
      <c r="GY122" s="184"/>
      <c r="GZ122" s="184"/>
      <c r="HA122" s="184"/>
      <c r="HB122" s="184"/>
      <c r="HC122" s="184"/>
      <c r="HD122" s="184"/>
      <c r="HE122" s="184"/>
      <c r="HF122" s="184"/>
      <c r="HG122" s="184"/>
      <c r="HH122" s="184"/>
      <c r="HI122" s="184"/>
      <c r="HJ122" s="184"/>
      <c r="HK122" s="184"/>
      <c r="HL122" s="184"/>
      <c r="HM122" s="184"/>
      <c r="HN122" s="184"/>
      <c r="HO122" s="184"/>
      <c r="HP122" s="184"/>
      <c r="HQ122" s="184"/>
      <c r="HR122" s="184"/>
      <c r="HS122" s="184"/>
      <c r="HT122" s="184"/>
      <c r="HU122" s="184"/>
      <c r="HV122" s="184"/>
      <c r="HW122" s="184"/>
      <c r="HX122" s="184"/>
      <c r="HY122" s="184"/>
      <c r="HZ122" s="184"/>
      <c r="IA122" s="184"/>
      <c r="IB122" s="184"/>
      <c r="IC122" s="184"/>
      <c r="ID122" s="184"/>
      <c r="IE122" s="184"/>
      <c r="IF122" s="184"/>
      <c r="IG122" s="184"/>
      <c r="IH122" s="184"/>
      <c r="II122" s="184"/>
      <c r="IJ122" s="184"/>
      <c r="IK122" s="184"/>
      <c r="IL122" s="184"/>
      <c r="IM122" s="184"/>
      <c r="IN122" s="184"/>
      <c r="IO122" s="184"/>
      <c r="IP122" s="184"/>
      <c r="IQ122" s="184"/>
      <c r="IR122" s="184"/>
      <c r="IS122" s="184"/>
      <c r="IT122" s="184"/>
      <c r="IU122" s="184"/>
      <c r="IV122" s="184"/>
      <c r="IW122" s="184"/>
    </row>
    <row r="123" customFormat="false" ht="12.6" hidden="false" customHeight="true" outlineLevel="0" collapsed="false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84"/>
      <c r="CV123" s="184"/>
      <c r="CW123" s="184"/>
      <c r="CX123" s="184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4"/>
      <c r="DM123" s="184"/>
      <c r="DN123" s="184"/>
      <c r="DO123" s="184"/>
      <c r="DP123" s="184"/>
      <c r="DQ123" s="184"/>
      <c r="DR123" s="184"/>
      <c r="DS123" s="184"/>
      <c r="DT123" s="184"/>
      <c r="DU123" s="184"/>
      <c r="DV123" s="184"/>
      <c r="DW123" s="184"/>
      <c r="DX123" s="184"/>
      <c r="DY123" s="184"/>
      <c r="DZ123" s="184"/>
      <c r="EA123" s="184"/>
      <c r="EB123" s="184"/>
      <c r="EC123" s="184"/>
      <c r="ED123" s="184"/>
      <c r="EE123" s="184"/>
      <c r="EF123" s="184"/>
      <c r="EG123" s="184"/>
      <c r="EH123" s="184"/>
      <c r="EI123" s="184"/>
      <c r="EJ123" s="184"/>
      <c r="EK123" s="184"/>
      <c r="EL123" s="184"/>
      <c r="EM123" s="184"/>
      <c r="EN123" s="184"/>
      <c r="EO123" s="184"/>
      <c r="EP123" s="184"/>
      <c r="EQ123" s="184"/>
      <c r="ER123" s="184"/>
      <c r="ES123" s="184"/>
      <c r="ET123" s="184"/>
      <c r="EU123" s="184"/>
      <c r="EV123" s="184"/>
      <c r="EW123" s="184"/>
      <c r="EX123" s="184"/>
      <c r="EY123" s="184"/>
      <c r="EZ123" s="184"/>
      <c r="FA123" s="184"/>
      <c r="FB123" s="184"/>
      <c r="FC123" s="184"/>
      <c r="FD123" s="184"/>
      <c r="FE123" s="184"/>
      <c r="FF123" s="184"/>
      <c r="FG123" s="184"/>
      <c r="FH123" s="184"/>
      <c r="FI123" s="184"/>
      <c r="FJ123" s="184"/>
      <c r="FK123" s="184"/>
      <c r="FL123" s="184"/>
      <c r="FM123" s="184"/>
      <c r="FN123" s="184"/>
      <c r="FO123" s="184"/>
      <c r="FP123" s="184"/>
      <c r="FQ123" s="184"/>
      <c r="FR123" s="184"/>
      <c r="FS123" s="184"/>
      <c r="FT123" s="184"/>
      <c r="FU123" s="184"/>
      <c r="FV123" s="184"/>
      <c r="FW123" s="184"/>
      <c r="FX123" s="184"/>
      <c r="FY123" s="184"/>
      <c r="FZ123" s="184"/>
      <c r="GA123" s="184"/>
      <c r="GB123" s="184"/>
      <c r="GC123" s="184"/>
      <c r="GD123" s="184"/>
      <c r="GE123" s="184"/>
      <c r="GF123" s="184"/>
      <c r="GG123" s="184"/>
      <c r="GH123" s="184"/>
      <c r="GI123" s="184"/>
      <c r="GJ123" s="184"/>
      <c r="GK123" s="184"/>
      <c r="GL123" s="184"/>
      <c r="GM123" s="184"/>
      <c r="GN123" s="184"/>
      <c r="GO123" s="184"/>
      <c r="GP123" s="184"/>
      <c r="GQ123" s="184"/>
      <c r="GR123" s="184"/>
      <c r="GS123" s="184"/>
      <c r="GT123" s="184"/>
      <c r="GU123" s="184"/>
      <c r="GV123" s="184"/>
      <c r="GW123" s="184"/>
      <c r="GX123" s="184"/>
      <c r="GY123" s="184"/>
      <c r="GZ123" s="184"/>
      <c r="HA123" s="184"/>
      <c r="HB123" s="184"/>
      <c r="HC123" s="184"/>
      <c r="HD123" s="184"/>
      <c r="HE123" s="184"/>
      <c r="HF123" s="184"/>
      <c r="HG123" s="184"/>
      <c r="HH123" s="184"/>
      <c r="HI123" s="184"/>
      <c r="HJ123" s="184"/>
      <c r="HK123" s="184"/>
      <c r="HL123" s="184"/>
      <c r="HM123" s="184"/>
      <c r="HN123" s="184"/>
      <c r="HO123" s="184"/>
      <c r="HP123" s="184"/>
      <c r="HQ123" s="184"/>
      <c r="HR123" s="184"/>
      <c r="HS123" s="184"/>
      <c r="HT123" s="184"/>
      <c r="HU123" s="184"/>
      <c r="HV123" s="184"/>
      <c r="HW123" s="184"/>
      <c r="HX123" s="184"/>
      <c r="HY123" s="184"/>
      <c r="HZ123" s="184"/>
      <c r="IA123" s="184"/>
      <c r="IB123" s="184"/>
      <c r="IC123" s="184"/>
      <c r="ID123" s="184"/>
      <c r="IE123" s="184"/>
      <c r="IF123" s="184"/>
      <c r="IG123" s="184"/>
      <c r="IH123" s="184"/>
      <c r="II123" s="184"/>
      <c r="IJ123" s="184"/>
      <c r="IK123" s="184"/>
      <c r="IL123" s="184"/>
      <c r="IM123" s="184"/>
      <c r="IN123" s="184"/>
      <c r="IO123" s="184"/>
      <c r="IP123" s="184"/>
      <c r="IQ123" s="184"/>
      <c r="IR123" s="184"/>
      <c r="IS123" s="184"/>
      <c r="IT123" s="184"/>
      <c r="IU123" s="184"/>
      <c r="IV123" s="184"/>
      <c r="IW123" s="184"/>
    </row>
    <row r="124" customFormat="false" ht="12.6" hidden="false" customHeight="true" outlineLevel="0" collapsed="false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  <c r="CN124" s="184"/>
      <c r="CO124" s="184"/>
      <c r="CP124" s="184"/>
      <c r="CQ124" s="184"/>
      <c r="CR124" s="184"/>
      <c r="CS124" s="184"/>
      <c r="CT124" s="184"/>
      <c r="CU124" s="184"/>
      <c r="CV124" s="184"/>
      <c r="CW124" s="184"/>
      <c r="CX124" s="184"/>
      <c r="CY124" s="184"/>
      <c r="CZ124" s="184"/>
      <c r="DA124" s="184"/>
      <c r="DB124" s="184"/>
      <c r="DC124" s="184"/>
      <c r="DD124" s="184"/>
      <c r="DE124" s="184"/>
      <c r="DF124" s="184"/>
      <c r="DG124" s="184"/>
      <c r="DH124" s="184"/>
      <c r="DI124" s="184"/>
      <c r="DJ124" s="184"/>
      <c r="DK124" s="184"/>
      <c r="DL124" s="184"/>
      <c r="DM124" s="184"/>
      <c r="DN124" s="184"/>
      <c r="DO124" s="184"/>
      <c r="DP124" s="184"/>
      <c r="DQ124" s="184"/>
      <c r="DR124" s="184"/>
      <c r="DS124" s="184"/>
      <c r="DT124" s="184"/>
      <c r="DU124" s="184"/>
      <c r="DV124" s="184"/>
      <c r="DW124" s="184"/>
      <c r="DX124" s="184"/>
      <c r="DY124" s="184"/>
      <c r="DZ124" s="184"/>
      <c r="EA124" s="184"/>
      <c r="EB124" s="184"/>
      <c r="EC124" s="184"/>
      <c r="ED124" s="184"/>
      <c r="EE124" s="184"/>
      <c r="EF124" s="184"/>
      <c r="EG124" s="184"/>
      <c r="EH124" s="184"/>
      <c r="EI124" s="184"/>
      <c r="EJ124" s="184"/>
      <c r="EK124" s="184"/>
      <c r="EL124" s="184"/>
      <c r="EM124" s="184"/>
      <c r="EN124" s="184"/>
      <c r="EO124" s="184"/>
      <c r="EP124" s="184"/>
      <c r="EQ124" s="184"/>
      <c r="ER124" s="184"/>
      <c r="ES124" s="184"/>
      <c r="ET124" s="184"/>
      <c r="EU124" s="184"/>
      <c r="EV124" s="184"/>
      <c r="EW124" s="184"/>
      <c r="EX124" s="184"/>
      <c r="EY124" s="184"/>
      <c r="EZ124" s="184"/>
      <c r="FA124" s="184"/>
      <c r="FB124" s="184"/>
      <c r="FC124" s="184"/>
      <c r="FD124" s="184"/>
      <c r="FE124" s="184"/>
      <c r="FF124" s="184"/>
      <c r="FG124" s="184"/>
      <c r="FH124" s="184"/>
      <c r="FI124" s="184"/>
      <c r="FJ124" s="184"/>
      <c r="FK124" s="184"/>
      <c r="FL124" s="184"/>
      <c r="FM124" s="184"/>
      <c r="FN124" s="184"/>
      <c r="FO124" s="184"/>
      <c r="FP124" s="184"/>
      <c r="FQ124" s="184"/>
      <c r="FR124" s="184"/>
      <c r="FS124" s="184"/>
      <c r="FT124" s="184"/>
      <c r="FU124" s="184"/>
      <c r="FV124" s="184"/>
      <c r="FW124" s="184"/>
      <c r="FX124" s="184"/>
      <c r="FY124" s="184"/>
      <c r="FZ124" s="184"/>
      <c r="GA124" s="184"/>
      <c r="GB124" s="184"/>
      <c r="GC124" s="184"/>
      <c r="GD124" s="184"/>
      <c r="GE124" s="184"/>
      <c r="GF124" s="184"/>
      <c r="GG124" s="184"/>
      <c r="GH124" s="184"/>
      <c r="GI124" s="184"/>
      <c r="GJ124" s="184"/>
      <c r="GK124" s="184"/>
      <c r="GL124" s="184"/>
      <c r="GM124" s="184"/>
      <c r="GN124" s="184"/>
      <c r="GO124" s="184"/>
      <c r="GP124" s="184"/>
      <c r="GQ124" s="184"/>
      <c r="GR124" s="184"/>
      <c r="GS124" s="184"/>
      <c r="GT124" s="184"/>
      <c r="GU124" s="184"/>
      <c r="GV124" s="184"/>
      <c r="GW124" s="184"/>
      <c r="GX124" s="184"/>
      <c r="GY124" s="184"/>
      <c r="GZ124" s="184"/>
      <c r="HA124" s="184"/>
      <c r="HB124" s="184"/>
      <c r="HC124" s="184"/>
      <c r="HD124" s="184"/>
      <c r="HE124" s="184"/>
      <c r="HF124" s="184"/>
      <c r="HG124" s="184"/>
      <c r="HH124" s="184"/>
      <c r="HI124" s="184"/>
      <c r="HJ124" s="184"/>
      <c r="HK124" s="184"/>
      <c r="HL124" s="184"/>
      <c r="HM124" s="184"/>
      <c r="HN124" s="184"/>
      <c r="HO124" s="184"/>
      <c r="HP124" s="184"/>
      <c r="HQ124" s="184"/>
      <c r="HR124" s="184"/>
      <c r="HS124" s="184"/>
      <c r="HT124" s="184"/>
      <c r="HU124" s="184"/>
      <c r="HV124" s="184"/>
      <c r="HW124" s="184"/>
      <c r="HX124" s="184"/>
      <c r="HY124" s="184"/>
      <c r="HZ124" s="184"/>
      <c r="IA124" s="184"/>
      <c r="IB124" s="184"/>
      <c r="IC124" s="184"/>
      <c r="ID124" s="184"/>
      <c r="IE124" s="184"/>
      <c r="IF124" s="184"/>
      <c r="IG124" s="184"/>
      <c r="IH124" s="184"/>
      <c r="II124" s="184"/>
      <c r="IJ124" s="184"/>
      <c r="IK124" s="184"/>
      <c r="IL124" s="184"/>
      <c r="IM124" s="184"/>
      <c r="IN124" s="184"/>
      <c r="IO124" s="184"/>
      <c r="IP124" s="184"/>
      <c r="IQ124" s="184"/>
      <c r="IR124" s="184"/>
      <c r="IS124" s="184"/>
      <c r="IT124" s="184"/>
      <c r="IU124" s="184"/>
      <c r="IV124" s="184"/>
      <c r="IW124" s="184"/>
    </row>
    <row r="125" customFormat="false" ht="12.6" hidden="false" customHeight="true" outlineLevel="0" collapsed="false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BD125" s="184"/>
      <c r="BE125" s="184"/>
      <c r="BF125" s="184"/>
      <c r="BG125" s="184"/>
      <c r="BH125" s="184"/>
      <c r="BI125" s="184"/>
      <c r="BJ125" s="184"/>
      <c r="BK125" s="184"/>
      <c r="BL125" s="184"/>
      <c r="BM125" s="184"/>
      <c r="BN125" s="184"/>
      <c r="BO125" s="184"/>
      <c r="BP125" s="184"/>
      <c r="BQ125" s="184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  <c r="CE125" s="184"/>
      <c r="CF125" s="184"/>
      <c r="CG125" s="184"/>
      <c r="CH125" s="184"/>
      <c r="CI125" s="184"/>
      <c r="CJ125" s="184"/>
      <c r="CK125" s="184"/>
      <c r="CL125" s="184"/>
      <c r="CM125" s="184"/>
      <c r="CN125" s="184"/>
      <c r="CO125" s="184"/>
      <c r="CP125" s="184"/>
      <c r="CQ125" s="184"/>
      <c r="CR125" s="184"/>
      <c r="CS125" s="184"/>
      <c r="CT125" s="184"/>
      <c r="CU125" s="184"/>
      <c r="CV125" s="184"/>
      <c r="CW125" s="184"/>
      <c r="CX125" s="184"/>
      <c r="CY125" s="184"/>
      <c r="CZ125" s="184"/>
      <c r="DA125" s="184"/>
      <c r="DB125" s="184"/>
      <c r="DC125" s="184"/>
      <c r="DD125" s="184"/>
      <c r="DE125" s="184"/>
      <c r="DF125" s="184"/>
      <c r="DG125" s="184"/>
      <c r="DH125" s="184"/>
      <c r="DI125" s="184"/>
      <c r="DJ125" s="184"/>
      <c r="DK125" s="184"/>
      <c r="DL125" s="184"/>
      <c r="DM125" s="184"/>
      <c r="DN125" s="184"/>
      <c r="DO125" s="184"/>
      <c r="DP125" s="184"/>
      <c r="DQ125" s="184"/>
      <c r="DR125" s="184"/>
      <c r="DS125" s="184"/>
      <c r="DT125" s="184"/>
      <c r="DU125" s="184"/>
      <c r="DV125" s="184"/>
      <c r="DW125" s="184"/>
      <c r="DX125" s="184"/>
      <c r="DY125" s="184"/>
      <c r="DZ125" s="184"/>
      <c r="EA125" s="184"/>
      <c r="EB125" s="184"/>
      <c r="EC125" s="184"/>
      <c r="ED125" s="184"/>
      <c r="EE125" s="184"/>
      <c r="EF125" s="184"/>
      <c r="EG125" s="184"/>
      <c r="EH125" s="184"/>
      <c r="EI125" s="184"/>
      <c r="EJ125" s="184"/>
      <c r="EK125" s="184"/>
      <c r="EL125" s="184"/>
      <c r="EM125" s="184"/>
      <c r="EN125" s="184"/>
      <c r="EO125" s="184"/>
      <c r="EP125" s="184"/>
      <c r="EQ125" s="184"/>
      <c r="ER125" s="184"/>
      <c r="ES125" s="184"/>
      <c r="ET125" s="184"/>
      <c r="EU125" s="184"/>
      <c r="EV125" s="184"/>
      <c r="EW125" s="184"/>
      <c r="EX125" s="184"/>
      <c r="EY125" s="184"/>
      <c r="EZ125" s="184"/>
      <c r="FA125" s="184"/>
      <c r="FB125" s="184"/>
      <c r="FC125" s="184"/>
      <c r="FD125" s="184"/>
      <c r="FE125" s="184"/>
      <c r="FF125" s="184"/>
      <c r="FG125" s="184"/>
      <c r="FH125" s="184"/>
      <c r="FI125" s="184"/>
      <c r="FJ125" s="184"/>
      <c r="FK125" s="184"/>
      <c r="FL125" s="184"/>
      <c r="FM125" s="184"/>
      <c r="FN125" s="184"/>
      <c r="FO125" s="184"/>
      <c r="FP125" s="184"/>
      <c r="FQ125" s="184"/>
      <c r="FR125" s="184"/>
      <c r="FS125" s="184"/>
      <c r="FT125" s="184"/>
      <c r="FU125" s="184"/>
      <c r="FV125" s="184"/>
      <c r="FW125" s="184"/>
      <c r="FX125" s="184"/>
      <c r="FY125" s="184"/>
      <c r="FZ125" s="184"/>
      <c r="GA125" s="184"/>
      <c r="GB125" s="184"/>
      <c r="GC125" s="184"/>
      <c r="GD125" s="184"/>
      <c r="GE125" s="184"/>
      <c r="GF125" s="184"/>
      <c r="GG125" s="184"/>
      <c r="GH125" s="184"/>
      <c r="GI125" s="184"/>
      <c r="GJ125" s="184"/>
      <c r="GK125" s="184"/>
      <c r="GL125" s="184"/>
      <c r="GM125" s="184"/>
      <c r="GN125" s="184"/>
      <c r="GO125" s="184"/>
      <c r="GP125" s="184"/>
      <c r="GQ125" s="184"/>
      <c r="GR125" s="184"/>
      <c r="GS125" s="184"/>
      <c r="GT125" s="184"/>
      <c r="GU125" s="184"/>
      <c r="GV125" s="184"/>
      <c r="GW125" s="184"/>
      <c r="GX125" s="184"/>
      <c r="GY125" s="184"/>
      <c r="GZ125" s="184"/>
      <c r="HA125" s="184"/>
      <c r="HB125" s="184"/>
      <c r="HC125" s="184"/>
      <c r="HD125" s="184"/>
      <c r="HE125" s="184"/>
      <c r="HF125" s="184"/>
      <c r="HG125" s="184"/>
      <c r="HH125" s="184"/>
      <c r="HI125" s="184"/>
      <c r="HJ125" s="184"/>
      <c r="HK125" s="184"/>
      <c r="HL125" s="184"/>
      <c r="HM125" s="184"/>
      <c r="HN125" s="184"/>
      <c r="HO125" s="184"/>
      <c r="HP125" s="184"/>
      <c r="HQ125" s="184"/>
      <c r="HR125" s="184"/>
      <c r="HS125" s="184"/>
      <c r="HT125" s="184"/>
      <c r="HU125" s="184"/>
      <c r="HV125" s="184"/>
      <c r="HW125" s="184"/>
      <c r="HX125" s="184"/>
      <c r="HY125" s="184"/>
      <c r="HZ125" s="184"/>
      <c r="IA125" s="184"/>
      <c r="IB125" s="184"/>
      <c r="IC125" s="184"/>
      <c r="ID125" s="184"/>
      <c r="IE125" s="184"/>
      <c r="IF125" s="184"/>
      <c r="IG125" s="184"/>
      <c r="IH125" s="184"/>
      <c r="II125" s="184"/>
      <c r="IJ125" s="184"/>
      <c r="IK125" s="184"/>
      <c r="IL125" s="184"/>
      <c r="IM125" s="184"/>
      <c r="IN125" s="184"/>
      <c r="IO125" s="184"/>
      <c r="IP125" s="184"/>
      <c r="IQ125" s="184"/>
      <c r="IR125" s="184"/>
      <c r="IS125" s="184"/>
      <c r="IT125" s="184"/>
      <c r="IU125" s="184"/>
      <c r="IV125" s="184"/>
      <c r="IW125" s="184"/>
    </row>
    <row r="126" customFormat="false" ht="12.6" hidden="false" customHeight="true" outlineLevel="0" collapsed="false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BD126" s="0"/>
      <c r="BE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184"/>
    </row>
    <row r="127" customFormat="false" ht="12.6" hidden="false" customHeight="true" outlineLevel="0" collapsed="false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BD127" s="0"/>
      <c r="BE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184"/>
    </row>
    <row r="128" customFormat="false" ht="12.6" hidden="false" customHeight="true" outlineLevel="0" collapsed="false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BD128" s="0"/>
      <c r="BE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184"/>
    </row>
    <row r="129" customFormat="false" ht="12.6" hidden="false" customHeight="true" outlineLevel="0" collapsed="false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BD129" s="0"/>
      <c r="BE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184"/>
    </row>
    <row r="130" customFormat="false" ht="12.6" hidden="false" customHeight="true" outlineLevel="0" collapsed="false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BD130" s="0"/>
      <c r="BE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184"/>
    </row>
    <row r="131" customFormat="false" ht="12.6" hidden="false" customHeight="true" outlineLevel="0" collapsed="false">
      <c r="A131" s="184"/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BD131" s="0"/>
      <c r="BE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6" hidden="false" customHeight="true" outlineLevel="0" collapsed="false">
      <c r="A132" s="184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BD132" s="0"/>
      <c r="BE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6" hidden="false" customHeight="true" outlineLevel="0" collapsed="false">
      <c r="A133" s="184"/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BD133" s="0"/>
      <c r="BE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6" hidden="false" customHeight="true" outlineLevel="0" collapsed="false">
      <c r="A134" s="184"/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BD134" s="0"/>
      <c r="BE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6" hidden="false" customHeight="true" outlineLevel="0" collapsed="false">
      <c r="A135" s="184"/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BD135" s="0"/>
      <c r="BE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6" hidden="false" customHeight="true" outlineLevel="0" collapsed="false">
      <c r="A136" s="184"/>
      <c r="B136" s="184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BD136" s="0"/>
      <c r="BE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6" hidden="false" customHeight="tru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IW137" s="0"/>
    </row>
    <row r="138" customFormat="false" ht="12.6" hidden="false" customHeight="tru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IW138" s="0"/>
    </row>
    <row r="139" customFormat="false" ht="12.6" hidden="false" customHeight="tru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IW139" s="0"/>
    </row>
    <row r="140" customFormat="false" ht="12.6" hidden="false" customHeight="tru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IW140" s="0"/>
    </row>
    <row r="141" customFormat="false" ht="12.6" hidden="false" customHeight="tru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IW141" s="0"/>
    </row>
    <row r="142" customFormat="false" ht="12.6" hidden="false" customHeight="tru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</row>
    <row r="143" customFormat="false" ht="12.6" hidden="false" customHeight="tru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</row>
    <row r="144" customFormat="false" ht="12.6" hidden="false" customHeight="tru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</row>
    <row r="145" customFormat="false" ht="12.6" hidden="false" customHeight="tru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</row>
    <row r="146" customFormat="false" ht="12.6" hidden="false" customHeight="tru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</row>
    <row r="147" customFormat="false" ht="12.6" hidden="false" customHeight="tru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</row>
    <row r="230" customFormat="false" ht="12.6" hidden="false" customHeight="true" outlineLevel="0" collapsed="false">
      <c r="AE230" s="274"/>
      <c r="AF230" s="274"/>
      <c r="AG230" s="274"/>
      <c r="AH230" s="274"/>
      <c r="AI230" s="274"/>
      <c r="AJ230" s="274"/>
      <c r="AK230" s="274"/>
      <c r="AL230" s="274"/>
      <c r="AM230" s="274"/>
      <c r="AN230" s="274"/>
      <c r="AO230" s="274"/>
      <c r="AP230" s="274"/>
      <c r="AQ230" s="274"/>
      <c r="AR230" s="274"/>
      <c r="AS230" s="274"/>
      <c r="AT230" s="274"/>
    </row>
    <row r="231" customFormat="false" ht="12.6" hidden="false" customHeight="true" outlineLevel="0" collapsed="false">
      <c r="AE231" s="274"/>
      <c r="AF231" s="274"/>
      <c r="AG231" s="274"/>
      <c r="AH231" s="274"/>
      <c r="AI231" s="274"/>
      <c r="AJ231" s="274"/>
      <c r="AK231" s="274"/>
      <c r="AL231" s="274"/>
      <c r="AM231" s="274"/>
      <c r="AN231" s="274"/>
      <c r="AO231" s="274"/>
      <c r="AP231" s="274"/>
      <c r="AQ231" s="274"/>
      <c r="AR231" s="274"/>
      <c r="AS231" s="274"/>
      <c r="AT231" s="274"/>
    </row>
    <row r="232" customFormat="false" ht="12.6" hidden="false" customHeight="true" outlineLevel="0" collapsed="false">
      <c r="AE232" s="274"/>
      <c r="AF232" s="274"/>
      <c r="AG232" s="274"/>
      <c r="AH232" s="274"/>
      <c r="AI232" s="274"/>
      <c r="AJ232" s="274"/>
      <c r="AK232" s="274"/>
      <c r="AL232" s="274"/>
      <c r="AM232" s="274"/>
      <c r="AN232" s="274"/>
      <c r="AO232" s="274"/>
      <c r="AP232" s="274"/>
      <c r="AQ232" s="274"/>
      <c r="AR232" s="274"/>
      <c r="AS232" s="274"/>
      <c r="AT232" s="274"/>
    </row>
    <row r="233" customFormat="false" ht="12.6" hidden="false" customHeight="true" outlineLevel="0" collapsed="false">
      <c r="AE233" s="274"/>
      <c r="AF233" s="274"/>
      <c r="AG233" s="274"/>
      <c r="AH233" s="274"/>
      <c r="AI233" s="274"/>
      <c r="AJ233" s="274"/>
      <c r="AK233" s="274"/>
      <c r="AL233" s="274"/>
      <c r="AM233" s="274"/>
      <c r="AN233" s="274"/>
      <c r="AO233" s="274"/>
      <c r="AP233" s="274"/>
      <c r="AQ233" s="274"/>
      <c r="AR233" s="274"/>
      <c r="AS233" s="274"/>
      <c r="AT233" s="274"/>
    </row>
    <row r="234" customFormat="false" ht="12.6" hidden="false" customHeight="true" outlineLevel="0" collapsed="false">
      <c r="AE234" s="274"/>
      <c r="AF234" s="274"/>
      <c r="AG234" s="274"/>
      <c r="AH234" s="274"/>
      <c r="AI234" s="274"/>
      <c r="AJ234" s="274"/>
      <c r="AK234" s="274"/>
      <c r="AL234" s="274"/>
      <c r="AM234" s="274"/>
      <c r="AN234" s="274"/>
      <c r="AO234" s="274"/>
      <c r="AP234" s="274"/>
      <c r="AQ234" s="274"/>
      <c r="AR234" s="274"/>
      <c r="AS234" s="274"/>
      <c r="AT234" s="274"/>
    </row>
    <row r="235" customFormat="false" ht="12.6" hidden="false" customHeight="true" outlineLevel="0" collapsed="false">
      <c r="AE235" s="274"/>
      <c r="AF235" s="274"/>
      <c r="AG235" s="274"/>
      <c r="AH235" s="274"/>
      <c r="AI235" s="274"/>
      <c r="AJ235" s="274"/>
      <c r="AK235" s="274"/>
      <c r="AL235" s="274"/>
      <c r="AM235" s="274"/>
      <c r="AN235" s="274"/>
      <c r="AO235" s="274"/>
      <c r="AP235" s="274"/>
      <c r="AQ235" s="274"/>
      <c r="AR235" s="274"/>
      <c r="AS235" s="274"/>
      <c r="AT235" s="274"/>
    </row>
    <row r="236" customFormat="false" ht="12.6" hidden="false" customHeight="true" outlineLevel="0" collapsed="false">
      <c r="AE236" s="274"/>
      <c r="AF236" s="274"/>
      <c r="AG236" s="274"/>
      <c r="AH236" s="274"/>
      <c r="AI236" s="274"/>
      <c r="AJ236" s="274"/>
      <c r="AK236" s="274"/>
      <c r="AL236" s="274"/>
      <c r="AM236" s="274"/>
      <c r="AN236" s="274"/>
      <c r="AO236" s="274"/>
      <c r="AP236" s="274"/>
      <c r="AQ236" s="274"/>
      <c r="AR236" s="274"/>
      <c r="AS236" s="274"/>
      <c r="AT236" s="274"/>
    </row>
    <row r="237" customFormat="false" ht="12.6" hidden="false" customHeight="true" outlineLevel="0" collapsed="false">
      <c r="AE237" s="274"/>
      <c r="AF237" s="274"/>
      <c r="AG237" s="274"/>
      <c r="AH237" s="274"/>
      <c r="AI237" s="274"/>
      <c r="AJ237" s="274"/>
      <c r="AK237" s="274"/>
      <c r="AL237" s="274"/>
      <c r="AM237" s="274"/>
      <c r="AN237" s="274"/>
      <c r="AO237" s="274"/>
      <c r="AP237" s="274"/>
      <c r="AQ237" s="274"/>
      <c r="AR237" s="274"/>
      <c r="AS237" s="274"/>
      <c r="AT237" s="274"/>
    </row>
    <row r="238" customFormat="false" ht="12.6" hidden="false" customHeight="true" outlineLevel="0" collapsed="false">
      <c r="AE238" s="274"/>
      <c r="AF238" s="274"/>
      <c r="AG238" s="274"/>
      <c r="AH238" s="274"/>
      <c r="AI238" s="274"/>
      <c r="AJ238" s="274"/>
      <c r="AK238" s="274"/>
      <c r="AL238" s="274"/>
      <c r="AM238" s="274"/>
      <c r="AN238" s="274"/>
      <c r="AO238" s="274"/>
      <c r="AP238" s="274"/>
      <c r="AQ238" s="274"/>
      <c r="AR238" s="274"/>
      <c r="AS238" s="274"/>
      <c r="AT238" s="274"/>
    </row>
    <row r="239" customFormat="false" ht="12.6" hidden="false" customHeight="true" outlineLevel="0" collapsed="false">
      <c r="AE239" s="274"/>
      <c r="AF239" s="274"/>
      <c r="AG239" s="274"/>
      <c r="AH239" s="274"/>
      <c r="AI239" s="274"/>
      <c r="AJ239" s="274"/>
      <c r="AK239" s="274"/>
      <c r="AL239" s="274"/>
      <c r="AM239" s="274"/>
      <c r="AN239" s="274"/>
      <c r="AO239" s="274"/>
      <c r="AP239" s="274"/>
      <c r="AQ239" s="274"/>
      <c r="AR239" s="274"/>
      <c r="AS239" s="274"/>
      <c r="AT239" s="274"/>
    </row>
    <row r="240" customFormat="false" ht="12.6" hidden="false" customHeight="true" outlineLevel="0" collapsed="false">
      <c r="AE240" s="274"/>
      <c r="AF240" s="274"/>
      <c r="AG240" s="274"/>
      <c r="AH240" s="274"/>
      <c r="AI240" s="274"/>
      <c r="AJ240" s="274"/>
      <c r="AK240" s="274"/>
      <c r="AL240" s="274"/>
      <c r="AM240" s="274"/>
      <c r="AN240" s="274"/>
      <c r="AO240" s="274"/>
      <c r="AP240" s="274"/>
      <c r="AQ240" s="274"/>
      <c r="AR240" s="274"/>
      <c r="AS240" s="274"/>
      <c r="AT240" s="274"/>
    </row>
    <row r="241" customFormat="false" ht="12.6" hidden="false" customHeight="true" outlineLevel="0" collapsed="false">
      <c r="AE241" s="274"/>
      <c r="AF241" s="274"/>
      <c r="AG241" s="274"/>
      <c r="AH241" s="274"/>
      <c r="AI241" s="274"/>
      <c r="AJ241" s="274"/>
      <c r="AK241" s="274"/>
      <c r="AL241" s="274"/>
      <c r="AM241" s="274"/>
      <c r="AN241" s="274"/>
      <c r="AO241" s="274"/>
      <c r="AP241" s="274"/>
      <c r="AQ241" s="274"/>
      <c r="AR241" s="274"/>
      <c r="AS241" s="274"/>
      <c r="AT241" s="274"/>
    </row>
    <row r="242" customFormat="false" ht="12.6" hidden="false" customHeight="true" outlineLevel="0" collapsed="false">
      <c r="AE242" s="274"/>
      <c r="AF242" s="274"/>
      <c r="AG242" s="274"/>
      <c r="AH242" s="274"/>
      <c r="AI242" s="274"/>
      <c r="AJ242" s="274"/>
      <c r="AK242" s="274"/>
      <c r="AL242" s="274"/>
      <c r="AM242" s="274"/>
      <c r="AN242" s="274"/>
      <c r="AO242" s="274"/>
      <c r="AP242" s="274"/>
      <c r="AQ242" s="274"/>
      <c r="AR242" s="274"/>
      <c r="AS242" s="274"/>
      <c r="AT242" s="274"/>
    </row>
    <row r="243" customFormat="false" ht="12.6" hidden="false" customHeight="true" outlineLevel="0" collapsed="false">
      <c r="AE243" s="274"/>
      <c r="AF243" s="274"/>
      <c r="AG243" s="274"/>
      <c r="AH243" s="274"/>
      <c r="AI243" s="274"/>
      <c r="AJ243" s="274"/>
      <c r="AK243" s="274"/>
      <c r="AL243" s="274"/>
      <c r="AM243" s="274"/>
      <c r="AN243" s="274"/>
      <c r="AO243" s="274"/>
      <c r="AP243" s="274"/>
      <c r="AQ243" s="274"/>
      <c r="AR243" s="274"/>
      <c r="AS243" s="274"/>
      <c r="AT243" s="274"/>
    </row>
    <row r="244" customFormat="false" ht="12.6" hidden="false" customHeight="true" outlineLevel="0" collapsed="false">
      <c r="AE244" s="274"/>
      <c r="AF244" s="274"/>
      <c r="AG244" s="274"/>
      <c r="AH244" s="274"/>
      <c r="AI244" s="274"/>
      <c r="AJ244" s="274"/>
      <c r="AK244" s="274"/>
      <c r="AL244" s="274"/>
      <c r="AM244" s="274"/>
      <c r="AN244" s="274"/>
      <c r="AO244" s="274"/>
      <c r="AP244" s="274"/>
      <c r="AQ244" s="274"/>
      <c r="AR244" s="274"/>
      <c r="AS244" s="274"/>
      <c r="AT244" s="274"/>
    </row>
    <row r="245" customFormat="false" ht="12.6" hidden="false" customHeight="true" outlineLevel="0" collapsed="false"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BD245" s="0"/>
      <c r="BE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</row>
    <row r="246" customFormat="false" ht="12.6" hidden="false" customHeight="true" outlineLevel="0" collapsed="false"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BD246" s="0"/>
      <c r="BE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</row>
    <row r="247" customFormat="false" ht="12.6" hidden="false" customHeight="true" outlineLevel="0" collapsed="false">
      <c r="AE247" s="274"/>
      <c r="AF247" s="274"/>
      <c r="AG247" s="274"/>
      <c r="AH247" s="274"/>
      <c r="AI247" s="274"/>
      <c r="AJ247" s="274"/>
      <c r="AK247" s="274"/>
      <c r="AL247" s="274"/>
      <c r="AM247" s="274"/>
      <c r="AN247" s="274"/>
      <c r="AO247" s="274"/>
      <c r="AP247" s="274"/>
      <c r="AQ247" s="274"/>
      <c r="AR247" s="274"/>
      <c r="AS247" s="274"/>
      <c r="AT247" s="274"/>
    </row>
    <row r="248" customFormat="false" ht="12.6" hidden="false" customHeight="true" outlineLevel="0" collapsed="false">
      <c r="AE248" s="274"/>
      <c r="AF248" s="274"/>
      <c r="AG248" s="274"/>
      <c r="AH248" s="274"/>
      <c r="AI248" s="274"/>
      <c r="AJ248" s="274"/>
      <c r="AK248" s="274"/>
      <c r="AL248" s="274"/>
      <c r="AM248" s="274"/>
      <c r="AN248" s="274"/>
      <c r="AO248" s="274"/>
      <c r="AP248" s="274"/>
      <c r="AQ248" s="274"/>
      <c r="AR248" s="274"/>
      <c r="AS248" s="274"/>
      <c r="AT248" s="274"/>
    </row>
    <row r="249" customFormat="false" ht="12.6" hidden="false" customHeight="true" outlineLevel="0" collapsed="false">
      <c r="AE249" s="274"/>
      <c r="AF249" s="274"/>
      <c r="AG249" s="274"/>
      <c r="AH249" s="274"/>
      <c r="AI249" s="274"/>
      <c r="AJ249" s="274"/>
      <c r="AK249" s="274"/>
      <c r="AL249" s="274"/>
      <c r="AM249" s="274"/>
      <c r="AN249" s="274"/>
      <c r="AO249" s="274"/>
      <c r="AP249" s="274"/>
      <c r="AQ249" s="274"/>
      <c r="AR249" s="274"/>
      <c r="AS249" s="274"/>
      <c r="AT249" s="274"/>
    </row>
    <row r="250" customFormat="false" ht="12.6" hidden="false" customHeight="true" outlineLevel="0" collapsed="false">
      <c r="AA250" s="0"/>
      <c r="AB250" s="0"/>
      <c r="AE250" s="274"/>
      <c r="AF250" s="274"/>
      <c r="AG250" s="274"/>
      <c r="AH250" s="274"/>
      <c r="AI250" s="274"/>
      <c r="AJ250" s="274"/>
      <c r="AK250" s="274"/>
      <c r="AL250" s="274"/>
      <c r="AM250" s="274"/>
      <c r="AN250" s="274"/>
      <c r="AO250" s="274"/>
      <c r="AP250" s="274"/>
      <c r="AQ250" s="274"/>
      <c r="AR250" s="274"/>
      <c r="AS250" s="274"/>
      <c r="AT250" s="274"/>
      <c r="IW250" s="0"/>
    </row>
    <row r="251" customFormat="false" ht="12.6" hidden="false" customHeight="true" outlineLevel="0" collapsed="false">
      <c r="AA251" s="0"/>
      <c r="AB251" s="0"/>
      <c r="AE251" s="274"/>
      <c r="AF251" s="274"/>
      <c r="AG251" s="274"/>
      <c r="AH251" s="274"/>
      <c r="AI251" s="274"/>
      <c r="AJ251" s="274"/>
      <c r="AK251" s="274"/>
      <c r="AL251" s="274"/>
      <c r="AM251" s="274"/>
      <c r="AN251" s="274"/>
      <c r="AO251" s="274"/>
      <c r="AP251" s="274"/>
      <c r="AQ251" s="274"/>
      <c r="AR251" s="274"/>
      <c r="AS251" s="274"/>
      <c r="AT251" s="274"/>
      <c r="IW251" s="0"/>
    </row>
    <row r="252" customFormat="false" ht="12.6" hidden="false" customHeight="true" outlineLevel="0" collapsed="false">
      <c r="AE252" s="274"/>
      <c r="AF252" s="274"/>
      <c r="AG252" s="274"/>
      <c r="AH252" s="274"/>
      <c r="AI252" s="274"/>
      <c r="AJ252" s="274"/>
      <c r="AK252" s="274"/>
      <c r="AL252" s="274"/>
      <c r="AM252" s="274"/>
      <c r="AN252" s="274"/>
      <c r="AO252" s="274"/>
      <c r="AP252" s="274"/>
      <c r="AQ252" s="274"/>
      <c r="AR252" s="274"/>
      <c r="AS252" s="274"/>
      <c r="AT252" s="274"/>
    </row>
    <row r="253" customFormat="false" ht="12.6" hidden="false" customHeight="true" outlineLevel="0" collapsed="false">
      <c r="Z253" s="0"/>
      <c r="AE253" s="274"/>
      <c r="AF253" s="274"/>
      <c r="AG253" s="274"/>
      <c r="AH253" s="274"/>
      <c r="AI253" s="274"/>
      <c r="AJ253" s="274"/>
      <c r="AK253" s="274"/>
      <c r="AL253" s="274"/>
      <c r="AM253" s="274"/>
      <c r="AN253" s="274"/>
      <c r="AO253" s="274"/>
      <c r="AP253" s="274"/>
      <c r="AQ253" s="274"/>
      <c r="AR253" s="274"/>
      <c r="AS253" s="274"/>
      <c r="AT253" s="274"/>
    </row>
    <row r="254" customFormat="false" ht="12.6" hidden="false" customHeight="true" outlineLevel="0" collapsed="false">
      <c r="Z254" s="0"/>
      <c r="AE254" s="274"/>
      <c r="AF254" s="274"/>
      <c r="AG254" s="274"/>
      <c r="AH254" s="274"/>
      <c r="AI254" s="274"/>
      <c r="AJ254" s="274"/>
      <c r="AK254" s="274"/>
      <c r="AL254" s="274"/>
      <c r="AM254" s="274"/>
      <c r="AN254" s="274"/>
      <c r="AO254" s="274"/>
      <c r="AP254" s="274"/>
      <c r="AQ254" s="274"/>
      <c r="AR254" s="274"/>
      <c r="AS254" s="274"/>
      <c r="AT254" s="274"/>
    </row>
    <row r="255" customFormat="false" ht="12.6" hidden="false" customHeight="true" outlineLevel="0" collapsed="false">
      <c r="AE255" s="274"/>
      <c r="AF255" s="274"/>
      <c r="AG255" s="274"/>
      <c r="AH255" s="274"/>
      <c r="AI255" s="274"/>
      <c r="AJ255" s="274"/>
      <c r="AK255" s="274"/>
      <c r="AL255" s="274"/>
      <c r="AM255" s="274"/>
      <c r="AN255" s="274"/>
      <c r="AO255" s="274"/>
      <c r="AP255" s="274"/>
      <c r="AQ255" s="274"/>
      <c r="AR255" s="274"/>
      <c r="AS255" s="274"/>
      <c r="AT255" s="274"/>
    </row>
    <row r="256" customFormat="false" ht="12.6" hidden="false" customHeight="tru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AE256" s="274"/>
      <c r="AF256" s="274"/>
      <c r="AG256" s="274"/>
      <c r="AH256" s="274"/>
      <c r="AI256" s="274"/>
      <c r="AJ256" s="274"/>
      <c r="AK256" s="274"/>
      <c r="AL256" s="274"/>
      <c r="AM256" s="274"/>
      <c r="AN256" s="274"/>
      <c r="AO256" s="274"/>
      <c r="AP256" s="274"/>
      <c r="AQ256" s="274"/>
      <c r="AR256" s="274"/>
      <c r="AS256" s="274"/>
      <c r="AT256" s="274"/>
    </row>
    <row r="257" customFormat="false" ht="12.6" hidden="false" customHeight="tru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AE257" s="274"/>
      <c r="AF257" s="274"/>
      <c r="AG257" s="274"/>
      <c r="AH257" s="274"/>
      <c r="AI257" s="274"/>
      <c r="AJ257" s="274"/>
      <c r="AK257" s="274"/>
      <c r="AL257" s="274"/>
      <c r="AM257" s="274"/>
      <c r="AN257" s="274"/>
      <c r="AO257" s="274"/>
      <c r="AP257" s="274"/>
      <c r="AQ257" s="274"/>
      <c r="AR257" s="274"/>
      <c r="AS257" s="274"/>
      <c r="AT257" s="274"/>
    </row>
    <row r="258" customFormat="false" ht="12.6" hidden="false" customHeight="true" outlineLevel="0" collapsed="false">
      <c r="AE258" s="274"/>
      <c r="AF258" s="274"/>
      <c r="AG258" s="274"/>
      <c r="AH258" s="274"/>
      <c r="AI258" s="274"/>
      <c r="AJ258" s="274"/>
      <c r="AK258" s="274"/>
      <c r="AL258" s="274"/>
      <c r="AM258" s="274"/>
      <c r="AN258" s="274"/>
      <c r="AO258" s="274"/>
      <c r="AP258" s="274"/>
      <c r="AQ258" s="274"/>
      <c r="AR258" s="274"/>
      <c r="AS258" s="274"/>
      <c r="AT258" s="274"/>
    </row>
    <row r="259" customFormat="false" ht="12.6" hidden="false" customHeight="true" outlineLevel="0" collapsed="false">
      <c r="AE259" s="274"/>
      <c r="AF259" s="274"/>
      <c r="AG259" s="274"/>
      <c r="AH259" s="274"/>
      <c r="AI259" s="274"/>
      <c r="AJ259" s="274"/>
      <c r="AK259" s="274"/>
      <c r="AL259" s="274"/>
      <c r="AM259" s="274"/>
      <c r="AN259" s="274"/>
      <c r="AO259" s="274"/>
      <c r="AP259" s="274"/>
      <c r="AQ259" s="274"/>
      <c r="AR259" s="274"/>
      <c r="AS259" s="274"/>
      <c r="AT259" s="274"/>
    </row>
    <row r="260" customFormat="false" ht="12.6" hidden="false" customHeight="true" outlineLevel="0" collapsed="false">
      <c r="AE260" s="274"/>
      <c r="AF260" s="274"/>
      <c r="AG260" s="274"/>
      <c r="AH260" s="274"/>
      <c r="AI260" s="274"/>
      <c r="AJ260" s="274"/>
      <c r="AK260" s="274"/>
      <c r="AL260" s="274"/>
      <c r="AM260" s="274"/>
      <c r="AN260" s="274"/>
      <c r="AO260" s="274"/>
      <c r="AP260" s="274"/>
      <c r="AQ260" s="274"/>
      <c r="AR260" s="274"/>
      <c r="AS260" s="274"/>
      <c r="AT260" s="274"/>
    </row>
    <row r="261" customFormat="false" ht="12.6" hidden="false" customHeight="true" outlineLevel="0" collapsed="false">
      <c r="AE261" s="274"/>
      <c r="AF261" s="274"/>
      <c r="AG261" s="274"/>
      <c r="AH261" s="274"/>
      <c r="AI261" s="274"/>
      <c r="AJ261" s="274"/>
      <c r="AK261" s="274"/>
      <c r="AL261" s="274"/>
      <c r="AM261" s="274"/>
      <c r="AN261" s="274"/>
      <c r="AO261" s="274"/>
      <c r="AP261" s="274"/>
      <c r="AQ261" s="274"/>
      <c r="AR261" s="274"/>
      <c r="AS261" s="274"/>
      <c r="AT261" s="274"/>
    </row>
    <row r="262" customFormat="false" ht="12.6" hidden="false" customHeight="true" outlineLevel="0" collapsed="false">
      <c r="AE262" s="274"/>
      <c r="AF262" s="274"/>
      <c r="AG262" s="274"/>
      <c r="AH262" s="274"/>
      <c r="AI262" s="274"/>
      <c r="AJ262" s="274"/>
      <c r="AK262" s="274"/>
      <c r="AL262" s="274"/>
      <c r="AM262" s="274"/>
      <c r="AN262" s="274"/>
      <c r="AO262" s="274"/>
      <c r="AP262" s="274"/>
      <c r="AQ262" s="274"/>
      <c r="AR262" s="274"/>
      <c r="AS262" s="274"/>
      <c r="AT262" s="274"/>
    </row>
    <row r="263" customFormat="false" ht="12.6" hidden="false" customHeight="true" outlineLevel="0" collapsed="false">
      <c r="AE263" s="274"/>
      <c r="AF263" s="274"/>
      <c r="AG263" s="274"/>
      <c r="AH263" s="274"/>
      <c r="AI263" s="274"/>
      <c r="AJ263" s="274"/>
      <c r="AK263" s="274"/>
      <c r="AL263" s="274"/>
      <c r="AM263" s="274"/>
      <c r="AN263" s="274"/>
      <c r="AO263" s="274"/>
      <c r="AP263" s="274"/>
      <c r="AQ263" s="274"/>
      <c r="AR263" s="274"/>
      <c r="AS263" s="274"/>
      <c r="AT263" s="274"/>
    </row>
    <row r="264" customFormat="false" ht="12.6" hidden="false" customHeight="true" outlineLevel="0" collapsed="false">
      <c r="AE264" s="274"/>
      <c r="AF264" s="274"/>
      <c r="AG264" s="274"/>
      <c r="AH264" s="274"/>
      <c r="AI264" s="274"/>
      <c r="AJ264" s="274"/>
      <c r="AK264" s="274"/>
      <c r="AL264" s="274"/>
      <c r="AM264" s="274"/>
      <c r="AN264" s="274"/>
      <c r="AO264" s="274"/>
      <c r="AP264" s="274"/>
      <c r="AQ264" s="274"/>
      <c r="AR264" s="274"/>
      <c r="AS264" s="274"/>
      <c r="AT264" s="274"/>
    </row>
    <row r="265" customFormat="false" ht="12.6" hidden="false" customHeight="true" outlineLevel="0" collapsed="false">
      <c r="AE265" s="274"/>
      <c r="AF265" s="274"/>
      <c r="AG265" s="274"/>
      <c r="AH265" s="274"/>
      <c r="AI265" s="274"/>
      <c r="AJ265" s="274"/>
      <c r="AK265" s="274"/>
      <c r="AL265" s="274"/>
      <c r="AM265" s="274"/>
      <c r="AN265" s="274"/>
      <c r="AO265" s="274"/>
      <c r="AP265" s="274"/>
      <c r="AQ265" s="274"/>
      <c r="AR265" s="274"/>
      <c r="AS265" s="274"/>
      <c r="AT265" s="274"/>
    </row>
    <row r="266" customFormat="false" ht="12.6" hidden="false" customHeight="true" outlineLevel="0" collapsed="false">
      <c r="AE266" s="274"/>
      <c r="AF266" s="274"/>
      <c r="AG266" s="274"/>
      <c r="AH266" s="274"/>
      <c r="AI266" s="274"/>
      <c r="AJ266" s="274"/>
      <c r="AK266" s="274"/>
      <c r="AL266" s="274"/>
      <c r="AM266" s="274"/>
      <c r="AN266" s="274"/>
      <c r="AO266" s="274"/>
      <c r="AP266" s="274"/>
      <c r="AQ266" s="274"/>
      <c r="AR266" s="274"/>
      <c r="AS266" s="274"/>
      <c r="AT266" s="274"/>
    </row>
    <row r="267" customFormat="false" ht="12.6" hidden="false" customHeight="true" outlineLevel="0" collapsed="false">
      <c r="AE267" s="274"/>
      <c r="AF267" s="274"/>
      <c r="AG267" s="274"/>
      <c r="AH267" s="274"/>
      <c r="AI267" s="274"/>
      <c r="AJ267" s="274"/>
      <c r="AK267" s="274"/>
      <c r="AL267" s="274"/>
      <c r="AM267" s="274"/>
      <c r="AN267" s="274"/>
      <c r="AO267" s="274"/>
      <c r="AP267" s="274"/>
      <c r="AQ267" s="274"/>
      <c r="AR267" s="274"/>
      <c r="AS267" s="274"/>
      <c r="AT267" s="274"/>
    </row>
    <row r="268" customFormat="false" ht="12.6" hidden="false" customHeight="true" outlineLevel="0" collapsed="false">
      <c r="AE268" s="274"/>
      <c r="AF268" s="274"/>
      <c r="AG268" s="274"/>
      <c r="AH268" s="274"/>
      <c r="AI268" s="274"/>
      <c r="AJ268" s="274"/>
      <c r="AK268" s="274"/>
      <c r="AL268" s="274"/>
      <c r="AM268" s="274"/>
      <c r="AN268" s="274"/>
      <c r="AO268" s="274"/>
      <c r="AP268" s="274"/>
      <c r="AQ268" s="274"/>
      <c r="AR268" s="274"/>
      <c r="AS268" s="274"/>
      <c r="AT268" s="274"/>
    </row>
    <row r="269" customFormat="false" ht="12.6" hidden="false" customHeight="true" outlineLevel="0" collapsed="false">
      <c r="AE269" s="274"/>
      <c r="AF269" s="274"/>
      <c r="AG269" s="274"/>
      <c r="AH269" s="274"/>
      <c r="AI269" s="274"/>
      <c r="AJ269" s="274"/>
      <c r="AK269" s="274"/>
      <c r="AL269" s="274"/>
      <c r="AM269" s="274"/>
      <c r="AN269" s="274"/>
      <c r="AO269" s="274"/>
      <c r="AP269" s="274"/>
      <c r="AQ269" s="274"/>
      <c r="AR269" s="274"/>
      <c r="AS269" s="274"/>
      <c r="AT269" s="274"/>
    </row>
    <row r="270" customFormat="false" ht="12.6" hidden="false" customHeight="true" outlineLevel="0" collapsed="false">
      <c r="AE270" s="274"/>
      <c r="AF270" s="274"/>
      <c r="AG270" s="274"/>
      <c r="AH270" s="274"/>
      <c r="AI270" s="274"/>
      <c r="AJ270" s="274"/>
      <c r="AK270" s="274"/>
      <c r="AL270" s="274"/>
      <c r="AM270" s="274"/>
      <c r="AN270" s="274"/>
      <c r="AO270" s="274"/>
      <c r="AP270" s="274"/>
      <c r="AQ270" s="274"/>
      <c r="AR270" s="274"/>
      <c r="AS270" s="274"/>
      <c r="AT270" s="274"/>
    </row>
    <row r="271" customFormat="false" ht="12.6" hidden="false" customHeight="true" outlineLevel="0" collapsed="false">
      <c r="AE271" s="274"/>
      <c r="AF271" s="274"/>
      <c r="AG271" s="274"/>
      <c r="AH271" s="274"/>
      <c r="AI271" s="274"/>
      <c r="AJ271" s="274"/>
      <c r="AK271" s="274"/>
      <c r="AL271" s="274"/>
      <c r="AM271" s="274"/>
      <c r="AN271" s="274"/>
      <c r="AO271" s="274"/>
      <c r="AP271" s="274"/>
      <c r="AQ271" s="274"/>
      <c r="AR271" s="274"/>
      <c r="AS271" s="274"/>
      <c r="AT271" s="274"/>
    </row>
    <row r="272" customFormat="false" ht="12.6" hidden="false" customHeight="true" outlineLevel="0" collapsed="false">
      <c r="AE272" s="274"/>
      <c r="AF272" s="274"/>
      <c r="AG272" s="274"/>
      <c r="AH272" s="274"/>
      <c r="AI272" s="274"/>
      <c r="AJ272" s="274"/>
      <c r="AK272" s="274"/>
      <c r="AL272" s="274"/>
      <c r="AM272" s="274"/>
      <c r="AN272" s="274"/>
      <c r="AO272" s="274"/>
      <c r="AP272" s="274"/>
      <c r="AQ272" s="274"/>
      <c r="AR272" s="274"/>
      <c r="AS272" s="274"/>
      <c r="AT272" s="274"/>
    </row>
    <row r="273" customFormat="false" ht="12.6" hidden="false" customHeight="true" outlineLevel="0" collapsed="false">
      <c r="AE273" s="274"/>
      <c r="AF273" s="274"/>
      <c r="AG273" s="274"/>
      <c r="AH273" s="274"/>
      <c r="AI273" s="274"/>
      <c r="AJ273" s="274"/>
      <c r="AK273" s="274"/>
      <c r="AL273" s="274"/>
      <c r="AM273" s="274"/>
      <c r="AN273" s="274"/>
      <c r="AO273" s="274"/>
      <c r="AP273" s="274"/>
      <c r="AQ273" s="274"/>
      <c r="AR273" s="274"/>
      <c r="AS273" s="274"/>
      <c r="AT273" s="274"/>
    </row>
    <row r="274" customFormat="false" ht="12.6" hidden="false" customHeight="true" outlineLevel="0" collapsed="false">
      <c r="AE274" s="274"/>
      <c r="AF274" s="274"/>
      <c r="AG274" s="274"/>
      <c r="AH274" s="274"/>
      <c r="AI274" s="274"/>
      <c r="AJ274" s="274"/>
      <c r="AK274" s="274"/>
      <c r="AL274" s="274"/>
      <c r="AM274" s="274"/>
      <c r="AN274" s="274"/>
      <c r="AO274" s="274"/>
      <c r="AP274" s="274"/>
      <c r="AQ274" s="274"/>
      <c r="AR274" s="274"/>
      <c r="AS274" s="274"/>
      <c r="AT274" s="274"/>
    </row>
    <row r="275" customFormat="false" ht="12.6" hidden="false" customHeight="true" outlineLevel="0" collapsed="false">
      <c r="AE275" s="274"/>
      <c r="AF275" s="274"/>
      <c r="AG275" s="274"/>
      <c r="AH275" s="274"/>
      <c r="AI275" s="274"/>
      <c r="AJ275" s="274"/>
      <c r="AK275" s="274"/>
      <c r="AL275" s="274"/>
      <c r="AM275" s="274"/>
      <c r="AN275" s="274"/>
      <c r="AO275" s="274"/>
      <c r="AP275" s="274"/>
      <c r="AQ275" s="274"/>
      <c r="AR275" s="274"/>
      <c r="AS275" s="274"/>
      <c r="AT275" s="274"/>
    </row>
    <row r="276" customFormat="false" ht="12.6" hidden="false" customHeight="true" outlineLevel="0" collapsed="false">
      <c r="AE276" s="274"/>
      <c r="AF276" s="274"/>
      <c r="AG276" s="274"/>
      <c r="AH276" s="274"/>
      <c r="AI276" s="274"/>
      <c r="AJ276" s="274"/>
      <c r="AK276" s="274"/>
      <c r="AL276" s="274"/>
      <c r="AM276" s="274"/>
      <c r="AN276" s="274"/>
      <c r="AO276" s="274"/>
      <c r="AP276" s="274"/>
      <c r="AQ276" s="274"/>
      <c r="AR276" s="274"/>
      <c r="AS276" s="274"/>
      <c r="AT276" s="274"/>
    </row>
    <row r="277" customFormat="false" ht="12.6" hidden="false" customHeight="true" outlineLevel="0" collapsed="false">
      <c r="AE277" s="274"/>
      <c r="AF277" s="274"/>
      <c r="AG277" s="274"/>
      <c r="AH277" s="274"/>
      <c r="AI277" s="274"/>
      <c r="AJ277" s="274"/>
      <c r="AK277" s="274"/>
      <c r="AL277" s="274"/>
      <c r="AM277" s="274"/>
      <c r="AN277" s="274"/>
      <c r="AO277" s="274"/>
      <c r="AP277" s="274"/>
      <c r="AQ277" s="274"/>
      <c r="AR277" s="274"/>
      <c r="AS277" s="274"/>
      <c r="AT277" s="274"/>
    </row>
    <row r="278" customFormat="false" ht="12.6" hidden="false" customHeight="true" outlineLevel="0" collapsed="false">
      <c r="AE278" s="274"/>
      <c r="AF278" s="274"/>
      <c r="AG278" s="274"/>
      <c r="AH278" s="274"/>
      <c r="AI278" s="274"/>
      <c r="AJ278" s="274"/>
      <c r="AK278" s="274"/>
      <c r="AL278" s="274"/>
      <c r="AM278" s="274"/>
      <c r="AN278" s="274"/>
      <c r="AO278" s="274"/>
      <c r="AP278" s="274"/>
      <c r="AQ278" s="274"/>
      <c r="AR278" s="274"/>
      <c r="AS278" s="274"/>
      <c r="AT278" s="274"/>
    </row>
    <row r="279" customFormat="false" ht="12.6" hidden="false" customHeight="true" outlineLevel="0" collapsed="false">
      <c r="AE279" s="274"/>
      <c r="AF279" s="274"/>
      <c r="AG279" s="274"/>
      <c r="AH279" s="274"/>
      <c r="AI279" s="274"/>
      <c r="AJ279" s="274"/>
      <c r="AK279" s="274"/>
      <c r="AL279" s="274"/>
      <c r="AM279" s="274"/>
      <c r="AN279" s="274"/>
      <c r="AO279" s="274"/>
      <c r="AP279" s="274"/>
      <c r="AQ279" s="274"/>
      <c r="AR279" s="274"/>
      <c r="AS279" s="274"/>
      <c r="AT279" s="274"/>
    </row>
    <row r="280" customFormat="false" ht="12.6" hidden="false" customHeight="true" outlineLevel="0" collapsed="false">
      <c r="AE280" s="274"/>
      <c r="AF280" s="274"/>
      <c r="AG280" s="274"/>
      <c r="AH280" s="274"/>
      <c r="AI280" s="274"/>
      <c r="AJ280" s="274"/>
      <c r="AK280" s="274"/>
      <c r="AL280" s="274"/>
      <c r="AM280" s="274"/>
      <c r="AN280" s="274"/>
      <c r="AO280" s="274"/>
      <c r="AP280" s="274"/>
      <c r="AQ280" s="274"/>
      <c r="AR280" s="274"/>
      <c r="AS280" s="274"/>
      <c r="AT280" s="274"/>
    </row>
    <row r="281" customFormat="false" ht="12.6" hidden="false" customHeight="true" outlineLevel="0" collapsed="false">
      <c r="AE281" s="274"/>
      <c r="AF281" s="274"/>
      <c r="AG281" s="274"/>
      <c r="AH281" s="274"/>
      <c r="AI281" s="274"/>
      <c r="AJ281" s="274"/>
      <c r="AK281" s="274"/>
      <c r="AL281" s="274"/>
      <c r="AM281" s="274"/>
      <c r="AN281" s="274"/>
      <c r="AO281" s="274"/>
      <c r="AP281" s="274"/>
      <c r="AQ281" s="274"/>
      <c r="AR281" s="274"/>
      <c r="AS281" s="274"/>
      <c r="AT281" s="2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9.41"/>
    <col collapsed="false" customWidth="true" hidden="false" outlineLevel="0" max="3" min="3" style="0" width="23.28"/>
    <col collapsed="false" customWidth="true" hidden="false" outlineLevel="0" max="4" min="4" style="0" width="4.41"/>
    <col collapsed="false" customWidth="true" hidden="false" outlineLevel="0" max="5" min="5" style="0" width="7.7"/>
    <col collapsed="false" customWidth="true" hidden="false" outlineLevel="0" max="6" min="6" style="0" width="3.56"/>
    <col collapsed="false" customWidth="true" hidden="false" outlineLevel="0" max="8" min="7" style="0" width="12.28"/>
    <col collapsed="false" customWidth="true" hidden="false" outlineLevel="0" max="9" min="9" style="0" width="9.7"/>
  </cols>
  <sheetData>
    <row r="1" customFormat="false" ht="45" hidden="false" customHeight="true" outlineLevel="0" collapsed="false">
      <c r="A1" s="275" t="s">
        <v>284</v>
      </c>
      <c r="B1" s="275"/>
      <c r="C1" s="275"/>
    </row>
    <row r="2" customFormat="false" ht="11.25" hidden="false" customHeight="true" outlineLevel="0" collapsed="false">
      <c r="A2" s="276"/>
      <c r="B2" s="276"/>
      <c r="C2" s="276"/>
    </row>
    <row r="3" customFormat="false" ht="11.25" hidden="false" customHeight="true" outlineLevel="0" collapsed="false">
      <c r="A3" s="0" t="s">
        <v>285</v>
      </c>
      <c r="B3" s="276"/>
      <c r="C3" s="276"/>
    </row>
    <row r="4" customFormat="false" ht="12.75" hidden="false" customHeight="false" outlineLevel="0" collapsed="false">
      <c r="E4" s="277"/>
    </row>
    <row r="5" customFormat="false" ht="25.5" hidden="false" customHeight="false" outlineLevel="0" collapsed="false">
      <c r="A5" s="278" t="s">
        <v>93</v>
      </c>
      <c r="B5" s="278" t="s">
        <v>286</v>
      </c>
      <c r="C5" s="279" t="s">
        <v>287</v>
      </c>
    </row>
    <row r="6" customFormat="false" ht="12.75" hidden="false" customHeight="false" outlineLevel="0" collapsed="false">
      <c r="A6" s="280" t="n">
        <v>0.04</v>
      </c>
      <c r="B6" s="281" t="n">
        <v>2.59516251017696</v>
      </c>
      <c r="C6" s="282" t="n">
        <f aca="false">'Capacity Adj Table'!B6-'Project Assumptions'!$I$28</f>
        <v>-0.342837489823042</v>
      </c>
      <c r="E6" s="283"/>
      <c r="G6" s="284"/>
      <c r="H6" s="284"/>
      <c r="I6" s="267"/>
    </row>
    <row r="7" customFormat="false" ht="12.75" hidden="false" customHeight="false" outlineLevel="0" collapsed="false">
      <c r="A7" s="285" t="n">
        <f aca="false">+A6+0.0025</f>
        <v>0.0425</v>
      </c>
      <c r="B7" s="286" t="n">
        <v>2.63961489289308</v>
      </c>
      <c r="C7" s="287" t="n">
        <f aca="false">'Capacity Adj Table'!B7-'Project Assumptions'!$I$28</f>
        <v>-0.298385107106921</v>
      </c>
      <c r="E7" s="283"/>
      <c r="G7" s="284"/>
      <c r="H7" s="284"/>
      <c r="I7" s="267"/>
    </row>
    <row r="8" customFormat="false" ht="12.75" hidden="false" customHeight="false" outlineLevel="0" collapsed="false">
      <c r="A8" s="285" t="n">
        <f aca="false">+A7+0.0025</f>
        <v>0.045</v>
      </c>
      <c r="B8" s="286" t="n">
        <v>2.6844862494383</v>
      </c>
      <c r="C8" s="287" t="n">
        <f aca="false">'Capacity Adj Table'!B8-'Project Assumptions'!$I$28</f>
        <v>-0.253513750561702</v>
      </c>
      <c r="E8" s="283"/>
      <c r="G8" s="284"/>
      <c r="H8" s="284"/>
      <c r="I8" s="267"/>
    </row>
    <row r="9" customFormat="false" ht="12.75" hidden="false" customHeight="false" outlineLevel="0" collapsed="false">
      <c r="A9" s="285" t="n">
        <f aca="false">+A8+0.0025</f>
        <v>0.0475</v>
      </c>
      <c r="B9" s="286" t="n">
        <v>2.72977384042715</v>
      </c>
      <c r="C9" s="287" t="n">
        <f aca="false">'Capacity Adj Table'!B9-'Project Assumptions'!$I$28</f>
        <v>-0.208226159572852</v>
      </c>
      <c r="E9" s="283"/>
      <c r="G9" s="284"/>
      <c r="H9" s="284"/>
      <c r="I9" s="267"/>
    </row>
    <row r="10" customFormat="false" ht="12.75" hidden="false" customHeight="false" outlineLevel="0" collapsed="false">
      <c r="A10" s="285" t="n">
        <f aca="false">+A9+0.0025</f>
        <v>0.05</v>
      </c>
      <c r="B10" s="286" t="n">
        <v>2.77547483935808</v>
      </c>
      <c r="C10" s="287" t="n">
        <f aca="false">'Capacity Adj Table'!B10-'Project Assumptions'!$I$28</f>
        <v>-0.162525160641918</v>
      </c>
      <c r="E10" s="283"/>
      <c r="G10" s="284"/>
      <c r="H10" s="284"/>
      <c r="I10" s="267"/>
    </row>
    <row r="11" customFormat="false" ht="12.75" hidden="false" customHeight="false" outlineLevel="0" collapsed="false">
      <c r="A11" s="285" t="n">
        <f aca="false">+A10+0.0025</f>
        <v>0.0525</v>
      </c>
      <c r="B11" s="286" t="n">
        <v>2.82158633532567</v>
      </c>
      <c r="C11" s="287" t="n">
        <f aca="false">'Capacity Adj Table'!B11-'Project Assumptions'!$I$28</f>
        <v>-0.11641366467433</v>
      </c>
      <c r="E11" s="283"/>
      <c r="G11" s="284"/>
      <c r="H11" s="284"/>
      <c r="I11" s="267"/>
    </row>
    <row r="12" customFormat="false" ht="12.75" hidden="false" customHeight="false" outlineLevel="0" collapsed="false">
      <c r="A12" s="285" t="n">
        <f aca="false">+A11+0.0025</f>
        <v>0.055</v>
      </c>
      <c r="B12" s="286" t="n">
        <v>2.86810533577422</v>
      </c>
      <c r="C12" s="287" t="n">
        <f aca="false">'Capacity Adj Table'!B12-'Project Assumptions'!$I$28</f>
        <v>-0.0698946642257807</v>
      </c>
      <c r="E12" s="283"/>
      <c r="G12" s="284"/>
      <c r="H12" s="284"/>
      <c r="I12" s="267"/>
    </row>
    <row r="13" customFormat="false" ht="12.75" hidden="false" customHeight="false" outlineLevel="0" collapsed="false">
      <c r="A13" s="285" t="n">
        <f aca="false">+A12+0.0025</f>
        <v>0.0575</v>
      </c>
      <c r="B13" s="286" t="n">
        <v>2.91502876928796</v>
      </c>
      <c r="C13" s="287" t="n">
        <f aca="false">'Capacity Adj Table'!B13-'Project Assumptions'!$I$28</f>
        <v>-0.0229712307120433</v>
      </c>
      <c r="E13" s="283"/>
      <c r="G13" s="284"/>
      <c r="H13" s="284"/>
      <c r="I13" s="267"/>
    </row>
    <row r="14" customFormat="false" ht="12.75" hidden="false" customHeight="false" outlineLevel="0" collapsed="false">
      <c r="A14" s="285" t="n">
        <f aca="false">+A13+0.0025</f>
        <v>0.06</v>
      </c>
      <c r="B14" s="286" t="n">
        <v>2.93798701667871</v>
      </c>
      <c r="C14" s="287" t="n">
        <f aca="false">'Capacity Adj Table'!B14-'Project Assumptions'!$I$28</f>
        <v>-1.29833212860753E-005</v>
      </c>
      <c r="E14" s="283"/>
      <c r="G14" s="284"/>
      <c r="H14" s="284"/>
      <c r="I14" s="267"/>
    </row>
    <row r="15" customFormat="false" ht="12.75" hidden="false" customHeight="false" outlineLevel="0" collapsed="false">
      <c r="A15" s="285" t="n">
        <f aca="false">+A14+0.0025</f>
        <v>0.0625</v>
      </c>
      <c r="B15" s="286" t="n">
        <v>3.01007627251058</v>
      </c>
      <c r="C15" s="287" t="n">
        <f aca="false">'Capacity Adj Table'!B15-'Project Assumptions'!$I$28</f>
        <v>0.0720762725105808</v>
      </c>
      <c r="E15" s="283"/>
      <c r="G15" s="284"/>
      <c r="H15" s="284"/>
      <c r="I15" s="267"/>
    </row>
    <row r="16" customFormat="false" ht="12.75" hidden="false" customHeight="false" outlineLevel="0" collapsed="false">
      <c r="A16" s="285" t="n">
        <f aca="false">+A15+0.0025</f>
        <v>0.065</v>
      </c>
      <c r="B16" s="286" t="n">
        <v>3.05819383062449</v>
      </c>
      <c r="C16" s="287" t="n">
        <f aca="false">'Capacity Adj Table'!B16-'Project Assumptions'!$I$28</f>
        <v>0.120193830624494</v>
      </c>
      <c r="E16" s="283"/>
      <c r="G16" s="284"/>
      <c r="H16" s="284"/>
      <c r="I16" s="267"/>
    </row>
    <row r="17" customFormat="false" ht="12.75" hidden="false" customHeight="false" outlineLevel="0" collapsed="false">
      <c r="A17" s="285" t="n">
        <f aca="false">+A16+0.0025</f>
        <v>0.0675</v>
      </c>
      <c r="B17" s="286" t="n">
        <v>3.10670280437946</v>
      </c>
      <c r="C17" s="287" t="n">
        <f aca="false">'Capacity Adj Table'!B17-'Project Assumptions'!$I$28</f>
        <v>0.168702804379465</v>
      </c>
      <c r="E17" s="283"/>
      <c r="G17" s="284"/>
      <c r="H17" s="284"/>
      <c r="I17" s="267"/>
    </row>
    <row r="18" customFormat="false" ht="12.75" hidden="false" customHeight="false" outlineLevel="0" collapsed="false">
      <c r="A18" s="285" t="n">
        <f aca="false">+A17+0.0025</f>
        <v>0.07</v>
      </c>
      <c r="B18" s="286" t="n">
        <v>3.15559977088503</v>
      </c>
      <c r="C18" s="287" t="n">
        <f aca="false">'Capacity Adj Table'!B18-'Project Assumptions'!$I$28</f>
        <v>0.217599770885032</v>
      </c>
      <c r="E18" s="283"/>
      <c r="G18" s="284"/>
      <c r="H18" s="284"/>
      <c r="I18" s="267"/>
    </row>
    <row r="19" customFormat="false" ht="12.75" hidden="false" customHeight="false" outlineLevel="0" collapsed="false">
      <c r="A19" s="285" t="n">
        <f aca="false">+A18+0.0025</f>
        <v>0.0725</v>
      </c>
      <c r="B19" s="286" t="n">
        <v>3.20488124565323</v>
      </c>
      <c r="C19" s="287" t="n">
        <f aca="false">'Capacity Adj Table'!B19-'Project Assumptions'!$I$28</f>
        <v>0.266881245653232</v>
      </c>
      <c r="E19" s="283"/>
      <c r="G19" s="284"/>
      <c r="H19" s="284"/>
      <c r="I19" s="267"/>
    </row>
    <row r="20" customFormat="false" ht="12.75" hidden="false" customHeight="false" outlineLevel="0" collapsed="false">
      <c r="A20" s="285" t="n">
        <f aca="false">+A19+0.0025</f>
        <v>0.075</v>
      </c>
      <c r="B20" s="286" t="n">
        <v>3.25454368552185</v>
      </c>
      <c r="C20" s="287" t="n">
        <f aca="false">'Capacity Adj Table'!B20-'Project Assumptions'!$I$28</f>
        <v>0.316543685521845</v>
      </c>
      <c r="E20" s="283"/>
      <c r="G20" s="284"/>
      <c r="H20" s="284"/>
      <c r="I20" s="267"/>
    </row>
    <row r="21" customFormat="false" ht="12.75" hidden="false" customHeight="false" outlineLevel="0" collapsed="false">
      <c r="A21" s="285" t="n">
        <f aca="false">+A20+0.0025</f>
        <v>0.0775</v>
      </c>
      <c r="B21" s="286" t="n">
        <v>3.30458349157955</v>
      </c>
      <c r="C21" s="287" t="n">
        <f aca="false">'Capacity Adj Table'!B21-'Project Assumptions'!$I$28</f>
        <v>0.366583491579549</v>
      </c>
      <c r="E21" s="283"/>
      <c r="G21" s="284"/>
      <c r="H21" s="284"/>
      <c r="I21" s="267"/>
    </row>
    <row r="22" customFormat="false" ht="12.75" hidden="false" customHeight="false" outlineLevel="0" collapsed="false">
      <c r="A22" s="285" t="n">
        <f aca="false">+A21+0.0025</f>
        <v>0.08</v>
      </c>
      <c r="B22" s="286" t="n">
        <v>3.35499701208904</v>
      </c>
      <c r="C22" s="287" t="n">
        <f aca="false">'Capacity Adj Table'!B22-'Project Assumptions'!$I$28</f>
        <v>0.41699701208904</v>
      </c>
      <c r="E22" s="283"/>
      <c r="G22" s="284"/>
      <c r="H22" s="284"/>
      <c r="I22" s="267"/>
    </row>
    <row r="23" customFormat="false" ht="12.75" hidden="false" customHeight="false" outlineLevel="0" collapsed="false">
      <c r="A23" s="285" t="n">
        <f aca="false">+A22+0.0025</f>
        <v>0.0825</v>
      </c>
      <c r="B23" s="286" t="n">
        <v>3.40578054540424</v>
      </c>
      <c r="C23" s="287" t="n">
        <f aca="false">'Capacity Adj Table'!B23-'Project Assumptions'!$I$28</f>
        <v>0.467780545404239</v>
      </c>
      <c r="E23" s="283"/>
      <c r="G23" s="284"/>
      <c r="H23" s="284"/>
      <c r="I23" s="267"/>
    </row>
    <row r="24" customFormat="false" ht="12.75" hidden="false" customHeight="false" outlineLevel="0" collapsed="false">
      <c r="A24" s="285" t="n">
        <f aca="false">+A23+0.0025</f>
        <v>0.085</v>
      </c>
      <c r="B24" s="286" t="n">
        <v>3.45693034287781</v>
      </c>
      <c r="C24" s="287" t="n">
        <f aca="false">'Capacity Adj Table'!B24-'Project Assumptions'!$I$28</f>
        <v>0.518930342877811</v>
      </c>
      <c r="E24" s="283"/>
      <c r="G24" s="284"/>
      <c r="H24" s="284"/>
      <c r="I24" s="267"/>
    </row>
    <row r="25" customFormat="false" ht="12.75" hidden="false" customHeight="false" outlineLevel="0" collapsed="false">
      <c r="A25" s="285" t="n">
        <f aca="false">+A24+0.0025</f>
        <v>0.0875</v>
      </c>
      <c r="B25" s="286" t="n">
        <v>3.50844261175521</v>
      </c>
      <c r="C25" s="287" t="n">
        <f aca="false">'Capacity Adj Table'!B25-'Project Assumptions'!$I$28</f>
        <v>0.57044261175521</v>
      </c>
      <c r="E25" s="283"/>
      <c r="G25" s="284"/>
      <c r="H25" s="284"/>
      <c r="I25" s="267"/>
    </row>
    <row r="26" customFormat="false" ht="12.75" hidden="false" customHeight="false" outlineLevel="0" collapsed="false">
      <c r="A26" s="288" t="n">
        <f aca="false">+A25+0.0025</f>
        <v>0.09</v>
      </c>
      <c r="B26" s="289" t="n">
        <v>3.56031351805181</v>
      </c>
      <c r="C26" s="290" t="n">
        <f aca="false">'Capacity Adj Table'!B26-'Project Assumptions'!$I$28</f>
        <v>0.622313518051812</v>
      </c>
      <c r="E26" s="283"/>
      <c r="G26" s="284"/>
      <c r="H26" s="284"/>
      <c r="I26" s="267"/>
    </row>
    <row r="28" customFormat="false" ht="12.75" hidden="false" customHeight="false" outlineLevel="0" collapsed="false">
      <c r="A28" s="0" t="s">
        <v>288</v>
      </c>
    </row>
  </sheetData>
  <mergeCells count="1">
    <mergeCell ref="A1:C1"/>
  </mergeCells>
  <printOptions headings="false" gridLines="false" gridLinesSet="true" horizontalCentered="false" verticalCentered="false"/>
  <pageMargins left="0.940277777777778" right="0.747916666666667" top="0.984027777777778" bottom="0.984027777777778" header="0.511811023622047" footer="0.511811023622047"/>
  <pageSetup paperSize="1" scale="1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48" activeCellId="0" sqref="B148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84" width="36.28"/>
    <col collapsed="false" customWidth="true" hidden="false" outlineLevel="0" max="2" min="2" style="184" width="12.56"/>
    <col collapsed="false" customWidth="true" hidden="false" outlineLevel="0" max="3" min="3" style="184" width="11.7"/>
    <col collapsed="false" customWidth="true" hidden="false" outlineLevel="0" max="11" min="4" style="184" width="12.56"/>
    <col collapsed="false" customWidth="true" hidden="false" outlineLevel="0" max="12" min="12" style="184" width="9.85"/>
    <col collapsed="false" customWidth="true" hidden="false" outlineLevel="0" max="33" min="13" style="184" width="12.56"/>
    <col collapsed="false" customWidth="false" hidden="false" outlineLevel="0" max="257" min="34" style="184" width="8.85"/>
  </cols>
  <sheetData>
    <row r="1" customFormat="false" ht="26.25" hidden="false" customHeight="false" outlineLevel="0" collapsed="false">
      <c r="A1" s="160" t="str">
        <f aca="false">'Project Assumptions'!$A$2</f>
        <v>PROJECT DOYLE</v>
      </c>
    </row>
    <row r="2" customFormat="false" ht="15.6" hidden="false" customHeight="true" outlineLevel="0" collapsed="false">
      <c r="A2" s="162" t="s">
        <v>289</v>
      </c>
      <c r="D2" s="242"/>
    </row>
    <row r="3" customFormat="false" ht="12.6" hidden="false" customHeight="true" outlineLevel="0" collapsed="false">
      <c r="A3" s="222"/>
      <c r="D3" s="242"/>
    </row>
    <row r="4" customFormat="false" ht="12.6" hidden="false" customHeight="true" outlineLevel="0" collapsed="false">
      <c r="C4" s="242" t="n">
        <f aca="false">'Book Income Statement'!B3</f>
        <v>0</v>
      </c>
      <c r="D4" s="242" t="n">
        <f aca="false">'Book Income Statement'!C3</f>
        <v>1</v>
      </c>
      <c r="E4" s="242" t="n">
        <f aca="false">'Book Income Statement'!D3</f>
        <v>2</v>
      </c>
      <c r="F4" s="242" t="n">
        <f aca="false">'Book Income Statement'!E3</f>
        <v>3</v>
      </c>
      <c r="G4" s="242" t="n">
        <f aca="false">'Book Income Statement'!F3</f>
        <v>4</v>
      </c>
      <c r="H4" s="242" t="n">
        <f aca="false">'Book Income Statement'!G3</f>
        <v>5</v>
      </c>
      <c r="I4" s="242" t="n">
        <f aca="false">'Book Income Statement'!H3</f>
        <v>6</v>
      </c>
      <c r="J4" s="242" t="n">
        <f aca="false">'Book Income Statement'!I3</f>
        <v>7</v>
      </c>
      <c r="K4" s="242" t="n">
        <f aca="false">'Book Income Statement'!J3</f>
        <v>8</v>
      </c>
      <c r="L4" s="242" t="n">
        <f aca="false">'Book Income Statement'!K3</f>
        <v>9</v>
      </c>
      <c r="M4" s="242" t="n">
        <f aca="false">'Book Income Statement'!L3</f>
        <v>10</v>
      </c>
      <c r="N4" s="242" t="n">
        <f aca="false">'Book Income Statement'!M3</f>
        <v>11</v>
      </c>
      <c r="O4" s="242" t="n">
        <f aca="false">'Book Income Statement'!N3</f>
        <v>12</v>
      </c>
      <c r="P4" s="242" t="n">
        <f aca="false">'Book Income Statement'!O3</f>
        <v>13</v>
      </c>
      <c r="Q4" s="242" t="n">
        <f aca="false">'Book Income Statement'!P3</f>
        <v>14</v>
      </c>
      <c r="R4" s="242" t="n">
        <f aca="false">'Book Income Statement'!Q3</f>
        <v>15</v>
      </c>
      <c r="S4" s="242" t="n">
        <f aca="false">'Book Income Statement'!R3</f>
        <v>16</v>
      </c>
      <c r="T4" s="0"/>
      <c r="U4" s="0"/>
      <c r="V4" s="0"/>
      <c r="W4" s="0"/>
      <c r="X4" s="0"/>
      <c r="Y4" s="0"/>
      <c r="Z4" s="0"/>
      <c r="AA4" s="0"/>
      <c r="AB4" s="0"/>
    </row>
    <row r="5" customFormat="false" ht="12.6" hidden="false" customHeight="true" outlineLevel="0" collapsed="false">
      <c r="A5" s="246"/>
      <c r="B5" s="246"/>
      <c r="C5" s="291" t="n">
        <f aca="false">D5-1</f>
        <v>1999</v>
      </c>
      <c r="D5" s="291" t="n">
        <f aca="false">YEAR('Project Assumptions'!$I$16)</f>
        <v>2000</v>
      </c>
      <c r="E5" s="291" t="n">
        <f aca="false">D5+1</f>
        <v>2001</v>
      </c>
      <c r="F5" s="291" t="n">
        <f aca="false">E5+1</f>
        <v>2002</v>
      </c>
      <c r="G5" s="291" t="n">
        <f aca="false">F5+1</f>
        <v>2003</v>
      </c>
      <c r="H5" s="291" t="n">
        <f aca="false">G5+1</f>
        <v>2004</v>
      </c>
      <c r="I5" s="291" t="n">
        <f aca="false">H5+1</f>
        <v>2005</v>
      </c>
      <c r="J5" s="291" t="n">
        <f aca="false">I5+1</f>
        <v>2006</v>
      </c>
      <c r="K5" s="291" t="n">
        <f aca="false">J5+1</f>
        <v>2007</v>
      </c>
      <c r="L5" s="291" t="n">
        <f aca="false">K5+1</f>
        <v>2008</v>
      </c>
      <c r="M5" s="291" t="n">
        <f aca="false">L5+1</f>
        <v>2009</v>
      </c>
      <c r="N5" s="291" t="n">
        <f aca="false">M5+1</f>
        <v>2010</v>
      </c>
      <c r="O5" s="291" t="n">
        <f aca="false">N5+1</f>
        <v>2011</v>
      </c>
      <c r="P5" s="291" t="n">
        <f aca="false">O5+1</f>
        <v>2012</v>
      </c>
      <c r="Q5" s="291" t="n">
        <f aca="false">P5+1</f>
        <v>2013</v>
      </c>
      <c r="R5" s="291" t="n">
        <f aca="false">Q5+1</f>
        <v>2014</v>
      </c>
      <c r="S5" s="291" t="n">
        <f aca="false">R5+1</f>
        <v>2015</v>
      </c>
      <c r="T5" s="0"/>
      <c r="U5" s="0"/>
      <c r="V5" s="0"/>
      <c r="W5" s="0"/>
      <c r="X5" s="0"/>
      <c r="Y5" s="0"/>
      <c r="Z5" s="0"/>
      <c r="AA5" s="0"/>
      <c r="AB5" s="0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  <c r="IW5" s="242"/>
    </row>
    <row r="6" customFormat="false" ht="12.6" hidden="false" customHeight="true" outlineLevel="0" collapsed="false">
      <c r="A6" s="245" t="s">
        <v>290</v>
      </c>
      <c r="B6" s="248"/>
      <c r="C6" s="242"/>
      <c r="D6" s="239" t="n">
        <f aca="false">'Book Income Statement'!C40</f>
        <v>6111.07563333333</v>
      </c>
      <c r="E6" s="239" t="n">
        <f aca="false">'Book Income Statement'!D40</f>
        <v>11917.00412</v>
      </c>
      <c r="F6" s="239" t="n">
        <f aca="false">'Book Income Statement'!E40</f>
        <v>11918.1859524</v>
      </c>
      <c r="G6" s="239" t="n">
        <f aca="false">'Book Income Statement'!F40</f>
        <v>11920.581071448</v>
      </c>
      <c r="H6" s="239" t="n">
        <f aca="false">'Book Income Statement'!G40</f>
        <v>11921.925082877</v>
      </c>
      <c r="I6" s="239" t="n">
        <f aca="false">'Book Income Statement'!H40</f>
        <v>11924.4856245345</v>
      </c>
      <c r="J6" s="239" t="n">
        <f aca="false">'Book Income Statement'!I40</f>
        <v>11924.8653670252</v>
      </c>
      <c r="K6" s="239" t="n">
        <f aca="false">'Book Income Statement'!J40</f>
        <v>11924.7655143657</v>
      </c>
      <c r="L6" s="239" t="n">
        <f aca="false">'Book Income Statement'!K40</f>
        <v>11925.887304653</v>
      </c>
      <c r="M6" s="239" t="n">
        <f aca="false">'Book Income Statement'!L40</f>
        <v>11925.9665107461</v>
      </c>
      <c r="N6" s="239" t="n">
        <f aca="false">'Book Income Statement'!M40</f>
        <v>11926.137940961</v>
      </c>
      <c r="O6" s="239" t="n">
        <f aca="false">'Book Income Statement'!N40</f>
        <v>11925.8369397802</v>
      </c>
      <c r="P6" s="239" t="n">
        <f aca="false">'Book Income Statement'!O40</f>
        <v>11926.1983885758</v>
      </c>
      <c r="Q6" s="239" t="n">
        <f aca="false">'Book Income Statement'!P40</f>
        <v>11926.6577063473</v>
      </c>
      <c r="R6" s="239" t="n">
        <f aca="false">'Book Income Statement'!Q40</f>
        <v>11926.6503504743</v>
      </c>
      <c r="S6" s="239" t="n">
        <f aca="false">'Book Income Statement'!R40</f>
        <v>17959.0314266643</v>
      </c>
      <c r="T6" s="0"/>
      <c r="U6" s="0"/>
      <c r="V6" s="0"/>
      <c r="W6" s="0"/>
      <c r="X6" s="0"/>
      <c r="Y6" s="0"/>
      <c r="Z6" s="0"/>
      <c r="AA6" s="0"/>
      <c r="AB6" s="0"/>
      <c r="AC6" s="242"/>
      <c r="AD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  <c r="IQ6" s="242"/>
      <c r="IR6" s="242"/>
      <c r="IS6" s="242"/>
      <c r="IT6" s="242"/>
      <c r="IU6" s="242"/>
      <c r="IV6" s="242"/>
      <c r="IW6" s="242"/>
    </row>
    <row r="7" customFormat="false" ht="12.6" hidden="false" customHeight="true" outlineLevel="0" collapsed="false">
      <c r="A7" s="248"/>
      <c r="B7" s="24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0"/>
      <c r="U7" s="0"/>
      <c r="V7" s="0"/>
      <c r="W7" s="0"/>
      <c r="X7" s="0"/>
      <c r="Y7" s="0"/>
      <c r="Z7" s="0"/>
      <c r="AA7" s="0"/>
      <c r="AB7" s="0"/>
      <c r="AC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  <c r="IQ7" s="242"/>
      <c r="IR7" s="242"/>
      <c r="IS7" s="242"/>
      <c r="IT7" s="242"/>
      <c r="IU7" s="242"/>
      <c r="IV7" s="242"/>
      <c r="IW7" s="242"/>
    </row>
    <row r="8" customFormat="false" ht="12.75" hidden="true" customHeight="false" outlineLevel="0" collapsed="false">
      <c r="A8" s="293" t="s">
        <v>291</v>
      </c>
      <c r="B8" s="293"/>
      <c r="C8" s="293"/>
      <c r="D8" s="294" t="n">
        <f aca="false">IF(D4&lt;='Project Assumptions'!$I$42+1,'Project Assumptions'!$I$44,0)</f>
        <v>0</v>
      </c>
      <c r="E8" s="294" t="n">
        <f aca="false">IF(E4&lt;='Project Assumptions'!$I$42+1,'Project Assumptions'!$I$44,0)</f>
        <v>0</v>
      </c>
      <c r="F8" s="294" t="n">
        <f aca="false">IF(F4&lt;='Project Assumptions'!$I$42+1,'Project Assumptions'!$I$44,0)</f>
        <v>0</v>
      </c>
      <c r="G8" s="294" t="n">
        <f aca="false">IF(G4&lt;='Project Assumptions'!$I$42+1,'Project Assumptions'!$I$44,0)</f>
        <v>0</v>
      </c>
      <c r="H8" s="294" t="n">
        <f aca="false">IF(H4&lt;='Project Assumptions'!$I$42+1,'Project Assumptions'!$I$44,0)</f>
        <v>0</v>
      </c>
      <c r="I8" s="294" t="n">
        <f aca="false">IF(I4&lt;='Project Assumptions'!$I$42+1,'Project Assumptions'!$I$44,0)</f>
        <v>0</v>
      </c>
      <c r="J8" s="294" t="n">
        <f aca="false">IF(J4&lt;='Project Assumptions'!$I$42+1,'Project Assumptions'!$I$44,0)</f>
        <v>0</v>
      </c>
      <c r="K8" s="294" t="n">
        <f aca="false">IF(K4&lt;='Project Assumptions'!$I$42+1,'Project Assumptions'!$I$44,0)</f>
        <v>0</v>
      </c>
      <c r="L8" s="294" t="n">
        <f aca="false">IF(L4&lt;='Project Assumptions'!$I$42+1,'Project Assumptions'!$I$44,0)</f>
        <v>0</v>
      </c>
      <c r="M8" s="294" t="n">
        <f aca="false">IF(M4&lt;='Project Assumptions'!$I$42+1,'Project Assumptions'!$I$44,0)</f>
        <v>0</v>
      </c>
      <c r="N8" s="294" t="n">
        <f aca="false">IF(N4&lt;='Project Assumptions'!$I$42+1,'Project Assumptions'!$I$44,0)</f>
        <v>0</v>
      </c>
      <c r="O8" s="294" t="n">
        <f aca="false">IF(O4&lt;='Project Assumptions'!$I$42+1,'Project Assumptions'!$I$44,0)</f>
        <v>0</v>
      </c>
      <c r="P8" s="294" t="n">
        <f aca="false">IF(P4&lt;='Project Assumptions'!$I$42+1,'Project Assumptions'!$I$44,0)</f>
        <v>0</v>
      </c>
      <c r="Q8" s="294" t="n">
        <f aca="false">IF(Q4&lt;='Project Assumptions'!$I$42+1,'Project Assumptions'!$I$44,0)</f>
        <v>0</v>
      </c>
      <c r="R8" s="294" t="n">
        <f aca="false">IF(R4&lt;='Project Assumptions'!$I$42+1,'Project Assumptions'!$I$44,0)</f>
        <v>0</v>
      </c>
      <c r="S8" s="294" t="n">
        <f aca="false">IF(S4&lt;='Project Assumptions'!$I$42+1,'Project Assumptions'!$I$44,0)</f>
        <v>0</v>
      </c>
      <c r="T8" s="0"/>
      <c r="U8" s="0"/>
      <c r="V8" s="0"/>
      <c r="W8" s="0"/>
      <c r="X8" s="0"/>
      <c r="Y8" s="0"/>
      <c r="Z8" s="0"/>
      <c r="AA8" s="0"/>
      <c r="AB8" s="0"/>
      <c r="AC8" s="295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  <c r="ER8" s="293"/>
      <c r="ES8" s="293"/>
      <c r="ET8" s="293"/>
      <c r="EU8" s="293"/>
      <c r="EV8" s="293"/>
      <c r="EW8" s="293"/>
      <c r="EX8" s="293"/>
      <c r="EY8" s="293"/>
      <c r="EZ8" s="293"/>
      <c r="FA8" s="293"/>
      <c r="FB8" s="293"/>
      <c r="FC8" s="293"/>
      <c r="FD8" s="293"/>
      <c r="FE8" s="293"/>
      <c r="FF8" s="293"/>
      <c r="FG8" s="293"/>
      <c r="FH8" s="293"/>
      <c r="FI8" s="293"/>
      <c r="FJ8" s="293"/>
      <c r="FK8" s="293"/>
      <c r="FL8" s="293"/>
      <c r="FM8" s="293"/>
      <c r="FN8" s="293"/>
      <c r="FO8" s="293"/>
      <c r="FP8" s="293"/>
      <c r="FQ8" s="293"/>
      <c r="FR8" s="293"/>
      <c r="FS8" s="293"/>
      <c r="FT8" s="293"/>
      <c r="FU8" s="293"/>
      <c r="FV8" s="293"/>
      <c r="FW8" s="293"/>
      <c r="FX8" s="293"/>
      <c r="FY8" s="293"/>
      <c r="FZ8" s="293"/>
      <c r="GA8" s="293"/>
      <c r="GB8" s="293"/>
      <c r="GC8" s="293"/>
      <c r="GD8" s="293"/>
      <c r="GE8" s="293"/>
      <c r="GF8" s="293"/>
      <c r="GG8" s="293"/>
      <c r="GH8" s="293"/>
      <c r="GI8" s="293"/>
      <c r="GJ8" s="293"/>
      <c r="GK8" s="293"/>
      <c r="GL8" s="293"/>
      <c r="GM8" s="293"/>
      <c r="GN8" s="293"/>
      <c r="GO8" s="293"/>
      <c r="GP8" s="293"/>
      <c r="GQ8" s="293"/>
      <c r="GR8" s="293"/>
      <c r="GS8" s="293"/>
      <c r="GT8" s="293"/>
      <c r="GU8" s="293"/>
      <c r="GV8" s="293"/>
      <c r="GW8" s="293"/>
      <c r="GX8" s="293"/>
      <c r="GY8" s="293"/>
      <c r="GZ8" s="293"/>
      <c r="HA8" s="293"/>
      <c r="HB8" s="293"/>
      <c r="HC8" s="293"/>
      <c r="HD8" s="293"/>
      <c r="HE8" s="293"/>
      <c r="HF8" s="293"/>
      <c r="HG8" s="293"/>
      <c r="HH8" s="293"/>
      <c r="HI8" s="293"/>
      <c r="HJ8" s="293"/>
      <c r="HK8" s="293"/>
      <c r="HL8" s="293"/>
      <c r="HM8" s="293"/>
      <c r="HN8" s="293"/>
      <c r="HO8" s="293"/>
      <c r="HP8" s="293"/>
      <c r="HQ8" s="293"/>
      <c r="HR8" s="293"/>
      <c r="HS8" s="293"/>
      <c r="HT8" s="293"/>
      <c r="HU8" s="293"/>
      <c r="HV8" s="293"/>
      <c r="HW8" s="293"/>
      <c r="HX8" s="293"/>
      <c r="HY8" s="293"/>
      <c r="HZ8" s="293"/>
      <c r="IA8" s="293"/>
      <c r="IB8" s="293"/>
      <c r="IC8" s="293"/>
      <c r="ID8" s="293"/>
      <c r="IE8" s="293"/>
      <c r="IF8" s="293"/>
      <c r="IG8" s="293"/>
      <c r="IH8" s="293"/>
      <c r="II8" s="293"/>
      <c r="IJ8" s="293"/>
      <c r="IK8" s="293"/>
      <c r="IL8" s="293"/>
      <c r="IM8" s="293"/>
      <c r="IN8" s="293"/>
      <c r="IO8" s="293"/>
      <c r="IP8" s="293"/>
      <c r="IQ8" s="293"/>
      <c r="IR8" s="293"/>
      <c r="IS8" s="293"/>
      <c r="IT8" s="293"/>
      <c r="IU8" s="293"/>
      <c r="IV8" s="293"/>
      <c r="IW8" s="293"/>
    </row>
    <row r="9" customFormat="false" ht="12.75" hidden="true" customHeight="false" outlineLevel="0" collapsed="false">
      <c r="A9" s="293"/>
      <c r="B9" s="293"/>
      <c r="C9" s="293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0"/>
      <c r="U9" s="0"/>
      <c r="V9" s="0"/>
      <c r="W9" s="0"/>
      <c r="X9" s="0"/>
      <c r="Y9" s="0"/>
      <c r="Z9" s="0"/>
      <c r="AA9" s="0"/>
      <c r="AB9" s="0"/>
      <c r="AC9" s="295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  <c r="ER9" s="293"/>
      <c r="ES9" s="293"/>
      <c r="ET9" s="293"/>
      <c r="EU9" s="293"/>
      <c r="EV9" s="293"/>
      <c r="EW9" s="293"/>
      <c r="EX9" s="293"/>
      <c r="EY9" s="293"/>
      <c r="EZ9" s="293"/>
      <c r="FA9" s="293"/>
      <c r="FB9" s="293"/>
      <c r="FC9" s="293"/>
      <c r="FD9" s="293"/>
      <c r="FE9" s="293"/>
      <c r="FF9" s="293"/>
      <c r="FG9" s="293"/>
      <c r="FH9" s="293"/>
      <c r="FI9" s="293"/>
      <c r="FJ9" s="293"/>
      <c r="FK9" s="293"/>
      <c r="FL9" s="293"/>
      <c r="FM9" s="293"/>
      <c r="FN9" s="293"/>
      <c r="FO9" s="293"/>
      <c r="FP9" s="293"/>
      <c r="FQ9" s="293"/>
      <c r="FR9" s="293"/>
      <c r="FS9" s="293"/>
      <c r="FT9" s="293"/>
      <c r="FU9" s="293"/>
      <c r="FV9" s="293"/>
      <c r="FW9" s="293"/>
      <c r="FX9" s="293"/>
      <c r="FY9" s="293"/>
      <c r="FZ9" s="293"/>
      <c r="GA9" s="293"/>
      <c r="GB9" s="293"/>
      <c r="GC9" s="293"/>
      <c r="GD9" s="293"/>
      <c r="GE9" s="293"/>
      <c r="GF9" s="293"/>
      <c r="GG9" s="293"/>
      <c r="GH9" s="293"/>
      <c r="GI9" s="293"/>
      <c r="GJ9" s="293"/>
      <c r="GK9" s="293"/>
      <c r="GL9" s="293"/>
      <c r="GM9" s="293"/>
      <c r="GN9" s="293"/>
      <c r="GO9" s="293"/>
      <c r="GP9" s="293"/>
      <c r="GQ9" s="293"/>
      <c r="GR9" s="293"/>
      <c r="GS9" s="293"/>
      <c r="GT9" s="293"/>
      <c r="GU9" s="293"/>
      <c r="GV9" s="293"/>
      <c r="GW9" s="293"/>
      <c r="GX9" s="293"/>
      <c r="GY9" s="293"/>
      <c r="GZ9" s="293"/>
      <c r="HA9" s="293"/>
      <c r="HB9" s="293"/>
      <c r="HC9" s="293"/>
      <c r="HD9" s="293"/>
      <c r="HE9" s="293"/>
      <c r="HF9" s="293"/>
      <c r="HG9" s="293"/>
      <c r="HH9" s="293"/>
      <c r="HI9" s="293"/>
      <c r="HJ9" s="293"/>
      <c r="HK9" s="293"/>
      <c r="HL9" s="293"/>
      <c r="HM9" s="293"/>
      <c r="HN9" s="293"/>
      <c r="HO9" s="293"/>
      <c r="HP9" s="293"/>
      <c r="HQ9" s="293"/>
      <c r="HR9" s="293"/>
      <c r="HS9" s="293"/>
      <c r="HT9" s="293"/>
      <c r="HU9" s="293"/>
      <c r="HV9" s="293"/>
      <c r="HW9" s="293"/>
      <c r="HX9" s="293"/>
      <c r="HY9" s="293"/>
      <c r="HZ9" s="293"/>
      <c r="IA9" s="293"/>
      <c r="IB9" s="293"/>
      <c r="IC9" s="293"/>
      <c r="ID9" s="293"/>
      <c r="IE9" s="293"/>
      <c r="IF9" s="293"/>
      <c r="IG9" s="293"/>
      <c r="IH9" s="293"/>
      <c r="II9" s="293"/>
      <c r="IJ9" s="293"/>
      <c r="IK9" s="293"/>
      <c r="IL9" s="293"/>
      <c r="IM9" s="293"/>
      <c r="IN9" s="293"/>
      <c r="IO9" s="293"/>
      <c r="IP9" s="293"/>
      <c r="IQ9" s="293"/>
      <c r="IR9" s="293"/>
      <c r="IS9" s="293"/>
      <c r="IT9" s="293"/>
      <c r="IU9" s="293"/>
      <c r="IV9" s="293"/>
      <c r="IW9" s="293"/>
    </row>
    <row r="10" customFormat="false" ht="12.75" hidden="true" customHeight="false" outlineLevel="0" collapsed="false">
      <c r="A10" s="293"/>
      <c r="B10" s="293"/>
      <c r="C10" s="293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0"/>
      <c r="U10" s="0"/>
      <c r="V10" s="0"/>
      <c r="W10" s="0"/>
      <c r="X10" s="0"/>
      <c r="Y10" s="0"/>
      <c r="Z10" s="0"/>
      <c r="AA10" s="0"/>
      <c r="AB10" s="0"/>
      <c r="AC10" s="295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  <c r="DT10" s="293"/>
      <c r="DU10" s="293"/>
      <c r="DV10" s="293"/>
      <c r="DW10" s="293"/>
      <c r="DX10" s="293"/>
      <c r="DY10" s="293"/>
      <c r="DZ10" s="293"/>
      <c r="EA10" s="293"/>
      <c r="EB10" s="293"/>
      <c r="EC10" s="293"/>
      <c r="ED10" s="293"/>
      <c r="EE10" s="293"/>
      <c r="EF10" s="293"/>
      <c r="EG10" s="293"/>
      <c r="EH10" s="293"/>
      <c r="EI10" s="293"/>
      <c r="EJ10" s="293"/>
      <c r="EK10" s="293"/>
      <c r="EL10" s="293"/>
      <c r="EM10" s="293"/>
      <c r="EN10" s="293"/>
      <c r="EO10" s="293"/>
      <c r="EP10" s="293"/>
      <c r="EQ10" s="293"/>
      <c r="ER10" s="293"/>
      <c r="ES10" s="293"/>
      <c r="ET10" s="293"/>
      <c r="EU10" s="293"/>
      <c r="EV10" s="293"/>
      <c r="EW10" s="293"/>
      <c r="EX10" s="293"/>
      <c r="EY10" s="293"/>
      <c r="EZ10" s="293"/>
      <c r="FA10" s="293"/>
      <c r="FB10" s="293"/>
      <c r="FC10" s="293"/>
      <c r="FD10" s="293"/>
      <c r="FE10" s="293"/>
      <c r="FF10" s="293"/>
      <c r="FG10" s="293"/>
      <c r="FH10" s="293"/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3"/>
      <c r="GA10" s="293"/>
      <c r="GB10" s="293"/>
      <c r="GC10" s="293"/>
      <c r="GD10" s="293"/>
      <c r="GE10" s="293"/>
      <c r="GF10" s="293"/>
      <c r="GG10" s="293"/>
      <c r="GH10" s="293"/>
      <c r="GI10" s="293"/>
      <c r="GJ10" s="293"/>
      <c r="GK10" s="293"/>
      <c r="GL10" s="293"/>
      <c r="GM10" s="293"/>
      <c r="GN10" s="293"/>
      <c r="GO10" s="293"/>
      <c r="GP10" s="293"/>
      <c r="GQ10" s="293"/>
      <c r="GR10" s="293"/>
      <c r="GS10" s="293"/>
      <c r="GT10" s="293"/>
      <c r="GU10" s="293"/>
      <c r="GV10" s="293"/>
      <c r="GW10" s="293"/>
      <c r="GX10" s="293"/>
      <c r="GY10" s="293"/>
      <c r="GZ10" s="293"/>
      <c r="HA10" s="293"/>
      <c r="HB10" s="293"/>
      <c r="HC10" s="293"/>
      <c r="HD10" s="293"/>
      <c r="HE10" s="293"/>
      <c r="HF10" s="293"/>
      <c r="HG10" s="293"/>
      <c r="HH10" s="293"/>
      <c r="HI10" s="293"/>
      <c r="HJ10" s="293"/>
      <c r="HK10" s="293"/>
      <c r="HL10" s="293"/>
      <c r="HM10" s="293"/>
      <c r="HN10" s="293"/>
      <c r="HO10" s="293"/>
      <c r="HP10" s="293"/>
      <c r="HQ10" s="293"/>
      <c r="HR10" s="293"/>
      <c r="HS10" s="293"/>
      <c r="HT10" s="293"/>
      <c r="HU10" s="293"/>
      <c r="HV10" s="293"/>
      <c r="HW10" s="293"/>
      <c r="HX10" s="293"/>
      <c r="HY10" s="293"/>
      <c r="HZ10" s="293"/>
      <c r="IA10" s="293"/>
      <c r="IB10" s="293"/>
      <c r="IC10" s="293"/>
      <c r="ID10" s="293"/>
      <c r="IE10" s="293"/>
      <c r="IF10" s="293"/>
      <c r="IG10" s="293"/>
      <c r="IH10" s="293"/>
      <c r="II10" s="293"/>
      <c r="IJ10" s="293"/>
      <c r="IK10" s="293"/>
      <c r="IL10" s="293"/>
      <c r="IM10" s="293"/>
      <c r="IN10" s="293"/>
      <c r="IO10" s="293"/>
      <c r="IP10" s="293"/>
      <c r="IQ10" s="293"/>
      <c r="IR10" s="293"/>
      <c r="IS10" s="293"/>
      <c r="IT10" s="293"/>
      <c r="IU10" s="293"/>
      <c r="IV10" s="293"/>
      <c r="IW10" s="293"/>
    </row>
    <row r="11" customFormat="false" ht="12.75" hidden="true" customHeight="false" outlineLevel="0" collapsed="false">
      <c r="A11" s="293"/>
      <c r="B11" s="293"/>
      <c r="C11" s="293"/>
      <c r="D11" s="296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0"/>
      <c r="U11" s="0"/>
      <c r="V11" s="0"/>
      <c r="W11" s="0"/>
      <c r="X11" s="0"/>
      <c r="Y11" s="0"/>
      <c r="Z11" s="0"/>
      <c r="AA11" s="0"/>
      <c r="AB11" s="0"/>
      <c r="AC11" s="295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  <c r="CO11" s="293"/>
      <c r="CP11" s="293"/>
      <c r="CQ11" s="293"/>
      <c r="CR11" s="293"/>
      <c r="CS11" s="293"/>
      <c r="CT11" s="293"/>
      <c r="CU11" s="293"/>
      <c r="CV11" s="293"/>
      <c r="CW11" s="293"/>
      <c r="CX11" s="293"/>
      <c r="CY11" s="293"/>
      <c r="CZ11" s="293"/>
      <c r="DA11" s="293"/>
      <c r="DB11" s="293"/>
      <c r="DC11" s="293"/>
      <c r="DD11" s="293"/>
      <c r="DE11" s="293"/>
      <c r="DF11" s="293"/>
      <c r="DG11" s="293"/>
      <c r="DH11" s="293"/>
      <c r="DI11" s="293"/>
      <c r="DJ11" s="293"/>
      <c r="DK11" s="293"/>
      <c r="DL11" s="293"/>
      <c r="DM11" s="293"/>
      <c r="DN11" s="293"/>
      <c r="DO11" s="293"/>
      <c r="DP11" s="293"/>
      <c r="DQ11" s="293"/>
      <c r="DR11" s="293"/>
      <c r="DS11" s="293"/>
      <c r="DT11" s="293"/>
      <c r="DU11" s="293"/>
      <c r="DV11" s="293"/>
      <c r="DW11" s="293"/>
      <c r="DX11" s="293"/>
      <c r="DY11" s="293"/>
      <c r="DZ11" s="293"/>
      <c r="EA11" s="293"/>
      <c r="EB11" s="293"/>
      <c r="EC11" s="293"/>
      <c r="ED11" s="293"/>
      <c r="EE11" s="293"/>
      <c r="EF11" s="293"/>
      <c r="EG11" s="293"/>
      <c r="EH11" s="293"/>
      <c r="EI11" s="293"/>
      <c r="EJ11" s="293"/>
      <c r="EK11" s="293"/>
      <c r="EL11" s="293"/>
      <c r="EM11" s="293"/>
      <c r="EN11" s="293"/>
      <c r="EO11" s="293"/>
      <c r="EP11" s="293"/>
      <c r="EQ11" s="293"/>
      <c r="ER11" s="293"/>
      <c r="ES11" s="293"/>
      <c r="ET11" s="293"/>
      <c r="EU11" s="293"/>
      <c r="EV11" s="293"/>
      <c r="EW11" s="293"/>
      <c r="EX11" s="293"/>
      <c r="EY11" s="293"/>
      <c r="EZ11" s="293"/>
      <c r="FA11" s="293"/>
      <c r="FB11" s="293"/>
      <c r="FC11" s="293"/>
      <c r="FD11" s="293"/>
      <c r="FE11" s="293"/>
      <c r="FF11" s="293"/>
      <c r="FG11" s="293"/>
      <c r="FH11" s="293"/>
      <c r="FI11" s="293"/>
      <c r="FJ11" s="293"/>
      <c r="FK11" s="293"/>
      <c r="FL11" s="293"/>
      <c r="FM11" s="293"/>
      <c r="FN11" s="293"/>
      <c r="FO11" s="293"/>
      <c r="FP11" s="293"/>
      <c r="FQ11" s="293"/>
      <c r="FR11" s="293"/>
      <c r="FS11" s="293"/>
      <c r="FT11" s="293"/>
      <c r="FU11" s="293"/>
      <c r="FV11" s="293"/>
      <c r="FW11" s="293"/>
      <c r="FX11" s="293"/>
      <c r="FY11" s="293"/>
      <c r="FZ11" s="293"/>
      <c r="GA11" s="293"/>
      <c r="GB11" s="293"/>
      <c r="GC11" s="293"/>
      <c r="GD11" s="293"/>
      <c r="GE11" s="293"/>
      <c r="GF11" s="293"/>
      <c r="GG11" s="293"/>
      <c r="GH11" s="293"/>
      <c r="GI11" s="293"/>
      <c r="GJ11" s="293"/>
      <c r="GK11" s="293"/>
      <c r="GL11" s="293"/>
      <c r="GM11" s="293"/>
      <c r="GN11" s="293"/>
      <c r="GO11" s="293"/>
      <c r="GP11" s="293"/>
      <c r="GQ11" s="293"/>
      <c r="GR11" s="293"/>
      <c r="GS11" s="293"/>
      <c r="GT11" s="293"/>
      <c r="GU11" s="293"/>
      <c r="GV11" s="293"/>
      <c r="GW11" s="293"/>
      <c r="GX11" s="293"/>
      <c r="GY11" s="293"/>
      <c r="GZ11" s="293"/>
      <c r="HA11" s="293"/>
      <c r="HB11" s="293"/>
      <c r="HC11" s="293"/>
      <c r="HD11" s="293"/>
      <c r="HE11" s="293"/>
      <c r="HF11" s="293"/>
      <c r="HG11" s="293"/>
      <c r="HH11" s="293"/>
      <c r="HI11" s="293"/>
      <c r="HJ11" s="293"/>
      <c r="HK11" s="293"/>
      <c r="HL11" s="293"/>
      <c r="HM11" s="293"/>
      <c r="HN11" s="293"/>
      <c r="HO11" s="293"/>
      <c r="HP11" s="293"/>
      <c r="HQ11" s="293"/>
      <c r="HR11" s="293"/>
      <c r="HS11" s="293"/>
      <c r="HT11" s="293"/>
      <c r="HU11" s="293"/>
      <c r="HV11" s="293"/>
      <c r="HW11" s="293"/>
      <c r="HX11" s="293"/>
      <c r="HY11" s="293"/>
      <c r="HZ11" s="293"/>
      <c r="IA11" s="293"/>
      <c r="IB11" s="293"/>
      <c r="IC11" s="293"/>
      <c r="ID11" s="293"/>
      <c r="IE11" s="293"/>
      <c r="IF11" s="293"/>
      <c r="IG11" s="293"/>
      <c r="IH11" s="293"/>
      <c r="II11" s="293"/>
      <c r="IJ11" s="293"/>
      <c r="IK11" s="293"/>
      <c r="IL11" s="293"/>
      <c r="IM11" s="293"/>
      <c r="IN11" s="293"/>
      <c r="IO11" s="293"/>
      <c r="IP11" s="293"/>
      <c r="IQ11" s="293"/>
      <c r="IR11" s="293"/>
      <c r="IS11" s="293"/>
      <c r="IT11" s="293"/>
      <c r="IU11" s="293"/>
      <c r="IV11" s="293"/>
      <c r="IW11" s="293"/>
    </row>
    <row r="12" customFormat="false" ht="12.75" hidden="true" customHeight="false" outlineLevel="0" collapsed="false">
      <c r="A12" s="293"/>
      <c r="B12" s="293"/>
      <c r="C12" s="293"/>
      <c r="D12" s="296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0"/>
      <c r="U12" s="0"/>
      <c r="V12" s="0"/>
      <c r="W12" s="0"/>
      <c r="X12" s="0"/>
      <c r="Y12" s="0"/>
      <c r="Z12" s="0"/>
      <c r="AA12" s="0"/>
      <c r="AB12" s="0"/>
      <c r="AC12" s="295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  <c r="CO12" s="293"/>
      <c r="CP12" s="293"/>
      <c r="CQ12" s="293"/>
      <c r="CR12" s="293"/>
      <c r="CS12" s="293"/>
      <c r="CT12" s="293"/>
      <c r="CU12" s="293"/>
      <c r="CV12" s="293"/>
      <c r="CW12" s="293"/>
      <c r="CX12" s="293"/>
      <c r="CY12" s="293"/>
      <c r="CZ12" s="293"/>
      <c r="DA12" s="293"/>
      <c r="DB12" s="293"/>
      <c r="DC12" s="293"/>
      <c r="DD12" s="293"/>
      <c r="DE12" s="293"/>
      <c r="DF12" s="293"/>
      <c r="DG12" s="293"/>
      <c r="DH12" s="293"/>
      <c r="DI12" s="293"/>
      <c r="DJ12" s="293"/>
      <c r="DK12" s="293"/>
      <c r="DL12" s="293"/>
      <c r="DM12" s="293"/>
      <c r="DN12" s="293"/>
      <c r="DO12" s="293"/>
      <c r="DP12" s="293"/>
      <c r="DQ12" s="293"/>
      <c r="DR12" s="293"/>
      <c r="DS12" s="293"/>
      <c r="DT12" s="293"/>
      <c r="DU12" s="293"/>
      <c r="DV12" s="293"/>
      <c r="DW12" s="293"/>
      <c r="DX12" s="293"/>
      <c r="DY12" s="293"/>
      <c r="DZ12" s="293"/>
      <c r="EA12" s="293"/>
      <c r="EB12" s="293"/>
      <c r="EC12" s="293"/>
      <c r="ED12" s="293"/>
      <c r="EE12" s="293"/>
      <c r="EF12" s="293"/>
      <c r="EG12" s="293"/>
      <c r="EH12" s="293"/>
      <c r="EI12" s="293"/>
      <c r="EJ12" s="293"/>
      <c r="EK12" s="293"/>
      <c r="EL12" s="293"/>
      <c r="EM12" s="293"/>
      <c r="EN12" s="293"/>
      <c r="EO12" s="293"/>
      <c r="EP12" s="293"/>
      <c r="EQ12" s="293"/>
      <c r="ER12" s="293"/>
      <c r="ES12" s="293"/>
      <c r="ET12" s="293"/>
      <c r="EU12" s="293"/>
      <c r="EV12" s="293"/>
      <c r="EW12" s="293"/>
      <c r="EX12" s="293"/>
      <c r="EY12" s="293"/>
      <c r="EZ12" s="293"/>
      <c r="FA12" s="293"/>
      <c r="FB12" s="293"/>
      <c r="FC12" s="293"/>
      <c r="FD12" s="293"/>
      <c r="FE12" s="293"/>
      <c r="FF12" s="293"/>
      <c r="FG12" s="293"/>
      <c r="FH12" s="293"/>
      <c r="FI12" s="293"/>
      <c r="FJ12" s="293"/>
      <c r="FK12" s="293"/>
      <c r="FL12" s="293"/>
      <c r="FM12" s="293"/>
      <c r="FN12" s="293"/>
      <c r="FO12" s="293"/>
      <c r="FP12" s="293"/>
      <c r="FQ12" s="293"/>
      <c r="FR12" s="293"/>
      <c r="FS12" s="293"/>
      <c r="FT12" s="293"/>
      <c r="FU12" s="293"/>
      <c r="FV12" s="293"/>
      <c r="FW12" s="293"/>
      <c r="FX12" s="293"/>
      <c r="FY12" s="293"/>
      <c r="FZ12" s="293"/>
      <c r="GA12" s="293"/>
      <c r="GB12" s="293"/>
      <c r="GC12" s="293"/>
      <c r="GD12" s="293"/>
      <c r="GE12" s="293"/>
      <c r="GF12" s="293"/>
      <c r="GG12" s="293"/>
      <c r="GH12" s="293"/>
      <c r="GI12" s="293"/>
      <c r="GJ12" s="293"/>
      <c r="GK12" s="293"/>
      <c r="GL12" s="293"/>
      <c r="GM12" s="293"/>
      <c r="GN12" s="293"/>
      <c r="GO12" s="293"/>
      <c r="GP12" s="293"/>
      <c r="GQ12" s="293"/>
      <c r="GR12" s="293"/>
      <c r="GS12" s="293"/>
      <c r="GT12" s="293"/>
      <c r="GU12" s="293"/>
      <c r="GV12" s="293"/>
      <c r="GW12" s="293"/>
      <c r="GX12" s="293"/>
      <c r="GY12" s="293"/>
      <c r="GZ12" s="293"/>
      <c r="HA12" s="293"/>
      <c r="HB12" s="293"/>
      <c r="HC12" s="293"/>
      <c r="HD12" s="293"/>
      <c r="HE12" s="293"/>
      <c r="HF12" s="293"/>
      <c r="HG12" s="293"/>
      <c r="HH12" s="293"/>
      <c r="HI12" s="293"/>
      <c r="HJ12" s="293"/>
      <c r="HK12" s="293"/>
      <c r="HL12" s="293"/>
      <c r="HM12" s="293"/>
      <c r="HN12" s="293"/>
      <c r="HO12" s="293"/>
      <c r="HP12" s="293"/>
      <c r="HQ12" s="293"/>
      <c r="HR12" s="293"/>
      <c r="HS12" s="293"/>
      <c r="HT12" s="293"/>
      <c r="HU12" s="293"/>
      <c r="HV12" s="293"/>
      <c r="HW12" s="293"/>
      <c r="HX12" s="293"/>
      <c r="HY12" s="293"/>
      <c r="HZ12" s="293"/>
      <c r="IA12" s="293"/>
      <c r="IB12" s="293"/>
      <c r="IC12" s="293"/>
      <c r="ID12" s="293"/>
      <c r="IE12" s="293"/>
      <c r="IF12" s="293"/>
      <c r="IG12" s="293"/>
      <c r="IH12" s="293"/>
      <c r="II12" s="293"/>
      <c r="IJ12" s="293"/>
      <c r="IK12" s="293"/>
      <c r="IL12" s="293"/>
      <c r="IM12" s="293"/>
      <c r="IN12" s="293"/>
      <c r="IO12" s="293"/>
      <c r="IP12" s="293"/>
      <c r="IQ12" s="293"/>
      <c r="IR12" s="293"/>
      <c r="IS12" s="293"/>
      <c r="IT12" s="293"/>
      <c r="IU12" s="293"/>
      <c r="IV12" s="293"/>
      <c r="IW12" s="293"/>
    </row>
    <row r="13" customFormat="false" ht="12.75" hidden="true" customHeight="false" outlineLevel="0" collapsed="false">
      <c r="A13" s="293"/>
      <c r="B13" s="293"/>
      <c r="C13" s="293"/>
      <c r="D13" s="296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0"/>
      <c r="U13" s="0"/>
      <c r="V13" s="0"/>
      <c r="W13" s="0"/>
      <c r="X13" s="0"/>
      <c r="Y13" s="0"/>
      <c r="Z13" s="0"/>
      <c r="AA13" s="0"/>
      <c r="AB13" s="0"/>
      <c r="AC13" s="295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  <c r="CO13" s="293"/>
      <c r="CP13" s="293"/>
      <c r="CQ13" s="293"/>
      <c r="CR13" s="293"/>
      <c r="CS13" s="293"/>
      <c r="CT13" s="293"/>
      <c r="CU13" s="293"/>
      <c r="CV13" s="293"/>
      <c r="CW13" s="293"/>
      <c r="CX13" s="293"/>
      <c r="CY13" s="293"/>
      <c r="CZ13" s="293"/>
      <c r="DA13" s="293"/>
      <c r="DB13" s="293"/>
      <c r="DC13" s="293"/>
      <c r="DD13" s="293"/>
      <c r="DE13" s="293"/>
      <c r="DF13" s="293"/>
      <c r="DG13" s="293"/>
      <c r="DH13" s="293"/>
      <c r="DI13" s="293"/>
      <c r="DJ13" s="293"/>
      <c r="DK13" s="293"/>
      <c r="DL13" s="293"/>
      <c r="DM13" s="293"/>
      <c r="DN13" s="293"/>
      <c r="DO13" s="293"/>
      <c r="DP13" s="293"/>
      <c r="DQ13" s="293"/>
      <c r="DR13" s="293"/>
      <c r="DS13" s="293"/>
      <c r="DT13" s="293"/>
      <c r="DU13" s="293"/>
      <c r="DV13" s="293"/>
      <c r="DW13" s="293"/>
      <c r="DX13" s="293"/>
      <c r="DY13" s="293"/>
      <c r="DZ13" s="293"/>
      <c r="EA13" s="293"/>
      <c r="EB13" s="293"/>
      <c r="EC13" s="293"/>
      <c r="ED13" s="293"/>
      <c r="EE13" s="293"/>
      <c r="EF13" s="293"/>
      <c r="EG13" s="293"/>
      <c r="EH13" s="293"/>
      <c r="EI13" s="293"/>
      <c r="EJ13" s="293"/>
      <c r="EK13" s="293"/>
      <c r="EL13" s="293"/>
      <c r="EM13" s="293"/>
      <c r="EN13" s="293"/>
      <c r="EO13" s="293"/>
      <c r="EP13" s="293"/>
      <c r="EQ13" s="293"/>
      <c r="ER13" s="293"/>
      <c r="ES13" s="293"/>
      <c r="ET13" s="293"/>
      <c r="EU13" s="293"/>
      <c r="EV13" s="293"/>
      <c r="EW13" s="293"/>
      <c r="EX13" s="293"/>
      <c r="EY13" s="293"/>
      <c r="EZ13" s="293"/>
      <c r="FA13" s="293"/>
      <c r="FB13" s="293"/>
      <c r="FC13" s="293"/>
      <c r="FD13" s="293"/>
      <c r="FE13" s="293"/>
      <c r="FF13" s="293"/>
      <c r="FG13" s="293"/>
      <c r="FH13" s="293"/>
      <c r="FI13" s="293"/>
      <c r="FJ13" s="293"/>
      <c r="FK13" s="293"/>
      <c r="FL13" s="293"/>
      <c r="FM13" s="293"/>
      <c r="FN13" s="293"/>
      <c r="FO13" s="293"/>
      <c r="FP13" s="293"/>
      <c r="FQ13" s="293"/>
      <c r="FR13" s="293"/>
      <c r="FS13" s="293"/>
      <c r="FT13" s="293"/>
      <c r="FU13" s="293"/>
      <c r="FV13" s="293"/>
      <c r="FW13" s="293"/>
      <c r="FX13" s="293"/>
      <c r="FY13" s="293"/>
      <c r="FZ13" s="293"/>
      <c r="GA13" s="293"/>
      <c r="GB13" s="293"/>
      <c r="GC13" s="293"/>
      <c r="GD13" s="293"/>
      <c r="GE13" s="293"/>
      <c r="GF13" s="293"/>
      <c r="GG13" s="293"/>
      <c r="GH13" s="293"/>
      <c r="GI13" s="293"/>
      <c r="GJ13" s="293"/>
      <c r="GK13" s="293"/>
      <c r="GL13" s="293"/>
      <c r="GM13" s="293"/>
      <c r="GN13" s="293"/>
      <c r="GO13" s="293"/>
      <c r="GP13" s="293"/>
      <c r="GQ13" s="293"/>
      <c r="GR13" s="293"/>
      <c r="GS13" s="293"/>
      <c r="GT13" s="293"/>
      <c r="GU13" s="293"/>
      <c r="GV13" s="293"/>
      <c r="GW13" s="293"/>
      <c r="GX13" s="293"/>
      <c r="GY13" s="293"/>
      <c r="GZ13" s="293"/>
      <c r="HA13" s="293"/>
      <c r="HB13" s="293"/>
      <c r="HC13" s="293"/>
      <c r="HD13" s="293"/>
      <c r="HE13" s="293"/>
      <c r="HF13" s="293"/>
      <c r="HG13" s="293"/>
      <c r="HH13" s="293"/>
      <c r="HI13" s="293"/>
      <c r="HJ13" s="293"/>
      <c r="HK13" s="293"/>
      <c r="HL13" s="293"/>
      <c r="HM13" s="293"/>
      <c r="HN13" s="293"/>
      <c r="HO13" s="293"/>
      <c r="HP13" s="293"/>
      <c r="HQ13" s="293"/>
      <c r="HR13" s="293"/>
      <c r="HS13" s="293"/>
      <c r="HT13" s="293"/>
      <c r="HU13" s="293"/>
      <c r="HV13" s="293"/>
      <c r="HW13" s="293"/>
      <c r="HX13" s="293"/>
      <c r="HY13" s="293"/>
      <c r="HZ13" s="293"/>
      <c r="IA13" s="293"/>
      <c r="IB13" s="293"/>
      <c r="IC13" s="293"/>
      <c r="ID13" s="293"/>
      <c r="IE13" s="293"/>
      <c r="IF13" s="293"/>
      <c r="IG13" s="293"/>
      <c r="IH13" s="293"/>
      <c r="II13" s="293"/>
      <c r="IJ13" s="293"/>
      <c r="IK13" s="293"/>
      <c r="IL13" s="293"/>
      <c r="IM13" s="293"/>
      <c r="IN13" s="293"/>
      <c r="IO13" s="293"/>
      <c r="IP13" s="293"/>
      <c r="IQ13" s="293"/>
      <c r="IR13" s="293"/>
      <c r="IS13" s="293"/>
      <c r="IT13" s="293"/>
      <c r="IU13" s="293"/>
      <c r="IV13" s="293"/>
      <c r="IW13" s="293"/>
    </row>
    <row r="14" customFormat="false" ht="12.75" hidden="true" customHeight="false" outlineLevel="0" collapsed="false">
      <c r="T14" s="0"/>
      <c r="U14" s="0"/>
      <c r="V14" s="0"/>
      <c r="W14" s="0"/>
      <c r="X14" s="0"/>
      <c r="Y14" s="0"/>
      <c r="Z14" s="0"/>
      <c r="AA14" s="0"/>
      <c r="AB14" s="0"/>
    </row>
    <row r="15" customFormat="false" ht="12.75" hidden="true" customHeight="false" outlineLevel="0" collapsed="false">
      <c r="T15" s="0"/>
      <c r="U15" s="0"/>
      <c r="V15" s="0"/>
      <c r="W15" s="0"/>
      <c r="X15" s="0"/>
      <c r="Y15" s="0"/>
      <c r="Z15" s="0"/>
      <c r="AA15" s="0"/>
      <c r="AB15" s="0"/>
    </row>
    <row r="16" customFormat="false" ht="12.75" hidden="true" customHeight="false" outlineLevel="0" collapsed="false">
      <c r="T16" s="0"/>
      <c r="U16" s="0"/>
      <c r="V16" s="0"/>
      <c r="W16" s="0"/>
      <c r="X16" s="0"/>
      <c r="Y16" s="0"/>
      <c r="Z16" s="0"/>
      <c r="AA16" s="0"/>
      <c r="AB16" s="0"/>
    </row>
    <row r="17" customFormat="false" ht="12.75" hidden="true" customHeight="false" outlineLevel="0" collapsed="false">
      <c r="T17" s="0"/>
      <c r="U17" s="0"/>
      <c r="V17" s="0"/>
      <c r="W17" s="0"/>
      <c r="X17" s="0"/>
      <c r="Y17" s="0"/>
      <c r="Z17" s="0"/>
      <c r="AA17" s="0"/>
      <c r="AB17" s="0"/>
    </row>
    <row r="18" customFormat="false" ht="12.75" hidden="true" customHeight="false" outlineLevel="0" collapsed="false">
      <c r="T18" s="0"/>
      <c r="U18" s="0"/>
      <c r="V18" s="0"/>
      <c r="W18" s="0"/>
      <c r="X18" s="0"/>
      <c r="Y18" s="0"/>
      <c r="Z18" s="0"/>
      <c r="AA18" s="0"/>
      <c r="AB18" s="0"/>
    </row>
    <row r="19" customFormat="false" ht="12.75" hidden="true" customHeight="false" outlineLevel="0" collapsed="false">
      <c r="T19" s="0"/>
      <c r="U19" s="0"/>
      <c r="V19" s="0"/>
      <c r="W19" s="0"/>
      <c r="X19" s="0"/>
      <c r="Y19" s="0"/>
      <c r="Z19" s="0"/>
      <c r="AA19" s="0"/>
      <c r="AB19" s="0"/>
    </row>
    <row r="20" customFormat="false" ht="12.75" hidden="true" customHeight="false" outlineLevel="0" collapsed="false">
      <c r="T20" s="0"/>
      <c r="U20" s="0"/>
      <c r="V20" s="0"/>
      <c r="W20" s="0"/>
      <c r="X20" s="0"/>
      <c r="Y20" s="0"/>
      <c r="Z20" s="0"/>
      <c r="AA20" s="0"/>
      <c r="AB20" s="0"/>
    </row>
    <row r="21" customFormat="false" ht="12.75" hidden="true" customHeight="false" outlineLevel="0" collapsed="false">
      <c r="A21" s="293"/>
      <c r="B21" s="293"/>
      <c r="C21" s="293"/>
      <c r="D21" s="296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0"/>
      <c r="U21" s="0"/>
      <c r="V21" s="0"/>
      <c r="W21" s="0"/>
      <c r="X21" s="0"/>
      <c r="Y21" s="0"/>
      <c r="Z21" s="0"/>
      <c r="AA21" s="0"/>
      <c r="AB21" s="0"/>
      <c r="AC21" s="295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3"/>
      <c r="CP21" s="293"/>
      <c r="CQ21" s="293"/>
      <c r="CR21" s="293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  <c r="IW21" s="293"/>
    </row>
    <row r="22" customFormat="false" ht="12.75" hidden="true" customHeight="false" outlineLevel="0" collapsed="false">
      <c r="A22" s="298" t="s">
        <v>292</v>
      </c>
      <c r="B22" s="298"/>
      <c r="C22" s="298"/>
      <c r="D22" s="299" t="n">
        <f aca="false">IF(D$4&lt;='Project Assumptions'!$I$42+1,'Project Assumptions'!$I$43,0)</f>
        <v>0.06</v>
      </c>
      <c r="E22" s="299" t="n">
        <f aca="false">IF(E$4&lt;='Project Assumptions'!$I$42+1,'Project Assumptions'!$I$43,0)</f>
        <v>0.06</v>
      </c>
      <c r="F22" s="299" t="n">
        <f aca="false">IF(F$4&lt;='Project Assumptions'!$I$42+1,'Project Assumptions'!$I$43,0)</f>
        <v>0.06</v>
      </c>
      <c r="G22" s="299" t="n">
        <f aca="false">IF(G$4&lt;='Project Assumptions'!$I$42+1,'Project Assumptions'!$I$43,0)</f>
        <v>0.06</v>
      </c>
      <c r="H22" s="299" t="n">
        <f aca="false">IF(H$4&lt;='Project Assumptions'!$I$42+1,'Project Assumptions'!$I$43,0)</f>
        <v>0.06</v>
      </c>
      <c r="I22" s="299" t="n">
        <f aca="false">IF(I$4&lt;='Project Assumptions'!$I$42+1,'Project Assumptions'!$I$43,0)</f>
        <v>0.06</v>
      </c>
      <c r="J22" s="299" t="n">
        <f aca="false">IF(J$4&lt;='Project Assumptions'!$I$42+1,'Project Assumptions'!$I$43,0)</f>
        <v>0.06</v>
      </c>
      <c r="K22" s="299" t="n">
        <f aca="false">IF(K$4&lt;='Project Assumptions'!$I$42+1,'Project Assumptions'!$I$43,0)</f>
        <v>0.06</v>
      </c>
      <c r="L22" s="299" t="n">
        <f aca="false">IF(L$4&lt;='Project Assumptions'!$I$42+1,'Project Assumptions'!$I$43,0)</f>
        <v>0.06</v>
      </c>
      <c r="M22" s="299" t="n">
        <f aca="false">IF(M$4&lt;='Project Assumptions'!$I$42+1,'Project Assumptions'!$I$43,0)</f>
        <v>0.06</v>
      </c>
      <c r="N22" s="299" t="n">
        <f aca="false">IF(N$4&lt;='Project Assumptions'!$I$42+1,'Project Assumptions'!$I$43,0)</f>
        <v>0.06</v>
      </c>
      <c r="O22" s="299" t="n">
        <f aca="false">IF(O$4&lt;='Project Assumptions'!$I$42+1,'Project Assumptions'!$I$43,0)</f>
        <v>0.06</v>
      </c>
      <c r="P22" s="299" t="n">
        <f aca="false">IF(P$4&lt;='Project Assumptions'!$I$42+1,'Project Assumptions'!$I$43,0)</f>
        <v>0.06</v>
      </c>
      <c r="Q22" s="299" t="n">
        <f aca="false">IF(Q$4&lt;='Project Assumptions'!$I$42+1,'Project Assumptions'!$I$43,0)</f>
        <v>0.06</v>
      </c>
      <c r="R22" s="299" t="n">
        <f aca="false">IF(R$4&lt;='Project Assumptions'!$I$42+1,'Project Assumptions'!$I$43,0)</f>
        <v>0.06</v>
      </c>
      <c r="S22" s="299" t="n">
        <f aca="false">IF(S$4&lt;='Project Assumptions'!$I$42+1,'Project Assumptions'!$I$43,0)</f>
        <v>0.06</v>
      </c>
      <c r="T22" s="0"/>
      <c r="U22" s="0"/>
      <c r="V22" s="0"/>
      <c r="W22" s="0"/>
      <c r="X22" s="0"/>
      <c r="Y22" s="0"/>
      <c r="Z22" s="0"/>
      <c r="AA22" s="0"/>
      <c r="AB22" s="0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  <c r="IW22" s="293"/>
    </row>
    <row r="23" customFormat="false" ht="12.75" hidden="true" customHeight="false" outlineLevel="0" collapsed="false">
      <c r="A23" s="293"/>
      <c r="B23" s="293"/>
      <c r="C23" s="293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0"/>
      <c r="U23" s="0"/>
      <c r="V23" s="0"/>
      <c r="W23" s="0"/>
      <c r="X23" s="0"/>
      <c r="Y23" s="0"/>
      <c r="Z23" s="0"/>
      <c r="AA23" s="0"/>
      <c r="AB23" s="0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  <c r="CO23" s="293"/>
      <c r="CP23" s="293"/>
      <c r="CQ23" s="293"/>
      <c r="CR23" s="293"/>
      <c r="CS23" s="293"/>
      <c r="CT23" s="293"/>
      <c r="CU23" s="293"/>
      <c r="CV23" s="293"/>
      <c r="CW23" s="293"/>
      <c r="CX23" s="293"/>
      <c r="CY23" s="293"/>
      <c r="CZ23" s="293"/>
      <c r="DA23" s="293"/>
      <c r="DB23" s="293"/>
      <c r="DC23" s="293"/>
      <c r="DD23" s="293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  <c r="IW23" s="293"/>
    </row>
    <row r="24" customFormat="false" ht="12.75" hidden="true" customHeight="false" outlineLevel="0" collapsed="false">
      <c r="A24" s="293"/>
      <c r="B24" s="293"/>
      <c r="C24" s="293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0"/>
      <c r="U24" s="0"/>
      <c r="V24" s="0"/>
      <c r="W24" s="0"/>
      <c r="X24" s="0"/>
      <c r="Y24" s="0"/>
      <c r="Z24" s="0"/>
      <c r="AA24" s="0"/>
      <c r="AB24" s="0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  <c r="IW24" s="293"/>
    </row>
    <row r="25" customFormat="false" ht="12.75" hidden="true" customHeight="false" outlineLevel="0" collapsed="false">
      <c r="A25" s="293"/>
      <c r="B25" s="293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0"/>
      <c r="U25" s="0"/>
      <c r="V25" s="0"/>
      <c r="W25" s="0"/>
      <c r="X25" s="0"/>
      <c r="Y25" s="0"/>
      <c r="Z25" s="0"/>
      <c r="AA25" s="0"/>
      <c r="AB25" s="0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  <c r="IW25" s="293"/>
    </row>
    <row r="26" customFormat="false" ht="12.75" hidden="true" customHeight="false" outlineLevel="0" collapsed="false">
      <c r="A26" s="300"/>
      <c r="B26" s="293"/>
      <c r="C26" s="293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0"/>
      <c r="U26" s="0"/>
      <c r="V26" s="0"/>
      <c r="W26" s="0"/>
      <c r="X26" s="0"/>
      <c r="Y26" s="0"/>
      <c r="Z26" s="0"/>
      <c r="AA26" s="0"/>
      <c r="AB26" s="0"/>
      <c r="AC26" s="297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  <c r="IW26" s="293"/>
    </row>
    <row r="27" customFormat="false" ht="12.75" hidden="true" customHeight="false" outlineLevel="0" collapsed="false">
      <c r="A27" s="293"/>
      <c r="B27" s="301"/>
      <c r="C27" s="301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0"/>
      <c r="U27" s="0"/>
      <c r="V27" s="0"/>
      <c r="W27" s="0"/>
      <c r="X27" s="0"/>
      <c r="Y27" s="0"/>
      <c r="Z27" s="0"/>
      <c r="AA27" s="0"/>
      <c r="AB27" s="0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  <c r="IW27" s="293"/>
    </row>
    <row r="28" customFormat="false" ht="12.75" hidden="true" customHeight="false" outlineLevel="0" collapsed="false">
      <c r="A28" s="293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0"/>
      <c r="U28" s="0"/>
      <c r="V28" s="0"/>
      <c r="W28" s="0"/>
      <c r="X28" s="0"/>
      <c r="Y28" s="0"/>
      <c r="Z28" s="0"/>
      <c r="AA28" s="0"/>
      <c r="AB28" s="0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  <c r="IW28" s="293"/>
    </row>
    <row r="29" customFormat="false" ht="12.75" hidden="true" customHeight="false" outlineLevel="0" collapsed="false">
      <c r="A29" s="293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0"/>
      <c r="U29" s="0"/>
      <c r="V29" s="0"/>
      <c r="W29" s="0"/>
      <c r="X29" s="0"/>
      <c r="Y29" s="0"/>
      <c r="Z29" s="0"/>
      <c r="AA29" s="0"/>
      <c r="AB29" s="0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  <c r="CO29" s="293"/>
      <c r="CP29" s="293"/>
      <c r="CQ29" s="293"/>
      <c r="CR29" s="293"/>
      <c r="CS29" s="293"/>
      <c r="CT29" s="293"/>
      <c r="CU29" s="293"/>
      <c r="CV29" s="293"/>
      <c r="CW29" s="293"/>
      <c r="CX29" s="293"/>
      <c r="CY29" s="293"/>
      <c r="CZ29" s="293"/>
      <c r="DA29" s="293"/>
      <c r="DB29" s="293"/>
      <c r="DC29" s="293"/>
      <c r="DD29" s="293"/>
      <c r="DE29" s="293"/>
      <c r="DF29" s="293"/>
      <c r="DG29" s="293"/>
      <c r="DH29" s="293"/>
      <c r="DI29" s="293"/>
      <c r="DJ29" s="293"/>
      <c r="DK29" s="293"/>
      <c r="DL29" s="293"/>
      <c r="DM29" s="293"/>
      <c r="DN29" s="293"/>
      <c r="DO29" s="293"/>
      <c r="DP29" s="293"/>
      <c r="DQ29" s="293"/>
      <c r="DR29" s="293"/>
      <c r="DS29" s="293"/>
      <c r="DT29" s="293"/>
      <c r="DU29" s="293"/>
      <c r="DV29" s="293"/>
      <c r="DW29" s="293"/>
      <c r="DX29" s="293"/>
      <c r="DY29" s="293"/>
      <c r="DZ29" s="293"/>
      <c r="EA29" s="293"/>
      <c r="EB29" s="293"/>
      <c r="EC29" s="293"/>
      <c r="ED29" s="293"/>
      <c r="EE29" s="293"/>
      <c r="EF29" s="293"/>
      <c r="EG29" s="293"/>
      <c r="EH29" s="293"/>
      <c r="EI29" s="293"/>
      <c r="EJ29" s="293"/>
      <c r="EK29" s="293"/>
      <c r="EL29" s="293"/>
      <c r="EM29" s="293"/>
      <c r="EN29" s="293"/>
      <c r="EO29" s="293"/>
      <c r="EP29" s="293"/>
      <c r="EQ29" s="293"/>
      <c r="ER29" s="293"/>
      <c r="ES29" s="293"/>
      <c r="ET29" s="293"/>
      <c r="EU29" s="293"/>
      <c r="EV29" s="293"/>
      <c r="EW29" s="293"/>
      <c r="EX29" s="293"/>
      <c r="EY29" s="293"/>
      <c r="EZ29" s="293"/>
      <c r="FA29" s="293"/>
      <c r="FB29" s="293"/>
      <c r="FC29" s="293"/>
      <c r="FD29" s="293"/>
      <c r="FE29" s="293"/>
      <c r="FF29" s="293"/>
      <c r="FG29" s="293"/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293"/>
      <c r="FT29" s="293"/>
      <c r="FU29" s="293"/>
      <c r="FV29" s="293"/>
      <c r="FW29" s="293"/>
      <c r="FX29" s="293"/>
      <c r="FY29" s="293"/>
      <c r="FZ29" s="293"/>
      <c r="GA29" s="293"/>
      <c r="GB29" s="293"/>
      <c r="GC29" s="293"/>
      <c r="GD29" s="293"/>
      <c r="GE29" s="293"/>
      <c r="GF29" s="293"/>
      <c r="GG29" s="293"/>
      <c r="GH29" s="293"/>
      <c r="GI29" s="293"/>
      <c r="GJ29" s="293"/>
      <c r="GK29" s="293"/>
      <c r="GL29" s="293"/>
      <c r="GM29" s="293"/>
      <c r="GN29" s="293"/>
      <c r="GO29" s="293"/>
      <c r="GP29" s="293"/>
      <c r="GQ29" s="293"/>
      <c r="GR29" s="293"/>
      <c r="GS29" s="293"/>
      <c r="GT29" s="293"/>
      <c r="GU29" s="293"/>
      <c r="GV29" s="293"/>
      <c r="GW29" s="293"/>
      <c r="GX29" s="293"/>
      <c r="GY29" s="293"/>
      <c r="GZ29" s="293"/>
      <c r="HA29" s="293"/>
      <c r="HB29" s="293"/>
      <c r="HC29" s="293"/>
      <c r="HD29" s="293"/>
      <c r="HE29" s="293"/>
      <c r="HF29" s="293"/>
      <c r="HG29" s="293"/>
      <c r="HH29" s="293"/>
      <c r="HI29" s="293"/>
      <c r="HJ29" s="293"/>
      <c r="HK29" s="293"/>
      <c r="HL29" s="293"/>
      <c r="HM29" s="293"/>
      <c r="HN29" s="293"/>
      <c r="HO29" s="293"/>
      <c r="HP29" s="293"/>
      <c r="HQ29" s="293"/>
      <c r="HR29" s="293"/>
      <c r="HS29" s="293"/>
      <c r="HT29" s="293"/>
      <c r="HU29" s="293"/>
      <c r="HV29" s="293"/>
      <c r="HW29" s="293"/>
      <c r="HX29" s="293"/>
      <c r="HY29" s="293"/>
      <c r="HZ29" s="293"/>
      <c r="IA29" s="293"/>
      <c r="IB29" s="293"/>
      <c r="IC29" s="293"/>
      <c r="ID29" s="293"/>
      <c r="IE29" s="293"/>
      <c r="IF29" s="293"/>
      <c r="IG29" s="293"/>
      <c r="IH29" s="293"/>
      <c r="II29" s="293"/>
      <c r="IJ29" s="293"/>
      <c r="IK29" s="293"/>
      <c r="IL29" s="293"/>
      <c r="IM29" s="293"/>
      <c r="IN29" s="293"/>
      <c r="IO29" s="293"/>
      <c r="IP29" s="293"/>
      <c r="IQ29" s="293"/>
      <c r="IR29" s="293"/>
      <c r="IS29" s="293"/>
      <c r="IT29" s="293"/>
      <c r="IU29" s="293"/>
      <c r="IV29" s="293"/>
      <c r="IW29" s="293"/>
    </row>
    <row r="30" customFormat="false" ht="15" hidden="true" customHeight="false" outlineLevel="0" collapsed="false">
      <c r="A30" s="293"/>
      <c r="B30" s="302"/>
      <c r="C30" s="303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0"/>
      <c r="U30" s="0"/>
      <c r="V30" s="0"/>
      <c r="W30" s="0"/>
      <c r="X30" s="0"/>
      <c r="Y30" s="0"/>
      <c r="Z30" s="0"/>
      <c r="AA30" s="0"/>
      <c r="AB30" s="0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3"/>
      <c r="HJ30" s="293"/>
      <c r="HK30" s="293"/>
      <c r="HL30" s="293"/>
      <c r="HM30" s="293"/>
      <c r="HN30" s="293"/>
      <c r="HO30" s="293"/>
      <c r="HP30" s="293"/>
      <c r="HQ30" s="293"/>
      <c r="HR30" s="293"/>
      <c r="HS30" s="293"/>
      <c r="HT30" s="293"/>
      <c r="HU30" s="293"/>
      <c r="HV30" s="293"/>
      <c r="HW30" s="293"/>
      <c r="HX30" s="293"/>
      <c r="HY30" s="293"/>
      <c r="HZ30" s="293"/>
      <c r="IA30" s="293"/>
      <c r="IB30" s="293"/>
      <c r="IC30" s="293"/>
      <c r="ID30" s="293"/>
      <c r="IE30" s="293"/>
      <c r="IF30" s="293"/>
      <c r="IG30" s="293"/>
      <c r="IH30" s="293"/>
      <c r="II30" s="293"/>
      <c r="IJ30" s="293"/>
      <c r="IK30" s="293"/>
      <c r="IL30" s="293"/>
      <c r="IM30" s="293"/>
      <c r="IN30" s="293"/>
      <c r="IO30" s="293"/>
      <c r="IP30" s="293"/>
      <c r="IQ30" s="293"/>
      <c r="IR30" s="293"/>
      <c r="IS30" s="293"/>
      <c r="IT30" s="293"/>
      <c r="IU30" s="293"/>
      <c r="IV30" s="293"/>
      <c r="IW30" s="293"/>
    </row>
    <row r="31" customFormat="false" ht="12.75" hidden="true" customHeight="false" outlineLevel="0" collapsed="false">
      <c r="A31" s="293"/>
      <c r="B31" s="304"/>
      <c r="C31" s="297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0"/>
      <c r="U31" s="0"/>
      <c r="V31" s="0"/>
      <c r="W31" s="0"/>
      <c r="X31" s="0"/>
      <c r="Y31" s="0"/>
      <c r="Z31" s="0"/>
      <c r="AA31" s="0"/>
      <c r="AB31" s="0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true" customHeight="false" outlineLevel="0" collapsed="false">
      <c r="A32" s="300"/>
      <c r="B32" s="226"/>
      <c r="C32" s="305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0"/>
      <c r="U32" s="0"/>
      <c r="V32" s="0"/>
      <c r="W32" s="0"/>
      <c r="X32" s="0"/>
      <c r="Y32" s="0"/>
      <c r="Z32" s="0"/>
      <c r="AA32" s="0"/>
      <c r="AB32" s="0"/>
    </row>
    <row r="33" customFormat="false" ht="19.9" hidden="false" customHeight="true" outlineLevel="0" collapsed="false">
      <c r="C33" s="301" t="n">
        <v>36661</v>
      </c>
      <c r="D33" s="301" t="n">
        <v>36891</v>
      </c>
      <c r="E33" s="301" t="n">
        <f aca="false">EDATE(D33,12)</f>
        <v>37256</v>
      </c>
      <c r="F33" s="301" t="n">
        <f aca="false">EDATE(E33,12)</f>
        <v>37621</v>
      </c>
      <c r="G33" s="301" t="n">
        <f aca="false">EDATE(F33,12)</f>
        <v>37986</v>
      </c>
      <c r="H33" s="301" t="n">
        <f aca="false">EDATE(G33,12)</f>
        <v>38352</v>
      </c>
      <c r="I33" s="301" t="n">
        <f aca="false">EDATE(H33,12)</f>
        <v>38717</v>
      </c>
      <c r="J33" s="301" t="n">
        <f aca="false">EDATE(I33,12)</f>
        <v>39082</v>
      </c>
      <c r="K33" s="301" t="n">
        <f aca="false">EDATE(J33,12)</f>
        <v>39447</v>
      </c>
      <c r="L33" s="301" t="n">
        <f aca="false">EDATE(K33,12)</f>
        <v>39813</v>
      </c>
      <c r="M33" s="301" t="n">
        <f aca="false">EDATE(L33,12)</f>
        <v>40178</v>
      </c>
      <c r="N33" s="301" t="n">
        <f aca="false">EDATE(M33,12)</f>
        <v>40543</v>
      </c>
      <c r="O33" s="301" t="n">
        <f aca="false">EDATE(N33,12)</f>
        <v>40908</v>
      </c>
      <c r="P33" s="301" t="n">
        <f aca="false">EDATE(O33,12)</f>
        <v>41274</v>
      </c>
      <c r="Q33" s="301" t="n">
        <f aca="false">EDATE(P33,12)</f>
        <v>41639</v>
      </c>
      <c r="R33" s="301" t="n">
        <f aca="false">EDATE(Q33,12)</f>
        <v>42004</v>
      </c>
      <c r="S33" s="297"/>
      <c r="T33" s="0"/>
      <c r="U33" s="0"/>
      <c r="V33" s="0"/>
      <c r="W33" s="0"/>
      <c r="X33" s="0"/>
      <c r="Y33" s="0"/>
      <c r="Z33" s="0"/>
      <c r="AA33" s="0"/>
      <c r="AB33" s="0"/>
    </row>
    <row r="34" customFormat="false" ht="19.9" hidden="false" customHeight="true" outlineLevel="0" collapsed="false">
      <c r="A34" s="300" t="s">
        <v>293</v>
      </c>
      <c r="B34" s="293"/>
      <c r="C34" s="293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307"/>
      <c r="U34" s="307"/>
      <c r="V34" s="307"/>
      <c r="W34" s="307"/>
      <c r="X34" s="307"/>
      <c r="Y34" s="307"/>
      <c r="Z34" s="307"/>
      <c r="AA34" s="307"/>
      <c r="AB34" s="307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  <c r="IW34" s="293"/>
    </row>
    <row r="35" customFormat="false" ht="15" hidden="false" customHeight="true" outlineLevel="0" collapsed="false">
      <c r="A35" s="293" t="s">
        <v>294</v>
      </c>
      <c r="B35" s="293"/>
      <c r="C35" s="293"/>
      <c r="D35" s="297" t="n">
        <f aca="false">IF('Project Assumptions'!$F$38="Assumed",'Debt Amortization'!D63,D50+D161+D169)</f>
        <v>113344.927741223</v>
      </c>
      <c r="E35" s="297" t="n">
        <f aca="false">IF('Project Assumptions'!$F$38="Assumed",'Debt Amortization'!E63,E50+E161+E169)</f>
        <v>110962.501312395</v>
      </c>
      <c r="F35" s="297" t="n">
        <f aca="false">IF('Project Assumptions'!$F$38="Assumed",'Debt Amortization'!F63,F50+F161+F169)</f>
        <v>105981.085892358</v>
      </c>
      <c r="G35" s="297" t="n">
        <f aca="false">IF('Project Assumptions'!$F$38="Assumed",'Debt Amortization'!G63,G50+G161+G169)</f>
        <v>100696.302273241</v>
      </c>
      <c r="H35" s="297" t="n">
        <f aca="false">IF('Project Assumptions'!$F$38="Assumed",'Debt Amortization'!H63,H50+H161+H169)</f>
        <v>95089.6753317205</v>
      </c>
      <c r="I35" s="297" t="n">
        <f aca="false">IF('Project Assumptions'!$F$38="Assumed",'Debt Amortization'!I63,I50+I161+I169)</f>
        <v>89141.6048094608</v>
      </c>
      <c r="J35" s="297" t="n">
        <f aca="false">IF('Project Assumptions'!$F$38="Assumed",'Debt Amortization'!J63,J50+J161+J169)</f>
        <v>82831.2967923955</v>
      </c>
      <c r="K35" s="297" t="n">
        <f aca="false">IF('Project Assumptions'!$F$38="Assumed",'Debt Amortization'!K63,K50+K161+K169)</f>
        <v>76136.691017091</v>
      </c>
      <c r="L35" s="297" t="n">
        <f aca="false">IF('Project Assumptions'!$F$38="Assumed",'Debt Amortization'!L63,L50+L161+L169)</f>
        <v>69034.3837500704</v>
      </c>
      <c r="M35" s="297" t="n">
        <f aca="false">IF('Project Assumptions'!$F$38="Assumed",'Debt Amortization'!M63,M50+M161+M169)</f>
        <v>61499.5459704883</v>
      </c>
      <c r="N35" s="297" t="n">
        <f aca="false">IF('Project Assumptions'!$F$38="Assumed",'Debt Amortization'!N63,N50+N161+N169)</f>
        <v>53505.8365701296</v>
      </c>
      <c r="O35" s="297" t="n">
        <f aca="false">IF('Project Assumptions'!$F$38="Assumed",'Debt Amortization'!O63,O50+O161+O169)</f>
        <v>45025.310267289</v>
      </c>
      <c r="P35" s="297" t="n">
        <f aca="false">IF('Project Assumptions'!$F$38="Assumed",'Debt Amortization'!P63,P50+P161+P169)</f>
        <v>36028.3199126055</v>
      </c>
      <c r="Q35" s="297" t="n">
        <f aca="false">IF('Project Assumptions'!$F$38="Assumed",'Debt Amortization'!Q63,Q50+Q161+Q169)</f>
        <v>26483.4128453217</v>
      </c>
      <c r="R35" s="297" t="n">
        <f aca="false">IF('Project Assumptions'!$F$38="Assumed",'Debt Amortization'!R63,R50+R161+R169)</f>
        <v>16357.2209376404</v>
      </c>
      <c r="S35" s="297" t="n">
        <f aca="false">IF('Project Assumptions'!$F$38="Assumed",'Debt Amortization'!S63,S50+S161+S169)</f>
        <v>5614.34394278123</v>
      </c>
      <c r="T35" s="307"/>
      <c r="U35" s="307"/>
      <c r="V35" s="307"/>
      <c r="W35" s="307"/>
      <c r="X35" s="307"/>
      <c r="Y35" s="307"/>
      <c r="Z35" s="307"/>
      <c r="AA35" s="307"/>
      <c r="AB35" s="307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5" hidden="false" customHeight="true" outlineLevel="0" collapsed="false">
      <c r="A36" s="293" t="s">
        <v>295</v>
      </c>
      <c r="B36" s="293"/>
      <c r="C36" s="293"/>
      <c r="D36" s="297" t="n">
        <f aca="false">IF('Project Assumptions'!$F$38="Assumed",'Debt Amortization'!D64,D51+D162+D170)</f>
        <v>3400.34783223669</v>
      </c>
      <c r="E36" s="297" t="n">
        <f aca="false">IF('Project Assumptions'!$F$38="Assumed",'Debt Amortization'!E64,E51+E162+E170)</f>
        <v>6584.13310209291</v>
      </c>
      <c r="F36" s="297" t="n">
        <f aca="false">IF('Project Assumptions'!$F$38="Assumed",'Debt Amortization'!F64,F51+F162+F170)</f>
        <v>6280.76490301268</v>
      </c>
      <c r="G36" s="297" t="n">
        <f aca="false">IF('Project Assumptions'!$F$38="Assumed",'Debt Amortization'!G64,G51+G162+G170)</f>
        <v>5958.92158060846</v>
      </c>
      <c r="H36" s="297" t="n">
        <f aca="false">IF('Project Assumptions'!$F$38="Assumed",'Debt Amortization'!H64,H51+H162+H170)</f>
        <v>5617.47799986983</v>
      </c>
      <c r="I36" s="297" t="n">
        <f aca="false">IF('Project Assumptions'!$F$38="Assumed",'Debt Amortization'!I64,I51+I162+I170)</f>
        <v>5255.24050506422</v>
      </c>
      <c r="J36" s="297" t="n">
        <f aca="false">IF('Project Assumptions'!$F$38="Assumed",'Debt Amortization'!J64,J51+J162+J170)</f>
        <v>4870.94274682494</v>
      </c>
      <c r="K36" s="297" t="n">
        <f aca="false">IF('Project Assumptions'!$F$38="Assumed",'Debt Amortization'!K64,K51+K162+K170)</f>
        <v>4463.2412551089</v>
      </c>
      <c r="L36" s="297" t="n">
        <f aca="false">IF('Project Assumptions'!$F$38="Assumed",'Debt Amortization'!L64,L51+L162+L170)</f>
        <v>4030.71074254734</v>
      </c>
      <c r="M36" s="297" t="n">
        <f aca="false">IF('Project Assumptions'!$F$38="Assumed",'Debt Amortization'!M64,M51+M162+M170)</f>
        <v>3571.83912177079</v>
      </c>
      <c r="N36" s="297" t="n">
        <f aca="false">IF('Project Assumptions'!$F$38="Assumed",'Debt Amortization'!N64,N51+N162+N170)</f>
        <v>3085.02221928894</v>
      </c>
      <c r="O36" s="297" t="n">
        <f aca="false">IF('Project Assumptions'!$F$38="Assumed",'Debt Amortization'!O64,O51+O162+O170)</f>
        <v>2568.55816744595</v>
      </c>
      <c r="P36" s="297" t="n">
        <f aca="false">IF('Project Assumptions'!$F$38="Assumed",'Debt Amortization'!P64,P51+P162+P170)</f>
        <v>2020.64145484573</v>
      </c>
      <c r="Q36" s="297" t="n">
        <f aca="false">IF('Project Assumptions'!$F$38="Assumed",'Debt Amortization'!Q64,Q51+Q162+Q170)</f>
        <v>1439.35661444814</v>
      </c>
      <c r="R36" s="297" t="n">
        <f aca="false">IF('Project Assumptions'!$F$38="Assumed",'Debt Amortization'!R64,R51+R162+R170)</f>
        <v>822.67152727035</v>
      </c>
      <c r="S36" s="297" t="n">
        <f aca="false">IF('Project Assumptions'!$F$38="Assumed",'Debt Amortization'!S64,S51+S162+S170)</f>
        <v>168.430318283433</v>
      </c>
      <c r="T36" s="307"/>
      <c r="U36" s="307"/>
      <c r="V36" s="307"/>
      <c r="W36" s="307"/>
      <c r="X36" s="307"/>
      <c r="Y36" s="307"/>
      <c r="Z36" s="307"/>
      <c r="AA36" s="307"/>
      <c r="AB36" s="307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5" hidden="false" customHeight="true" outlineLevel="0" collapsed="false">
      <c r="A37" s="293" t="s">
        <v>296</v>
      </c>
      <c r="B37" s="293"/>
      <c r="C37" s="302"/>
      <c r="D37" s="297" t="n">
        <f aca="false">IF('Project Assumptions'!$F$38="Assumed",'Debt Amortization'!D65,D52+D163+D171)</f>
        <v>2382.42642882806</v>
      </c>
      <c r="E37" s="297" t="n">
        <f aca="false">IF('Project Assumptions'!$F$38="Assumed",'Debt Amortization'!E65,E52+E163+E171)</f>
        <v>4981.41542003658</v>
      </c>
      <c r="F37" s="297" t="n">
        <f aca="false">IF('Project Assumptions'!$F$38="Assumed",'Debt Amortization'!F65,F52+F163+F171)</f>
        <v>5284.78361911681</v>
      </c>
      <c r="G37" s="297" t="n">
        <f aca="false">IF('Project Assumptions'!$F$38="Assumed",'Debt Amortization'!G65,G52+G163+G171)</f>
        <v>5606.62694152103</v>
      </c>
      <c r="H37" s="297" t="n">
        <f aca="false">IF('Project Assumptions'!$F$38="Assumed",'Debt Amortization'!H65,H52+H163+H171)</f>
        <v>5948.07052225966</v>
      </c>
      <c r="I37" s="297" t="n">
        <f aca="false">IF('Project Assumptions'!$F$38="Assumed",'Debt Amortization'!I65,I52+I163+I171)</f>
        <v>6310.30801706527</v>
      </c>
      <c r="J37" s="297" t="n">
        <f aca="false">IF('Project Assumptions'!$F$38="Assumed",'Debt Amortization'!J65,J52+J163+J171)</f>
        <v>6694.60577530455</v>
      </c>
      <c r="K37" s="297" t="n">
        <f aca="false">IF('Project Assumptions'!$F$38="Assumed",'Debt Amortization'!K65,K52+K163+K171)</f>
        <v>7102.30726702059</v>
      </c>
      <c r="L37" s="297" t="n">
        <f aca="false">IF('Project Assumptions'!$F$38="Assumed",'Debt Amortization'!L65,L52+L163+L171)</f>
        <v>7534.83777958215</v>
      </c>
      <c r="M37" s="297" t="n">
        <f aca="false">IF('Project Assumptions'!$F$38="Assumed",'Debt Amortization'!M65,M52+M163+M171)</f>
        <v>7993.7094003587</v>
      </c>
      <c r="N37" s="297" t="n">
        <f aca="false">IF('Project Assumptions'!$F$38="Assumed",'Debt Amortization'!N65,N52+N163+N171)</f>
        <v>8480.52630284055</v>
      </c>
      <c r="O37" s="297" t="n">
        <f aca="false">IF('Project Assumptions'!$F$38="Assumed",'Debt Amortization'!O65,O52+O163+O171)</f>
        <v>8996.99035468354</v>
      </c>
      <c r="P37" s="297" t="n">
        <f aca="false">IF('Project Assumptions'!$F$38="Assumed",'Debt Amortization'!P65,P52+P163+P171)</f>
        <v>9544.90706728376</v>
      </c>
      <c r="Q37" s="297" t="n">
        <f aca="false">IF('Project Assumptions'!$F$38="Assumed",'Debt Amortization'!Q65,Q52+Q163+Q171)</f>
        <v>10126.1919076813</v>
      </c>
      <c r="R37" s="297" t="n">
        <f aca="false">IF('Project Assumptions'!$F$38="Assumed",'Debt Amortization'!R65,R52+R163+R171)</f>
        <v>10742.8769948591</v>
      </c>
      <c r="S37" s="297" t="n">
        <f aca="false">IF('Project Assumptions'!$F$38="Assumed",'Debt Amortization'!S65,S52+S163+S171)</f>
        <v>5614.34394278131</v>
      </c>
      <c r="T37" s="307"/>
      <c r="U37" s="307"/>
      <c r="V37" s="307"/>
      <c r="W37" s="307"/>
      <c r="X37" s="307"/>
      <c r="Y37" s="307"/>
      <c r="Z37" s="307"/>
      <c r="AA37" s="307"/>
      <c r="AB37" s="307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  <c r="CO37" s="293"/>
      <c r="CP37" s="293"/>
      <c r="CQ37" s="293"/>
      <c r="CR37" s="293"/>
      <c r="CS37" s="293"/>
      <c r="CT37" s="293"/>
      <c r="CU37" s="293"/>
      <c r="CV37" s="293"/>
      <c r="CW37" s="293"/>
      <c r="CX37" s="293"/>
      <c r="CY37" s="293"/>
      <c r="CZ37" s="293"/>
      <c r="DA37" s="293"/>
      <c r="DB37" s="293"/>
      <c r="DC37" s="293"/>
      <c r="DD37" s="293"/>
      <c r="DE37" s="293"/>
      <c r="DF37" s="293"/>
      <c r="DG37" s="293"/>
      <c r="DH37" s="293"/>
      <c r="DI37" s="293"/>
      <c r="DJ37" s="293"/>
      <c r="DK37" s="293"/>
      <c r="DL37" s="293"/>
      <c r="DM37" s="293"/>
      <c r="DN37" s="293"/>
      <c r="DO37" s="293"/>
      <c r="DP37" s="293"/>
      <c r="DQ37" s="293"/>
      <c r="DR37" s="293"/>
      <c r="DS37" s="293"/>
      <c r="DT37" s="293"/>
      <c r="DU37" s="293"/>
      <c r="DV37" s="293"/>
      <c r="DW37" s="293"/>
      <c r="DX37" s="293"/>
      <c r="DY37" s="293"/>
      <c r="DZ37" s="293"/>
      <c r="EA37" s="293"/>
      <c r="EB37" s="293"/>
      <c r="EC37" s="293"/>
      <c r="ED37" s="293"/>
      <c r="EE37" s="293"/>
      <c r="EF37" s="293"/>
      <c r="EG37" s="293"/>
      <c r="EH37" s="293"/>
      <c r="EI37" s="293"/>
      <c r="EJ37" s="293"/>
      <c r="EK37" s="293"/>
      <c r="EL37" s="293"/>
      <c r="EM37" s="293"/>
      <c r="EN37" s="293"/>
      <c r="EO37" s="293"/>
      <c r="EP37" s="293"/>
      <c r="EQ37" s="293"/>
      <c r="ER37" s="293"/>
      <c r="ES37" s="293"/>
      <c r="ET37" s="293"/>
      <c r="EU37" s="293"/>
      <c r="EV37" s="293"/>
      <c r="EW37" s="293"/>
      <c r="EX37" s="293"/>
      <c r="EY37" s="293"/>
      <c r="EZ37" s="293"/>
      <c r="FA37" s="293"/>
      <c r="FB37" s="293"/>
      <c r="FC37" s="293"/>
      <c r="FD37" s="293"/>
      <c r="FE37" s="293"/>
      <c r="FF37" s="293"/>
      <c r="FG37" s="293"/>
      <c r="FH37" s="293"/>
      <c r="FI37" s="293"/>
      <c r="FJ37" s="293"/>
      <c r="FK37" s="293"/>
      <c r="FL37" s="293"/>
      <c r="FM37" s="293"/>
      <c r="FN37" s="293"/>
      <c r="FO37" s="293"/>
      <c r="FP37" s="293"/>
      <c r="FQ37" s="293"/>
      <c r="FR37" s="293"/>
      <c r="FS37" s="293"/>
      <c r="FT37" s="293"/>
      <c r="FU37" s="293"/>
      <c r="FV37" s="293"/>
      <c r="FW37" s="293"/>
      <c r="FX37" s="293"/>
      <c r="FY37" s="293"/>
      <c r="FZ37" s="293"/>
      <c r="GA37" s="293"/>
      <c r="GB37" s="293"/>
      <c r="GC37" s="293"/>
      <c r="GD37" s="293"/>
      <c r="GE37" s="293"/>
      <c r="GF37" s="293"/>
      <c r="GG37" s="293"/>
      <c r="GH37" s="293"/>
      <c r="GI37" s="293"/>
      <c r="GJ37" s="293"/>
      <c r="GK37" s="293"/>
      <c r="GL37" s="293"/>
      <c r="GM37" s="293"/>
      <c r="GN37" s="293"/>
      <c r="GO37" s="293"/>
      <c r="GP37" s="293"/>
      <c r="GQ37" s="293"/>
      <c r="GR37" s="293"/>
      <c r="GS37" s="293"/>
      <c r="GT37" s="293"/>
      <c r="GU37" s="293"/>
      <c r="GV37" s="293"/>
      <c r="GW37" s="293"/>
      <c r="GX37" s="293"/>
      <c r="GY37" s="293"/>
      <c r="GZ37" s="293"/>
      <c r="HA37" s="293"/>
      <c r="HB37" s="293"/>
      <c r="HC37" s="293"/>
      <c r="HD37" s="293"/>
      <c r="HE37" s="293"/>
      <c r="HF37" s="293"/>
      <c r="HG37" s="293"/>
      <c r="HH37" s="293"/>
      <c r="HI37" s="293"/>
      <c r="HJ37" s="293"/>
      <c r="HK37" s="293"/>
      <c r="HL37" s="293"/>
      <c r="HM37" s="293"/>
      <c r="HN37" s="293"/>
      <c r="HO37" s="293"/>
      <c r="HP37" s="293"/>
      <c r="HQ37" s="293"/>
      <c r="HR37" s="293"/>
      <c r="HS37" s="293"/>
      <c r="HT37" s="293"/>
      <c r="HU37" s="293"/>
      <c r="HV37" s="293"/>
      <c r="HW37" s="293"/>
      <c r="HX37" s="293"/>
      <c r="HY37" s="293"/>
      <c r="HZ37" s="293"/>
      <c r="IA37" s="293"/>
      <c r="IB37" s="293"/>
      <c r="IC37" s="293"/>
      <c r="ID37" s="293"/>
      <c r="IE37" s="293"/>
      <c r="IF37" s="293"/>
      <c r="IG37" s="293"/>
      <c r="IH37" s="293"/>
      <c r="II37" s="293"/>
      <c r="IJ37" s="293"/>
      <c r="IK37" s="293"/>
      <c r="IL37" s="293"/>
      <c r="IM37" s="293"/>
      <c r="IN37" s="293"/>
      <c r="IO37" s="293"/>
      <c r="IP37" s="293"/>
      <c r="IQ37" s="293"/>
      <c r="IR37" s="293"/>
      <c r="IS37" s="293"/>
      <c r="IT37" s="293"/>
      <c r="IU37" s="293"/>
      <c r="IV37" s="293"/>
      <c r="IW37" s="293"/>
    </row>
    <row r="38" customFormat="false" ht="15" hidden="false" customHeight="true" outlineLevel="0" collapsed="false">
      <c r="A38" s="293" t="s">
        <v>297</v>
      </c>
      <c r="B38" s="308"/>
      <c r="C38" s="309"/>
      <c r="D38" s="297" t="n">
        <f aca="false">IF('Project Assumptions'!$F$38="Assumed",'Debt Amortization'!D66,D53+D164+D172)</f>
        <v>5782.77426106475</v>
      </c>
      <c r="E38" s="297" t="n">
        <f aca="false">IF('Project Assumptions'!$F$38="Assumed",'Debt Amortization'!E66,E53+E164+E172)</f>
        <v>11565.5485221295</v>
      </c>
      <c r="F38" s="297" t="n">
        <f aca="false">IF('Project Assumptions'!$F$38="Assumed",'Debt Amortization'!F66,F53+F164+F172)</f>
        <v>11565.5485221295</v>
      </c>
      <c r="G38" s="297" t="n">
        <f aca="false">IF('Project Assumptions'!$F$38="Assumed",'Debt Amortization'!G66,G53+G164+G172)</f>
        <v>11565.5485221295</v>
      </c>
      <c r="H38" s="297" t="n">
        <f aca="false">IF('Project Assumptions'!$F$38="Assumed",'Debt Amortization'!H66,H53+H164+H172)</f>
        <v>11565.5485221295</v>
      </c>
      <c r="I38" s="297" t="n">
        <f aca="false">IF('Project Assumptions'!$F$38="Assumed",'Debt Amortization'!I66,I53+I164+I172)</f>
        <v>11565.5485221295</v>
      </c>
      <c r="J38" s="297" t="n">
        <f aca="false">IF('Project Assumptions'!$F$38="Assumed",'Debt Amortization'!J66,J53+J164+J172)</f>
        <v>11565.5485221295</v>
      </c>
      <c r="K38" s="297" t="n">
        <f aca="false">IF('Project Assumptions'!$F$38="Assumed",'Debt Amortization'!K66,K53+K164+K172)</f>
        <v>11565.5485221295</v>
      </c>
      <c r="L38" s="297" t="n">
        <f aca="false">IF('Project Assumptions'!$F$38="Assumed",'Debt Amortization'!L66,L53+L164+L172)</f>
        <v>11565.5485221295</v>
      </c>
      <c r="M38" s="297" t="n">
        <f aca="false">IF('Project Assumptions'!$F$38="Assumed",'Debt Amortization'!M66,M53+M164+M172)</f>
        <v>11565.5485221295</v>
      </c>
      <c r="N38" s="297" t="n">
        <f aca="false">IF('Project Assumptions'!$F$38="Assumed",'Debt Amortization'!N66,N53+N164+N172)</f>
        <v>11565.5485221295</v>
      </c>
      <c r="O38" s="297" t="n">
        <f aca="false">IF('Project Assumptions'!$F$38="Assumed",'Debt Amortization'!O66,O53+O164+O172)</f>
        <v>11565.5485221295</v>
      </c>
      <c r="P38" s="297" t="n">
        <f aca="false">IF('Project Assumptions'!$F$38="Assumed",'Debt Amortization'!P66,P53+P164+P172)</f>
        <v>11565.5485221295</v>
      </c>
      <c r="Q38" s="297" t="n">
        <f aca="false">IF('Project Assumptions'!$F$38="Assumed",'Debt Amortization'!Q66,Q53+Q164+Q172)</f>
        <v>11565.5485221295</v>
      </c>
      <c r="R38" s="297" t="n">
        <f aca="false">IF('Project Assumptions'!$F$38="Assumed",'Debt Amortization'!R66,R53+R164+R172)</f>
        <v>11565.5485221295</v>
      </c>
      <c r="S38" s="297" t="n">
        <f aca="false">IF('Project Assumptions'!$F$38="Assumed",'Debt Amortization'!S66,S53+S164+S172)</f>
        <v>5782.77426106475</v>
      </c>
      <c r="T38" s="307"/>
      <c r="U38" s="307"/>
      <c r="V38" s="307"/>
      <c r="W38" s="307"/>
      <c r="X38" s="307"/>
      <c r="Y38" s="307"/>
      <c r="Z38" s="307"/>
      <c r="AA38" s="307"/>
      <c r="AB38" s="307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  <c r="CO38" s="293"/>
      <c r="CP38" s="293"/>
      <c r="CQ38" s="293"/>
      <c r="CR38" s="293"/>
      <c r="CS38" s="293"/>
      <c r="CT38" s="293"/>
      <c r="CU38" s="293"/>
      <c r="CV38" s="293"/>
      <c r="CW38" s="293"/>
      <c r="CX38" s="293"/>
      <c r="CY38" s="293"/>
      <c r="CZ38" s="293"/>
      <c r="DA38" s="293"/>
      <c r="DB38" s="293"/>
      <c r="DC38" s="293"/>
      <c r="DD38" s="293"/>
      <c r="DE38" s="293"/>
      <c r="DF38" s="293"/>
      <c r="DG38" s="293"/>
      <c r="DH38" s="293"/>
      <c r="DI38" s="293"/>
      <c r="DJ38" s="293"/>
      <c r="DK38" s="293"/>
      <c r="DL38" s="293"/>
      <c r="DM38" s="293"/>
      <c r="DN38" s="293"/>
      <c r="DO38" s="293"/>
      <c r="DP38" s="293"/>
      <c r="DQ38" s="293"/>
      <c r="DR38" s="293"/>
      <c r="DS38" s="293"/>
      <c r="DT38" s="293"/>
      <c r="DU38" s="293"/>
      <c r="DV38" s="293"/>
      <c r="DW38" s="293"/>
      <c r="DX38" s="293"/>
      <c r="DY38" s="293"/>
      <c r="DZ38" s="293"/>
      <c r="EA38" s="293"/>
      <c r="EB38" s="293"/>
      <c r="EC38" s="293"/>
      <c r="ED38" s="293"/>
      <c r="EE38" s="293"/>
      <c r="EF38" s="293"/>
      <c r="EG38" s="293"/>
      <c r="EH38" s="293"/>
      <c r="EI38" s="293"/>
      <c r="EJ38" s="293"/>
      <c r="EK38" s="293"/>
      <c r="EL38" s="293"/>
      <c r="EM38" s="293"/>
      <c r="EN38" s="293"/>
      <c r="EO38" s="293"/>
      <c r="EP38" s="293"/>
      <c r="EQ38" s="293"/>
      <c r="ER38" s="293"/>
      <c r="ES38" s="293"/>
      <c r="ET38" s="293"/>
      <c r="EU38" s="293"/>
      <c r="EV38" s="293"/>
      <c r="EW38" s="293"/>
      <c r="EX38" s="293"/>
      <c r="EY38" s="293"/>
      <c r="EZ38" s="293"/>
      <c r="FA38" s="293"/>
      <c r="FB38" s="293"/>
      <c r="FC38" s="293"/>
      <c r="FD38" s="293"/>
      <c r="FE38" s="293"/>
      <c r="FF38" s="293"/>
      <c r="FG38" s="293"/>
      <c r="FH38" s="293"/>
      <c r="FI38" s="293"/>
      <c r="FJ38" s="293"/>
      <c r="FK38" s="293"/>
      <c r="FL38" s="293"/>
      <c r="FM38" s="293"/>
      <c r="FN38" s="293"/>
      <c r="FO38" s="293"/>
      <c r="FP38" s="293"/>
      <c r="FQ38" s="293"/>
      <c r="FR38" s="293"/>
      <c r="FS38" s="293"/>
      <c r="FT38" s="293"/>
      <c r="FU38" s="293"/>
      <c r="FV38" s="293"/>
      <c r="FW38" s="293"/>
      <c r="FX38" s="293"/>
      <c r="FY38" s="293"/>
      <c r="FZ38" s="293"/>
      <c r="GA38" s="293"/>
      <c r="GB38" s="293"/>
      <c r="GC38" s="293"/>
      <c r="GD38" s="293"/>
      <c r="GE38" s="293"/>
      <c r="GF38" s="293"/>
      <c r="GG38" s="293"/>
      <c r="GH38" s="293"/>
      <c r="GI38" s="293"/>
      <c r="GJ38" s="293"/>
      <c r="GK38" s="293"/>
      <c r="GL38" s="293"/>
      <c r="GM38" s="293"/>
      <c r="GN38" s="293"/>
      <c r="GO38" s="293"/>
      <c r="GP38" s="293"/>
      <c r="GQ38" s="293"/>
      <c r="GR38" s="293"/>
      <c r="GS38" s="293"/>
      <c r="GT38" s="293"/>
      <c r="GU38" s="293"/>
      <c r="GV38" s="293"/>
      <c r="GW38" s="293"/>
      <c r="GX38" s="293"/>
      <c r="GY38" s="293"/>
      <c r="GZ38" s="293"/>
      <c r="HA38" s="293"/>
      <c r="HB38" s="293"/>
      <c r="HC38" s="293"/>
      <c r="HD38" s="293"/>
      <c r="HE38" s="293"/>
      <c r="HF38" s="293"/>
      <c r="HG38" s="293"/>
      <c r="HH38" s="293"/>
      <c r="HI38" s="293"/>
      <c r="HJ38" s="293"/>
      <c r="HK38" s="293"/>
      <c r="HL38" s="293"/>
      <c r="HM38" s="293"/>
      <c r="HN38" s="293"/>
      <c r="HO38" s="293"/>
      <c r="HP38" s="293"/>
      <c r="HQ38" s="293"/>
      <c r="HR38" s="293"/>
      <c r="HS38" s="293"/>
      <c r="HT38" s="293"/>
      <c r="HU38" s="293"/>
      <c r="HV38" s="293"/>
      <c r="HW38" s="293"/>
      <c r="HX38" s="293"/>
      <c r="HY38" s="293"/>
      <c r="HZ38" s="293"/>
      <c r="IA38" s="293"/>
      <c r="IB38" s="293"/>
      <c r="IC38" s="293"/>
      <c r="ID38" s="293"/>
      <c r="IE38" s="293"/>
      <c r="IF38" s="293"/>
      <c r="IG38" s="293"/>
      <c r="IH38" s="293"/>
      <c r="II38" s="293"/>
      <c r="IJ38" s="293"/>
      <c r="IK38" s="293"/>
      <c r="IL38" s="293"/>
      <c r="IM38" s="293"/>
      <c r="IN38" s="293"/>
      <c r="IO38" s="293"/>
      <c r="IP38" s="293"/>
      <c r="IQ38" s="293"/>
      <c r="IR38" s="293"/>
      <c r="IS38" s="293"/>
      <c r="IT38" s="293"/>
      <c r="IU38" s="293"/>
      <c r="IV38" s="293"/>
      <c r="IW38" s="293"/>
    </row>
    <row r="39" customFormat="false" ht="15" hidden="false" customHeight="true" outlineLevel="0" collapsed="false">
      <c r="A39" s="293" t="s">
        <v>298</v>
      </c>
      <c r="B39" s="310"/>
      <c r="C39" s="293"/>
      <c r="D39" s="297" t="n">
        <f aca="false">IF('Project Assumptions'!$F$38="Assumed",'Debt Amortization'!D67,D54+D165+D173)</f>
        <v>110962.501312395</v>
      </c>
      <c r="E39" s="297" t="n">
        <f aca="false">IF('Project Assumptions'!$F$38="Assumed",'Debt Amortization'!E67,E54+E165+E173)</f>
        <v>105981.085892358</v>
      </c>
      <c r="F39" s="297" t="n">
        <f aca="false">IF('Project Assumptions'!$F$38="Assumed",'Debt Amortization'!F67,F54+F165+F173)</f>
        <v>100696.302273241</v>
      </c>
      <c r="G39" s="297" t="n">
        <f aca="false">IF('Project Assumptions'!$F$38="Assumed",'Debt Amortization'!G67,G54+G165+G173)</f>
        <v>95089.6753317205</v>
      </c>
      <c r="H39" s="297" t="n">
        <f aca="false">IF('Project Assumptions'!$F$38="Assumed",'Debt Amortization'!H67,H54+H165+H173)</f>
        <v>89141.6048094608</v>
      </c>
      <c r="I39" s="297" t="n">
        <f aca="false">IF('Project Assumptions'!$F$38="Assumed",'Debt Amortization'!I67,I54+I165+I173)</f>
        <v>82831.2967923955</v>
      </c>
      <c r="J39" s="297" t="n">
        <f aca="false">IF('Project Assumptions'!$F$38="Assumed",'Debt Amortization'!J67,J54+J165+J173)</f>
        <v>76136.691017091</v>
      </c>
      <c r="K39" s="297" t="n">
        <f aca="false">IF('Project Assumptions'!$F$38="Assumed",'Debt Amortization'!K67,K54+K165+K173)</f>
        <v>69034.3837500704</v>
      </c>
      <c r="L39" s="297" t="n">
        <f aca="false">IF('Project Assumptions'!$F$38="Assumed",'Debt Amortization'!L67,L54+L165+L173)</f>
        <v>61499.5459704883</v>
      </c>
      <c r="M39" s="297" t="n">
        <f aca="false">IF('Project Assumptions'!$F$38="Assumed",'Debt Amortization'!M67,M54+M165+M173)</f>
        <v>53505.8365701296</v>
      </c>
      <c r="N39" s="297" t="n">
        <f aca="false">IF('Project Assumptions'!$F$38="Assumed",'Debt Amortization'!N67,N54+N165+N173)</f>
        <v>45025.310267289</v>
      </c>
      <c r="O39" s="297" t="n">
        <f aca="false">IF('Project Assumptions'!$F$38="Assumed",'Debt Amortization'!O67,O54+O165+O173)</f>
        <v>36028.3199126055</v>
      </c>
      <c r="P39" s="297" t="n">
        <f aca="false">IF('Project Assumptions'!$F$38="Assumed",'Debt Amortization'!P67,P54+P165+P173)</f>
        <v>26483.4128453217</v>
      </c>
      <c r="Q39" s="297" t="n">
        <f aca="false">IF('Project Assumptions'!$F$38="Assumed",'Debt Amortization'!Q67,Q54+Q165+Q173)</f>
        <v>16357.2209376404</v>
      </c>
      <c r="R39" s="297" t="n">
        <f aca="false">IF('Project Assumptions'!$F$38="Assumed",'Debt Amortization'!R67,R54+R165+R173)</f>
        <v>5614.34394278123</v>
      </c>
      <c r="S39" s="297" t="n">
        <f aca="false">IF('Project Assumptions'!$F$38="Assumed",'Debt Amortization'!S67,S54+S165+S173)</f>
        <v>-8.27640178613365E-011</v>
      </c>
      <c r="T39" s="307"/>
      <c r="U39" s="307"/>
      <c r="V39" s="307"/>
      <c r="W39" s="307"/>
      <c r="X39" s="307"/>
      <c r="Y39" s="307"/>
      <c r="Z39" s="307"/>
      <c r="AA39" s="307"/>
      <c r="AB39" s="307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5" hidden="false" customHeight="true" outlineLevel="0" collapsed="false">
      <c r="A40" s="293" t="s">
        <v>299</v>
      </c>
      <c r="B40" s="310"/>
      <c r="C40" s="293"/>
      <c r="D40" s="311" t="n">
        <f aca="false">SUMPRODUCT(D4:AB4,D37:AB37)/D35</f>
        <v>9.59665757474042</v>
      </c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307"/>
      <c r="U40" s="307"/>
      <c r="V40" s="307"/>
      <c r="W40" s="307"/>
      <c r="X40" s="307"/>
      <c r="Y40" s="307"/>
      <c r="Z40" s="307"/>
      <c r="AA40" s="307"/>
      <c r="AB40" s="307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4.25" hidden="false" customHeight="true" outlineLevel="0" collapsed="false">
      <c r="A41" s="293"/>
      <c r="B41" s="247"/>
      <c r="C41" s="293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307"/>
      <c r="U41" s="307"/>
      <c r="V41" s="307"/>
      <c r="W41" s="307"/>
      <c r="X41" s="307"/>
      <c r="Y41" s="307"/>
      <c r="Z41" s="307"/>
      <c r="AA41" s="307"/>
      <c r="AB41" s="307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  <c r="CO41" s="293"/>
      <c r="CP41" s="293"/>
      <c r="CQ41" s="293"/>
      <c r="CR41" s="293"/>
      <c r="CS41" s="293"/>
      <c r="CT41" s="293"/>
      <c r="CU41" s="293"/>
      <c r="CV41" s="293"/>
      <c r="CW41" s="293"/>
      <c r="CX41" s="293"/>
      <c r="CY41" s="293"/>
      <c r="CZ41" s="293"/>
      <c r="DA41" s="293"/>
      <c r="DB41" s="293"/>
      <c r="DC41" s="293"/>
      <c r="DD41" s="293"/>
      <c r="DE41" s="293"/>
      <c r="DF41" s="293"/>
      <c r="DG41" s="293"/>
      <c r="DH41" s="293"/>
      <c r="DI41" s="293"/>
      <c r="DJ41" s="293"/>
      <c r="DK41" s="293"/>
      <c r="DL41" s="293"/>
      <c r="DM41" s="293"/>
      <c r="DN41" s="293"/>
      <c r="DO41" s="293"/>
      <c r="DP41" s="293"/>
      <c r="DQ41" s="293"/>
      <c r="DR41" s="293"/>
      <c r="DS41" s="293"/>
      <c r="DT41" s="293"/>
      <c r="DU41" s="293"/>
      <c r="DV41" s="293"/>
      <c r="DW41" s="293"/>
      <c r="DX41" s="293"/>
      <c r="DY41" s="293"/>
      <c r="DZ41" s="293"/>
      <c r="EA41" s="293"/>
      <c r="EB41" s="293"/>
      <c r="EC41" s="293"/>
      <c r="ED41" s="293"/>
      <c r="EE41" s="293"/>
      <c r="EF41" s="293"/>
      <c r="EG41" s="293"/>
      <c r="EH41" s="293"/>
      <c r="EI41" s="293"/>
      <c r="EJ41" s="293"/>
      <c r="EK41" s="293"/>
      <c r="EL41" s="293"/>
      <c r="EM41" s="293"/>
      <c r="EN41" s="293"/>
      <c r="EO41" s="293"/>
      <c r="EP41" s="293"/>
      <c r="EQ41" s="293"/>
      <c r="ER41" s="293"/>
      <c r="ES41" s="293"/>
      <c r="ET41" s="293"/>
      <c r="EU41" s="293"/>
      <c r="EV41" s="293"/>
      <c r="EW41" s="293"/>
      <c r="EX41" s="293"/>
      <c r="EY41" s="293"/>
      <c r="EZ41" s="293"/>
      <c r="FA41" s="293"/>
      <c r="FB41" s="293"/>
      <c r="FC41" s="293"/>
      <c r="FD41" s="293"/>
      <c r="FE41" s="293"/>
      <c r="FF41" s="293"/>
      <c r="FG41" s="293"/>
      <c r="FH41" s="293"/>
      <c r="FI41" s="293"/>
      <c r="FJ41" s="293"/>
      <c r="FK41" s="293"/>
      <c r="FL41" s="293"/>
      <c r="FM41" s="293"/>
      <c r="FN41" s="293"/>
      <c r="FO41" s="293"/>
      <c r="FP41" s="293"/>
      <c r="FQ41" s="293"/>
      <c r="FR41" s="293"/>
      <c r="FS41" s="293"/>
      <c r="FT41" s="293"/>
      <c r="FU41" s="293"/>
      <c r="FV41" s="293"/>
      <c r="FW41" s="293"/>
      <c r="FX41" s="293"/>
      <c r="FY41" s="293"/>
      <c r="FZ41" s="293"/>
      <c r="GA41" s="293"/>
      <c r="GB41" s="293"/>
      <c r="GC41" s="293"/>
      <c r="GD41" s="293"/>
      <c r="GE41" s="293"/>
      <c r="GF41" s="293"/>
      <c r="GG41" s="293"/>
      <c r="GH41" s="293"/>
      <c r="GI41" s="293"/>
      <c r="GJ41" s="293"/>
      <c r="GK41" s="293"/>
      <c r="GL41" s="293"/>
      <c r="GM41" s="293"/>
      <c r="GN41" s="293"/>
      <c r="GO41" s="293"/>
      <c r="GP41" s="293"/>
      <c r="GQ41" s="293"/>
      <c r="GR41" s="293"/>
      <c r="GS41" s="293"/>
      <c r="GT41" s="293"/>
      <c r="GU41" s="293"/>
      <c r="GV41" s="293"/>
      <c r="GW41" s="293"/>
      <c r="GX41" s="293"/>
      <c r="GY41" s="293"/>
      <c r="GZ41" s="293"/>
      <c r="HA41" s="293"/>
      <c r="HB41" s="293"/>
      <c r="HC41" s="293"/>
      <c r="HD41" s="293"/>
      <c r="HE41" s="293"/>
      <c r="HF41" s="293"/>
      <c r="HG41" s="293"/>
      <c r="HH41" s="293"/>
      <c r="HI41" s="293"/>
      <c r="HJ41" s="293"/>
      <c r="HK41" s="293"/>
      <c r="HL41" s="293"/>
      <c r="HM41" s="293"/>
      <c r="HN41" s="293"/>
      <c r="HO41" s="293"/>
      <c r="HP41" s="293"/>
      <c r="HQ41" s="293"/>
      <c r="HR41" s="293"/>
      <c r="HS41" s="293"/>
      <c r="HT41" s="293"/>
      <c r="HU41" s="293"/>
      <c r="HV41" s="293"/>
      <c r="HW41" s="293"/>
      <c r="HX41" s="293"/>
      <c r="HY41" s="293"/>
      <c r="HZ41" s="293"/>
      <c r="IA41" s="293"/>
      <c r="IB41" s="293"/>
      <c r="IC41" s="293"/>
      <c r="ID41" s="293"/>
      <c r="IE41" s="293"/>
      <c r="IF41" s="293"/>
      <c r="IG41" s="293"/>
      <c r="IH41" s="293"/>
      <c r="II41" s="293"/>
      <c r="IJ41" s="293"/>
      <c r="IK41" s="293"/>
      <c r="IL41" s="293"/>
      <c r="IM41" s="293"/>
      <c r="IN41" s="293"/>
      <c r="IO41" s="293"/>
      <c r="IP41" s="293"/>
      <c r="IQ41" s="293"/>
      <c r="IR41" s="293"/>
      <c r="IS41" s="293"/>
      <c r="IT41" s="293"/>
      <c r="IU41" s="293"/>
      <c r="IV41" s="293"/>
      <c r="IW41" s="293"/>
    </row>
    <row r="42" customFormat="false" ht="14.25" hidden="false" customHeight="true" outlineLevel="0" collapsed="false">
      <c r="A42" s="293" t="s">
        <v>300</v>
      </c>
      <c r="B42" s="247"/>
      <c r="C42" s="293"/>
      <c r="D42" s="312" t="n">
        <f aca="false">'Book Income Statement'!C40/('Debt Amortization'!D38)</f>
        <v>1.05677229603774</v>
      </c>
      <c r="E42" s="312" t="n">
        <f aca="false">'Book Income Statement'!D40/'Debt Amortization'!E38</f>
        <v>1.03038814779931</v>
      </c>
      <c r="F42" s="312" t="n">
        <f aca="false">'Book Income Statement'!E40/'Debt Amortization'!F38</f>
        <v>1.03049033338936</v>
      </c>
      <c r="G42" s="312" t="n">
        <f aca="false">'Book Income Statement'!F40/'Debt Amortization'!G38</f>
        <v>1.0306974242198</v>
      </c>
      <c r="H42" s="312" t="n">
        <f aca="false">'Book Income Statement'!G40/'Debt Amortization'!H38</f>
        <v>1.03081363240711</v>
      </c>
      <c r="I42" s="312" t="n">
        <f aca="false">'Book Income Statement'!H40/'Debt Amortization'!I38</f>
        <v>1.03103502628675</v>
      </c>
      <c r="J42" s="312" t="n">
        <f aca="false">'Book Income Statement'!I40/'Debt Amortization'!J38</f>
        <v>1.03106786022368</v>
      </c>
      <c r="K42" s="312" t="n">
        <f aca="false">'Book Income Statement'!J40/'Debt Amortization'!K38</f>
        <v>1.0310592265943</v>
      </c>
      <c r="L42" s="312" t="n">
        <f aca="false">'Book Income Statement'!K40/'Debt Amortization'!L38</f>
        <v>1.03115622072175</v>
      </c>
      <c r="M42" s="312" t="n">
        <f aca="false">'Book Income Statement'!L40/'Debt Amortization'!M38</f>
        <v>1.03116306917281</v>
      </c>
      <c r="N42" s="312" t="n">
        <f aca="false">'Book Income Statement'!M40/'Debt Amortization'!N38</f>
        <v>1.03117789166174</v>
      </c>
      <c r="O42" s="312" t="n">
        <f aca="false">'Book Income Statement'!N40/'Debt Amortization'!O38</f>
        <v>1.03115186598901</v>
      </c>
      <c r="P42" s="312" t="n">
        <f aca="false">'Book Income Statement'!O40/'Debt Amortization'!P38</f>
        <v>1.03118311818555</v>
      </c>
      <c r="Q42" s="312" t="n">
        <f aca="false">'Book Income Statement'!P40/'Debt Amortization'!Q38</f>
        <v>1.03122283249488</v>
      </c>
      <c r="R42" s="312" t="n">
        <f aca="false">'Book Income Statement'!Q40/'Debt Amortization'!R38</f>
        <v>1.03122219647895</v>
      </c>
      <c r="S42" s="312" t="n">
        <f aca="false">('Book Income Statement'!R40)/'Debt Amortization'!S38</f>
        <v>3.10560824543713</v>
      </c>
      <c r="T42" s="307"/>
      <c r="U42" s="307"/>
      <c r="V42" s="307"/>
      <c r="W42" s="307"/>
      <c r="X42" s="307"/>
      <c r="Y42" s="307"/>
      <c r="Z42" s="307"/>
      <c r="AA42" s="307"/>
      <c r="AB42" s="307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  <c r="CO42" s="293"/>
      <c r="CP42" s="293"/>
      <c r="CQ42" s="293"/>
      <c r="CR42" s="293"/>
      <c r="CS42" s="293"/>
      <c r="CT42" s="293"/>
      <c r="CU42" s="293"/>
      <c r="CV42" s="293"/>
      <c r="CW42" s="293"/>
      <c r="CX42" s="293"/>
      <c r="CY42" s="293"/>
      <c r="CZ42" s="293"/>
      <c r="DA42" s="293"/>
      <c r="DB42" s="293"/>
      <c r="DC42" s="293"/>
      <c r="DD42" s="293"/>
      <c r="DE42" s="293"/>
      <c r="DF42" s="293"/>
      <c r="DG42" s="293"/>
      <c r="DH42" s="293"/>
      <c r="DI42" s="293"/>
      <c r="DJ42" s="293"/>
      <c r="DK42" s="293"/>
      <c r="DL42" s="293"/>
      <c r="DM42" s="293"/>
      <c r="DN42" s="293"/>
      <c r="DO42" s="293"/>
      <c r="DP42" s="293"/>
      <c r="DQ42" s="293"/>
      <c r="DR42" s="293"/>
      <c r="DS42" s="293"/>
      <c r="DT42" s="293"/>
      <c r="DU42" s="293"/>
      <c r="DV42" s="293"/>
      <c r="DW42" s="293"/>
      <c r="DX42" s="293"/>
      <c r="DY42" s="293"/>
      <c r="DZ42" s="293"/>
      <c r="EA42" s="293"/>
      <c r="EB42" s="293"/>
      <c r="EC42" s="293"/>
      <c r="ED42" s="293"/>
      <c r="EE42" s="293"/>
      <c r="EF42" s="293"/>
      <c r="EG42" s="293"/>
      <c r="EH42" s="293"/>
      <c r="EI42" s="293"/>
      <c r="EJ42" s="293"/>
      <c r="EK42" s="293"/>
      <c r="EL42" s="293"/>
      <c r="EM42" s="293"/>
      <c r="EN42" s="293"/>
      <c r="EO42" s="293"/>
      <c r="EP42" s="293"/>
      <c r="EQ42" s="293"/>
      <c r="ER42" s="293"/>
      <c r="ES42" s="293"/>
      <c r="ET42" s="293"/>
      <c r="EU42" s="293"/>
      <c r="EV42" s="293"/>
      <c r="EW42" s="293"/>
      <c r="EX42" s="293"/>
      <c r="EY42" s="293"/>
      <c r="EZ42" s="293"/>
      <c r="FA42" s="293"/>
      <c r="FB42" s="293"/>
      <c r="FC42" s="293"/>
      <c r="FD42" s="293"/>
      <c r="FE42" s="293"/>
      <c r="FF42" s="293"/>
      <c r="FG42" s="293"/>
      <c r="FH42" s="293"/>
      <c r="FI42" s="293"/>
      <c r="FJ42" s="293"/>
      <c r="FK42" s="293"/>
      <c r="FL42" s="293"/>
      <c r="FM42" s="293"/>
      <c r="FN42" s="293"/>
      <c r="FO42" s="293"/>
      <c r="FP42" s="293"/>
      <c r="FQ42" s="293"/>
      <c r="FR42" s="293"/>
      <c r="FS42" s="293"/>
      <c r="FT42" s="293"/>
      <c r="FU42" s="293"/>
      <c r="FV42" s="293"/>
      <c r="FW42" s="293"/>
      <c r="FX42" s="293"/>
      <c r="FY42" s="293"/>
      <c r="FZ42" s="293"/>
      <c r="GA42" s="293"/>
      <c r="GB42" s="293"/>
      <c r="GC42" s="293"/>
      <c r="GD42" s="293"/>
      <c r="GE42" s="293"/>
      <c r="GF42" s="293"/>
      <c r="GG42" s="293"/>
      <c r="GH42" s="293"/>
      <c r="GI42" s="293"/>
      <c r="GJ42" s="293"/>
      <c r="GK42" s="293"/>
      <c r="GL42" s="293"/>
      <c r="GM42" s="293"/>
      <c r="GN42" s="293"/>
      <c r="GO42" s="293"/>
      <c r="GP42" s="293"/>
      <c r="GQ42" s="293"/>
      <c r="GR42" s="293"/>
      <c r="GS42" s="293"/>
      <c r="GT42" s="293"/>
      <c r="GU42" s="293"/>
      <c r="GV42" s="293"/>
      <c r="GW42" s="293"/>
      <c r="GX42" s="293"/>
      <c r="GY42" s="293"/>
      <c r="GZ42" s="293"/>
      <c r="HA42" s="293"/>
      <c r="HB42" s="293"/>
      <c r="HC42" s="293"/>
      <c r="HD42" s="293"/>
      <c r="HE42" s="293"/>
      <c r="HF42" s="293"/>
      <c r="HG42" s="293"/>
      <c r="HH42" s="293"/>
      <c r="HI42" s="293"/>
      <c r="HJ42" s="293"/>
      <c r="HK42" s="293"/>
      <c r="HL42" s="293"/>
      <c r="HM42" s="293"/>
      <c r="HN42" s="293"/>
      <c r="HO42" s="293"/>
      <c r="HP42" s="293"/>
      <c r="HQ42" s="293"/>
      <c r="HR42" s="293"/>
      <c r="HS42" s="293"/>
      <c r="HT42" s="293"/>
      <c r="HU42" s="293"/>
      <c r="HV42" s="293"/>
      <c r="HW42" s="293"/>
      <c r="HX42" s="293"/>
      <c r="HY42" s="293"/>
      <c r="HZ42" s="293"/>
      <c r="IA42" s="293"/>
      <c r="IB42" s="293"/>
      <c r="IC42" s="293"/>
      <c r="ID42" s="293"/>
      <c r="IE42" s="293"/>
      <c r="IF42" s="293"/>
      <c r="IG42" s="293"/>
      <c r="IH42" s="293"/>
      <c r="II42" s="293"/>
      <c r="IJ42" s="293"/>
      <c r="IK42" s="293"/>
      <c r="IL42" s="293"/>
      <c r="IM42" s="293"/>
      <c r="IN42" s="293"/>
      <c r="IO42" s="293"/>
      <c r="IP42" s="293"/>
      <c r="IQ42" s="293"/>
      <c r="IR42" s="293"/>
      <c r="IS42" s="293"/>
      <c r="IT42" s="293"/>
      <c r="IU42" s="293"/>
      <c r="IV42" s="293"/>
      <c r="IW42" s="293"/>
    </row>
    <row r="43" customFormat="false" ht="12.6" hidden="false" customHeight="true" outlineLevel="0" collapsed="false">
      <c r="B43" s="247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13"/>
      <c r="U43" s="313"/>
      <c r="V43" s="313"/>
      <c r="W43" s="313"/>
      <c r="X43" s="313"/>
      <c r="Y43" s="313"/>
      <c r="Z43" s="313"/>
      <c r="AA43" s="313"/>
      <c r="AB43" s="313"/>
    </row>
    <row r="44" customFormat="false" ht="13.9" hidden="false" customHeight="true" outlineLevel="0" collapsed="false">
      <c r="A44" s="222" t="s">
        <v>301</v>
      </c>
      <c r="B44" s="297"/>
      <c r="C44" s="24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  <c r="CO44" s="293"/>
      <c r="CP44" s="293"/>
      <c r="CQ44" s="293"/>
      <c r="CR44" s="293"/>
      <c r="CS44" s="293"/>
      <c r="CT44" s="293"/>
      <c r="CU44" s="293"/>
      <c r="CV44" s="293"/>
      <c r="CW44" s="293"/>
      <c r="CX44" s="293"/>
      <c r="CY44" s="293"/>
      <c r="CZ44" s="293"/>
      <c r="DA44" s="293"/>
      <c r="DB44" s="293"/>
      <c r="DC44" s="293"/>
      <c r="DD44" s="293"/>
      <c r="DE44" s="293"/>
      <c r="DF44" s="293"/>
      <c r="DG44" s="293"/>
      <c r="DH44" s="293"/>
      <c r="DI44" s="293"/>
      <c r="DJ44" s="293"/>
      <c r="DK44" s="293"/>
      <c r="DL44" s="293"/>
      <c r="DM44" s="293"/>
      <c r="DN44" s="293"/>
      <c r="DO44" s="293"/>
      <c r="DP44" s="293"/>
      <c r="DQ44" s="293"/>
      <c r="DR44" s="293"/>
      <c r="DS44" s="293"/>
      <c r="DT44" s="293"/>
      <c r="DU44" s="293"/>
      <c r="DV44" s="293"/>
      <c r="DW44" s="293"/>
      <c r="DX44" s="293"/>
      <c r="DY44" s="293"/>
      <c r="DZ44" s="293"/>
      <c r="EA44" s="293"/>
      <c r="EB44" s="293"/>
      <c r="EC44" s="293"/>
      <c r="ED44" s="293"/>
      <c r="EE44" s="293"/>
      <c r="EF44" s="293"/>
      <c r="EG44" s="293"/>
      <c r="EH44" s="293"/>
      <c r="EI44" s="293"/>
      <c r="EJ44" s="293"/>
      <c r="EK44" s="293"/>
      <c r="EL44" s="293"/>
      <c r="EM44" s="293"/>
      <c r="EN44" s="293"/>
      <c r="EO44" s="293"/>
      <c r="EP44" s="293"/>
      <c r="EQ44" s="293"/>
      <c r="ER44" s="293"/>
      <c r="ES44" s="293"/>
      <c r="ET44" s="293"/>
      <c r="EU44" s="293"/>
      <c r="EV44" s="293"/>
      <c r="EW44" s="293"/>
      <c r="EX44" s="293"/>
      <c r="EY44" s="293"/>
      <c r="EZ44" s="293"/>
      <c r="FA44" s="293"/>
      <c r="FB44" s="293"/>
      <c r="FC44" s="293"/>
      <c r="FD44" s="293"/>
      <c r="FE44" s="293"/>
      <c r="FF44" s="293"/>
      <c r="FG44" s="293"/>
      <c r="FH44" s="293"/>
      <c r="FI44" s="293"/>
      <c r="FJ44" s="293"/>
      <c r="FK44" s="293"/>
      <c r="FL44" s="293"/>
      <c r="FM44" s="293"/>
      <c r="FN44" s="293"/>
      <c r="FO44" s="293"/>
      <c r="FP44" s="293"/>
      <c r="FQ44" s="293"/>
      <c r="FR44" s="293"/>
      <c r="FS44" s="293"/>
      <c r="FT44" s="293"/>
      <c r="FU44" s="293"/>
      <c r="FV44" s="293"/>
      <c r="FW44" s="293"/>
      <c r="FX44" s="293"/>
      <c r="FY44" s="293"/>
      <c r="FZ44" s="293"/>
      <c r="GA44" s="293"/>
      <c r="GB44" s="293"/>
      <c r="GC44" s="293"/>
      <c r="GD44" s="293"/>
      <c r="GE44" s="293"/>
      <c r="GF44" s="293"/>
      <c r="GG44" s="293"/>
      <c r="GH44" s="293"/>
      <c r="GI44" s="293"/>
      <c r="GJ44" s="293"/>
      <c r="GK44" s="293"/>
      <c r="GL44" s="293"/>
      <c r="GM44" s="293"/>
      <c r="GN44" s="293"/>
      <c r="GO44" s="293"/>
      <c r="GP44" s="293"/>
      <c r="GQ44" s="293"/>
      <c r="GR44" s="293"/>
      <c r="GS44" s="293"/>
      <c r="GT44" s="293"/>
      <c r="GU44" s="293"/>
      <c r="GV44" s="293"/>
      <c r="GW44" s="293"/>
      <c r="GX44" s="293"/>
      <c r="GY44" s="293"/>
      <c r="GZ44" s="293"/>
      <c r="HA44" s="293"/>
      <c r="HB44" s="293"/>
      <c r="HC44" s="293"/>
      <c r="HD44" s="293"/>
      <c r="HE44" s="293"/>
      <c r="HF44" s="293"/>
      <c r="HG44" s="293"/>
      <c r="HH44" s="293"/>
      <c r="HI44" s="293"/>
      <c r="HJ44" s="293"/>
      <c r="HK44" s="293"/>
      <c r="HL44" s="293"/>
      <c r="HM44" s="293"/>
      <c r="HN44" s="293"/>
      <c r="HO44" s="293"/>
      <c r="HP44" s="293"/>
      <c r="HQ44" s="293"/>
      <c r="HR44" s="293"/>
      <c r="HS44" s="293"/>
      <c r="HT44" s="293"/>
      <c r="HU44" s="293"/>
      <c r="HV44" s="293"/>
      <c r="HW44" s="293"/>
      <c r="HX44" s="293"/>
      <c r="HY44" s="293"/>
      <c r="HZ44" s="293"/>
      <c r="IA44" s="293"/>
      <c r="IB44" s="293"/>
      <c r="IC44" s="293"/>
      <c r="ID44" s="293"/>
      <c r="IE44" s="293"/>
      <c r="IF44" s="293"/>
      <c r="IG44" s="293"/>
      <c r="IH44" s="293"/>
      <c r="II44" s="293"/>
      <c r="IJ44" s="293"/>
      <c r="IK44" s="293"/>
      <c r="IL44" s="293"/>
      <c r="IM44" s="293"/>
      <c r="IN44" s="293"/>
      <c r="IO44" s="293"/>
      <c r="IP44" s="293"/>
      <c r="IQ44" s="293"/>
      <c r="IR44" s="293"/>
      <c r="IS44" s="293"/>
      <c r="IT44" s="293"/>
      <c r="IU44" s="293"/>
      <c r="IV44" s="293"/>
      <c r="IW44" s="293"/>
    </row>
    <row r="45" customFormat="false" ht="12.75" hidden="false" customHeight="false" outlineLevel="0" collapsed="false">
      <c r="A45" s="293" t="s">
        <v>302</v>
      </c>
      <c r="B45" s="314" t="n">
        <f aca="false">SUM(E45:AG45)</f>
        <v>5996.98697724359</v>
      </c>
      <c r="C45" s="315"/>
      <c r="D45" s="313"/>
      <c r="E45" s="297" t="n">
        <f aca="false">E$46*D$36</f>
        <v>238.024348256568</v>
      </c>
      <c r="F45" s="297" t="n">
        <f aca="false">F$46*E$36</f>
        <v>460.889317146504</v>
      </c>
      <c r="G45" s="297" t="n">
        <f aca="false">G$46*F$36</f>
        <v>439.653543210888</v>
      </c>
      <c r="H45" s="297" t="n">
        <f aca="false">H$46*G$36</f>
        <v>417.124510642593</v>
      </c>
      <c r="I45" s="297" t="n">
        <f aca="false">I$46*H$36</f>
        <v>393.223459990888</v>
      </c>
      <c r="J45" s="297" t="n">
        <f aca="false">J$46*I$36</f>
        <v>367.866835354495</v>
      </c>
      <c r="K45" s="297" t="n">
        <f aca="false">K$46*J$36</f>
        <v>340.965992277746</v>
      </c>
      <c r="L45" s="297" t="n">
        <f aca="false">L$46*K$36</f>
        <v>312.426887857623</v>
      </c>
      <c r="M45" s="297" t="n">
        <f aca="false">M$46*L$36</f>
        <v>282.149751978314</v>
      </c>
      <c r="N45" s="297" t="n">
        <f aca="false">N$46*M$36</f>
        <v>250.028738523955</v>
      </c>
      <c r="O45" s="297" t="n">
        <f aca="false">O$46*N$36</f>
        <v>215.951555350226</v>
      </c>
      <c r="P45" s="297" t="n">
        <f aca="false">P$46*O$36</f>
        <v>179.799071721217</v>
      </c>
      <c r="Q45" s="297" t="n">
        <f aca="false">Q$46*P$36</f>
        <v>141.444901839201</v>
      </c>
      <c r="R45" s="297" t="n">
        <f aca="false">R$46*Q$36</f>
        <v>100.75496301137</v>
      </c>
      <c r="S45" s="297" t="n">
        <f aca="false">($R$36*0.07)+($D$36*0.03)</f>
        <v>159.597441876025</v>
      </c>
      <c r="T45" s="297" t="n">
        <f aca="false">T$46*E$36</f>
        <v>197.523993062787</v>
      </c>
      <c r="U45" s="297" t="n">
        <f aca="false">U$46*F$36</f>
        <v>188.42294709038</v>
      </c>
      <c r="V45" s="297" t="n">
        <f aca="false">V$46*G$36</f>
        <v>178.767647418254</v>
      </c>
      <c r="W45" s="297" t="n">
        <f aca="false">W$46*H$36</f>
        <v>168.524339996095</v>
      </c>
      <c r="X45" s="297" t="n">
        <f aca="false">X$46*I$36</f>
        <v>157.657215151927</v>
      </c>
      <c r="Y45" s="297" t="n">
        <f aca="false">Y$46*J$36</f>
        <v>146.128282404748</v>
      </c>
      <c r="Z45" s="297" t="n">
        <f aca="false">Z$46*K$36</f>
        <v>133.897237653267</v>
      </c>
      <c r="AA45" s="297" t="n">
        <f aca="false">AA$46*L$36</f>
        <v>120.92132227642</v>
      </c>
      <c r="AB45" s="297" t="n">
        <f aca="false">AB$46*M$36</f>
        <v>107.155173653124</v>
      </c>
      <c r="AC45" s="297" t="n">
        <f aca="false">AC$46*N$36</f>
        <v>92.5506665786683</v>
      </c>
      <c r="AD45" s="297" t="n">
        <f aca="false">AD$46*O$36</f>
        <v>77.0567450233786</v>
      </c>
      <c r="AE45" s="297" t="n">
        <f aca="false">AE$46*P$36</f>
        <v>60.6192436453718</v>
      </c>
      <c r="AF45" s="297" t="n">
        <f aca="false">AF$46*Q$36</f>
        <v>43.1806984334443</v>
      </c>
      <c r="AG45" s="297" t="n">
        <f aca="false">AG$46*R$36</f>
        <v>24.6801458181105</v>
      </c>
    </row>
    <row r="46" customFormat="false" ht="12.75" hidden="false" customHeight="false" outlineLevel="0" collapsed="false">
      <c r="A46" s="184" t="s">
        <v>303</v>
      </c>
      <c r="B46" s="247"/>
      <c r="D46" s="313"/>
      <c r="E46" s="247" t="n">
        <v>0.07</v>
      </c>
      <c r="F46" s="247" t="n">
        <v>0.07</v>
      </c>
      <c r="G46" s="247" t="n">
        <v>0.07</v>
      </c>
      <c r="H46" s="247" t="n">
        <v>0.07</v>
      </c>
      <c r="I46" s="247" t="n">
        <v>0.07</v>
      </c>
      <c r="J46" s="247" t="n">
        <v>0.07</v>
      </c>
      <c r="K46" s="247" t="n">
        <v>0.07</v>
      </c>
      <c r="L46" s="247" t="n">
        <v>0.07</v>
      </c>
      <c r="M46" s="247" t="n">
        <v>0.07</v>
      </c>
      <c r="N46" s="247" t="n">
        <v>0.07</v>
      </c>
      <c r="O46" s="247" t="n">
        <v>0.07</v>
      </c>
      <c r="P46" s="247" t="n">
        <v>0.07</v>
      </c>
      <c r="Q46" s="247" t="n">
        <v>0.07</v>
      </c>
      <c r="R46" s="247" t="n">
        <v>0.07</v>
      </c>
      <c r="S46" s="247"/>
      <c r="T46" s="247" t="n">
        <v>0.03</v>
      </c>
      <c r="U46" s="247" t="n">
        <v>0.03</v>
      </c>
      <c r="V46" s="247" t="n">
        <v>0.03</v>
      </c>
      <c r="W46" s="247" t="n">
        <v>0.03</v>
      </c>
      <c r="X46" s="247" t="n">
        <v>0.03</v>
      </c>
      <c r="Y46" s="247" t="n">
        <v>0.03</v>
      </c>
      <c r="Z46" s="247" t="n">
        <v>0.03</v>
      </c>
      <c r="AA46" s="247" t="n">
        <v>0.03</v>
      </c>
      <c r="AB46" s="247" t="n">
        <v>0.03</v>
      </c>
      <c r="AC46" s="247" t="n">
        <v>0.03</v>
      </c>
      <c r="AD46" s="247" t="n">
        <v>0.03</v>
      </c>
      <c r="AE46" s="247" t="n">
        <v>0.03</v>
      </c>
      <c r="AF46" s="247" t="n">
        <v>0.03</v>
      </c>
      <c r="AG46" s="247" t="n">
        <v>0.03</v>
      </c>
    </row>
    <row r="47" customFormat="false" ht="12.75" hidden="false" customHeight="false" outlineLevel="0" collapsed="false">
      <c r="B47" s="297"/>
      <c r="D47" s="313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</row>
    <row r="48" customFormat="false" ht="12.6" hidden="true" customHeight="true" outlineLevel="0" collapsed="false">
      <c r="B48" s="247"/>
      <c r="D48" s="184" t="n">
        <v>1</v>
      </c>
      <c r="E48" s="184" t="n">
        <f aca="false">D48+1</f>
        <v>2</v>
      </c>
      <c r="F48" s="184" t="n">
        <f aca="false">E48+1</f>
        <v>3</v>
      </c>
      <c r="G48" s="184" t="n">
        <f aca="false">F48+1</f>
        <v>4</v>
      </c>
      <c r="H48" s="184" t="n">
        <f aca="false">G48+1</f>
        <v>5</v>
      </c>
      <c r="I48" s="184" t="n">
        <f aca="false">H48+1</f>
        <v>6</v>
      </c>
      <c r="J48" s="184" t="n">
        <f aca="false">I48+1</f>
        <v>7</v>
      </c>
      <c r="K48" s="184" t="n">
        <f aca="false">J48+1</f>
        <v>8</v>
      </c>
      <c r="L48" s="184" t="n">
        <f aca="false">K48+1</f>
        <v>9</v>
      </c>
      <c r="M48" s="184" t="n">
        <f aca="false">L48+1</f>
        <v>10</v>
      </c>
      <c r="N48" s="184" t="n">
        <f aca="false">M48+1</f>
        <v>11</v>
      </c>
      <c r="O48" s="184" t="n">
        <f aca="false">N48+1</f>
        <v>12</v>
      </c>
      <c r="P48" s="184" t="n">
        <f aca="false">O48+1</f>
        <v>13</v>
      </c>
      <c r="Q48" s="184" t="n">
        <f aca="false">P48+1</f>
        <v>14</v>
      </c>
      <c r="R48" s="184" t="n">
        <f aca="false">Q48+1</f>
        <v>15</v>
      </c>
      <c r="S48" s="184" t="n">
        <f aca="false">R48+1</f>
        <v>16</v>
      </c>
      <c r="T48" s="0"/>
      <c r="U48" s="0"/>
      <c r="V48" s="0"/>
      <c r="W48" s="0"/>
      <c r="X48" s="0"/>
      <c r="Y48" s="0"/>
      <c r="Z48" s="0"/>
      <c r="AA48" s="0"/>
      <c r="AB48" s="0"/>
      <c r="AC48" s="247"/>
      <c r="AD48" s="247"/>
      <c r="AE48" s="247"/>
      <c r="AF48" s="247"/>
      <c r="AG48" s="247"/>
    </row>
    <row r="49" customFormat="false" ht="12.75" hidden="true" customHeight="false" outlineLevel="0" collapsed="false">
      <c r="A49" s="222" t="s">
        <v>304</v>
      </c>
      <c r="B49" s="316"/>
      <c r="C49" s="297"/>
      <c r="D49" s="291" t="n">
        <f aca="false">D5</f>
        <v>2000</v>
      </c>
      <c r="E49" s="291" t="n">
        <f aca="false">E5</f>
        <v>2001</v>
      </c>
      <c r="F49" s="291" t="n">
        <f aca="false">F5</f>
        <v>2002</v>
      </c>
      <c r="G49" s="291" t="n">
        <f aca="false">G5</f>
        <v>2003</v>
      </c>
      <c r="H49" s="291" t="n">
        <f aca="false">H5</f>
        <v>2004</v>
      </c>
      <c r="I49" s="291" t="n">
        <f aca="false">I5</f>
        <v>2005</v>
      </c>
      <c r="J49" s="291" t="n">
        <f aca="false">J5</f>
        <v>2006</v>
      </c>
      <c r="K49" s="291" t="n">
        <f aca="false">K5</f>
        <v>2007</v>
      </c>
      <c r="L49" s="291" t="n">
        <f aca="false">L5</f>
        <v>2008</v>
      </c>
      <c r="M49" s="291" t="n">
        <f aca="false">M5</f>
        <v>2009</v>
      </c>
      <c r="N49" s="291" t="n">
        <f aca="false">N5</f>
        <v>2010</v>
      </c>
      <c r="O49" s="291" t="n">
        <f aca="false">O5</f>
        <v>2011</v>
      </c>
      <c r="P49" s="291" t="n">
        <f aca="false">P5</f>
        <v>2012</v>
      </c>
      <c r="Q49" s="291" t="n">
        <f aca="false">Q5</f>
        <v>2013</v>
      </c>
      <c r="R49" s="291" t="n">
        <f aca="false">R5</f>
        <v>2014</v>
      </c>
      <c r="S49" s="291" t="n">
        <f aca="false">S5</f>
        <v>2015</v>
      </c>
      <c r="T49" s="0"/>
      <c r="U49" s="0"/>
      <c r="V49" s="0"/>
      <c r="W49" s="0"/>
      <c r="X49" s="0"/>
      <c r="Y49" s="0"/>
      <c r="Z49" s="0"/>
      <c r="AA49" s="0"/>
      <c r="AB49" s="0"/>
    </row>
    <row r="50" customFormat="false" ht="12.75" hidden="true" customHeight="false" outlineLevel="0" collapsed="false">
      <c r="A50" s="184" t="s">
        <v>294</v>
      </c>
      <c r="B50" s="295"/>
      <c r="D50" s="297" t="str">
        <f aca="false">IF('Project Assumptions'!$F$38&lt;&gt;"Coverage Ratio","Turned Off",B28)</f>
        <v>Turned Off</v>
      </c>
      <c r="E50" s="297" t="str">
        <f aca="false">IF(E4&gt;'Project Assumptions'!$I$42+1,0,D54)</f>
        <v>Turned Off</v>
      </c>
      <c r="F50" s="297" t="str">
        <f aca="false">IF(F4&gt;'Project Assumptions'!$I$42+1,0,E54)</f>
        <v>Turned Off</v>
      </c>
      <c r="G50" s="297" t="str">
        <f aca="false">IF(G4&gt;'Project Assumptions'!$I$42+1,0,F54)</f>
        <v>Turned Off</v>
      </c>
      <c r="H50" s="297" t="str">
        <f aca="false">IF(H4&gt;'Project Assumptions'!$I$42+1,0,G54)</f>
        <v>Turned Off</v>
      </c>
      <c r="I50" s="297" t="str">
        <f aca="false">IF(I4&gt;'Project Assumptions'!$I$42+1,0,H54)</f>
        <v>Turned Off</v>
      </c>
      <c r="J50" s="297" t="str">
        <f aca="false">IF(J4&gt;'Project Assumptions'!$I$42+1,0,I54)</f>
        <v>Turned Off</v>
      </c>
      <c r="K50" s="297" t="str">
        <f aca="false">IF(K4&gt;'Project Assumptions'!$I$42+1,0,J54)</f>
        <v>Turned Off</v>
      </c>
      <c r="L50" s="297" t="str">
        <f aca="false">IF(L4&gt;'Project Assumptions'!$I$42+1,0,K54)</f>
        <v>Turned Off</v>
      </c>
      <c r="M50" s="297" t="str">
        <f aca="false">IF(M4&gt;'Project Assumptions'!$I$42+1,0,L54)</f>
        <v>Turned Off</v>
      </c>
      <c r="N50" s="297" t="str">
        <f aca="false">IF(N4&gt;'Project Assumptions'!$I$42+1,0,M54)</f>
        <v>Turned Off</v>
      </c>
      <c r="O50" s="297" t="str">
        <f aca="false">IF(O4&gt;'Project Assumptions'!$I$42+1,0,N54)</f>
        <v>Turned Off</v>
      </c>
      <c r="P50" s="297" t="str">
        <f aca="false">IF(P4&gt;'Project Assumptions'!$I$42+1,0,O54)</f>
        <v>Turned Off</v>
      </c>
      <c r="Q50" s="297" t="str">
        <f aca="false">IF(Q4&gt;'Project Assumptions'!$I$42+1,0,P54)</f>
        <v>Turned Off</v>
      </c>
      <c r="R50" s="297" t="str">
        <f aca="false">IF(R4&gt;'Project Assumptions'!$I$42+1,0,Q54)</f>
        <v>Turned Off</v>
      </c>
      <c r="S50" s="297" t="str">
        <f aca="false">IF(S4&gt;'Project Assumptions'!$I$42+1,0,R54)</f>
        <v>Turned Off</v>
      </c>
      <c r="T50" s="0"/>
      <c r="U50" s="0"/>
      <c r="V50" s="0"/>
      <c r="W50" s="0"/>
      <c r="X50" s="0"/>
      <c r="Y50" s="0"/>
      <c r="Z50" s="0"/>
      <c r="AA50" s="0"/>
      <c r="AB50" s="0"/>
    </row>
    <row r="51" customFormat="false" ht="12.75" hidden="true" customHeight="false" outlineLevel="0" collapsed="false">
      <c r="A51" s="184" t="s">
        <v>295</v>
      </c>
      <c r="B51" s="317"/>
      <c r="C51" s="306"/>
      <c r="D51" s="297" t="str">
        <f aca="false">IF('Project Assumptions'!$F$38&lt;&gt;"Coverage Ratio","Turned Off",D50*$D$22*'Book Income Statement'!C5/12)</f>
        <v>Turned Off</v>
      </c>
      <c r="E51" s="297" t="str">
        <f aca="false">IF('Project Assumptions'!$F$38&lt;&gt;"Coverage Ratio","Turned Off",E50*$D$22)</f>
        <v>Turned Off</v>
      </c>
      <c r="F51" s="297" t="str">
        <f aca="false">IF('Project Assumptions'!$F$38&lt;&gt;"Coverage Ratio","Turned Off",F50*$D$22)</f>
        <v>Turned Off</v>
      </c>
      <c r="G51" s="297" t="str">
        <f aca="false">IF('Project Assumptions'!$F$38&lt;&gt;"Coverage Ratio","Turned Off",G50*$D$22)</f>
        <v>Turned Off</v>
      </c>
      <c r="H51" s="297" t="str">
        <f aca="false">IF('Project Assumptions'!$F$38&lt;&gt;"Coverage Ratio","Turned Off",H50*$D$22)</f>
        <v>Turned Off</v>
      </c>
      <c r="I51" s="297" t="str">
        <f aca="false">IF('Project Assumptions'!$F$38&lt;&gt;"Coverage Ratio","Turned Off",I50*$D$22)</f>
        <v>Turned Off</v>
      </c>
      <c r="J51" s="297" t="str">
        <f aca="false">IF('Project Assumptions'!$F$38&lt;&gt;"Coverage Ratio","Turned Off",J50*$D$22)</f>
        <v>Turned Off</v>
      </c>
      <c r="K51" s="297" t="str">
        <f aca="false">IF('Project Assumptions'!$F$38&lt;&gt;"Coverage Ratio","Turned Off",K50*$D$22)</f>
        <v>Turned Off</v>
      </c>
      <c r="L51" s="297" t="str">
        <f aca="false">IF('Project Assumptions'!$F$38&lt;&gt;"Coverage Ratio","Turned Off",L50*$D$22)</f>
        <v>Turned Off</v>
      </c>
      <c r="M51" s="297" t="str">
        <f aca="false">IF('Project Assumptions'!$F$38&lt;&gt;"Coverage Ratio","Turned Off",M50*$D$22)</f>
        <v>Turned Off</v>
      </c>
      <c r="N51" s="297" t="str">
        <f aca="false">IF('Project Assumptions'!$F$38&lt;&gt;"Coverage Ratio","Turned Off",N50*$D$22)</f>
        <v>Turned Off</v>
      </c>
      <c r="O51" s="297" t="str">
        <f aca="false">IF('Project Assumptions'!$F$38&lt;&gt;"Coverage Ratio","Turned Off",O50*$D$22)</f>
        <v>Turned Off</v>
      </c>
      <c r="P51" s="297" t="str">
        <f aca="false">IF('Project Assumptions'!$F$38&lt;&gt;"Coverage Ratio","Turned Off",P50*$D$22)</f>
        <v>Turned Off</v>
      </c>
      <c r="Q51" s="297" t="str">
        <f aca="false">IF('Project Assumptions'!$F$38&lt;&gt;"Coverage Ratio","Turned Off",Q50*$D$22)</f>
        <v>Turned Off</v>
      </c>
      <c r="R51" s="297" t="str">
        <f aca="false">IF('Project Assumptions'!$F$38&lt;&gt;"Coverage Ratio","Turned Off",R50*$D$22)</f>
        <v>Turned Off</v>
      </c>
      <c r="S51" s="297" t="str">
        <f aca="false">IF('Project Assumptions'!$F$38&lt;&gt;"Coverage Ratio","Turned Off",S50*$D$22)</f>
        <v>Turned Off</v>
      </c>
      <c r="T51" s="0"/>
      <c r="U51" s="0"/>
      <c r="V51" s="0"/>
      <c r="W51" s="0"/>
      <c r="X51" s="0"/>
      <c r="Y51" s="0"/>
      <c r="Z51" s="0"/>
      <c r="AA51" s="0"/>
      <c r="AB51" s="0"/>
    </row>
    <row r="52" customFormat="false" ht="12.75" hidden="true" customHeight="false" outlineLevel="0" collapsed="false">
      <c r="A52" s="184" t="s">
        <v>296</v>
      </c>
      <c r="C52" s="306"/>
      <c r="D52" s="297" t="str">
        <f aca="false">IF('Project Assumptions'!$F$38&lt;&gt;"Coverage Ratio","Turned Off",IF(D4&gt;'Project Assumptions'!$I$42+1,0,D53-D51))</f>
        <v>Turned Off</v>
      </c>
      <c r="E52" s="297" t="str">
        <f aca="false">IF('Project Assumptions'!$F$38&lt;&gt;"Coverage Ratio","Turned Off",IF(E4&gt;'Project Assumptions'!$I$42+1,0,E53-E51))</f>
        <v>Turned Off</v>
      </c>
      <c r="F52" s="297" t="str">
        <f aca="false">IF('Project Assumptions'!$F$38&lt;&gt;"Coverage Ratio","Turned Off",IF(F4&gt;'Project Assumptions'!$I$42+1,0,F53-F51))</f>
        <v>Turned Off</v>
      </c>
      <c r="G52" s="297" t="str">
        <f aca="false">IF('Project Assumptions'!$F$38&lt;&gt;"Coverage Ratio","Turned Off",IF(G4&gt;'Project Assumptions'!$I$42+1,0,G53-G51))</f>
        <v>Turned Off</v>
      </c>
      <c r="H52" s="297" t="str">
        <f aca="false">IF('Project Assumptions'!$F$38&lt;&gt;"Coverage Ratio","Turned Off",IF(H4&gt;'Project Assumptions'!$I$42+1,0,H53-H51))</f>
        <v>Turned Off</v>
      </c>
      <c r="I52" s="297" t="str">
        <f aca="false">IF('Project Assumptions'!$F$38&lt;&gt;"Coverage Ratio","Turned Off",IF(I4&gt;'Project Assumptions'!$I$42+1,0,I53-I51))</f>
        <v>Turned Off</v>
      </c>
      <c r="J52" s="297" t="str">
        <f aca="false">IF('Project Assumptions'!$F$38&lt;&gt;"Coverage Ratio","Turned Off",IF(J4&gt;'Project Assumptions'!$I$42+1,0,J53-J51))</f>
        <v>Turned Off</v>
      </c>
      <c r="K52" s="297" t="str">
        <f aca="false">IF('Project Assumptions'!$F$38&lt;&gt;"Coverage Ratio","Turned Off",IF(K4&gt;'Project Assumptions'!$I$42+1,0,K53-K51))</f>
        <v>Turned Off</v>
      </c>
      <c r="L52" s="297" t="str">
        <f aca="false">IF('Project Assumptions'!$F$38&lt;&gt;"Coverage Ratio","Turned Off",IF(L4&gt;'Project Assumptions'!$I$42+1,0,L53-L51))</f>
        <v>Turned Off</v>
      </c>
      <c r="M52" s="297" t="str">
        <f aca="false">IF('Project Assumptions'!$F$38&lt;&gt;"Coverage Ratio","Turned Off",IF(M4&gt;'Project Assumptions'!$I$42+1,0,M53-M51))</f>
        <v>Turned Off</v>
      </c>
      <c r="N52" s="297" t="str">
        <f aca="false">IF('Project Assumptions'!$F$38&lt;&gt;"Coverage Ratio","Turned Off",IF(N4&gt;'Project Assumptions'!$I$42+1,0,N53-N51))</f>
        <v>Turned Off</v>
      </c>
      <c r="O52" s="297" t="str">
        <f aca="false">IF('Project Assumptions'!$F$38&lt;&gt;"Coverage Ratio","Turned Off",IF(O4&gt;'Project Assumptions'!$I$42+1,0,O53-O51))</f>
        <v>Turned Off</v>
      </c>
      <c r="P52" s="297" t="str">
        <f aca="false">IF('Project Assumptions'!$F$38&lt;&gt;"Coverage Ratio","Turned Off",IF(P4&gt;'Project Assumptions'!$I$42+1,0,P53-P51))</f>
        <v>Turned Off</v>
      </c>
      <c r="Q52" s="297" t="str">
        <f aca="false">IF('Project Assumptions'!$F$38&lt;&gt;"Coverage Ratio","Turned Off",IF(Q4&gt;'Project Assumptions'!$I$42+1,0,Q53-Q51))</f>
        <v>Turned Off</v>
      </c>
      <c r="R52" s="297" t="str">
        <f aca="false">IF('Project Assumptions'!$F$38&lt;&gt;"Coverage Ratio","Turned Off",IF(R4&gt;'Project Assumptions'!$I$42+1,0,R53-R51))</f>
        <v>Turned Off</v>
      </c>
      <c r="S52" s="297" t="str">
        <f aca="false">IF('Project Assumptions'!$F$38&lt;&gt;"Coverage Ratio","Turned Off",IF(S4&gt;'Project Assumptions'!$I$42+1,0,S53-S51))</f>
        <v>Turned Off</v>
      </c>
      <c r="T52" s="0"/>
      <c r="U52" s="0"/>
      <c r="V52" s="0"/>
      <c r="W52" s="0"/>
      <c r="X52" s="0"/>
      <c r="Y52" s="0"/>
      <c r="Z52" s="0"/>
      <c r="AA52" s="0"/>
      <c r="AB52" s="0"/>
    </row>
    <row r="53" customFormat="false" ht="12.75" hidden="true" customHeight="false" outlineLevel="0" collapsed="false">
      <c r="A53" s="184" t="s">
        <v>297</v>
      </c>
      <c r="C53" s="306"/>
      <c r="D53" s="297" t="str">
        <f aca="false">IF('Project Assumptions'!$F$38&lt;&gt;"Coverage Ratio","Turned Off",IF(D4&gt;'Project Assumptions'!$I$42+1,0,D28))</f>
        <v>Turned Off</v>
      </c>
      <c r="E53" s="297" t="str">
        <f aca="false">IF('Project Assumptions'!$F$38&lt;&gt;"Coverage Ratio","Turned Off",IF(E4&gt;'Project Assumptions'!$I$42+1,0,E28))</f>
        <v>Turned Off</v>
      </c>
      <c r="F53" s="297" t="str">
        <f aca="false">IF('Project Assumptions'!$F$38&lt;&gt;"Coverage Ratio","Turned Off",IF(F4&gt;'Project Assumptions'!$I$42+1,0,F28))</f>
        <v>Turned Off</v>
      </c>
      <c r="G53" s="297" t="str">
        <f aca="false">IF('Project Assumptions'!$F$38&lt;&gt;"Coverage Ratio","Turned Off",IF(G4&gt;'Project Assumptions'!$I$42+1,0,G28))</f>
        <v>Turned Off</v>
      </c>
      <c r="H53" s="297" t="str">
        <f aca="false">IF('Project Assumptions'!$F$38&lt;&gt;"Coverage Ratio","Turned Off",IF(H4&gt;'Project Assumptions'!$I$42+1,0,H28))</f>
        <v>Turned Off</v>
      </c>
      <c r="I53" s="297" t="str">
        <f aca="false">IF('Project Assumptions'!$F$38&lt;&gt;"Coverage Ratio","Turned Off",IF(I4&gt;'Project Assumptions'!$I$42+1,0,I28))</f>
        <v>Turned Off</v>
      </c>
      <c r="J53" s="297" t="str">
        <f aca="false">IF('Project Assumptions'!$F$38&lt;&gt;"Coverage Ratio","Turned Off",IF(J4&gt;'Project Assumptions'!$I$42+1,0,J28))</f>
        <v>Turned Off</v>
      </c>
      <c r="K53" s="297" t="str">
        <f aca="false">IF('Project Assumptions'!$F$38&lt;&gt;"Coverage Ratio","Turned Off",IF(K4&gt;'Project Assumptions'!$I$42+1,0,K28))</f>
        <v>Turned Off</v>
      </c>
      <c r="L53" s="297" t="str">
        <f aca="false">IF('Project Assumptions'!$F$38&lt;&gt;"Coverage Ratio","Turned Off",IF(L4&gt;'Project Assumptions'!$I$42+1,0,L28))</f>
        <v>Turned Off</v>
      </c>
      <c r="M53" s="297" t="str">
        <f aca="false">IF('Project Assumptions'!$F$38&lt;&gt;"Coverage Ratio","Turned Off",IF(M4&gt;'Project Assumptions'!$I$42+1,0,M28))</f>
        <v>Turned Off</v>
      </c>
      <c r="N53" s="297" t="str">
        <f aca="false">IF('Project Assumptions'!$F$38&lt;&gt;"Coverage Ratio","Turned Off",IF(N4&gt;'Project Assumptions'!$I$42+1,0,N28))</f>
        <v>Turned Off</v>
      </c>
      <c r="O53" s="297" t="str">
        <f aca="false">IF('Project Assumptions'!$F$38&lt;&gt;"Coverage Ratio","Turned Off",IF(O4&gt;'Project Assumptions'!$I$42+1,0,O28))</f>
        <v>Turned Off</v>
      </c>
      <c r="P53" s="297" t="str">
        <f aca="false">IF('Project Assumptions'!$F$38&lt;&gt;"Coverage Ratio","Turned Off",IF(P4&gt;'Project Assumptions'!$I$42+1,0,P28))</f>
        <v>Turned Off</v>
      </c>
      <c r="Q53" s="297" t="str">
        <f aca="false">IF('Project Assumptions'!$F$38&lt;&gt;"Coverage Ratio","Turned Off",IF(Q4&gt;'Project Assumptions'!$I$42+1,0,Q28))</f>
        <v>Turned Off</v>
      </c>
      <c r="R53" s="297" t="str">
        <f aca="false">IF('Project Assumptions'!$F$38&lt;&gt;"Coverage Ratio","Turned Off",IF(R4&gt;'Project Assumptions'!$I$42+1,0,R28))</f>
        <v>Turned Off</v>
      </c>
      <c r="S53" s="297" t="str">
        <f aca="false">IF('Project Assumptions'!$F$38&lt;&gt;"Coverage Ratio","Turned Off",IF(S4&gt;'Project Assumptions'!$I$42+1,0,S28))</f>
        <v>Turned Off</v>
      </c>
      <c r="T53" s="0"/>
      <c r="U53" s="0"/>
      <c r="V53" s="0"/>
      <c r="W53" s="0"/>
      <c r="X53" s="0"/>
      <c r="Y53" s="0"/>
      <c r="Z53" s="0"/>
      <c r="AA53" s="0"/>
      <c r="AB53" s="0"/>
    </row>
    <row r="54" customFormat="false" ht="12.75" hidden="true" customHeight="false" outlineLevel="0" collapsed="false">
      <c r="A54" s="184" t="s">
        <v>298</v>
      </c>
      <c r="D54" s="297" t="str">
        <f aca="false">IF('Project Assumptions'!$F$38&lt;&gt;"Coverage Ratio","Turned Off",IF(D4&lt;'Project Assumptions'!$I$42+1,D50-D52,IF(AND(D4='Project Assumptions'!$I$42,D50-D52&gt;1),"ERROR",IF(D4&gt;'Project Assumptions'!$I$42,0,D50-D52))))</f>
        <v>Turned Off</v>
      </c>
      <c r="E54" s="297" t="str">
        <f aca="false">IF('Project Assumptions'!$F$38&lt;&gt;"Coverage Ratio","Turned Off",IF(E4&lt;'Project Assumptions'!$I$42+1,E50-E52,IF(AND(E4='Project Assumptions'!$I$42,E50-E52&gt;1),"ERROR",IF(E4&gt;'Project Assumptions'!$I$42,0,E50-E52))))</f>
        <v>Turned Off</v>
      </c>
      <c r="F54" s="297" t="str">
        <f aca="false">IF('Project Assumptions'!$F$38&lt;&gt;"Coverage Ratio","Turned Off",IF(F4&lt;'Project Assumptions'!$I$42+1,F50-F52,IF(AND(F4='Project Assumptions'!$I$42,F50-F52&gt;1),"ERROR",IF(F4&gt;'Project Assumptions'!$I$42,0,F50-F52))))</f>
        <v>Turned Off</v>
      </c>
      <c r="G54" s="297" t="str">
        <f aca="false">IF('Project Assumptions'!$F$38&lt;&gt;"Coverage Ratio","Turned Off",IF(G4&lt;'Project Assumptions'!$I$42+1,G50-G52,IF(AND(G4='Project Assumptions'!$I$42,G50-G52&gt;1),"ERROR",IF(G4&gt;'Project Assumptions'!$I$42,0,G50-G52))))</f>
        <v>Turned Off</v>
      </c>
      <c r="H54" s="297" t="str">
        <f aca="false">IF('Project Assumptions'!$F$38&lt;&gt;"Coverage Ratio","Turned Off",IF(H4&lt;'Project Assumptions'!$I$42+1,H50-H52,IF(AND(H4='Project Assumptions'!$I$42,H50-H52&gt;1),"ERROR",IF(H4&gt;'Project Assumptions'!$I$42,0,H50-H52))))</f>
        <v>Turned Off</v>
      </c>
      <c r="I54" s="297" t="str">
        <f aca="false">IF('Project Assumptions'!$F$38&lt;&gt;"Coverage Ratio","Turned Off",IF(I4&lt;'Project Assumptions'!$I$42+1,I50-I52,IF(AND(I4='Project Assumptions'!$I$42,I50-I52&gt;1),"ERROR",IF(I4&gt;'Project Assumptions'!$I$42,0,I50-I52))))</f>
        <v>Turned Off</v>
      </c>
      <c r="J54" s="297" t="str">
        <f aca="false">IF('Project Assumptions'!$F$38&lt;&gt;"Coverage Ratio","Turned Off",IF(J4&lt;'Project Assumptions'!$I$42+1,J50-J52,IF(AND(J4='Project Assumptions'!$I$42,J50-J52&gt;1),"ERROR",IF(J4&gt;'Project Assumptions'!$I$42,0,J50-J52))))</f>
        <v>Turned Off</v>
      </c>
      <c r="K54" s="297" t="str">
        <f aca="false">IF('Project Assumptions'!$F$38&lt;&gt;"Coverage Ratio","Turned Off",IF(K4&lt;'Project Assumptions'!$I$42+1,K50-K52,IF(AND(K4='Project Assumptions'!$I$42,K50-K52&gt;1),"ERROR",IF(K4&gt;'Project Assumptions'!$I$42,0,K50-K52))))</f>
        <v>Turned Off</v>
      </c>
      <c r="L54" s="297" t="str">
        <f aca="false">IF('Project Assumptions'!$F$38&lt;&gt;"Coverage Ratio","Turned Off",IF(L4&lt;'Project Assumptions'!$I$42+1,L50-L52,IF(AND(L4='Project Assumptions'!$I$42,L50-L52&gt;1),"ERROR",IF(L4&gt;'Project Assumptions'!$I$42,0,L50-L52))))</f>
        <v>Turned Off</v>
      </c>
      <c r="M54" s="297" t="str">
        <f aca="false">IF('Project Assumptions'!$F$38&lt;&gt;"Coverage Ratio","Turned Off",IF(M4&lt;'Project Assumptions'!$I$42+1,M50-M52,IF(AND(M4='Project Assumptions'!$I$42,M50-M52&gt;1),"ERROR",IF(M4&gt;'Project Assumptions'!$I$42,0,M50-M52))))</f>
        <v>Turned Off</v>
      </c>
      <c r="N54" s="297" t="str">
        <f aca="false">IF('Project Assumptions'!$F$38&lt;&gt;"Coverage Ratio","Turned Off",IF(N4&lt;'Project Assumptions'!$I$42+1,N50-N52,IF(AND(N4='Project Assumptions'!$I$42,N50-N52&gt;1),"ERROR",IF(N4&gt;'Project Assumptions'!$I$42,0,N50-N52))))</f>
        <v>Turned Off</v>
      </c>
      <c r="O54" s="297" t="str">
        <f aca="false">IF('Project Assumptions'!$F$38&lt;&gt;"Coverage Ratio","Turned Off",IF(O4&lt;'Project Assumptions'!$I$42+1,O50-O52,IF(AND(O4='Project Assumptions'!$I$42,O50-O52&gt;1),"ERROR",IF(O4&gt;'Project Assumptions'!$I$42,0,O50-O52))))</f>
        <v>Turned Off</v>
      </c>
      <c r="P54" s="297" t="str">
        <f aca="false">IF('Project Assumptions'!$F$38&lt;&gt;"Coverage Ratio","Turned Off",IF(P4&lt;'Project Assumptions'!$I$42+1,P50-P52,IF(AND(P4='Project Assumptions'!$I$42,P50-P52&gt;1),"ERROR",IF(P4&gt;'Project Assumptions'!$I$42,0,P50-P52))))</f>
        <v>Turned Off</v>
      </c>
      <c r="Q54" s="297" t="str">
        <f aca="false">IF('Project Assumptions'!$F$38&lt;&gt;"Coverage Ratio","Turned Off",IF(Q4&lt;'Project Assumptions'!$I$42+1,Q50-Q52,IF(AND(Q4='Project Assumptions'!$I$42,Q50-Q52&gt;1),"ERROR",IF(Q4&gt;'Project Assumptions'!$I$42,0,Q50-Q52))))</f>
        <v>Turned Off</v>
      </c>
      <c r="R54" s="297" t="str">
        <f aca="false">IF('Project Assumptions'!$F$38&lt;&gt;"Coverage Ratio","Turned Off",IF(R4&lt;'Project Assumptions'!$I$42+1,R50-R52,IF(AND(R4='Project Assumptions'!$I$42,R50-R52&gt;1),"ERROR",IF(R4&gt;'Project Assumptions'!$I$42,0,R50-R52))))</f>
        <v>Turned Off</v>
      </c>
      <c r="S54" s="297" t="str">
        <f aca="false">IF('Project Assumptions'!$F$38&lt;&gt;"Coverage Ratio","Turned Off",IF(S4&lt;'Project Assumptions'!$I$42+1,S50-S52,IF(AND(S4='Project Assumptions'!$I$42,S50-S52&gt;1),"ERROR",IF(S4&gt;'Project Assumptions'!$I$42,0,S50-S52))))</f>
        <v>Turned Off</v>
      </c>
      <c r="T54" s="0"/>
      <c r="U54" s="0"/>
      <c r="V54" s="0"/>
      <c r="W54" s="0"/>
      <c r="X54" s="0"/>
      <c r="Y54" s="0"/>
      <c r="Z54" s="0"/>
      <c r="AA54" s="0"/>
      <c r="AB54" s="0"/>
    </row>
    <row r="55" customFormat="false" ht="12.75" hidden="true" customHeight="false" outlineLevel="0" collapsed="false">
      <c r="A55" s="184" t="s">
        <v>299</v>
      </c>
      <c r="D55" s="311" t="str">
        <f aca="false">IF('Project Assumptions'!$F$38&lt;&gt;"Coverage Ratio","Turned Off",SUMPRODUCT(D4:AB4,D52:AB52)/C28)</f>
        <v>Turned Off</v>
      </c>
      <c r="E55" s="297"/>
      <c r="F55" s="297"/>
      <c r="G55" s="297"/>
      <c r="H55" s="297"/>
      <c r="I55" s="297"/>
      <c r="J55" s="297"/>
      <c r="K55" s="297"/>
      <c r="L55" s="297"/>
      <c r="M55" s="297"/>
      <c r="N55" s="302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</row>
    <row r="56" customFormat="false" ht="12.75" hidden="true" customHeight="false" outlineLevel="0" collapsed="false"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</row>
    <row r="57" customFormat="false" ht="12.75" hidden="true" customHeight="false" outlineLevel="0" collapsed="false">
      <c r="C57" s="297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297"/>
      <c r="U57" s="297"/>
      <c r="V57" s="297"/>
      <c r="W57" s="297"/>
      <c r="X57" s="297"/>
      <c r="Y57" s="297"/>
      <c r="Z57" s="297"/>
      <c r="AA57" s="297"/>
    </row>
    <row r="58" customFormat="false" ht="12.75" hidden="true" customHeight="false" outlineLevel="0" collapsed="false"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</row>
    <row r="59" customFormat="false" ht="12.75" hidden="true" customHeight="false" outlineLevel="0" collapsed="false"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</row>
    <row r="60" customFormat="false" ht="12.75" hidden="true" customHeight="false" outlineLevel="0" collapsed="false"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</row>
    <row r="61" customFormat="false" ht="12.75" hidden="true" customHeight="false" outlineLevel="0" collapsed="false">
      <c r="D61" s="184" t="n">
        <v>1</v>
      </c>
      <c r="E61" s="184" t="n">
        <f aca="false">D61+1</f>
        <v>2</v>
      </c>
      <c r="F61" s="184" t="n">
        <f aca="false">E61+1</f>
        <v>3</v>
      </c>
      <c r="G61" s="184" t="n">
        <f aca="false">F61+1</f>
        <v>4</v>
      </c>
      <c r="H61" s="184" t="n">
        <f aca="false">G61+1</f>
        <v>5</v>
      </c>
      <c r="I61" s="184" t="n">
        <f aca="false">H61+1</f>
        <v>6</v>
      </c>
      <c r="J61" s="184" t="n">
        <f aca="false">I61+1</f>
        <v>7</v>
      </c>
      <c r="K61" s="184" t="n">
        <f aca="false">J61+1</f>
        <v>8</v>
      </c>
      <c r="L61" s="184" t="n">
        <f aca="false">K61+1</f>
        <v>9</v>
      </c>
      <c r="M61" s="184" t="n">
        <f aca="false">L61+1</f>
        <v>10</v>
      </c>
      <c r="N61" s="184" t="n">
        <f aca="false">M61+1</f>
        <v>11</v>
      </c>
      <c r="O61" s="184" t="n">
        <f aca="false">N61+1</f>
        <v>12</v>
      </c>
      <c r="P61" s="184" t="n">
        <f aca="false">O61+1</f>
        <v>13</v>
      </c>
      <c r="Q61" s="184" t="n">
        <f aca="false">P61+1</f>
        <v>14</v>
      </c>
      <c r="R61" s="184" t="n">
        <f aca="false">Q61+1</f>
        <v>15</v>
      </c>
      <c r="S61" s="184" t="n">
        <f aca="false">R61+1</f>
        <v>16</v>
      </c>
      <c r="T61" s="0"/>
      <c r="U61" s="0"/>
      <c r="V61" s="0"/>
      <c r="W61" s="0"/>
      <c r="X61" s="0"/>
      <c r="Y61" s="0"/>
      <c r="Z61" s="0"/>
      <c r="AA61" s="0"/>
      <c r="AB61" s="0"/>
    </row>
    <row r="62" customFormat="false" ht="12.75" hidden="true" customHeight="false" outlineLevel="0" collapsed="false">
      <c r="A62" s="222" t="s">
        <v>305</v>
      </c>
      <c r="B62" s="316"/>
      <c r="C62" s="297"/>
      <c r="D62" s="291" t="n">
        <f aca="false">D5</f>
        <v>2000</v>
      </c>
      <c r="E62" s="291" t="n">
        <f aca="false">E5</f>
        <v>2001</v>
      </c>
      <c r="F62" s="291" t="n">
        <f aca="false">F5</f>
        <v>2002</v>
      </c>
      <c r="G62" s="291" t="n">
        <f aca="false">G5</f>
        <v>2003</v>
      </c>
      <c r="H62" s="291" t="n">
        <f aca="false">H5</f>
        <v>2004</v>
      </c>
      <c r="I62" s="291" t="n">
        <f aca="false">I5</f>
        <v>2005</v>
      </c>
      <c r="J62" s="291" t="n">
        <f aca="false">J5</f>
        <v>2006</v>
      </c>
      <c r="K62" s="291" t="n">
        <f aca="false">K5</f>
        <v>2007</v>
      </c>
      <c r="L62" s="291" t="n">
        <f aca="false">L5</f>
        <v>2008</v>
      </c>
      <c r="M62" s="291" t="n">
        <f aca="false">M5</f>
        <v>2009</v>
      </c>
      <c r="N62" s="291" t="n">
        <f aca="false">N5</f>
        <v>2010</v>
      </c>
      <c r="O62" s="291" t="n">
        <f aca="false">O5</f>
        <v>2011</v>
      </c>
      <c r="P62" s="291" t="n">
        <f aca="false">P5</f>
        <v>2012</v>
      </c>
      <c r="Q62" s="291" t="n">
        <f aca="false">Q5</f>
        <v>2013</v>
      </c>
      <c r="R62" s="291" t="n">
        <f aca="false">R5</f>
        <v>2014</v>
      </c>
      <c r="S62" s="291" t="n">
        <f aca="false">S5</f>
        <v>2015</v>
      </c>
      <c r="T62" s="0"/>
      <c r="U62" s="0"/>
      <c r="V62" s="0"/>
      <c r="W62" s="0"/>
      <c r="X62" s="0"/>
      <c r="Y62" s="0"/>
      <c r="Z62" s="0"/>
      <c r="AA62" s="0"/>
      <c r="AB62" s="0"/>
    </row>
    <row r="63" customFormat="false" ht="12.75" hidden="true" customHeight="false" outlineLevel="0" collapsed="false">
      <c r="A63" s="184" t="s">
        <v>294</v>
      </c>
      <c r="B63" s="295"/>
      <c r="D63" s="297" t="n">
        <f aca="false">IF('Project Assumptions'!$I$39="Mortgage Style",E74,IF('Project Assumptions'!$I$39="Level Principal",E101,'Debt Amortization'!E111))</f>
        <v>113344.927741223</v>
      </c>
      <c r="E63" s="297" t="n">
        <f aca="false">IF(E169&gt;'Project Assumptions'!$I$42+1,0,D67)</f>
        <v>110962.501312395</v>
      </c>
      <c r="F63" s="297" t="n">
        <f aca="false">IF(F169&gt;'Project Assumptions'!$I$42+1,0,E67)</f>
        <v>105981.085892358</v>
      </c>
      <c r="G63" s="297" t="n">
        <f aca="false">IF(G169&gt;'Project Assumptions'!$I$42+1,0,F67)</f>
        <v>100696.302273241</v>
      </c>
      <c r="H63" s="297" t="n">
        <f aca="false">IF(H169&gt;'Project Assumptions'!$I$42+1,0,G67)</f>
        <v>95089.6753317205</v>
      </c>
      <c r="I63" s="297" t="n">
        <f aca="false">IF(I169&gt;'Project Assumptions'!$I$42+1,0,H67)</f>
        <v>89141.6048094608</v>
      </c>
      <c r="J63" s="297" t="n">
        <f aca="false">IF(J169&gt;'Project Assumptions'!$I$42+1,0,I67)</f>
        <v>82831.2967923955</v>
      </c>
      <c r="K63" s="297" t="n">
        <f aca="false">IF(K169&gt;'Project Assumptions'!$I$42+1,0,J67)</f>
        <v>76136.691017091</v>
      </c>
      <c r="L63" s="297" t="n">
        <f aca="false">IF(L169&gt;'Project Assumptions'!$I$42+1,0,K67)</f>
        <v>69034.3837500704</v>
      </c>
      <c r="M63" s="297" t="n">
        <f aca="false">IF(M169&gt;'Project Assumptions'!$I$42+1,0,L67)</f>
        <v>61499.5459704883</v>
      </c>
      <c r="N63" s="297" t="n">
        <f aca="false">IF(N169&gt;'Project Assumptions'!$I$42+1,0,M67)</f>
        <v>53505.8365701296</v>
      </c>
      <c r="O63" s="297" t="n">
        <f aca="false">IF(O169&gt;'Project Assumptions'!$I$42+1,0,N67)</f>
        <v>45025.310267289</v>
      </c>
      <c r="P63" s="297" t="n">
        <f aca="false">IF(P169&gt;'Project Assumptions'!$I$42+1,0,O67)</f>
        <v>36028.3199126055</v>
      </c>
      <c r="Q63" s="297" t="n">
        <f aca="false">IF(Q169&gt;'Project Assumptions'!$I$42+1,0,P67)</f>
        <v>26483.4128453217</v>
      </c>
      <c r="R63" s="297" t="n">
        <f aca="false">IF(R169&gt;'Project Assumptions'!$I$42+1,0,Q67)</f>
        <v>16357.2209376404</v>
      </c>
      <c r="S63" s="297" t="n">
        <f aca="false">IF(S169&gt;'Project Assumptions'!$I$42+1,0,R67)</f>
        <v>5614.34394278123</v>
      </c>
      <c r="T63" s="0"/>
      <c r="U63" s="0"/>
      <c r="V63" s="0"/>
      <c r="W63" s="0"/>
      <c r="X63" s="0"/>
      <c r="Y63" s="0"/>
      <c r="Z63" s="0"/>
      <c r="AA63" s="0"/>
      <c r="AB63" s="0"/>
    </row>
    <row r="64" customFormat="false" ht="12.75" hidden="true" customHeight="false" outlineLevel="0" collapsed="false">
      <c r="A64" s="184" t="s">
        <v>295</v>
      </c>
      <c r="B64" s="317"/>
      <c r="C64" s="306"/>
      <c r="D64" s="297" t="n">
        <f aca="false">D91</f>
        <v>3400.34783223669</v>
      </c>
      <c r="E64" s="297" t="n">
        <f aca="false">E91</f>
        <v>6584.13310209291</v>
      </c>
      <c r="F64" s="297" t="n">
        <f aca="false">F91</f>
        <v>6280.76490301268</v>
      </c>
      <c r="G64" s="297" t="n">
        <f aca="false">G91</f>
        <v>5958.92158060846</v>
      </c>
      <c r="H64" s="297" t="n">
        <f aca="false">H91</f>
        <v>5617.47799986983</v>
      </c>
      <c r="I64" s="297" t="n">
        <f aca="false">I91</f>
        <v>5255.24050506422</v>
      </c>
      <c r="J64" s="297" t="n">
        <f aca="false">J91</f>
        <v>4870.94274682494</v>
      </c>
      <c r="K64" s="297" t="n">
        <f aca="false">K91</f>
        <v>4463.2412551089</v>
      </c>
      <c r="L64" s="297" t="n">
        <f aca="false">L91</f>
        <v>4030.71074254734</v>
      </c>
      <c r="M64" s="297" t="n">
        <f aca="false">M91</f>
        <v>3571.83912177079</v>
      </c>
      <c r="N64" s="297" t="n">
        <f aca="false">N91</f>
        <v>3085.02221928894</v>
      </c>
      <c r="O64" s="297" t="n">
        <f aca="false">O91</f>
        <v>2568.55816744595</v>
      </c>
      <c r="P64" s="297" t="n">
        <f aca="false">P91</f>
        <v>2020.64145484573</v>
      </c>
      <c r="Q64" s="297" t="n">
        <f aca="false">Q91</f>
        <v>1439.35661444814</v>
      </c>
      <c r="R64" s="297" t="n">
        <f aca="false">R91</f>
        <v>822.67152727035</v>
      </c>
      <c r="S64" s="297" t="n">
        <f aca="false">S91</f>
        <v>168.430318283433</v>
      </c>
      <c r="T64" s="0"/>
      <c r="U64" s="0"/>
      <c r="V64" s="0"/>
      <c r="W64" s="0"/>
      <c r="X64" s="0"/>
      <c r="Y64" s="0"/>
      <c r="Z64" s="0"/>
      <c r="AA64" s="0"/>
      <c r="AB64" s="0"/>
    </row>
    <row r="65" customFormat="false" ht="12.75" hidden="true" customHeight="false" outlineLevel="0" collapsed="false">
      <c r="A65" s="184" t="s">
        <v>296</v>
      </c>
      <c r="C65" s="306"/>
      <c r="D65" s="297" t="n">
        <f aca="false">D92</f>
        <v>2382.42642882806</v>
      </c>
      <c r="E65" s="297" t="n">
        <f aca="false">E92</f>
        <v>4981.41542003658</v>
      </c>
      <c r="F65" s="297" t="n">
        <f aca="false">F92</f>
        <v>5284.78361911681</v>
      </c>
      <c r="G65" s="297" t="n">
        <f aca="false">G92</f>
        <v>5606.62694152103</v>
      </c>
      <c r="H65" s="297" t="n">
        <f aca="false">H92</f>
        <v>5948.07052225966</v>
      </c>
      <c r="I65" s="297" t="n">
        <f aca="false">I92</f>
        <v>6310.30801706527</v>
      </c>
      <c r="J65" s="297" t="n">
        <f aca="false">J92</f>
        <v>6694.60577530455</v>
      </c>
      <c r="K65" s="297" t="n">
        <f aca="false">K92</f>
        <v>7102.30726702059</v>
      </c>
      <c r="L65" s="297" t="n">
        <f aca="false">L92</f>
        <v>7534.83777958215</v>
      </c>
      <c r="M65" s="297" t="n">
        <f aca="false">M92</f>
        <v>7993.7094003587</v>
      </c>
      <c r="N65" s="297" t="n">
        <f aca="false">N92</f>
        <v>8480.52630284055</v>
      </c>
      <c r="O65" s="297" t="n">
        <f aca="false">O92</f>
        <v>8996.99035468354</v>
      </c>
      <c r="P65" s="297" t="n">
        <f aca="false">P92</f>
        <v>9544.90706728376</v>
      </c>
      <c r="Q65" s="297" t="n">
        <f aca="false">Q92</f>
        <v>10126.1919076813</v>
      </c>
      <c r="R65" s="297" t="n">
        <f aca="false">R92</f>
        <v>10742.8769948591</v>
      </c>
      <c r="S65" s="297" t="n">
        <f aca="false">S92</f>
        <v>5614.34394278131</v>
      </c>
      <c r="T65" s="0"/>
      <c r="U65" s="0"/>
      <c r="V65" s="0"/>
      <c r="W65" s="0"/>
      <c r="X65" s="0"/>
      <c r="Y65" s="0"/>
      <c r="Z65" s="0"/>
      <c r="AA65" s="0"/>
      <c r="AB65" s="0"/>
    </row>
    <row r="66" customFormat="false" ht="12.75" hidden="true" customHeight="false" outlineLevel="0" collapsed="false">
      <c r="A66" s="184" t="s">
        <v>297</v>
      </c>
      <c r="C66" s="306"/>
      <c r="D66" s="297" t="n">
        <f aca="false">D93</f>
        <v>5782.77426106475</v>
      </c>
      <c r="E66" s="297" t="n">
        <f aca="false">E93</f>
        <v>11565.5485221295</v>
      </c>
      <c r="F66" s="297" t="n">
        <f aca="false">F93</f>
        <v>11565.5485221295</v>
      </c>
      <c r="G66" s="297" t="n">
        <f aca="false">G93</f>
        <v>11565.5485221295</v>
      </c>
      <c r="H66" s="297" t="n">
        <f aca="false">H93</f>
        <v>11565.5485221295</v>
      </c>
      <c r="I66" s="297" t="n">
        <f aca="false">I93</f>
        <v>11565.5485221295</v>
      </c>
      <c r="J66" s="297" t="n">
        <f aca="false">J93</f>
        <v>11565.5485221295</v>
      </c>
      <c r="K66" s="297" t="n">
        <f aca="false">K93</f>
        <v>11565.5485221295</v>
      </c>
      <c r="L66" s="297" t="n">
        <f aca="false">L93</f>
        <v>11565.5485221295</v>
      </c>
      <c r="M66" s="297" t="n">
        <f aca="false">M93</f>
        <v>11565.5485221295</v>
      </c>
      <c r="N66" s="297" t="n">
        <f aca="false">N93</f>
        <v>11565.5485221295</v>
      </c>
      <c r="O66" s="297" t="n">
        <f aca="false">O93</f>
        <v>11565.5485221295</v>
      </c>
      <c r="P66" s="297" t="n">
        <f aca="false">P93</f>
        <v>11565.5485221295</v>
      </c>
      <c r="Q66" s="297" t="n">
        <f aca="false">Q93</f>
        <v>11565.5485221295</v>
      </c>
      <c r="R66" s="297" t="n">
        <f aca="false">R93</f>
        <v>11565.5485221295</v>
      </c>
      <c r="S66" s="297" t="n">
        <f aca="false">S93</f>
        <v>5782.77426106475</v>
      </c>
      <c r="T66" s="0"/>
      <c r="U66" s="0"/>
      <c r="V66" s="0"/>
      <c r="W66" s="0"/>
      <c r="X66" s="0"/>
      <c r="Y66" s="0"/>
      <c r="Z66" s="0"/>
      <c r="AA66" s="0"/>
      <c r="AB66" s="0"/>
    </row>
    <row r="67" customFormat="false" ht="12.75" hidden="true" customHeight="false" outlineLevel="0" collapsed="false">
      <c r="A67" s="184" t="s">
        <v>298</v>
      </c>
      <c r="D67" s="297" t="n">
        <f aca="false">D63-D65</f>
        <v>110962.501312395</v>
      </c>
      <c r="E67" s="297" t="n">
        <f aca="false">E63-E65</f>
        <v>105981.085892358</v>
      </c>
      <c r="F67" s="297" t="n">
        <f aca="false">F63-F65</f>
        <v>100696.302273241</v>
      </c>
      <c r="G67" s="297" t="n">
        <f aca="false">G63-G65</f>
        <v>95089.6753317205</v>
      </c>
      <c r="H67" s="297" t="n">
        <f aca="false">H63-H65</f>
        <v>89141.6048094608</v>
      </c>
      <c r="I67" s="297" t="n">
        <f aca="false">I63-I65</f>
        <v>82831.2967923955</v>
      </c>
      <c r="J67" s="297" t="n">
        <f aca="false">J63-J65</f>
        <v>76136.691017091</v>
      </c>
      <c r="K67" s="297" t="n">
        <f aca="false">K63-K65</f>
        <v>69034.3837500704</v>
      </c>
      <c r="L67" s="297" t="n">
        <f aca="false">L63-L65</f>
        <v>61499.5459704883</v>
      </c>
      <c r="M67" s="297" t="n">
        <f aca="false">M63-M65</f>
        <v>53505.8365701296</v>
      </c>
      <c r="N67" s="297" t="n">
        <f aca="false">N63-N65</f>
        <v>45025.310267289</v>
      </c>
      <c r="O67" s="297" t="n">
        <f aca="false">O63-O65</f>
        <v>36028.3199126055</v>
      </c>
      <c r="P67" s="297" t="n">
        <f aca="false">P63-P65</f>
        <v>26483.4128453217</v>
      </c>
      <c r="Q67" s="297" t="n">
        <f aca="false">Q63-Q65</f>
        <v>16357.2209376404</v>
      </c>
      <c r="R67" s="297" t="n">
        <f aca="false">R63-R65</f>
        <v>5614.34394278123</v>
      </c>
      <c r="S67" s="297" t="n">
        <f aca="false">S63-S65</f>
        <v>-8.27640178613365E-011</v>
      </c>
      <c r="T67" s="0"/>
      <c r="U67" s="0"/>
      <c r="V67" s="0"/>
      <c r="W67" s="0"/>
      <c r="X67" s="0"/>
      <c r="Y67" s="0"/>
      <c r="Z67" s="0"/>
      <c r="AA67" s="0"/>
      <c r="AB67" s="0"/>
    </row>
    <row r="68" customFormat="false" ht="12.75" hidden="true" customHeight="false" outlineLevel="0" collapsed="false">
      <c r="A68" s="184" t="s">
        <v>299</v>
      </c>
      <c r="D68" s="311" t="n">
        <f aca="false">SUMPRODUCT(D4:AB4,D65:AB65)/D63</f>
        <v>9.59665757474042</v>
      </c>
      <c r="E68" s="297"/>
      <c r="F68" s="297"/>
      <c r="G68" s="297"/>
      <c r="H68" s="297"/>
      <c r="I68" s="297"/>
      <c r="J68" s="297"/>
      <c r="K68" s="297"/>
      <c r="L68" s="297"/>
      <c r="M68" s="297"/>
      <c r="N68" s="302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</row>
    <row r="69" customFormat="false" ht="12.75" hidden="true" customHeight="false" outlineLevel="0" collapsed="false"/>
    <row r="70" customFormat="false" ht="12.75" hidden="true" customHeight="false" outlineLevel="0" collapsed="false">
      <c r="E70" s="319"/>
    </row>
    <row r="71" customFormat="false" ht="12.75" hidden="true" customHeight="false" outlineLevel="0" collapsed="false">
      <c r="A71" s="222" t="s">
        <v>306</v>
      </c>
      <c r="C71" s="319" t="n">
        <f aca="false">'Project Assumptions'!F25</f>
        <v>36769</v>
      </c>
      <c r="D71" s="319" t="n">
        <v>36891</v>
      </c>
      <c r="E71" s="319" t="n">
        <f aca="false">EDATE('Project Assumptions'!F25,6)</f>
        <v>36950</v>
      </c>
      <c r="F71" s="319" t="n">
        <f aca="false">+EDATE(E71,6)</f>
        <v>37131</v>
      </c>
      <c r="G71" s="319" t="n">
        <f aca="false">+EDATE(F71,6)</f>
        <v>37315</v>
      </c>
      <c r="H71" s="319" t="n">
        <f aca="false">+EDATE(G71,6)</f>
        <v>37496</v>
      </c>
      <c r="I71" s="319" t="n">
        <f aca="false">+EDATE(H71,6)</f>
        <v>37680</v>
      </c>
      <c r="J71" s="319" t="n">
        <f aca="false">+EDATE(I71,6)</f>
        <v>37861</v>
      </c>
      <c r="K71" s="319" t="n">
        <f aca="false">+EDATE(J71,6)</f>
        <v>38045</v>
      </c>
      <c r="L71" s="319" t="n">
        <f aca="false">+EDATE(K71,6)</f>
        <v>38227</v>
      </c>
      <c r="M71" s="319" t="n">
        <f aca="false">+EDATE(L71,6)</f>
        <v>38411</v>
      </c>
      <c r="N71" s="319" t="n">
        <f aca="false">+EDATE(M71,6)</f>
        <v>38592</v>
      </c>
      <c r="O71" s="319" t="n">
        <f aca="false">+EDATE(N71,6)</f>
        <v>38776</v>
      </c>
      <c r="P71" s="319" t="n">
        <f aca="false">+EDATE(O71,6)</f>
        <v>38957</v>
      </c>
      <c r="Q71" s="319" t="n">
        <f aca="false">+EDATE(P71,6)</f>
        <v>39141</v>
      </c>
      <c r="R71" s="319" t="n">
        <f aca="false">+EDATE(Q71,6)</f>
        <v>39322</v>
      </c>
      <c r="S71" s="319" t="n">
        <f aca="false">+EDATE(R71,6)</f>
        <v>39506</v>
      </c>
      <c r="T71" s="319" t="n">
        <f aca="false">+EDATE(S71,6)</f>
        <v>39688</v>
      </c>
      <c r="U71" s="319" t="n">
        <f aca="false">+EDATE(T71,6)</f>
        <v>39872</v>
      </c>
      <c r="V71" s="319" t="n">
        <f aca="false">+EDATE(U71,6)</f>
        <v>40053</v>
      </c>
      <c r="W71" s="319" t="n">
        <f aca="false">+EDATE(V71,6)</f>
        <v>40237</v>
      </c>
      <c r="X71" s="319" t="n">
        <f aca="false">+EDATE(W71,6)</f>
        <v>40418</v>
      </c>
      <c r="Y71" s="319" t="n">
        <f aca="false">+EDATE(X71,6)</f>
        <v>40602</v>
      </c>
      <c r="Z71" s="319" t="n">
        <f aca="false">+EDATE(Y71,6)</f>
        <v>40783</v>
      </c>
      <c r="AA71" s="319" t="n">
        <f aca="false">+EDATE(Z71,6)</f>
        <v>40967</v>
      </c>
      <c r="AB71" s="319" t="n">
        <f aca="false">+EDATE(AA71,6)</f>
        <v>41149</v>
      </c>
      <c r="AC71" s="319" t="n">
        <f aca="false">+EDATE(AB71,6)</f>
        <v>41333</v>
      </c>
      <c r="AD71" s="319" t="n">
        <f aca="false">+EDATE(AC71,6)</f>
        <v>41514</v>
      </c>
      <c r="AE71" s="319" t="n">
        <f aca="false">+EDATE(AD71,6)</f>
        <v>41698</v>
      </c>
      <c r="AF71" s="319" t="n">
        <f aca="false">+EDATE(AE71,6)</f>
        <v>41879</v>
      </c>
      <c r="AG71" s="319" t="n">
        <f aca="false">+EDATE(AF71,6)</f>
        <v>42063</v>
      </c>
      <c r="AH71" s="319" t="n">
        <f aca="false">+EDATE(AG71,6)</f>
        <v>42244</v>
      </c>
    </row>
    <row r="72" customFormat="false" ht="12.75" hidden="true" customHeight="false" outlineLevel="0" collapsed="false">
      <c r="D72" s="184" t="n">
        <v>2000</v>
      </c>
      <c r="E72" s="184" t="n">
        <v>2000</v>
      </c>
      <c r="F72" s="184" t="n">
        <v>2001</v>
      </c>
      <c r="G72" s="184" t="n">
        <v>2001</v>
      </c>
      <c r="H72" s="184" t="n">
        <v>2002</v>
      </c>
      <c r="I72" s="184" t="n">
        <f aca="false">+IF(H72-E72=1,H72+1,H72)</f>
        <v>2002</v>
      </c>
      <c r="J72" s="184" t="n">
        <f aca="false">+IF(I72-F72=1,I72+1,I72)</f>
        <v>2003</v>
      </c>
      <c r="K72" s="184" t="n">
        <f aca="false">+IF(J72-G72=1,J72+1,J72)</f>
        <v>2003</v>
      </c>
      <c r="L72" s="184" t="n">
        <f aca="false">+IF(K72-H72=1,K72+1,K72)</f>
        <v>2004</v>
      </c>
      <c r="M72" s="184" t="n">
        <f aca="false">+IF(L72-I72=1,L72+1,L72)</f>
        <v>2004</v>
      </c>
      <c r="N72" s="184" t="n">
        <f aca="false">+IF(M72-J72=1,M72+1,M72)</f>
        <v>2005</v>
      </c>
      <c r="O72" s="184" t="n">
        <f aca="false">+IF(N72-K72=1,N72+1,N72)</f>
        <v>2005</v>
      </c>
      <c r="P72" s="184" t="n">
        <f aca="false">+IF(O72-L72=1,O72+1,O72)</f>
        <v>2006</v>
      </c>
      <c r="Q72" s="184" t="n">
        <f aca="false">+IF(P72-M72=1,P72+1,P72)</f>
        <v>2006</v>
      </c>
      <c r="R72" s="184" t="n">
        <f aca="false">+IF(Q72-N72=1,Q72+1,Q72)</f>
        <v>2007</v>
      </c>
      <c r="S72" s="184" t="n">
        <f aca="false">+IF(R72-O72=1,R72+1,R72)</f>
        <v>2007</v>
      </c>
      <c r="T72" s="184" t="n">
        <f aca="false">+IF(S72-P72=1,S72+1,S72)</f>
        <v>2008</v>
      </c>
      <c r="U72" s="184" t="n">
        <f aca="false">+IF(T72-Q72=1,T72+1,T72)</f>
        <v>2008</v>
      </c>
      <c r="V72" s="184" t="n">
        <f aca="false">+IF(U72-R72=1,U72+1,U72)</f>
        <v>2009</v>
      </c>
      <c r="W72" s="184" t="n">
        <f aca="false">+IF(V72-S72=1,V72+1,V72)</f>
        <v>2009</v>
      </c>
      <c r="X72" s="184" t="n">
        <f aca="false">+IF(W72-T72=1,W72+1,W72)</f>
        <v>2010</v>
      </c>
      <c r="Y72" s="184" t="n">
        <f aca="false">+IF(X72-U72=1,X72+1,X72)</f>
        <v>2010</v>
      </c>
      <c r="Z72" s="184" t="n">
        <f aca="false">+IF(Y72-V72=1,Y72+1,Y72)</f>
        <v>2011</v>
      </c>
      <c r="AA72" s="184" t="n">
        <f aca="false">+IF(Z72-W72=1,Z72+1,Z72)</f>
        <v>2011</v>
      </c>
      <c r="AB72" s="184" t="n">
        <f aca="false">+IF(AA72-X72=1,AA72+1,AA72)</f>
        <v>2012</v>
      </c>
      <c r="AC72" s="184" t="n">
        <f aca="false">+IF(AB72-Y72=1,AB72+1,AB72)</f>
        <v>2012</v>
      </c>
      <c r="AD72" s="184" t="n">
        <f aca="false">+IF(AC72-Z72=1,AC72+1,AC72)</f>
        <v>2013</v>
      </c>
      <c r="AE72" s="184" t="n">
        <f aca="false">+IF(AD72-AA72=1,AD72+1,AD72)</f>
        <v>2013</v>
      </c>
      <c r="AF72" s="184" t="n">
        <f aca="false">+IF(AE72-AB72=1,AE72+1,AE72)</f>
        <v>2014</v>
      </c>
      <c r="AG72" s="184" t="n">
        <f aca="false">+IF(AF72-AC72=1,AF72+1,AF72)</f>
        <v>2014</v>
      </c>
      <c r="AH72" s="184" t="n">
        <f aca="false">+IF(AG72-AD72=1,AG72+1,AG72)</f>
        <v>2015</v>
      </c>
    </row>
    <row r="73" customFormat="false" ht="12.75" hidden="true" customHeight="false" outlineLevel="0" collapsed="false">
      <c r="A73" s="168" t="s">
        <v>307</v>
      </c>
      <c r="E73" s="184" t="n">
        <v>1</v>
      </c>
      <c r="F73" s="184" t="n">
        <f aca="false">E73+1</f>
        <v>2</v>
      </c>
      <c r="G73" s="184" t="n">
        <f aca="false">F73+1</f>
        <v>3</v>
      </c>
      <c r="H73" s="184" t="n">
        <f aca="false">G73+1</f>
        <v>4</v>
      </c>
      <c r="I73" s="184" t="n">
        <f aca="false">H73+1</f>
        <v>5</v>
      </c>
      <c r="J73" s="184" t="n">
        <f aca="false">I73+1</f>
        <v>6</v>
      </c>
      <c r="K73" s="184" t="n">
        <f aca="false">J73+1</f>
        <v>7</v>
      </c>
      <c r="L73" s="184" t="n">
        <f aca="false">K73+1</f>
        <v>8</v>
      </c>
      <c r="M73" s="184" t="n">
        <f aca="false">L73+1</f>
        <v>9</v>
      </c>
      <c r="N73" s="184" t="n">
        <f aca="false">M73+1</f>
        <v>10</v>
      </c>
      <c r="O73" s="184" t="n">
        <f aca="false">N73+1</f>
        <v>11</v>
      </c>
      <c r="P73" s="184" t="n">
        <f aca="false">O73+1</f>
        <v>12</v>
      </c>
      <c r="Q73" s="184" t="n">
        <f aca="false">P73+1</f>
        <v>13</v>
      </c>
      <c r="R73" s="184" t="n">
        <f aca="false">Q73+1</f>
        <v>14</v>
      </c>
      <c r="S73" s="184" t="n">
        <f aca="false">R73+1</f>
        <v>15</v>
      </c>
      <c r="T73" s="184" t="n">
        <f aca="false">S73+1</f>
        <v>16</v>
      </c>
      <c r="U73" s="184" t="n">
        <f aca="false">T73+1</f>
        <v>17</v>
      </c>
      <c r="V73" s="184" t="n">
        <f aca="false">U73+1</f>
        <v>18</v>
      </c>
      <c r="W73" s="184" t="n">
        <f aca="false">V73+1</f>
        <v>19</v>
      </c>
      <c r="X73" s="184" t="n">
        <f aca="false">W73+1</f>
        <v>20</v>
      </c>
      <c r="Y73" s="184" t="n">
        <f aca="false">X73+1</f>
        <v>21</v>
      </c>
      <c r="Z73" s="184" t="n">
        <f aca="false">Y73+1</f>
        <v>22</v>
      </c>
      <c r="AA73" s="184" t="n">
        <f aca="false">Z73+1</f>
        <v>23</v>
      </c>
      <c r="AB73" s="184" t="n">
        <f aca="false">AA73+1</f>
        <v>24</v>
      </c>
      <c r="AC73" s="184" t="n">
        <f aca="false">AB73+1</f>
        <v>25</v>
      </c>
      <c r="AD73" s="184" t="n">
        <f aca="false">AC73+1</f>
        <v>26</v>
      </c>
      <c r="AE73" s="184" t="n">
        <f aca="false">AD73+1</f>
        <v>27</v>
      </c>
      <c r="AF73" s="184" t="n">
        <f aca="false">AE73+1</f>
        <v>28</v>
      </c>
      <c r="AG73" s="184" t="n">
        <f aca="false">AF73+1</f>
        <v>29</v>
      </c>
      <c r="AH73" s="184" t="n">
        <f aca="false">AG73+1</f>
        <v>30</v>
      </c>
    </row>
    <row r="74" customFormat="false" ht="12.75" hidden="true" customHeight="false" outlineLevel="0" collapsed="false">
      <c r="A74" s="184" t="s">
        <v>294</v>
      </c>
      <c r="C74" s="319"/>
      <c r="D74" s="297"/>
      <c r="E74" s="297" t="n">
        <f aca="false">IDC!W36</f>
        <v>113344.927741223</v>
      </c>
      <c r="F74" s="306" t="n">
        <f aca="false">E78</f>
        <v>110962.501312395</v>
      </c>
      <c r="G74" s="306" t="n">
        <f aca="false">F78</f>
        <v>108508.602090702</v>
      </c>
      <c r="H74" s="306" t="n">
        <f aca="false">G78</f>
        <v>105981.085892358</v>
      </c>
      <c r="I74" s="306" t="n">
        <f aca="false">H78</f>
        <v>103377.744208064</v>
      </c>
      <c r="J74" s="306" t="n">
        <f aca="false">I78</f>
        <v>100696.302273242</v>
      </c>
      <c r="K74" s="306" t="n">
        <f aca="false">J78</f>
        <v>97934.417080374</v>
      </c>
      <c r="L74" s="306" t="n">
        <f aca="false">K78</f>
        <v>95089.6753317205</v>
      </c>
      <c r="M74" s="306" t="n">
        <f aca="false">L78</f>
        <v>92159.5913306073</v>
      </c>
      <c r="N74" s="306" t="n">
        <f aca="false">M78</f>
        <v>89141.6048094608</v>
      </c>
      <c r="O74" s="306" t="n">
        <f aca="false">N78</f>
        <v>86033.0786926799</v>
      </c>
      <c r="P74" s="306" t="n">
        <f aca="false">O78</f>
        <v>82831.2967923955</v>
      </c>
      <c r="Q74" s="306" t="n">
        <f aca="false">P78</f>
        <v>79533.4614351027</v>
      </c>
      <c r="R74" s="306" t="n">
        <f aca="false">Q78</f>
        <v>76136.691017091</v>
      </c>
      <c r="S74" s="306" t="n">
        <f aca="false">R78</f>
        <v>72638.017486539</v>
      </c>
      <c r="T74" s="306" t="n">
        <f aca="false">S78</f>
        <v>69034.3837500704</v>
      </c>
      <c r="U74" s="306" t="n">
        <f aca="false">T78</f>
        <v>65322.6410015078</v>
      </c>
      <c r="V74" s="306" t="n">
        <f aca="false">U78</f>
        <v>61499.5459704883</v>
      </c>
      <c r="W74" s="306" t="n">
        <f aca="false">V78</f>
        <v>57561.7580885382</v>
      </c>
      <c r="X74" s="306" t="n">
        <f aca="false">W78</f>
        <v>53505.8365701296</v>
      </c>
      <c r="Y74" s="306" t="n">
        <f aca="false">X78</f>
        <v>49328.2374061687</v>
      </c>
      <c r="Z74" s="306" t="n">
        <f aca="false">Y78</f>
        <v>45025.310267289</v>
      </c>
      <c r="AA74" s="306" t="n">
        <f aca="false">Z78</f>
        <v>40593.295314243</v>
      </c>
      <c r="AB74" s="306" t="n">
        <f aca="false">AA78</f>
        <v>36028.3199126055</v>
      </c>
      <c r="AC74" s="306" t="n">
        <f aca="false">AB78</f>
        <v>31326.3952489189</v>
      </c>
      <c r="AD74" s="306" t="n">
        <f aca="false">AC78</f>
        <v>26483.4128453217</v>
      </c>
      <c r="AE74" s="306" t="n">
        <f aca="false">AD78</f>
        <v>21495.1409696166</v>
      </c>
      <c r="AF74" s="306" t="n">
        <f aca="false">AE78</f>
        <v>16357.2209376404</v>
      </c>
      <c r="AG74" s="306" t="n">
        <f aca="false">AF78</f>
        <v>11065.1633047048</v>
      </c>
      <c r="AH74" s="306" t="n">
        <f aca="false">AG78</f>
        <v>5614.34394278124</v>
      </c>
    </row>
    <row r="75" customFormat="false" ht="12.75" hidden="true" customHeight="false" outlineLevel="0" collapsed="false">
      <c r="A75" s="184" t="s">
        <v>295</v>
      </c>
      <c r="B75" s="295"/>
      <c r="D75" s="297"/>
      <c r="E75" s="297" t="n">
        <f aca="false">-IPMT($D$22/2,E73,15*2,$E$74)</f>
        <v>3400.34783223669</v>
      </c>
      <c r="F75" s="297" t="n">
        <f aca="false">-IPMT($D$22/2,F73,15*2,$E$74)</f>
        <v>3328.87503937185</v>
      </c>
      <c r="G75" s="297" t="n">
        <f aca="false">-IPMT($D$22/2,G73,15*2,$E$74)</f>
        <v>3255.25806272106</v>
      </c>
      <c r="H75" s="297" t="n">
        <f aca="false">-IPMT($D$22/2,H73,15*2,$E$74)</f>
        <v>3179.43257677075</v>
      </c>
      <c r="I75" s="297" t="n">
        <f aca="false">-IPMT($D$22/2,I73,15*2,$E$74)</f>
        <v>3101.33232624193</v>
      </c>
      <c r="J75" s="297" t="n">
        <f aca="false">-IPMT($D$22/2,J73,15*2,$E$74)</f>
        <v>3020.88906819724</v>
      </c>
      <c r="K75" s="297" t="n">
        <f aca="false">-IPMT($D$22/2,K73,15*2,$E$74)</f>
        <v>2938.03251241122</v>
      </c>
      <c r="L75" s="297" t="n">
        <f aca="false">-IPMT($D$22/2,L73,15*2,$E$74)</f>
        <v>2852.69025995161</v>
      </c>
      <c r="M75" s="297" t="n">
        <f aca="false">-IPMT($D$22/2,M73,15*2,$E$74)</f>
        <v>2764.78773991822</v>
      </c>
      <c r="N75" s="297" t="n">
        <f aca="false">-IPMT($D$22/2,N73,15*2,$E$74)</f>
        <v>2674.24814428382</v>
      </c>
      <c r="O75" s="297" t="n">
        <f aca="false">-IPMT($D$22/2,O73,15*2,$E$74)</f>
        <v>2580.9923607804</v>
      </c>
      <c r="P75" s="297" t="n">
        <f aca="false">-IPMT($D$22/2,P73,15*2,$E$74)</f>
        <v>2484.93890377187</v>
      </c>
      <c r="Q75" s="297" t="n">
        <f aca="false">-IPMT($D$22/2,Q73,15*2,$E$74)</f>
        <v>2386.00384305308</v>
      </c>
      <c r="R75" s="297" t="n">
        <f aca="false">-IPMT($D$22/2,R73,15*2,$E$74)</f>
        <v>2284.10073051273</v>
      </c>
      <c r="S75" s="297" t="n">
        <f aca="false">-IPMT($D$22/2,S73,15*2,$E$74)</f>
        <v>2179.14052459617</v>
      </c>
      <c r="T75" s="297" t="n">
        <f aca="false">-IPMT($D$22/2,T73,15*2,$E$74)</f>
        <v>2071.03151250211</v>
      </c>
      <c r="U75" s="297" t="n">
        <f aca="false">-IPMT($D$22/2,U73,15*2,$E$74)</f>
        <v>1959.67923004523</v>
      </c>
      <c r="V75" s="297" t="n">
        <f aca="false">-IPMT($D$22/2,V73,15*2,$E$74)</f>
        <v>1844.98637911465</v>
      </c>
      <c r="W75" s="297" t="n">
        <f aca="false">-IPMT($D$22/2,W73,15*2,$E$74)</f>
        <v>1726.85274265614</v>
      </c>
      <c r="X75" s="297" t="n">
        <f aca="false">-IPMT($D$22/2,X73,15*2,$E$74)</f>
        <v>1605.17509710388</v>
      </c>
      <c r="Y75" s="297" t="n">
        <f aca="false">-IPMT($D$22/2,Y73,15*2,$E$74)</f>
        <v>1479.84712218506</v>
      </c>
      <c r="Z75" s="297" t="n">
        <f aca="false">-IPMT($D$22/2,Z73,15*2,$E$74)</f>
        <v>1350.75930801867</v>
      </c>
      <c r="AA75" s="297" t="n">
        <f aca="false">-IPMT($D$22/2,AA73,15*2,$E$74)</f>
        <v>1217.79885942729</v>
      </c>
      <c r="AB75" s="297" t="n">
        <f aca="false">-IPMT($D$22/2,AB73,15*2,$E$74)</f>
        <v>1080.84959737816</v>
      </c>
      <c r="AC75" s="297" t="n">
        <f aca="false">-IPMT($D$22/2,AC73,15*2,$E$74)</f>
        <v>939.791857467565</v>
      </c>
      <c r="AD75" s="297" t="n">
        <f aca="false">-IPMT($D$22/2,AD73,15*2,$E$74)</f>
        <v>794.502385359649</v>
      </c>
      <c r="AE75" s="297" t="n">
        <f aca="false">-IPMT($D$22/2,AE73,15*2,$E$74)</f>
        <v>644.854229088495</v>
      </c>
      <c r="AF75" s="297" t="n">
        <f aca="false">-IPMT($D$22/2,AF73,15*2,$E$74)</f>
        <v>490.716628129208</v>
      </c>
      <c r="AG75" s="297" t="n">
        <f aca="false">-IPMT($D$22/2,AG73,15*2,$E$74)</f>
        <v>331.954899141142</v>
      </c>
      <c r="AH75" s="297" t="n">
        <f aca="false">-IPMT($D$22/2,AH73,15*2,$E$74)</f>
        <v>168.430318283433</v>
      </c>
    </row>
    <row r="76" customFormat="false" ht="12.75" hidden="true" customHeight="false" outlineLevel="0" collapsed="false">
      <c r="A76" s="184" t="s">
        <v>296</v>
      </c>
      <c r="B76" s="295"/>
      <c r="D76" s="297"/>
      <c r="E76" s="297" t="n">
        <f aca="false">-PPMT($D$22/2,E73,15*2,$E$74)</f>
        <v>2382.42642882806</v>
      </c>
      <c r="F76" s="297" t="n">
        <f aca="false">-PPMT($D$22/2,F73,15*2,$E$74)</f>
        <v>2453.8992216929</v>
      </c>
      <c r="G76" s="297" t="n">
        <f aca="false">-PPMT($D$22/2,G73,15*2,$E$74)</f>
        <v>2527.51619834369</v>
      </c>
      <c r="H76" s="297" t="n">
        <f aca="false">-PPMT($D$22/2,H73,15*2,$E$74)</f>
        <v>2603.341684294</v>
      </c>
      <c r="I76" s="297" t="n">
        <f aca="false">-PPMT($D$22/2,I73,15*2,$E$74)</f>
        <v>2681.44193482282</v>
      </c>
      <c r="J76" s="297" t="n">
        <f aca="false">-PPMT($D$22/2,J73,15*2,$E$74)</f>
        <v>2761.8851928675</v>
      </c>
      <c r="K76" s="297" t="n">
        <f aca="false">-PPMT($D$22/2,K73,15*2,$E$74)</f>
        <v>2844.74174865353</v>
      </c>
      <c r="L76" s="297" t="n">
        <f aca="false">-PPMT($D$22/2,L73,15*2,$E$74)</f>
        <v>2930.08400111313</v>
      </c>
      <c r="M76" s="297" t="n">
        <f aca="false">-PPMT($D$22/2,M73,15*2,$E$74)</f>
        <v>3017.98652114653</v>
      </c>
      <c r="N76" s="297" t="n">
        <f aca="false">-PPMT($D$22/2,N73,15*2,$E$74)</f>
        <v>3108.52611678092</v>
      </c>
      <c r="O76" s="297" t="n">
        <f aca="false">-PPMT($D$22/2,O73,15*2,$E$74)</f>
        <v>3201.78190028435</v>
      </c>
      <c r="P76" s="297" t="n">
        <f aca="false">-PPMT($D$22/2,P73,15*2,$E$74)</f>
        <v>3297.83535729288</v>
      </c>
      <c r="Q76" s="297" t="n">
        <f aca="false">-PPMT($D$22/2,Q73,15*2,$E$74)</f>
        <v>3396.77041801167</v>
      </c>
      <c r="R76" s="297" t="n">
        <f aca="false">-PPMT($D$22/2,R73,15*2,$E$74)</f>
        <v>3498.67353055202</v>
      </c>
      <c r="S76" s="297" t="n">
        <f aca="false">-PPMT($D$22/2,S73,15*2,$E$74)</f>
        <v>3603.63373646858</v>
      </c>
      <c r="T76" s="297" t="n">
        <f aca="false">-PPMT($D$22/2,T73,15*2,$E$74)</f>
        <v>3711.74274856263</v>
      </c>
      <c r="U76" s="297" t="n">
        <f aca="false">-PPMT($D$22/2,U73,15*2,$E$74)</f>
        <v>3823.09503101951</v>
      </c>
      <c r="V76" s="297" t="n">
        <f aca="false">-PPMT($D$22/2,V73,15*2,$E$74)</f>
        <v>3937.7878819501</v>
      </c>
      <c r="W76" s="297" t="n">
        <f aca="false">-PPMT($D$22/2,W73,15*2,$E$74)</f>
        <v>4055.9215184086</v>
      </c>
      <c r="X76" s="297" t="n">
        <f aca="false">-PPMT($D$22/2,X73,15*2,$E$74)</f>
        <v>4177.59916396086</v>
      </c>
      <c r="Y76" s="297" t="n">
        <f aca="false">-PPMT($D$22/2,Y73,15*2,$E$74)</f>
        <v>4302.92713887969</v>
      </c>
      <c r="Z76" s="297" t="n">
        <f aca="false">-PPMT($D$22/2,Z73,15*2,$E$74)</f>
        <v>4432.01495304608</v>
      </c>
      <c r="AA76" s="297" t="n">
        <f aca="false">-PPMT($D$22/2,AA73,15*2,$E$74)</f>
        <v>4564.97540163746</v>
      </c>
      <c r="AB76" s="297" t="n">
        <f aca="false">-PPMT($D$22/2,AB73,15*2,$E$74)</f>
        <v>4701.92466368658</v>
      </c>
      <c r="AC76" s="297" t="n">
        <f aca="false">-PPMT($D$22/2,AC73,15*2,$E$74)</f>
        <v>4842.98240359718</v>
      </c>
      <c r="AD76" s="297" t="n">
        <f aca="false">-PPMT($D$22/2,AD73,15*2,$E$74)</f>
        <v>4988.2718757051</v>
      </c>
      <c r="AE76" s="297" t="n">
        <f aca="false">-PPMT($D$22/2,AE73,15*2,$E$74)</f>
        <v>5137.92003197625</v>
      </c>
      <c r="AF76" s="297" t="n">
        <f aca="false">-PPMT($D$22/2,AF73,15*2,$E$74)</f>
        <v>5292.05763293554</v>
      </c>
      <c r="AG76" s="297" t="n">
        <f aca="false">-PPMT($D$22/2,AG73,15*2,$E$74)</f>
        <v>5450.8193619236</v>
      </c>
      <c r="AH76" s="297" t="n">
        <f aca="false">-PPMT($D$22/2,AH73,15*2,$E$74)</f>
        <v>5614.34394278131</v>
      </c>
    </row>
    <row r="77" customFormat="false" ht="12.75" hidden="true" customHeight="false" outlineLevel="0" collapsed="false">
      <c r="A77" s="184" t="s">
        <v>297</v>
      </c>
      <c r="B77" s="295"/>
      <c r="D77" s="297"/>
      <c r="E77" s="297" t="n">
        <f aca="false">SUM(E75:E76)</f>
        <v>5782.77426106475</v>
      </c>
      <c r="F77" s="297" t="n">
        <f aca="false">SUM(F75:F76)</f>
        <v>5782.77426106475</v>
      </c>
      <c r="G77" s="297" t="n">
        <f aca="false">SUM(G75:G76)</f>
        <v>5782.77426106475</v>
      </c>
      <c r="H77" s="297" t="n">
        <f aca="false">SUM(H75:H76)</f>
        <v>5782.77426106475</v>
      </c>
      <c r="I77" s="297" t="n">
        <f aca="false">SUM(I75:I76)</f>
        <v>5782.77426106475</v>
      </c>
      <c r="J77" s="297" t="n">
        <f aca="false">SUM(J75:J76)</f>
        <v>5782.77426106475</v>
      </c>
      <c r="K77" s="297" t="n">
        <f aca="false">SUM(K75:K76)</f>
        <v>5782.77426106475</v>
      </c>
      <c r="L77" s="297" t="n">
        <f aca="false">SUM(L75:L76)</f>
        <v>5782.77426106475</v>
      </c>
      <c r="M77" s="297" t="n">
        <f aca="false">SUM(M75:M76)</f>
        <v>5782.77426106475</v>
      </c>
      <c r="N77" s="297" t="n">
        <f aca="false">SUM(N75:N76)</f>
        <v>5782.77426106475</v>
      </c>
      <c r="O77" s="297" t="n">
        <f aca="false">SUM(O75:O76)</f>
        <v>5782.77426106475</v>
      </c>
      <c r="P77" s="297" t="n">
        <f aca="false">SUM(P75:P76)</f>
        <v>5782.77426106475</v>
      </c>
      <c r="Q77" s="297" t="n">
        <f aca="false">SUM(Q75:Q76)</f>
        <v>5782.77426106475</v>
      </c>
      <c r="R77" s="297" t="n">
        <f aca="false">SUM(R75:R76)</f>
        <v>5782.77426106475</v>
      </c>
      <c r="S77" s="297" t="n">
        <f aca="false">SUM(S75:S76)</f>
        <v>5782.77426106475</v>
      </c>
      <c r="T77" s="297" t="n">
        <f aca="false">SUM(T75:T76)</f>
        <v>5782.77426106475</v>
      </c>
      <c r="U77" s="297" t="n">
        <f aca="false">SUM(U75:U76)</f>
        <v>5782.77426106475</v>
      </c>
      <c r="V77" s="297" t="n">
        <f aca="false">SUM(V75:V76)</f>
        <v>5782.77426106475</v>
      </c>
      <c r="W77" s="297" t="n">
        <f aca="false">SUM(W75:W76)</f>
        <v>5782.77426106475</v>
      </c>
      <c r="X77" s="297" t="n">
        <f aca="false">SUM(X75:X76)</f>
        <v>5782.77426106475</v>
      </c>
      <c r="Y77" s="297" t="n">
        <f aca="false">SUM(Y75:Y76)</f>
        <v>5782.77426106475</v>
      </c>
      <c r="Z77" s="297" t="n">
        <f aca="false">SUM(Z75:Z76)</f>
        <v>5782.77426106475</v>
      </c>
      <c r="AA77" s="297" t="n">
        <f aca="false">SUM(AA75:AA76)</f>
        <v>5782.77426106475</v>
      </c>
      <c r="AB77" s="297" t="n">
        <f aca="false">SUM(AB75:AB76)</f>
        <v>5782.77426106475</v>
      </c>
      <c r="AC77" s="297" t="n">
        <f aca="false">SUM(AC75:AC76)</f>
        <v>5782.77426106475</v>
      </c>
      <c r="AD77" s="297" t="n">
        <f aca="false">SUM(AD75:AD76)</f>
        <v>5782.77426106475</v>
      </c>
      <c r="AE77" s="297" t="n">
        <f aca="false">SUM(AE75:AE76)</f>
        <v>5782.77426106475</v>
      </c>
      <c r="AF77" s="297" t="n">
        <f aca="false">SUM(AF75:AF76)</f>
        <v>5782.77426106475</v>
      </c>
      <c r="AG77" s="297" t="n">
        <f aca="false">SUM(AG75:AG76)</f>
        <v>5782.77426106475</v>
      </c>
      <c r="AH77" s="297" t="n">
        <f aca="false">SUM(AH75:AH76)</f>
        <v>5782.77426106475</v>
      </c>
    </row>
    <row r="78" customFormat="false" ht="12.6" hidden="true" customHeight="true" outlineLevel="0" collapsed="false">
      <c r="A78" s="184" t="s">
        <v>298</v>
      </c>
      <c r="D78" s="306"/>
      <c r="E78" s="306" t="n">
        <f aca="false">E74-E76</f>
        <v>110962.501312395</v>
      </c>
      <c r="F78" s="306" t="n">
        <f aca="false">F74-F76</f>
        <v>108508.602090702</v>
      </c>
      <c r="G78" s="306" t="n">
        <f aca="false">G74-G76</f>
        <v>105981.085892358</v>
      </c>
      <c r="H78" s="306" t="n">
        <f aca="false">H74-H76</f>
        <v>103377.744208064</v>
      </c>
      <c r="I78" s="306" t="n">
        <f aca="false">I74-I76</f>
        <v>100696.302273242</v>
      </c>
      <c r="J78" s="306" t="n">
        <f aca="false">J74-J76</f>
        <v>97934.417080374</v>
      </c>
      <c r="K78" s="306" t="n">
        <f aca="false">K74-K76</f>
        <v>95089.6753317205</v>
      </c>
      <c r="L78" s="306" t="n">
        <f aca="false">L74-L76</f>
        <v>92159.5913306073</v>
      </c>
      <c r="M78" s="306" t="n">
        <f aca="false">M74-M76</f>
        <v>89141.6048094608</v>
      </c>
      <c r="N78" s="306" t="n">
        <f aca="false">N74-N76</f>
        <v>86033.0786926799</v>
      </c>
      <c r="O78" s="306" t="n">
        <f aca="false">O74-O76</f>
        <v>82831.2967923955</v>
      </c>
      <c r="P78" s="306" t="n">
        <f aca="false">P74-P76</f>
        <v>79533.4614351027</v>
      </c>
      <c r="Q78" s="306" t="n">
        <f aca="false">Q74-Q76</f>
        <v>76136.691017091</v>
      </c>
      <c r="R78" s="306" t="n">
        <f aca="false">R74-R76</f>
        <v>72638.017486539</v>
      </c>
      <c r="S78" s="306" t="n">
        <f aca="false">S74-S76</f>
        <v>69034.3837500704</v>
      </c>
      <c r="T78" s="306" t="n">
        <f aca="false">T74-T76</f>
        <v>65322.6410015078</v>
      </c>
      <c r="U78" s="306" t="n">
        <f aca="false">U74-U76</f>
        <v>61499.5459704883</v>
      </c>
      <c r="V78" s="306" t="n">
        <f aca="false">V74-V76</f>
        <v>57561.7580885382</v>
      </c>
      <c r="W78" s="306" t="n">
        <f aca="false">W74-W76</f>
        <v>53505.8365701296</v>
      </c>
      <c r="X78" s="306" t="n">
        <f aca="false">X74-X76</f>
        <v>49328.2374061687</v>
      </c>
      <c r="Y78" s="306" t="n">
        <f aca="false">Y74-Y76</f>
        <v>45025.310267289</v>
      </c>
      <c r="Z78" s="306" t="n">
        <f aca="false">Z74-Z76</f>
        <v>40593.295314243</v>
      </c>
      <c r="AA78" s="306" t="n">
        <f aca="false">AA74-AA76</f>
        <v>36028.3199126055</v>
      </c>
      <c r="AB78" s="306" t="n">
        <f aca="false">AB74-AB76</f>
        <v>31326.3952489189</v>
      </c>
      <c r="AC78" s="306" t="n">
        <f aca="false">AC74-AC76</f>
        <v>26483.4128453217</v>
      </c>
      <c r="AD78" s="306" t="n">
        <f aca="false">AD74-AD76</f>
        <v>21495.1409696166</v>
      </c>
      <c r="AE78" s="306" t="n">
        <f aca="false">AE74-AE76</f>
        <v>16357.2209376404</v>
      </c>
      <c r="AF78" s="306" t="n">
        <f aca="false">AF74-AF76</f>
        <v>11065.1633047048</v>
      </c>
      <c r="AG78" s="306" t="n">
        <f aca="false">AG74-AG76</f>
        <v>5614.34394278124</v>
      </c>
      <c r="AH78" s="306" t="n">
        <f aca="false">AH74-AH76</f>
        <v>-6.82121026329696E-011</v>
      </c>
    </row>
    <row r="79" customFormat="false" ht="12.6" hidden="true" customHeight="true" outlineLevel="0" collapsed="false"/>
    <row r="80" customFormat="false" ht="12.6" hidden="true" customHeight="true" outlineLevel="0" collapsed="false"/>
    <row r="81" customFormat="false" ht="12.6" hidden="true" customHeight="true" outlineLevel="0" collapsed="false">
      <c r="A81" s="168" t="s">
        <v>308</v>
      </c>
      <c r="D81" s="291" t="n">
        <f aca="false">YEAR(D71)</f>
        <v>2000</v>
      </c>
      <c r="E81" s="291" t="n">
        <f aca="false">YEAR(E71)</f>
        <v>2001</v>
      </c>
      <c r="F81" s="291" t="n">
        <f aca="false">E81+1</f>
        <v>2002</v>
      </c>
      <c r="G81" s="291" t="n">
        <f aca="false">F81+1</f>
        <v>2003</v>
      </c>
      <c r="H81" s="291" t="n">
        <f aca="false">G81+1</f>
        <v>2004</v>
      </c>
      <c r="I81" s="291" t="n">
        <f aca="false">H81+1</f>
        <v>2005</v>
      </c>
      <c r="J81" s="291" t="n">
        <f aca="false">I81+1</f>
        <v>2006</v>
      </c>
      <c r="K81" s="291" t="n">
        <f aca="false">J81+1</f>
        <v>2007</v>
      </c>
      <c r="L81" s="291" t="n">
        <f aca="false">K81+1</f>
        <v>2008</v>
      </c>
      <c r="M81" s="291" t="n">
        <f aca="false">L81+1</f>
        <v>2009</v>
      </c>
      <c r="N81" s="291" t="n">
        <f aca="false">M81+1</f>
        <v>2010</v>
      </c>
      <c r="O81" s="291" t="n">
        <f aca="false">N81+1</f>
        <v>2011</v>
      </c>
      <c r="P81" s="291" t="n">
        <f aca="false">O81+1</f>
        <v>2012</v>
      </c>
      <c r="Q81" s="291" t="n">
        <f aca="false">P81+1</f>
        <v>2013</v>
      </c>
      <c r="R81" s="291" t="n">
        <f aca="false">Q81+1</f>
        <v>2014</v>
      </c>
      <c r="S81" s="291" t="n">
        <f aca="false">R81+1</f>
        <v>2015</v>
      </c>
    </row>
    <row r="82" customFormat="false" ht="12.6" hidden="true" customHeight="true" outlineLevel="0" collapsed="false">
      <c r="A82" s="184" t="s">
        <v>294</v>
      </c>
      <c r="D82" s="306" t="n">
        <f aca="false">E74</f>
        <v>113344.927741223</v>
      </c>
      <c r="E82" s="306" t="n">
        <f aca="false">D86</f>
        <v>111756.643455338</v>
      </c>
      <c r="F82" s="306" t="n">
        <f aca="false">E86</f>
        <v>106823.591291806</v>
      </c>
      <c r="G82" s="306" t="n">
        <f aca="false">F86</f>
        <v>101590.116251516</v>
      </c>
      <c r="H82" s="306" t="n">
        <f aca="false">G86</f>
        <v>96037.9225812717</v>
      </c>
      <c r="I82" s="306" t="n">
        <f aca="false">H86</f>
        <v>90147.6003165097</v>
      </c>
      <c r="J82" s="306" t="n">
        <f aca="false">I86</f>
        <v>83898.5574258237</v>
      </c>
      <c r="K82" s="306" t="n">
        <f aca="false">J86</f>
        <v>77268.9478230949</v>
      </c>
      <c r="L82" s="306" t="n">
        <f aca="false">K86</f>
        <v>70235.59499556</v>
      </c>
      <c r="M82" s="306" t="n">
        <f aca="false">L86</f>
        <v>62773.9109808281</v>
      </c>
      <c r="N82" s="306" t="n">
        <f aca="false">M86</f>
        <v>54857.8104095991</v>
      </c>
      <c r="O82" s="306" t="n">
        <f aca="false">N86</f>
        <v>46459.6193135823</v>
      </c>
      <c r="P82" s="306" t="n">
        <f aca="false">O86</f>
        <v>37549.978379818</v>
      </c>
      <c r="Q82" s="306" t="n">
        <f aca="false">P86</f>
        <v>28097.7403131875</v>
      </c>
      <c r="R82" s="306" t="n">
        <f aca="false">Q86</f>
        <v>18069.8609482991</v>
      </c>
      <c r="S82" s="306" t="n">
        <f aca="false">R86</f>
        <v>7431.28373008911</v>
      </c>
    </row>
    <row r="83" customFormat="false" ht="12.6" hidden="true" customHeight="true" outlineLevel="0" collapsed="false">
      <c r="A83" s="184" t="s">
        <v>295</v>
      </c>
      <c r="D83" s="297" t="n">
        <f aca="false">E75*4/6</f>
        <v>2266.89855482446</v>
      </c>
      <c r="E83" s="297" t="n">
        <f aca="false">(E75*2/6)+F75+(G75*4/6)</f>
        <v>6632.49635859812</v>
      </c>
      <c r="F83" s="297" t="n">
        <f aca="false">(G75*(2/6))+H75+(I75*4/6)</f>
        <v>6332.07348183905</v>
      </c>
      <c r="G83" s="297" t="n">
        <f aca="false">(I75*(2/6))+J75+(K75*4/6)</f>
        <v>6013.35485188537</v>
      </c>
      <c r="H83" s="297" t="n">
        <f aca="false">(K75*(2/6))+L75+(M75*4/6)</f>
        <v>5675.2262573675</v>
      </c>
      <c r="I83" s="297" t="n">
        <f aca="false">(M75*(2/6))+N75+(O75*4/6)</f>
        <v>5316.50563144349</v>
      </c>
      <c r="J83" s="297" t="n">
        <f aca="false">(O75*(2/6))+P75+(Q75*4/6)</f>
        <v>4935.93891940072</v>
      </c>
      <c r="K83" s="297" t="n">
        <f aca="false">(Q75*(2/6))+R75+(S75*4/6)</f>
        <v>4532.19569459453</v>
      </c>
      <c r="L83" s="297" t="n">
        <f aca="false">(S75*(2/6))+T75+(U75*4/6)</f>
        <v>4103.86450739766</v>
      </c>
      <c r="M83" s="297" t="n">
        <f aca="false">(U75*(2/6))+V75+(W75*4/6)</f>
        <v>3649.44795090049</v>
      </c>
      <c r="N83" s="297" t="n">
        <f aca="false">(W75*(2/6))+X75+(Y75*4/6)</f>
        <v>3167.35742611264</v>
      </c>
      <c r="O83" s="297" t="n">
        <f aca="false">(Y75*(2/6))+Z75+(AA75*4/6)</f>
        <v>2655.90758836521</v>
      </c>
      <c r="P83" s="297" t="n">
        <f aca="false">(AA75*(2/6))+AB75+(AC75*4/6)</f>
        <v>2113.31045549897</v>
      </c>
      <c r="Q83" s="297" t="n">
        <f aca="false">(AC75*(2/6))+AD75+(AE75*4/6)</f>
        <v>1537.66915724117</v>
      </c>
      <c r="R83" s="297" t="n">
        <f aca="false">(AE75*(2/6))+AF75+(AG75*4/6)</f>
        <v>926.971303919468</v>
      </c>
      <c r="S83" s="297" t="n">
        <f aca="false">(AG75*(2/6))+AH75+(AI75*4/6)</f>
        <v>279.081951330481</v>
      </c>
    </row>
    <row r="84" customFormat="false" ht="12.6" hidden="true" customHeight="true" outlineLevel="0" collapsed="false">
      <c r="A84" s="184" t="s">
        <v>296</v>
      </c>
      <c r="D84" s="297" t="n">
        <f aca="false">E76*4/6</f>
        <v>1588.28428588537</v>
      </c>
      <c r="E84" s="297" t="n">
        <f aca="false">(E76*2/6)+F76+(G76*4/6)</f>
        <v>4933.05216353137</v>
      </c>
      <c r="F84" s="297" t="n">
        <f aca="false">(G76*(2/6))+H76+(I76*4/6)</f>
        <v>5233.47504029044</v>
      </c>
      <c r="G84" s="297" t="n">
        <f aca="false">(I76*(2/6))+J76+(K76*4/6)</f>
        <v>5552.19367024412</v>
      </c>
      <c r="H84" s="297" t="n">
        <f aca="false">(K76*(2/6))+L76+(M76*4/6)</f>
        <v>5890.32226476199</v>
      </c>
      <c r="I84" s="297" t="n">
        <f aca="false">(M76*(2/6))+N76+(O76*4/6)</f>
        <v>6249.042890686</v>
      </c>
      <c r="J84" s="297" t="n">
        <f aca="false">(O76*(2/6))+P76+(Q76*4/6)</f>
        <v>6629.60960272877</v>
      </c>
      <c r="K84" s="297" t="n">
        <f aca="false">(Q76*(2/6))+R76+(S76*4/6)</f>
        <v>7033.35282753496</v>
      </c>
      <c r="L84" s="297" t="n">
        <f aca="false">(S76*(2/6))+T76+(U76*4/6)</f>
        <v>7461.68401473183</v>
      </c>
      <c r="M84" s="297" t="n">
        <f aca="false">(U76*(2/6))+V76+(W76*4/6)</f>
        <v>7916.100571229</v>
      </c>
      <c r="N84" s="297" t="n">
        <f aca="false">(W76*(2/6))+X76+(Y76*4/6)</f>
        <v>8398.19109601685</v>
      </c>
      <c r="O84" s="297" t="n">
        <f aca="false">(Y76*(2/6))+Z76+(AA76*4/6)</f>
        <v>8909.64093376428</v>
      </c>
      <c r="P84" s="297" t="n">
        <f aca="false">(AA76*(2/6))+AB76+(AC76*4/6)</f>
        <v>9452.23806663052</v>
      </c>
      <c r="Q84" s="297" t="n">
        <f aca="false">(AC76*(2/6))+AD76+(AE76*4/6)</f>
        <v>10027.8793648883</v>
      </c>
      <c r="R84" s="297" t="n">
        <f aca="false">(AE76*(2/6))+AF76+(AG76*4/6)</f>
        <v>10638.57721821</v>
      </c>
      <c r="S84" s="297" t="n">
        <f aca="false">(AG76*(2/6))+AH76+(AI76*4/6)</f>
        <v>7431.28373008918</v>
      </c>
    </row>
    <row r="85" customFormat="false" ht="12.6" hidden="true" customHeight="true" outlineLevel="0" collapsed="false">
      <c r="A85" s="184" t="s">
        <v>297</v>
      </c>
      <c r="D85" s="297" t="n">
        <f aca="false">E77*4/6</f>
        <v>3855.18284070983</v>
      </c>
      <c r="E85" s="297" t="n">
        <f aca="false">(E77*2/6)+F77+(G77*4/6)</f>
        <v>11565.5485221295</v>
      </c>
      <c r="F85" s="297" t="n">
        <f aca="false">(G77*(2/6))+H77+(I77*4/6)</f>
        <v>11565.5485221295</v>
      </c>
      <c r="G85" s="297" t="n">
        <f aca="false">(I77*(2/6))+J77+(K77*4/6)</f>
        <v>11565.5485221295</v>
      </c>
      <c r="H85" s="297" t="n">
        <f aca="false">(K77*(2/6))+L77+(M77*4/6)</f>
        <v>11565.5485221295</v>
      </c>
      <c r="I85" s="297" t="n">
        <f aca="false">(M77*(2/6))+N77+(O77*4/6)</f>
        <v>11565.5485221295</v>
      </c>
      <c r="J85" s="297" t="n">
        <f aca="false">(O77*(2/6))+P77+(Q77*4/6)</f>
        <v>11565.5485221295</v>
      </c>
      <c r="K85" s="297" t="n">
        <f aca="false">(Q77*(2/6))+R77+(S77*4/6)</f>
        <v>11565.5485221295</v>
      </c>
      <c r="L85" s="297" t="n">
        <f aca="false">(S77*(2/6))+T77+(U77*4/6)</f>
        <v>11565.5485221295</v>
      </c>
      <c r="M85" s="297" t="n">
        <f aca="false">(U77*(2/6))+V77+(W77*4/6)</f>
        <v>11565.5485221295</v>
      </c>
      <c r="N85" s="297" t="n">
        <f aca="false">(W77*(2/6))+X77+(Y77*4/6)</f>
        <v>11565.5485221295</v>
      </c>
      <c r="O85" s="297" t="n">
        <f aca="false">(Y77*(2/6))+Z77+(AA77*4/6)</f>
        <v>11565.5485221295</v>
      </c>
      <c r="P85" s="297" t="n">
        <f aca="false">(AA77*(2/6))+AB77+(AC77*4/6)</f>
        <v>11565.5485221295</v>
      </c>
      <c r="Q85" s="297" t="n">
        <f aca="false">(AC77*(2/6))+AD77+(AE77*4/6)</f>
        <v>11565.5485221295</v>
      </c>
      <c r="R85" s="297" t="n">
        <f aca="false">(AE77*(2/6))+AF77+(AG77*4/6)</f>
        <v>11565.5485221295</v>
      </c>
      <c r="S85" s="297" t="n">
        <f aca="false">(AG77*(2/6))+AH77+(AI77*4/6)</f>
        <v>7710.36568141966</v>
      </c>
    </row>
    <row r="86" customFormat="false" ht="12.6" hidden="true" customHeight="true" outlineLevel="0" collapsed="false">
      <c r="A86" s="184" t="s">
        <v>298</v>
      </c>
      <c r="D86" s="297" t="n">
        <f aca="false">D82-D84</f>
        <v>111756.643455338</v>
      </c>
      <c r="E86" s="297" t="n">
        <f aca="false">E82-E84</f>
        <v>106823.591291806</v>
      </c>
      <c r="F86" s="297" t="n">
        <f aca="false">F82-F84</f>
        <v>101590.116251516</v>
      </c>
      <c r="G86" s="297" t="n">
        <f aca="false">G82-G84</f>
        <v>96037.9225812717</v>
      </c>
      <c r="H86" s="297" t="n">
        <f aca="false">H82-H84</f>
        <v>90147.6003165097</v>
      </c>
      <c r="I86" s="297" t="n">
        <f aca="false">I82-I84</f>
        <v>83898.5574258237</v>
      </c>
      <c r="J86" s="297" t="n">
        <f aca="false">J82-J84</f>
        <v>77268.9478230949</v>
      </c>
      <c r="K86" s="297" t="n">
        <f aca="false">K82-K84</f>
        <v>70235.59499556</v>
      </c>
      <c r="L86" s="297" t="n">
        <f aca="false">L82-L84</f>
        <v>62773.9109808281</v>
      </c>
      <c r="M86" s="297" t="n">
        <f aca="false">M82-M84</f>
        <v>54857.8104095991</v>
      </c>
      <c r="N86" s="297" t="n">
        <f aca="false">N82-N84</f>
        <v>46459.6193135823</v>
      </c>
      <c r="O86" s="297" t="n">
        <f aca="false">O82-O84</f>
        <v>37549.978379818</v>
      </c>
      <c r="P86" s="297" t="n">
        <f aca="false">P82-P84</f>
        <v>28097.7403131875</v>
      </c>
      <c r="Q86" s="297" t="n">
        <f aca="false">Q82-Q84</f>
        <v>18069.8609482991</v>
      </c>
      <c r="R86" s="297" t="n">
        <f aca="false">R82-R84</f>
        <v>7431.28373008911</v>
      </c>
      <c r="S86" s="297" t="n">
        <f aca="false">S82-S84</f>
        <v>-6.91215973347426E-011</v>
      </c>
    </row>
    <row r="87" customFormat="false" ht="12.6" hidden="true" customHeight="true" outlineLevel="0" collapsed="false"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</row>
    <row r="88" customFormat="false" ht="12.6" hidden="true" customHeight="true" outlineLevel="0" collapsed="false"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</row>
    <row r="89" customFormat="false" ht="12.6" hidden="true" customHeight="true" outlineLevel="0" collapsed="false">
      <c r="A89" s="168" t="s">
        <v>309</v>
      </c>
      <c r="D89" s="291" t="n">
        <f aca="false">D5</f>
        <v>2000</v>
      </c>
      <c r="E89" s="291" t="n">
        <f aca="false">E5</f>
        <v>2001</v>
      </c>
      <c r="F89" s="291" t="n">
        <f aca="false">F5</f>
        <v>2002</v>
      </c>
      <c r="G89" s="291" t="n">
        <f aca="false">G5</f>
        <v>2003</v>
      </c>
      <c r="H89" s="291" t="n">
        <f aca="false">H5</f>
        <v>2004</v>
      </c>
      <c r="I89" s="291" t="n">
        <f aca="false">I5</f>
        <v>2005</v>
      </c>
      <c r="J89" s="291" t="n">
        <f aca="false">J5</f>
        <v>2006</v>
      </c>
      <c r="K89" s="291" t="n">
        <f aca="false">K5</f>
        <v>2007</v>
      </c>
      <c r="L89" s="291" t="n">
        <f aca="false">L5</f>
        <v>2008</v>
      </c>
      <c r="M89" s="291" t="n">
        <f aca="false">M5</f>
        <v>2009</v>
      </c>
      <c r="N89" s="291" t="n">
        <f aca="false">N5</f>
        <v>2010</v>
      </c>
      <c r="O89" s="291" t="n">
        <f aca="false">O5</f>
        <v>2011</v>
      </c>
      <c r="P89" s="291" t="n">
        <f aca="false">P5</f>
        <v>2012</v>
      </c>
      <c r="Q89" s="291" t="n">
        <f aca="false">Q5</f>
        <v>2013</v>
      </c>
      <c r="R89" s="291" t="n">
        <f aca="false">R5</f>
        <v>2014</v>
      </c>
      <c r="S89" s="291" t="n">
        <f aca="false">S5</f>
        <v>2015</v>
      </c>
    </row>
    <row r="90" customFormat="false" ht="12.6" hidden="true" customHeight="true" outlineLevel="0" collapsed="false">
      <c r="A90" s="184" t="s">
        <v>294</v>
      </c>
      <c r="B90" s="295"/>
      <c r="D90" s="297" t="n">
        <f aca="false">E74</f>
        <v>113344.927741223</v>
      </c>
      <c r="E90" s="297" t="n">
        <f aca="false">IF(E180&gt;'Project Assumptions'!$I$42+1,0,D94)</f>
        <v>110962.501312395</v>
      </c>
      <c r="F90" s="297" t="n">
        <f aca="false">IF(F180&gt;'Project Assumptions'!$I$42+1,0,E94)</f>
        <v>105981.085892358</v>
      </c>
      <c r="G90" s="297" t="n">
        <f aca="false">IF(G180&gt;'Project Assumptions'!$I$42+1,0,F94)</f>
        <v>100696.302273241</v>
      </c>
      <c r="H90" s="297" t="n">
        <f aca="false">IF(H180&gt;'Project Assumptions'!$I$42+1,0,G94)</f>
        <v>95089.6753317205</v>
      </c>
      <c r="I90" s="297" t="n">
        <f aca="false">IF(I180&gt;'Project Assumptions'!$I$42+1,0,H94)</f>
        <v>89141.6048094608</v>
      </c>
      <c r="J90" s="297" t="n">
        <f aca="false">IF(J180&gt;'Project Assumptions'!$I$42+1,0,I94)</f>
        <v>82831.2967923955</v>
      </c>
      <c r="K90" s="297" t="n">
        <f aca="false">IF(K180&gt;'Project Assumptions'!$I$42+1,0,J94)</f>
        <v>76136.691017091</v>
      </c>
      <c r="L90" s="297" t="n">
        <f aca="false">IF(L180&gt;'Project Assumptions'!$I$42+1,0,K94)</f>
        <v>69034.3837500704</v>
      </c>
      <c r="M90" s="297" t="n">
        <f aca="false">IF(M180&gt;'Project Assumptions'!$I$42+1,0,L94)</f>
        <v>61499.5459704883</v>
      </c>
      <c r="N90" s="297" t="n">
        <f aca="false">IF(N180&gt;'Project Assumptions'!$I$42+1,0,M94)</f>
        <v>53505.8365701296</v>
      </c>
      <c r="O90" s="297" t="n">
        <f aca="false">IF(O180&gt;'Project Assumptions'!$I$42+1,0,N94)</f>
        <v>45025.310267289</v>
      </c>
      <c r="P90" s="297" t="n">
        <f aca="false">IF(P180&gt;'Project Assumptions'!$I$42+1,0,O94)</f>
        <v>36028.3199126055</v>
      </c>
      <c r="Q90" s="297" t="n">
        <f aca="false">IF(Q180&gt;'Project Assumptions'!$I$42+1,0,P94)</f>
        <v>26483.4128453217</v>
      </c>
      <c r="R90" s="297" t="n">
        <f aca="false">IF(R180&gt;'Project Assumptions'!$I$42+1,0,Q94)</f>
        <v>16357.2209376404</v>
      </c>
      <c r="S90" s="297" t="n">
        <f aca="false">IF(S180&gt;'Project Assumptions'!$I$42+1,0,R94)</f>
        <v>5614.34394278123</v>
      </c>
    </row>
    <row r="91" customFormat="false" ht="12.6" hidden="true" customHeight="true" outlineLevel="0" collapsed="false">
      <c r="A91" s="184" t="s">
        <v>295</v>
      </c>
      <c r="B91" s="317"/>
      <c r="C91" s="306"/>
      <c r="D91" s="297" t="n">
        <f aca="false">SUMIF($D$72:$AH$72,"=2000",$D75:$AH75)</f>
        <v>3400.34783223669</v>
      </c>
      <c r="E91" s="297" t="n">
        <f aca="false">SUMIF($D$72:$AH$72,"=2001",$D75:$AH75)</f>
        <v>6584.13310209291</v>
      </c>
      <c r="F91" s="297" t="n">
        <f aca="false">SUMIF($D$72:$AH$72,"=2002",$D75:$AH75)</f>
        <v>6280.76490301268</v>
      </c>
      <c r="G91" s="297" t="n">
        <f aca="false">SUMIF($D$72:$AH$72,"=2003",$D75:$AH75)</f>
        <v>5958.92158060846</v>
      </c>
      <c r="H91" s="297" t="n">
        <f aca="false">SUMIF($D$72:$AH$72,"=2004",$D75:$AH75)</f>
        <v>5617.47799986983</v>
      </c>
      <c r="I91" s="297" t="n">
        <f aca="false">SUMIF($D$72:$AH$72,"=2005",$D75:$AH75)</f>
        <v>5255.24050506422</v>
      </c>
      <c r="J91" s="297" t="n">
        <f aca="false">SUMIF($D$72:$AH$72,"=2006",$D75:$AH75)</f>
        <v>4870.94274682494</v>
      </c>
      <c r="K91" s="297" t="n">
        <f aca="false">SUMIF($D$72:$AH$72,"=2007",$D75:$AH75)</f>
        <v>4463.2412551089</v>
      </c>
      <c r="L91" s="297" t="n">
        <f aca="false">SUMIF($D$72:$AH$72,"=2008",$D75:$AH75)</f>
        <v>4030.71074254734</v>
      </c>
      <c r="M91" s="297" t="n">
        <f aca="false">SUMIF($D$72:$AH$72,"=2009",$D75:$AH75)</f>
        <v>3571.83912177079</v>
      </c>
      <c r="N91" s="297" t="n">
        <f aca="false">SUMIF($D$72:$AH$72,"=2010",$D75:$AH75)</f>
        <v>3085.02221928894</v>
      </c>
      <c r="O91" s="297" t="n">
        <f aca="false">SUMIF($D$72:$AH$72,"=2011",$D75:$AH75)</f>
        <v>2568.55816744595</v>
      </c>
      <c r="P91" s="297" t="n">
        <f aca="false">SUMIF($D$72:$AH$72,"=2012",$D75:$AH75)</f>
        <v>2020.64145484573</v>
      </c>
      <c r="Q91" s="297" t="n">
        <f aca="false">SUMIF($D$72:$AH$72,"=2013",$D75:$AH75)</f>
        <v>1439.35661444814</v>
      </c>
      <c r="R91" s="297" t="n">
        <f aca="false">SUMIF($D$72:$AH$72,"=2014",$D75:$AH75)</f>
        <v>822.67152727035</v>
      </c>
      <c r="S91" s="297" t="n">
        <f aca="false">SUMIF($D$72:$AH$72,"=2015",$D75:$AH75)</f>
        <v>168.430318283433</v>
      </c>
    </row>
    <row r="92" customFormat="false" ht="12.6" hidden="true" customHeight="true" outlineLevel="0" collapsed="false">
      <c r="A92" s="184" t="s">
        <v>296</v>
      </c>
      <c r="C92" s="306"/>
      <c r="D92" s="297" t="n">
        <f aca="false">SUMIF($D$72:$AH$72,"=2000",$D76:$AH76)</f>
        <v>2382.42642882806</v>
      </c>
      <c r="E92" s="297" t="n">
        <f aca="false">SUMIF($D$72:$AH$72,"=2001",$D76:$AH76)</f>
        <v>4981.41542003658</v>
      </c>
      <c r="F92" s="297" t="n">
        <f aca="false">SUMIF($D$72:$AH$72,"=2002",$D76:$AH76)</f>
        <v>5284.78361911681</v>
      </c>
      <c r="G92" s="297" t="n">
        <f aca="false">SUMIF($D$72:$AH$72,"=2003",$D76:$AH76)</f>
        <v>5606.62694152103</v>
      </c>
      <c r="H92" s="297" t="n">
        <f aca="false">SUMIF($D$72:$AH$72,"=2004",$D76:$AH76)</f>
        <v>5948.07052225966</v>
      </c>
      <c r="I92" s="297" t="n">
        <f aca="false">SUMIF($D$72:$AH$72,"=2005",$D76:$AH76)</f>
        <v>6310.30801706527</v>
      </c>
      <c r="J92" s="297" t="n">
        <f aca="false">SUMIF($D$72:$AH$72,"=2006",$D76:$AH76)</f>
        <v>6694.60577530455</v>
      </c>
      <c r="K92" s="297" t="n">
        <f aca="false">SUMIF($D$72:$AH$72,"=2007",$D76:$AH76)</f>
        <v>7102.30726702059</v>
      </c>
      <c r="L92" s="297" t="n">
        <f aca="false">SUMIF($D$72:$AH$72,"=2008",$D76:$AH76)</f>
        <v>7534.83777958215</v>
      </c>
      <c r="M92" s="297" t="n">
        <f aca="false">SUMIF($D$72:$AH$72,"=2009",$D76:$AH76)</f>
        <v>7993.7094003587</v>
      </c>
      <c r="N92" s="297" t="n">
        <f aca="false">SUMIF($D$72:$AH$72,"=2010",$D76:$AH76)</f>
        <v>8480.52630284055</v>
      </c>
      <c r="O92" s="297" t="n">
        <f aca="false">SUMIF($D$72:$AH$72,"=2011",$D76:$AH76)</f>
        <v>8996.99035468354</v>
      </c>
      <c r="P92" s="297" t="n">
        <f aca="false">SUMIF($D$72:$AH$72,"=2012",$D76:$AH76)</f>
        <v>9544.90706728376</v>
      </c>
      <c r="Q92" s="297" t="n">
        <f aca="false">SUMIF($D$72:$AH$72,"=2013",$D76:$AH76)</f>
        <v>10126.1919076813</v>
      </c>
      <c r="R92" s="297" t="n">
        <f aca="false">SUMIF($D$72:$AH$72,"=2014",$D76:$AH76)</f>
        <v>10742.8769948591</v>
      </c>
      <c r="S92" s="297" t="n">
        <f aca="false">SUMIF($D$72:$AH$72,"=2015",$D76:$AH76)</f>
        <v>5614.34394278131</v>
      </c>
    </row>
    <row r="93" customFormat="false" ht="12.6" hidden="true" customHeight="true" outlineLevel="0" collapsed="false">
      <c r="A93" s="184" t="s">
        <v>297</v>
      </c>
      <c r="C93" s="306"/>
      <c r="D93" s="297" t="n">
        <f aca="false">SUMIF($D$72:$AH$72,"=2000",$D77:$AH77)</f>
        <v>5782.77426106475</v>
      </c>
      <c r="E93" s="297" t="n">
        <f aca="false">SUMIF($D$72:$AH$72,"=2001",$D77:$AH77)</f>
        <v>11565.5485221295</v>
      </c>
      <c r="F93" s="297" t="n">
        <f aca="false">SUMIF($D$72:$AH$72,"=2002",$D77:$AH77)</f>
        <v>11565.5485221295</v>
      </c>
      <c r="G93" s="297" t="n">
        <f aca="false">SUMIF($D$72:$AH$72,"=2003",$D77:$AH77)</f>
        <v>11565.5485221295</v>
      </c>
      <c r="H93" s="297" t="n">
        <f aca="false">SUMIF($D$72:$AH$72,"=2004",$D77:$AH77)</f>
        <v>11565.5485221295</v>
      </c>
      <c r="I93" s="297" t="n">
        <f aca="false">SUMIF($D$72:$AH$72,"=2005",$D77:$AH77)</f>
        <v>11565.5485221295</v>
      </c>
      <c r="J93" s="297" t="n">
        <f aca="false">SUMIF($D$72:$AH$72,"=2006",$D77:$AH77)</f>
        <v>11565.5485221295</v>
      </c>
      <c r="K93" s="297" t="n">
        <f aca="false">SUMIF($D$72:$AH$72,"=2007",$D77:$AH77)</f>
        <v>11565.5485221295</v>
      </c>
      <c r="L93" s="297" t="n">
        <f aca="false">SUMIF($D$72:$AH$72,"=2008",$D77:$AH77)</f>
        <v>11565.5485221295</v>
      </c>
      <c r="M93" s="297" t="n">
        <f aca="false">SUMIF($D$72:$AH$72,"=2009",$D77:$AH77)</f>
        <v>11565.5485221295</v>
      </c>
      <c r="N93" s="297" t="n">
        <f aca="false">SUMIF($D$72:$AH$72,"=2010",$D77:$AH77)</f>
        <v>11565.5485221295</v>
      </c>
      <c r="O93" s="297" t="n">
        <f aca="false">SUMIF($D$72:$AH$72,"=2011",$D77:$AH77)</f>
        <v>11565.5485221295</v>
      </c>
      <c r="P93" s="297" t="n">
        <f aca="false">SUMIF($D$72:$AH$72,"=2012",$D77:$AH77)</f>
        <v>11565.5485221295</v>
      </c>
      <c r="Q93" s="297" t="n">
        <f aca="false">SUMIF($D$72:$AH$72,"=2013",$D77:$AH77)</f>
        <v>11565.5485221295</v>
      </c>
      <c r="R93" s="297" t="n">
        <f aca="false">SUMIF($D$72:$AH$72,"=2014",$D77:$AH77)</f>
        <v>11565.5485221295</v>
      </c>
      <c r="S93" s="297" t="n">
        <f aca="false">SUMIF($D$72:$AH$72,"=2015",$D77:$AH77)</f>
        <v>5782.77426106475</v>
      </c>
    </row>
    <row r="94" customFormat="false" ht="12.6" hidden="true" customHeight="true" outlineLevel="0" collapsed="false">
      <c r="A94" s="184" t="s">
        <v>298</v>
      </c>
      <c r="D94" s="297" t="n">
        <f aca="false">D90-D92</f>
        <v>110962.501312395</v>
      </c>
      <c r="E94" s="297" t="n">
        <f aca="false">E90-E92</f>
        <v>105981.085892358</v>
      </c>
      <c r="F94" s="297" t="n">
        <f aca="false">F90-F92</f>
        <v>100696.302273241</v>
      </c>
      <c r="G94" s="297" t="n">
        <f aca="false">G90-G92</f>
        <v>95089.6753317205</v>
      </c>
      <c r="H94" s="297" t="n">
        <f aca="false">H90-H92</f>
        <v>89141.6048094608</v>
      </c>
      <c r="I94" s="297" t="n">
        <f aca="false">I90-I92</f>
        <v>82831.2967923955</v>
      </c>
      <c r="J94" s="297" t="n">
        <f aca="false">J90-J92</f>
        <v>76136.691017091</v>
      </c>
      <c r="K94" s="297" t="n">
        <f aca="false">K90-K92</f>
        <v>69034.3837500704</v>
      </c>
      <c r="L94" s="297" t="n">
        <f aca="false">L90-L92</f>
        <v>61499.5459704883</v>
      </c>
      <c r="M94" s="297" t="n">
        <f aca="false">M90-M92</f>
        <v>53505.8365701296</v>
      </c>
      <c r="N94" s="297" t="n">
        <f aca="false">N90-N92</f>
        <v>45025.310267289</v>
      </c>
      <c r="O94" s="297" t="n">
        <f aca="false">O90-O92</f>
        <v>36028.3199126055</v>
      </c>
      <c r="P94" s="297" t="n">
        <f aca="false">P90-P92</f>
        <v>26483.4128453217</v>
      </c>
      <c r="Q94" s="297" t="n">
        <f aca="false">Q90-Q92</f>
        <v>16357.2209376404</v>
      </c>
      <c r="R94" s="297" t="n">
        <f aca="false">R90-R92</f>
        <v>5614.34394278123</v>
      </c>
      <c r="S94" s="297" t="n">
        <f aca="false">S90-S92</f>
        <v>-8.27640178613365E-011</v>
      </c>
    </row>
    <row r="95" customFormat="false" ht="12.6" hidden="true" customHeight="true" outlineLevel="0" collapsed="false"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</row>
    <row r="96" customFormat="false" ht="12.6" hidden="true" customHeight="true" outlineLevel="0" collapsed="false">
      <c r="A96" s="184" t="s">
        <v>310</v>
      </c>
      <c r="B96" s="320"/>
      <c r="D96" s="312" t="n">
        <f aca="false">('Book Income Statement'!C40+(2/'Book Income Statement'!D5*'Book Income Statement'!D40))/D85</f>
        <v>2.10035251795626</v>
      </c>
      <c r="E96" s="312" t="n">
        <f aca="false">(5/6*'Book Income Statement'!D40+1/6*'Book Income Statement'!E40)/E85</f>
        <v>1.03040517873098</v>
      </c>
      <c r="F96" s="312" t="n">
        <f aca="false">(5/6*'Book Income Statement'!E40+1/6*'Book Income Statement'!F40)/F85</f>
        <v>1.03052484852776</v>
      </c>
      <c r="G96" s="312" t="n">
        <f aca="false">(5/6*'Book Income Statement'!F40+1/6*'Book Income Statement'!G40)/G85</f>
        <v>1.03071679225102</v>
      </c>
      <c r="H96" s="312" t="n">
        <f aca="false">(5/6*'Book Income Statement'!G40+1/6*'Book Income Statement'!H40)/H85</f>
        <v>1.03085053138705</v>
      </c>
      <c r="I96" s="312" t="n">
        <f aca="false">(5/6*'Book Income Statement'!H40+1/6*'Book Income Statement'!I40)/I85</f>
        <v>1.03104049860957</v>
      </c>
      <c r="J96" s="312" t="n">
        <f aca="false">(5/6*'Book Income Statement'!I40+1/6*'Book Income Statement'!J40)/J85</f>
        <v>1.03106642128545</v>
      </c>
      <c r="K96" s="312" t="n">
        <f aca="false">(5/6*'Book Income Statement'!J40+1/6*'Book Income Statement'!K40)/K85</f>
        <v>1.03107539228221</v>
      </c>
      <c r="L96" s="312" t="n">
        <f aca="false">(5/6*'Book Income Statement'!K40+1/6*'Book Income Statement'!L40)/L85</f>
        <v>1.03115736213026</v>
      </c>
      <c r="M96" s="312" t="n">
        <f aca="false">(5/6*'Book Income Statement'!L40+1/6*'Book Income Statement'!M40)/M85</f>
        <v>1.03116553958763</v>
      </c>
      <c r="N96" s="312" t="n">
        <f aca="false">(5/6*'Book Income Statement'!M40+1/6*'Book Income Statement'!N40)/N85</f>
        <v>1.03117355404961</v>
      </c>
      <c r="O96" s="312" t="n">
        <f aca="false">(5/6*'Book Income Statement'!N40+1/6*'Book Income Statement'!O40)/O85</f>
        <v>1.03115707468843</v>
      </c>
      <c r="P96" s="312" t="n">
        <f aca="false">(5/6*'Book Income Statement'!O40+1/6*'Book Income Statement'!P40)/P85</f>
        <v>1.03118973723711</v>
      </c>
      <c r="Q96" s="312" t="n">
        <f aca="false">(5/6*'Book Income Statement'!P40+1/6*'Book Income Statement'!Q40)/Q85</f>
        <v>1.03122272649222</v>
      </c>
      <c r="R96" s="312" t="n">
        <f aca="false">(5/6*'Book Income Statement'!Q40+1/6*'Book Income Statement'!R40)/R85</f>
        <v>1.11815251751889</v>
      </c>
      <c r="S96" s="312" t="n">
        <f aca="false">(5/6*'Book Income Statement'!R40+1/6*'Book Income Statement'!S40)/S85</f>
        <v>1.94100515339821</v>
      </c>
    </row>
    <row r="97" customFormat="false" ht="12.6" hidden="true" customHeight="true" outlineLevel="0" collapsed="false"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</row>
    <row r="98" customFormat="false" ht="12.6" hidden="true" customHeight="true" outlineLevel="0" collapsed="false"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</row>
    <row r="99" customFormat="false" ht="12.6" hidden="true" customHeight="true" outlineLevel="0" collapsed="false">
      <c r="D99" s="184" t="n">
        <v>2000</v>
      </c>
      <c r="E99" s="184" t="n">
        <v>2000</v>
      </c>
      <c r="F99" s="184" t="n">
        <v>2001</v>
      </c>
      <c r="G99" s="184" t="n">
        <v>2001</v>
      </c>
      <c r="H99" s="184" t="n">
        <v>2002</v>
      </c>
      <c r="I99" s="184" t="n">
        <f aca="false">+IF(H99-E99=1,H99+1,H99)</f>
        <v>2002</v>
      </c>
      <c r="J99" s="184" t="n">
        <f aca="false">+IF(I99-F99=1,I99+1,I99)</f>
        <v>2003</v>
      </c>
      <c r="K99" s="184" t="n">
        <f aca="false">+IF(J99-G99=1,J99+1,J99)</f>
        <v>2003</v>
      </c>
      <c r="L99" s="184" t="n">
        <f aca="false">+IF(K99-H99=1,K99+1,K99)</f>
        <v>2004</v>
      </c>
      <c r="M99" s="184" t="n">
        <f aca="false">+IF(L99-I99=1,L99+1,L99)</f>
        <v>2004</v>
      </c>
      <c r="N99" s="184" t="n">
        <f aca="false">+IF(M99-J99=1,M99+1,M99)</f>
        <v>2005</v>
      </c>
      <c r="O99" s="184" t="n">
        <f aca="false">+IF(N99-K99=1,N99+1,N99)</f>
        <v>2005</v>
      </c>
      <c r="P99" s="184" t="n">
        <f aca="false">+IF(O99-L99=1,O99+1,O99)</f>
        <v>2006</v>
      </c>
      <c r="Q99" s="184" t="n">
        <f aca="false">+IF(P99-M99=1,P99+1,P99)</f>
        <v>2006</v>
      </c>
      <c r="R99" s="184" t="n">
        <f aca="false">+IF(Q99-N99=1,Q99+1,Q99)</f>
        <v>2007</v>
      </c>
      <c r="S99" s="184" t="n">
        <f aca="false">+IF(R99-O99=1,R99+1,R99)</f>
        <v>2007</v>
      </c>
      <c r="T99" s="184" t="n">
        <f aca="false">+IF(S99-P99=1,S99+1,S99)</f>
        <v>2008</v>
      </c>
      <c r="U99" s="184" t="n">
        <f aca="false">+IF(T99-Q99=1,T99+1,T99)</f>
        <v>2008</v>
      </c>
      <c r="V99" s="184" t="n">
        <f aca="false">+IF(U99-R99=1,U99+1,U99)</f>
        <v>2009</v>
      </c>
      <c r="W99" s="184" t="n">
        <f aca="false">+IF(V99-S99=1,V99+1,V99)</f>
        <v>2009</v>
      </c>
      <c r="X99" s="184" t="n">
        <f aca="false">+IF(W99-T99=1,W99+1,W99)</f>
        <v>2010</v>
      </c>
      <c r="Y99" s="184" t="n">
        <f aca="false">+IF(X99-U99=1,X99+1,X99)</f>
        <v>2010</v>
      </c>
      <c r="Z99" s="184" t="n">
        <f aca="false">+IF(Y99-V99=1,Y99+1,Y99)</f>
        <v>2011</v>
      </c>
      <c r="AA99" s="184" t="n">
        <f aca="false">+IF(Z99-W99=1,Z99+1,Z99)</f>
        <v>2011</v>
      </c>
      <c r="AB99" s="184" t="n">
        <f aca="false">+IF(AA99-X99=1,AA99+1,AA99)</f>
        <v>2012</v>
      </c>
      <c r="AC99" s="184" t="n">
        <f aca="false">+IF(AB99-Y99=1,AB99+1,AB99)</f>
        <v>2012</v>
      </c>
      <c r="AD99" s="184" t="n">
        <f aca="false">+IF(AC99-Z99=1,AC99+1,AC99)</f>
        <v>2013</v>
      </c>
      <c r="AE99" s="184" t="n">
        <f aca="false">+IF(AD99-AA99=1,AD99+1,AD99)</f>
        <v>2013</v>
      </c>
      <c r="AF99" s="184" t="n">
        <f aca="false">+IF(AE99-AB99=1,AE99+1,AE99)</f>
        <v>2014</v>
      </c>
      <c r="AG99" s="184" t="n">
        <f aca="false">+IF(AF99-AC99=1,AF99+1,AF99)</f>
        <v>2014</v>
      </c>
      <c r="AH99" s="184" t="n">
        <f aca="false">+IF(AG99-AD99=1,AG99+1,AG99)</f>
        <v>2015</v>
      </c>
    </row>
    <row r="100" customFormat="false" ht="12.6" hidden="true" customHeight="true" outlineLevel="0" collapsed="false">
      <c r="A100" s="168" t="s">
        <v>311</v>
      </c>
      <c r="E100" s="184" t="n">
        <v>1</v>
      </c>
      <c r="F100" s="184" t="n">
        <f aca="false">E100+1</f>
        <v>2</v>
      </c>
      <c r="G100" s="184" t="n">
        <f aca="false">F100+1</f>
        <v>3</v>
      </c>
      <c r="H100" s="184" t="n">
        <f aca="false">G100+1</f>
        <v>4</v>
      </c>
      <c r="I100" s="184" t="n">
        <f aca="false">H100+1</f>
        <v>5</v>
      </c>
      <c r="J100" s="184" t="n">
        <f aca="false">I100+1</f>
        <v>6</v>
      </c>
      <c r="K100" s="184" t="n">
        <f aca="false">J100+1</f>
        <v>7</v>
      </c>
      <c r="L100" s="184" t="n">
        <f aca="false">K100+1</f>
        <v>8</v>
      </c>
      <c r="M100" s="184" t="n">
        <f aca="false">L100+1</f>
        <v>9</v>
      </c>
      <c r="N100" s="184" t="n">
        <f aca="false">M100+1</f>
        <v>10</v>
      </c>
      <c r="O100" s="184" t="n">
        <f aca="false">N100+1</f>
        <v>11</v>
      </c>
      <c r="P100" s="184" t="n">
        <f aca="false">O100+1</f>
        <v>12</v>
      </c>
      <c r="Q100" s="184" t="n">
        <f aca="false">P100+1</f>
        <v>13</v>
      </c>
      <c r="R100" s="184" t="n">
        <f aca="false">Q100+1</f>
        <v>14</v>
      </c>
      <c r="S100" s="184" t="n">
        <f aca="false">R100+1</f>
        <v>15</v>
      </c>
      <c r="T100" s="184" t="n">
        <f aca="false">S100+1</f>
        <v>16</v>
      </c>
      <c r="U100" s="184" t="n">
        <f aca="false">T100+1</f>
        <v>17</v>
      </c>
      <c r="V100" s="184" t="n">
        <f aca="false">U100+1</f>
        <v>18</v>
      </c>
      <c r="W100" s="184" t="n">
        <f aca="false">V100+1</f>
        <v>19</v>
      </c>
      <c r="X100" s="184" t="n">
        <f aca="false">W100+1</f>
        <v>20</v>
      </c>
      <c r="Y100" s="184" t="n">
        <f aca="false">X100+1</f>
        <v>21</v>
      </c>
      <c r="Z100" s="184" t="n">
        <f aca="false">Y100+1</f>
        <v>22</v>
      </c>
      <c r="AA100" s="184" t="n">
        <f aca="false">Z100+1</f>
        <v>23</v>
      </c>
      <c r="AB100" s="184" t="n">
        <f aca="false">AA100+1</f>
        <v>24</v>
      </c>
      <c r="AC100" s="184" t="n">
        <f aca="false">AB100+1</f>
        <v>25</v>
      </c>
      <c r="AD100" s="184" t="n">
        <f aca="false">AC100+1</f>
        <v>26</v>
      </c>
      <c r="AE100" s="184" t="n">
        <f aca="false">AD100+1</f>
        <v>27</v>
      </c>
      <c r="AF100" s="184" t="n">
        <f aca="false">AE100+1</f>
        <v>28</v>
      </c>
      <c r="AG100" s="184" t="n">
        <f aca="false">AF100+1</f>
        <v>29</v>
      </c>
      <c r="AH100" s="184" t="n">
        <f aca="false">AG100+1</f>
        <v>30</v>
      </c>
    </row>
    <row r="101" customFormat="false" ht="12.6" hidden="true" customHeight="true" outlineLevel="0" collapsed="false">
      <c r="A101" s="184" t="s">
        <v>294</v>
      </c>
      <c r="D101" s="297"/>
      <c r="E101" s="297" t="n">
        <f aca="false">'Project Assumptions'!$C$49*'Project Assumptions'!$I$38</f>
        <v>113158.555526262</v>
      </c>
      <c r="F101" s="306" t="n">
        <f aca="false">E105</f>
        <v>109386.603675387</v>
      </c>
      <c r="G101" s="306" t="n">
        <f aca="false">F105</f>
        <v>105614.651824512</v>
      </c>
      <c r="H101" s="306" t="n">
        <f aca="false">G105</f>
        <v>101842.699973636</v>
      </c>
      <c r="I101" s="306" t="n">
        <f aca="false">H105</f>
        <v>98070.7481227608</v>
      </c>
      <c r="J101" s="306" t="n">
        <f aca="false">I105</f>
        <v>94298.7962718854</v>
      </c>
      <c r="K101" s="306" t="n">
        <f aca="false">J105</f>
        <v>90526.84442101</v>
      </c>
      <c r="L101" s="306" t="n">
        <f aca="false">K105</f>
        <v>86754.8925701346</v>
      </c>
      <c r="M101" s="306" t="n">
        <f aca="false">L105</f>
        <v>82982.9407192592</v>
      </c>
      <c r="N101" s="306" t="n">
        <f aca="false">M105</f>
        <v>79210.9888683838</v>
      </c>
      <c r="O101" s="306" t="n">
        <f aca="false">N105</f>
        <v>75439.0370175084</v>
      </c>
      <c r="P101" s="306" t="n">
        <f aca="false">O105</f>
        <v>71667.0851666329</v>
      </c>
      <c r="Q101" s="306" t="n">
        <f aca="false">P105</f>
        <v>67895.1333157575</v>
      </c>
      <c r="R101" s="306" t="n">
        <f aca="false">Q105</f>
        <v>64123.1814648821</v>
      </c>
      <c r="S101" s="306" t="n">
        <f aca="false">R105</f>
        <v>60351.2296140067</v>
      </c>
      <c r="T101" s="306" t="n">
        <f aca="false">S105</f>
        <v>56579.2777631313</v>
      </c>
      <c r="U101" s="306" t="n">
        <f aca="false">T105</f>
        <v>52807.3259122559</v>
      </c>
      <c r="V101" s="306" t="n">
        <f aca="false">U105</f>
        <v>49035.3740613804</v>
      </c>
      <c r="W101" s="306" t="n">
        <f aca="false">V105</f>
        <v>45263.422210505</v>
      </c>
      <c r="X101" s="306" t="n">
        <f aca="false">W105</f>
        <v>41491.4703596296</v>
      </c>
      <c r="Y101" s="306" t="n">
        <f aca="false">X105</f>
        <v>37719.5185087542</v>
      </c>
      <c r="Z101" s="306" t="n">
        <f aca="false">Y105</f>
        <v>33947.5666578788</v>
      </c>
      <c r="AA101" s="306" t="n">
        <f aca="false">Z105</f>
        <v>30175.6148070033</v>
      </c>
      <c r="AB101" s="306" t="n">
        <f aca="false">AA105</f>
        <v>26403.6629561279</v>
      </c>
      <c r="AC101" s="306" t="n">
        <f aca="false">AB105</f>
        <v>22631.7111052525</v>
      </c>
      <c r="AD101" s="306" t="n">
        <f aca="false">AC105</f>
        <v>18859.7592543771</v>
      </c>
      <c r="AE101" s="306" t="n">
        <f aca="false">AD105</f>
        <v>15087.8074035017</v>
      </c>
      <c r="AF101" s="306" t="n">
        <f aca="false">AE105</f>
        <v>11315.8555526263</v>
      </c>
      <c r="AG101" s="306" t="n">
        <f aca="false">AF105</f>
        <v>7543.90370175085</v>
      </c>
      <c r="AH101" s="306" t="n">
        <f aca="false">AG105</f>
        <v>3771.95185087543</v>
      </c>
    </row>
    <row r="102" customFormat="false" ht="12.6" hidden="true" customHeight="true" outlineLevel="0" collapsed="false">
      <c r="A102" s="184" t="s">
        <v>295</v>
      </c>
      <c r="D102" s="297"/>
      <c r="E102" s="306" t="n">
        <f aca="false">E101*($D$22/2)</f>
        <v>3394.75666578787</v>
      </c>
      <c r="F102" s="306" t="n">
        <f aca="false">F101*($D$22/2)</f>
        <v>3281.59811026161</v>
      </c>
      <c r="G102" s="306" t="n">
        <f aca="false">G101*($D$22/2)</f>
        <v>3168.43955473535</v>
      </c>
      <c r="H102" s="306" t="n">
        <f aca="false">H101*($D$22/2)</f>
        <v>3055.28099920909</v>
      </c>
      <c r="I102" s="306" t="n">
        <f aca="false">I101*($D$22/2)</f>
        <v>2942.12244368282</v>
      </c>
      <c r="J102" s="306" t="n">
        <f aca="false">J101*($D$22/2)</f>
        <v>2828.96388815656</v>
      </c>
      <c r="K102" s="306" t="n">
        <f aca="false">K101*($D$22/2)</f>
        <v>2715.8053326303</v>
      </c>
      <c r="L102" s="306" t="n">
        <f aca="false">L101*($D$22/2)</f>
        <v>2602.64677710404</v>
      </c>
      <c r="M102" s="306" t="n">
        <f aca="false">M101*($D$22/2)</f>
        <v>2489.48822157778</v>
      </c>
      <c r="N102" s="306" t="n">
        <f aca="false">N101*($D$22/2)</f>
        <v>2376.32966605151</v>
      </c>
      <c r="O102" s="306" t="n">
        <f aca="false">O101*($D$22/2)</f>
        <v>2263.17111052525</v>
      </c>
      <c r="P102" s="306" t="n">
        <f aca="false">P101*($D$22/2)</f>
        <v>2150.01255499899</v>
      </c>
      <c r="Q102" s="306" t="n">
        <f aca="false">Q101*($D$22/2)</f>
        <v>2036.85399947273</v>
      </c>
      <c r="R102" s="306" t="n">
        <f aca="false">R101*($D$22/2)</f>
        <v>1923.69544394646</v>
      </c>
      <c r="S102" s="306" t="n">
        <f aca="false">S101*($D$22/2)</f>
        <v>1810.5368884202</v>
      </c>
      <c r="T102" s="306" t="n">
        <f aca="false">T101*($D$22/2)</f>
        <v>1697.37833289394</v>
      </c>
      <c r="U102" s="306" t="n">
        <f aca="false">U101*($D$22/2)</f>
        <v>1584.21977736768</v>
      </c>
      <c r="V102" s="306" t="n">
        <f aca="false">V101*($D$22/2)</f>
        <v>1471.06122184141</v>
      </c>
      <c r="W102" s="306" t="n">
        <f aca="false">W101*($D$22/2)</f>
        <v>1357.90266631515</v>
      </c>
      <c r="X102" s="306" t="n">
        <f aca="false">X101*($D$22/2)</f>
        <v>1244.74411078889</v>
      </c>
      <c r="Y102" s="306" t="n">
        <f aca="false">Y101*($D$22/2)</f>
        <v>1131.58555526263</v>
      </c>
      <c r="Z102" s="306" t="n">
        <f aca="false">Z101*($D$22/2)</f>
        <v>1018.42699973636</v>
      </c>
      <c r="AA102" s="306" t="n">
        <f aca="false">AA101*($D$22/2)</f>
        <v>905.2684442101</v>
      </c>
      <c r="AB102" s="306" t="n">
        <f aca="false">AB101*($D$22/2)</f>
        <v>792.109888683838</v>
      </c>
      <c r="AC102" s="306" t="n">
        <f aca="false">AC101*($D$22/2)</f>
        <v>678.951333157575</v>
      </c>
      <c r="AD102" s="306" t="n">
        <f aca="false">AD101*($D$22/2)</f>
        <v>565.792777631313</v>
      </c>
      <c r="AE102" s="306" t="n">
        <f aca="false">AE101*($D$22/2)</f>
        <v>452.63422210505</v>
      </c>
      <c r="AF102" s="306" t="n">
        <f aca="false">AF101*($D$22/2)</f>
        <v>339.475666578788</v>
      </c>
      <c r="AG102" s="306" t="n">
        <f aca="false">AG101*($D$22/2)</f>
        <v>226.317111052525</v>
      </c>
      <c r="AH102" s="306" t="n">
        <f aca="false">AH101*($D$22/2)</f>
        <v>113.158555526263</v>
      </c>
    </row>
    <row r="103" customFormat="false" ht="12.6" hidden="true" customHeight="true" outlineLevel="0" collapsed="false">
      <c r="A103" s="184" t="s">
        <v>296</v>
      </c>
      <c r="D103" s="297"/>
      <c r="E103" s="306" t="n">
        <f aca="false">$E$101/('Project Assumptions'!$I$42*2)</f>
        <v>3771.95185087542</v>
      </c>
      <c r="F103" s="306" t="n">
        <f aca="false">$E$101/('Project Assumptions'!$I$42*2)</f>
        <v>3771.95185087542</v>
      </c>
      <c r="G103" s="306" t="n">
        <f aca="false">$E$101/('Project Assumptions'!$I$42*2)</f>
        <v>3771.95185087542</v>
      </c>
      <c r="H103" s="306" t="n">
        <f aca="false">$E$101/('Project Assumptions'!$I$42*2)</f>
        <v>3771.95185087542</v>
      </c>
      <c r="I103" s="306" t="n">
        <f aca="false">$E$101/('Project Assumptions'!$I$42*2)</f>
        <v>3771.95185087542</v>
      </c>
      <c r="J103" s="306" t="n">
        <f aca="false">$E$101/('Project Assumptions'!$I$42*2)</f>
        <v>3771.95185087542</v>
      </c>
      <c r="K103" s="306" t="n">
        <f aca="false">$E$101/('Project Assumptions'!$I$42*2)</f>
        <v>3771.95185087542</v>
      </c>
      <c r="L103" s="306" t="n">
        <f aca="false">$E$101/('Project Assumptions'!$I$42*2)</f>
        <v>3771.95185087542</v>
      </c>
      <c r="M103" s="306" t="n">
        <f aca="false">$E$101/('Project Assumptions'!$I$42*2)</f>
        <v>3771.95185087542</v>
      </c>
      <c r="N103" s="306" t="n">
        <f aca="false">$E$101/('Project Assumptions'!$I$42*2)</f>
        <v>3771.95185087542</v>
      </c>
      <c r="O103" s="306" t="n">
        <f aca="false">$E$101/('Project Assumptions'!$I$42*2)</f>
        <v>3771.95185087542</v>
      </c>
      <c r="P103" s="306" t="n">
        <f aca="false">$E$101/('Project Assumptions'!$I$42*2)</f>
        <v>3771.95185087542</v>
      </c>
      <c r="Q103" s="306" t="n">
        <f aca="false">$E$101/('Project Assumptions'!$I$42*2)</f>
        <v>3771.95185087542</v>
      </c>
      <c r="R103" s="306" t="n">
        <f aca="false">$E$101/('Project Assumptions'!$I$42*2)</f>
        <v>3771.95185087542</v>
      </c>
      <c r="S103" s="306" t="n">
        <f aca="false">$E$101/('Project Assumptions'!$I$42*2)</f>
        <v>3771.95185087542</v>
      </c>
      <c r="T103" s="306" t="n">
        <f aca="false">$E$101/('Project Assumptions'!$I$42*2)</f>
        <v>3771.95185087542</v>
      </c>
      <c r="U103" s="306" t="n">
        <f aca="false">$E$101/('Project Assumptions'!$I$42*2)</f>
        <v>3771.95185087542</v>
      </c>
      <c r="V103" s="306" t="n">
        <f aca="false">$E$101/('Project Assumptions'!$I$42*2)</f>
        <v>3771.95185087542</v>
      </c>
      <c r="W103" s="306" t="n">
        <f aca="false">$E$101/('Project Assumptions'!$I$42*2)</f>
        <v>3771.95185087542</v>
      </c>
      <c r="X103" s="306" t="n">
        <f aca="false">$E$101/('Project Assumptions'!$I$42*2)</f>
        <v>3771.95185087542</v>
      </c>
      <c r="Y103" s="306" t="n">
        <f aca="false">$E$101/('Project Assumptions'!$I$42*2)</f>
        <v>3771.95185087542</v>
      </c>
      <c r="Z103" s="306" t="n">
        <f aca="false">$E$101/('Project Assumptions'!$I$42*2)</f>
        <v>3771.95185087542</v>
      </c>
      <c r="AA103" s="306" t="n">
        <f aca="false">$E$101/('Project Assumptions'!$I$42*2)</f>
        <v>3771.95185087542</v>
      </c>
      <c r="AB103" s="306" t="n">
        <f aca="false">$E$101/('Project Assumptions'!$I$42*2)</f>
        <v>3771.95185087542</v>
      </c>
      <c r="AC103" s="306" t="n">
        <f aca="false">$E$101/('Project Assumptions'!$I$42*2)</f>
        <v>3771.95185087542</v>
      </c>
      <c r="AD103" s="306" t="n">
        <f aca="false">$E$101/('Project Assumptions'!$I$42*2)</f>
        <v>3771.95185087542</v>
      </c>
      <c r="AE103" s="306" t="n">
        <f aca="false">$E$101/('Project Assumptions'!$I$42*2)</f>
        <v>3771.95185087542</v>
      </c>
      <c r="AF103" s="306" t="n">
        <f aca="false">$E$101/('Project Assumptions'!$I$42*2)</f>
        <v>3771.95185087542</v>
      </c>
      <c r="AG103" s="306" t="n">
        <f aca="false">$E$101/('Project Assumptions'!$I$42*2)</f>
        <v>3771.95185087542</v>
      </c>
      <c r="AH103" s="306" t="n">
        <f aca="false">$E$101/('Project Assumptions'!$I$42*2)</f>
        <v>3771.95185087542</v>
      </c>
    </row>
    <row r="104" customFormat="false" ht="12.6" hidden="true" customHeight="true" outlineLevel="0" collapsed="false">
      <c r="A104" s="184" t="s">
        <v>297</v>
      </c>
      <c r="D104" s="297"/>
      <c r="E104" s="306" t="n">
        <f aca="false">SUM(E102:E103)</f>
        <v>7166.70851666329</v>
      </c>
      <c r="F104" s="306" t="n">
        <f aca="false">SUM(F102:F103)</f>
        <v>7053.54996113703</v>
      </c>
      <c r="G104" s="306" t="n">
        <f aca="false">SUM(G102:G103)</f>
        <v>6940.39140561077</v>
      </c>
      <c r="H104" s="306" t="n">
        <f aca="false">SUM(H102:H103)</f>
        <v>6827.2328500845</v>
      </c>
      <c r="I104" s="306" t="n">
        <f aca="false">SUM(I102:I103)</f>
        <v>6714.07429455824</v>
      </c>
      <c r="J104" s="306" t="n">
        <f aca="false">SUM(J102:J103)</f>
        <v>6600.91573903198</v>
      </c>
      <c r="K104" s="306" t="n">
        <f aca="false">SUM(K102:K103)</f>
        <v>6487.75718350572</v>
      </c>
      <c r="L104" s="306" t="n">
        <f aca="false">SUM(L102:L103)</f>
        <v>6374.59862797945</v>
      </c>
      <c r="M104" s="306" t="n">
        <f aca="false">SUM(M102:M103)</f>
        <v>6261.44007245319</v>
      </c>
      <c r="N104" s="306" t="n">
        <f aca="false">SUM(N102:N103)</f>
        <v>6148.28151692693</v>
      </c>
      <c r="O104" s="306" t="n">
        <f aca="false">SUM(O102:O103)</f>
        <v>6035.12296140067</v>
      </c>
      <c r="P104" s="306" t="n">
        <f aca="false">SUM(P102:P103)</f>
        <v>5921.9644058744</v>
      </c>
      <c r="Q104" s="306" t="n">
        <f aca="false">SUM(Q102:Q103)</f>
        <v>5808.80585034814</v>
      </c>
      <c r="R104" s="306" t="n">
        <f aca="false">SUM(R102:R103)</f>
        <v>5695.64729482188</v>
      </c>
      <c r="S104" s="306" t="n">
        <f aca="false">SUM(S102:S103)</f>
        <v>5582.48873929562</v>
      </c>
      <c r="T104" s="306" t="n">
        <f aca="false">SUM(T102:T103)</f>
        <v>5469.33018376935</v>
      </c>
      <c r="U104" s="306" t="n">
        <f aca="false">SUM(U102:U103)</f>
        <v>5356.17162824309</v>
      </c>
      <c r="V104" s="306" t="n">
        <f aca="false">SUM(V102:V103)</f>
        <v>5243.01307271683</v>
      </c>
      <c r="W104" s="306" t="n">
        <f aca="false">SUM(W102:W103)</f>
        <v>5129.85451719057</v>
      </c>
      <c r="X104" s="306" t="n">
        <f aca="false">SUM(X102:X103)</f>
        <v>5016.6959616643</v>
      </c>
      <c r="Y104" s="306" t="n">
        <f aca="false">SUM(Y102:Y103)</f>
        <v>4903.53740613804</v>
      </c>
      <c r="Z104" s="306" t="n">
        <f aca="false">SUM(Z102:Z103)</f>
        <v>4790.37885061178</v>
      </c>
      <c r="AA104" s="306" t="n">
        <f aca="false">SUM(AA102:AA103)</f>
        <v>4677.22029508552</v>
      </c>
      <c r="AB104" s="306" t="n">
        <f aca="false">SUM(AB102:AB103)</f>
        <v>4564.06173955925</v>
      </c>
      <c r="AC104" s="306" t="n">
        <f aca="false">SUM(AC102:AC103)</f>
        <v>4450.90318403299</v>
      </c>
      <c r="AD104" s="306" t="n">
        <f aca="false">SUM(AD102:AD103)</f>
        <v>4337.74462850673</v>
      </c>
      <c r="AE104" s="306" t="n">
        <f aca="false">SUM(AE102:AE103)</f>
        <v>4224.58607298047</v>
      </c>
      <c r="AF104" s="306" t="n">
        <f aca="false">SUM(AF102:AF103)</f>
        <v>4111.4275174542</v>
      </c>
      <c r="AG104" s="306" t="n">
        <f aca="false">SUM(AG102:AG103)</f>
        <v>3998.26896192794</v>
      </c>
      <c r="AH104" s="306" t="n">
        <f aca="false">SUM(AH102:AH103)</f>
        <v>3885.11040640168</v>
      </c>
    </row>
    <row r="105" customFormat="false" ht="12.6" hidden="true" customHeight="true" outlineLevel="0" collapsed="false">
      <c r="A105" s="184" t="s">
        <v>298</v>
      </c>
      <c r="D105" s="306"/>
      <c r="E105" s="306" t="n">
        <f aca="false">E101-E103</f>
        <v>109386.603675387</v>
      </c>
      <c r="F105" s="306" t="n">
        <f aca="false">F101-F103</f>
        <v>105614.651824512</v>
      </c>
      <c r="G105" s="306" t="n">
        <f aca="false">G101-G103</f>
        <v>101842.699973636</v>
      </c>
      <c r="H105" s="306" t="n">
        <f aca="false">H101-H103</f>
        <v>98070.7481227608</v>
      </c>
      <c r="I105" s="306" t="n">
        <f aca="false">I101-I103</f>
        <v>94298.7962718854</v>
      </c>
      <c r="J105" s="306" t="n">
        <f aca="false">J101-J103</f>
        <v>90526.84442101</v>
      </c>
      <c r="K105" s="306" t="n">
        <f aca="false">K101-K103</f>
        <v>86754.8925701346</v>
      </c>
      <c r="L105" s="306" t="n">
        <f aca="false">L101-L103</f>
        <v>82982.9407192592</v>
      </c>
      <c r="M105" s="306" t="n">
        <f aca="false">M101-M103</f>
        <v>79210.9888683838</v>
      </c>
      <c r="N105" s="306" t="n">
        <f aca="false">N101-N103</f>
        <v>75439.0370175084</v>
      </c>
      <c r="O105" s="306" t="n">
        <f aca="false">O101-O103</f>
        <v>71667.0851666329</v>
      </c>
      <c r="P105" s="306" t="n">
        <f aca="false">P101-P103</f>
        <v>67895.1333157575</v>
      </c>
      <c r="Q105" s="306" t="n">
        <f aca="false">Q101-Q103</f>
        <v>64123.1814648821</v>
      </c>
      <c r="R105" s="306" t="n">
        <f aca="false">R101-R103</f>
        <v>60351.2296140067</v>
      </c>
      <c r="S105" s="306" t="n">
        <f aca="false">S101-S103</f>
        <v>56579.2777631313</v>
      </c>
      <c r="T105" s="306" t="n">
        <f aca="false">T101-T103</f>
        <v>52807.3259122559</v>
      </c>
      <c r="U105" s="306" t="n">
        <f aca="false">U101-U103</f>
        <v>49035.3740613804</v>
      </c>
      <c r="V105" s="306" t="n">
        <f aca="false">V101-V103</f>
        <v>45263.422210505</v>
      </c>
      <c r="W105" s="306" t="n">
        <f aca="false">W101-W103</f>
        <v>41491.4703596296</v>
      </c>
      <c r="X105" s="306" t="n">
        <f aca="false">X101-X103</f>
        <v>37719.5185087542</v>
      </c>
      <c r="Y105" s="306" t="n">
        <f aca="false">Y101-Y103</f>
        <v>33947.5666578788</v>
      </c>
      <c r="Z105" s="306" t="n">
        <f aca="false">Z101-Z103</f>
        <v>30175.6148070033</v>
      </c>
      <c r="AA105" s="306" t="n">
        <f aca="false">AA101-AA103</f>
        <v>26403.6629561279</v>
      </c>
      <c r="AB105" s="306" t="n">
        <f aca="false">AB101-AB103</f>
        <v>22631.7111052525</v>
      </c>
      <c r="AC105" s="306" t="n">
        <f aca="false">AC101-AC103</f>
        <v>18859.7592543771</v>
      </c>
      <c r="AD105" s="306" t="n">
        <f aca="false">AD101-AD103</f>
        <v>15087.8074035017</v>
      </c>
      <c r="AE105" s="306" t="n">
        <f aca="false">AE101-AE103</f>
        <v>11315.8555526263</v>
      </c>
      <c r="AF105" s="306" t="n">
        <f aca="false">AF101-AF103</f>
        <v>7543.90370175085</v>
      </c>
      <c r="AG105" s="306" t="n">
        <f aca="false">AG101-AG103</f>
        <v>3771.95185087543</v>
      </c>
      <c r="AH105" s="306" t="n">
        <f aca="false">AH101-AH103</f>
        <v>1.72803993336856E-011</v>
      </c>
    </row>
    <row r="106" customFormat="false" ht="12.6" hidden="true" customHeight="true" outlineLevel="0" collapsed="false"/>
    <row r="107" customFormat="false" ht="12.6" hidden="true" customHeight="true" outlineLevel="0" collapsed="false"/>
    <row r="108" customFormat="false" ht="12.6" hidden="true" customHeight="true" outlineLevel="0" collapsed="false">
      <c r="A108" s="246"/>
      <c r="B108" s="242"/>
      <c r="C108" s="292"/>
      <c r="D108" s="292"/>
      <c r="E108" s="292"/>
      <c r="F108" s="292"/>
      <c r="G108" s="292"/>
      <c r="H108" s="292"/>
      <c r="I108" s="292"/>
      <c r="J108" s="292"/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  <c r="U108" s="292"/>
      <c r="V108" s="292"/>
      <c r="W108" s="292"/>
      <c r="X108" s="292"/>
      <c r="Y108" s="292"/>
      <c r="Z108" s="292"/>
      <c r="AA108" s="292"/>
      <c r="AB108" s="29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AY108" s="242"/>
      <c r="AZ108" s="242"/>
      <c r="BA108" s="242"/>
      <c r="BB108" s="242"/>
      <c r="BC108" s="242"/>
      <c r="BD108" s="242"/>
      <c r="BE108" s="242"/>
      <c r="BF108" s="242"/>
      <c r="BG108" s="242"/>
      <c r="BH108" s="242"/>
      <c r="BI108" s="242"/>
      <c r="BJ108" s="242"/>
      <c r="BK108" s="242"/>
      <c r="BL108" s="242"/>
      <c r="BM108" s="242"/>
      <c r="BN108" s="242"/>
      <c r="BO108" s="242"/>
      <c r="BP108" s="242"/>
      <c r="BQ108" s="242"/>
      <c r="BR108" s="242"/>
      <c r="BS108" s="242"/>
      <c r="BT108" s="242"/>
      <c r="BU108" s="242"/>
      <c r="BV108" s="242"/>
      <c r="BW108" s="242"/>
      <c r="BX108" s="242"/>
      <c r="BY108" s="242"/>
      <c r="BZ108" s="242"/>
      <c r="CA108" s="242"/>
      <c r="CB108" s="242"/>
      <c r="CC108" s="242"/>
      <c r="CD108" s="242"/>
      <c r="CE108" s="242"/>
      <c r="CF108" s="242"/>
      <c r="CG108" s="242"/>
      <c r="CH108" s="242"/>
      <c r="CI108" s="242"/>
      <c r="CJ108" s="242"/>
      <c r="CK108" s="242"/>
      <c r="CL108" s="242"/>
      <c r="CM108" s="242"/>
      <c r="CN108" s="242"/>
      <c r="CO108" s="242"/>
      <c r="CP108" s="242"/>
      <c r="CQ108" s="242"/>
      <c r="CR108" s="242"/>
      <c r="CS108" s="242"/>
      <c r="CT108" s="242"/>
      <c r="CU108" s="242"/>
      <c r="CV108" s="242"/>
      <c r="CW108" s="242"/>
      <c r="CX108" s="242"/>
      <c r="CY108" s="242"/>
      <c r="CZ108" s="242"/>
      <c r="DA108" s="242"/>
      <c r="DB108" s="242"/>
      <c r="DC108" s="242"/>
      <c r="DD108" s="242"/>
      <c r="DE108" s="242"/>
      <c r="DF108" s="242"/>
      <c r="DG108" s="242"/>
      <c r="DH108" s="242"/>
      <c r="DI108" s="242"/>
      <c r="DJ108" s="242"/>
      <c r="DK108" s="242"/>
      <c r="DL108" s="242"/>
      <c r="DM108" s="242"/>
      <c r="DN108" s="242"/>
      <c r="DO108" s="242"/>
      <c r="DP108" s="242"/>
      <c r="DQ108" s="242"/>
      <c r="DR108" s="242"/>
      <c r="DS108" s="242"/>
      <c r="DT108" s="242"/>
      <c r="DU108" s="242"/>
      <c r="DV108" s="242"/>
      <c r="DW108" s="242"/>
      <c r="DX108" s="242"/>
      <c r="DY108" s="242"/>
      <c r="DZ108" s="242"/>
      <c r="EA108" s="242"/>
      <c r="EB108" s="242"/>
      <c r="EC108" s="242"/>
      <c r="ED108" s="242"/>
      <c r="EE108" s="242"/>
      <c r="EF108" s="242"/>
      <c r="EG108" s="242"/>
      <c r="EH108" s="242"/>
      <c r="EI108" s="242"/>
      <c r="EJ108" s="242"/>
      <c r="EK108" s="242"/>
      <c r="EL108" s="242"/>
      <c r="EM108" s="242"/>
      <c r="EN108" s="242"/>
      <c r="EO108" s="242"/>
      <c r="EP108" s="242"/>
      <c r="EQ108" s="242"/>
      <c r="ER108" s="242"/>
      <c r="ES108" s="242"/>
      <c r="ET108" s="242"/>
      <c r="EU108" s="242"/>
      <c r="EV108" s="242"/>
      <c r="EW108" s="242"/>
      <c r="EX108" s="242"/>
      <c r="EY108" s="242"/>
      <c r="EZ108" s="242"/>
      <c r="FA108" s="242"/>
      <c r="FB108" s="242"/>
      <c r="FC108" s="242"/>
      <c r="FD108" s="242"/>
      <c r="FE108" s="242"/>
      <c r="FF108" s="242"/>
      <c r="FG108" s="242"/>
      <c r="FH108" s="242"/>
      <c r="FI108" s="242"/>
      <c r="FJ108" s="242"/>
      <c r="FK108" s="242"/>
      <c r="FL108" s="242"/>
      <c r="FM108" s="242"/>
      <c r="FN108" s="242"/>
      <c r="FO108" s="242"/>
      <c r="FP108" s="242"/>
      <c r="FQ108" s="242"/>
      <c r="FR108" s="242"/>
      <c r="FS108" s="242"/>
      <c r="FT108" s="242"/>
      <c r="FU108" s="242"/>
      <c r="FV108" s="242"/>
      <c r="FW108" s="242"/>
      <c r="FX108" s="242"/>
      <c r="FY108" s="242"/>
      <c r="FZ108" s="242"/>
      <c r="GA108" s="242"/>
      <c r="GB108" s="242"/>
      <c r="GC108" s="242"/>
      <c r="GD108" s="242"/>
      <c r="GE108" s="242"/>
      <c r="GF108" s="242"/>
      <c r="GG108" s="242"/>
      <c r="GH108" s="242"/>
      <c r="GI108" s="242"/>
      <c r="GJ108" s="242"/>
      <c r="GK108" s="242"/>
      <c r="GL108" s="242"/>
      <c r="GM108" s="242"/>
      <c r="GN108" s="242"/>
      <c r="GO108" s="242"/>
      <c r="GP108" s="242"/>
      <c r="GQ108" s="242"/>
      <c r="GR108" s="242"/>
      <c r="GS108" s="242"/>
      <c r="GT108" s="242"/>
      <c r="GU108" s="242"/>
      <c r="GV108" s="242"/>
      <c r="GW108" s="242"/>
      <c r="GX108" s="242"/>
      <c r="GY108" s="242"/>
      <c r="GZ108" s="242"/>
      <c r="HA108" s="242"/>
      <c r="HB108" s="242"/>
      <c r="HC108" s="242"/>
      <c r="HD108" s="242"/>
      <c r="HE108" s="242"/>
      <c r="HF108" s="242"/>
      <c r="HG108" s="242"/>
      <c r="HH108" s="242"/>
      <c r="HI108" s="242"/>
      <c r="HJ108" s="242"/>
      <c r="HK108" s="242"/>
      <c r="HL108" s="242"/>
      <c r="HM108" s="242"/>
      <c r="HN108" s="242"/>
      <c r="HO108" s="242"/>
      <c r="HP108" s="242"/>
      <c r="HQ108" s="242"/>
      <c r="HR108" s="242"/>
      <c r="HS108" s="242"/>
      <c r="HT108" s="242"/>
      <c r="HU108" s="242"/>
      <c r="HV108" s="242"/>
      <c r="HW108" s="242"/>
      <c r="HX108" s="242"/>
      <c r="HY108" s="242"/>
      <c r="HZ108" s="242"/>
      <c r="IA108" s="242"/>
      <c r="IB108" s="242"/>
      <c r="IC108" s="242"/>
      <c r="ID108" s="242"/>
      <c r="IE108" s="242"/>
      <c r="IF108" s="242"/>
      <c r="IG108" s="242"/>
      <c r="IH108" s="242"/>
      <c r="II108" s="242"/>
      <c r="IJ108" s="242"/>
      <c r="IK108" s="242"/>
      <c r="IL108" s="242"/>
      <c r="IM108" s="242"/>
      <c r="IN108" s="242"/>
      <c r="IO108" s="242"/>
      <c r="IP108" s="242"/>
      <c r="IQ108" s="242"/>
      <c r="IR108" s="242"/>
      <c r="IS108" s="242"/>
      <c r="IT108" s="242"/>
      <c r="IU108" s="242"/>
      <c r="IV108" s="242"/>
      <c r="IW108" s="242"/>
    </row>
    <row r="109" customFormat="false" ht="12.6" hidden="true" customHeight="true" outlineLevel="0" collapsed="false">
      <c r="A109" s="246"/>
      <c r="B109" s="321"/>
      <c r="C109" s="292"/>
      <c r="D109" s="184" t="n">
        <v>2000</v>
      </c>
      <c r="E109" s="184" t="n">
        <v>2000</v>
      </c>
      <c r="F109" s="184" t="n">
        <v>2001</v>
      </c>
      <c r="G109" s="184" t="n">
        <v>2001</v>
      </c>
      <c r="H109" s="184" t="n">
        <v>2002</v>
      </c>
      <c r="I109" s="184" t="n">
        <f aca="false">+IF(H109-E109=1,H109+1,H109)</f>
        <v>2002</v>
      </c>
      <c r="J109" s="184" t="n">
        <f aca="false">+IF(I109-F109=1,I109+1,I109)</f>
        <v>2003</v>
      </c>
      <c r="K109" s="184" t="n">
        <f aca="false">+IF(J109-G109=1,J109+1,J109)</f>
        <v>2003</v>
      </c>
      <c r="L109" s="184" t="n">
        <f aca="false">+IF(K109-H109=1,K109+1,K109)</f>
        <v>2004</v>
      </c>
      <c r="M109" s="184" t="n">
        <f aca="false">+IF(L109-I109=1,L109+1,L109)</f>
        <v>2004</v>
      </c>
      <c r="N109" s="184" t="n">
        <f aca="false">+IF(M109-J109=1,M109+1,M109)</f>
        <v>2005</v>
      </c>
      <c r="O109" s="184" t="n">
        <f aca="false">+IF(N109-K109=1,N109+1,N109)</f>
        <v>2005</v>
      </c>
      <c r="P109" s="184" t="n">
        <f aca="false">+IF(O109-L109=1,O109+1,O109)</f>
        <v>2006</v>
      </c>
      <c r="Q109" s="184" t="n">
        <f aca="false">+IF(P109-M109=1,P109+1,P109)</f>
        <v>2006</v>
      </c>
      <c r="R109" s="184" t="n">
        <f aca="false">+IF(Q109-N109=1,Q109+1,Q109)</f>
        <v>2007</v>
      </c>
      <c r="S109" s="184" t="n">
        <f aca="false">+IF(R109-O109=1,R109+1,R109)</f>
        <v>2007</v>
      </c>
      <c r="T109" s="184" t="n">
        <f aca="false">+IF(S109-P109=1,S109+1,S109)</f>
        <v>2008</v>
      </c>
      <c r="U109" s="184" t="n">
        <f aca="false">+IF(T109-Q109=1,T109+1,T109)</f>
        <v>2008</v>
      </c>
      <c r="V109" s="184" t="n">
        <f aca="false">+IF(U109-R109=1,U109+1,U109)</f>
        <v>2009</v>
      </c>
      <c r="W109" s="184" t="n">
        <f aca="false">+IF(V109-S109=1,V109+1,V109)</f>
        <v>2009</v>
      </c>
      <c r="X109" s="184" t="n">
        <f aca="false">+IF(W109-T109=1,W109+1,W109)</f>
        <v>2010</v>
      </c>
      <c r="Y109" s="184" t="n">
        <f aca="false">+IF(X109-U109=1,X109+1,X109)</f>
        <v>2010</v>
      </c>
      <c r="Z109" s="184" t="n">
        <f aca="false">+IF(Y109-V109=1,Y109+1,Y109)</f>
        <v>2011</v>
      </c>
      <c r="AA109" s="184" t="n">
        <f aca="false">+IF(Z109-W109=1,Z109+1,Z109)</f>
        <v>2011</v>
      </c>
      <c r="AB109" s="184" t="n">
        <f aca="false">+IF(AA109-X109=1,AA109+1,AA109)</f>
        <v>2012</v>
      </c>
      <c r="AC109" s="184" t="n">
        <f aca="false">+IF(AB109-Y109=1,AB109+1,AB109)</f>
        <v>2012</v>
      </c>
      <c r="AD109" s="184" t="n">
        <f aca="false">+IF(AC109-Z109=1,AC109+1,AC109)</f>
        <v>2013</v>
      </c>
      <c r="AE109" s="184" t="n">
        <f aca="false">+IF(AD109-AA109=1,AD109+1,AD109)</f>
        <v>2013</v>
      </c>
      <c r="AF109" s="184" t="n">
        <f aca="false">+IF(AE109-AB109=1,AE109+1,AE109)</f>
        <v>2014</v>
      </c>
      <c r="AG109" s="184" t="n">
        <f aca="false">+IF(AF109-AC109=1,AF109+1,AF109)</f>
        <v>2014</v>
      </c>
      <c r="AH109" s="184" t="n">
        <f aca="false">+IF(AG109-AD109=1,AG109+1,AG109)</f>
        <v>2015</v>
      </c>
      <c r="AI109" s="242"/>
      <c r="AJ109" s="242"/>
      <c r="AK109" s="242"/>
      <c r="AL109" s="242"/>
      <c r="AM109" s="242"/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AY109" s="242"/>
      <c r="AZ109" s="242"/>
      <c r="BA109" s="242"/>
      <c r="BB109" s="242"/>
      <c r="BC109" s="242"/>
      <c r="BD109" s="242"/>
      <c r="BE109" s="242"/>
      <c r="BF109" s="242"/>
      <c r="BG109" s="242"/>
      <c r="BH109" s="242"/>
      <c r="BI109" s="242"/>
      <c r="BJ109" s="242"/>
      <c r="BK109" s="242"/>
      <c r="BL109" s="242"/>
      <c r="BM109" s="242"/>
      <c r="BN109" s="242"/>
      <c r="BO109" s="242"/>
      <c r="BP109" s="242"/>
      <c r="BQ109" s="242"/>
      <c r="BR109" s="242"/>
      <c r="BS109" s="242"/>
      <c r="BT109" s="242"/>
      <c r="BU109" s="242"/>
      <c r="BV109" s="242"/>
      <c r="BW109" s="242"/>
      <c r="BX109" s="242"/>
      <c r="BY109" s="242"/>
      <c r="BZ109" s="242"/>
      <c r="CA109" s="242"/>
      <c r="CB109" s="242"/>
      <c r="CC109" s="242"/>
      <c r="CD109" s="242"/>
      <c r="CE109" s="242"/>
      <c r="CF109" s="242"/>
      <c r="CG109" s="242"/>
      <c r="CH109" s="242"/>
      <c r="CI109" s="242"/>
      <c r="CJ109" s="242"/>
      <c r="CK109" s="242"/>
      <c r="CL109" s="242"/>
      <c r="CM109" s="242"/>
      <c r="CN109" s="242"/>
      <c r="CO109" s="242"/>
      <c r="CP109" s="242"/>
      <c r="CQ109" s="242"/>
      <c r="CR109" s="242"/>
      <c r="CS109" s="242"/>
      <c r="CT109" s="242"/>
      <c r="CU109" s="242"/>
      <c r="CV109" s="242"/>
      <c r="CW109" s="242"/>
      <c r="CX109" s="242"/>
      <c r="CY109" s="242"/>
      <c r="CZ109" s="242"/>
      <c r="DA109" s="242"/>
      <c r="DB109" s="242"/>
      <c r="DC109" s="242"/>
      <c r="DD109" s="242"/>
      <c r="DE109" s="242"/>
      <c r="DF109" s="242"/>
      <c r="DG109" s="242"/>
      <c r="DH109" s="242"/>
      <c r="DI109" s="242"/>
      <c r="DJ109" s="242"/>
      <c r="DK109" s="242"/>
      <c r="DL109" s="242"/>
      <c r="DM109" s="242"/>
      <c r="DN109" s="242"/>
      <c r="DO109" s="242"/>
      <c r="DP109" s="242"/>
      <c r="DQ109" s="242"/>
      <c r="DR109" s="242"/>
      <c r="DS109" s="242"/>
      <c r="DT109" s="242"/>
      <c r="DU109" s="242"/>
      <c r="DV109" s="242"/>
      <c r="DW109" s="242"/>
      <c r="DX109" s="242"/>
      <c r="DY109" s="242"/>
      <c r="DZ109" s="242"/>
      <c r="EA109" s="242"/>
      <c r="EB109" s="242"/>
      <c r="EC109" s="242"/>
      <c r="ED109" s="242"/>
      <c r="EE109" s="242"/>
      <c r="EF109" s="242"/>
      <c r="EG109" s="242"/>
      <c r="EH109" s="242"/>
      <c r="EI109" s="242"/>
      <c r="EJ109" s="242"/>
      <c r="EK109" s="242"/>
      <c r="EL109" s="242"/>
      <c r="EM109" s="242"/>
      <c r="EN109" s="242"/>
      <c r="EO109" s="242"/>
      <c r="EP109" s="242"/>
      <c r="EQ109" s="242"/>
      <c r="ER109" s="242"/>
      <c r="ES109" s="242"/>
      <c r="ET109" s="242"/>
      <c r="EU109" s="242"/>
      <c r="EV109" s="242"/>
      <c r="EW109" s="242"/>
      <c r="EX109" s="242"/>
      <c r="EY109" s="242"/>
      <c r="EZ109" s="242"/>
      <c r="FA109" s="242"/>
      <c r="FB109" s="242"/>
      <c r="FC109" s="242"/>
      <c r="FD109" s="242"/>
      <c r="FE109" s="242"/>
      <c r="FF109" s="242"/>
      <c r="FG109" s="242"/>
      <c r="FH109" s="242"/>
      <c r="FI109" s="242"/>
      <c r="FJ109" s="242"/>
      <c r="FK109" s="242"/>
      <c r="FL109" s="242"/>
      <c r="FM109" s="242"/>
      <c r="FN109" s="242"/>
      <c r="FO109" s="242"/>
      <c r="FP109" s="242"/>
      <c r="FQ109" s="242"/>
      <c r="FR109" s="242"/>
      <c r="FS109" s="242"/>
      <c r="FT109" s="242"/>
      <c r="FU109" s="242"/>
      <c r="FV109" s="242"/>
      <c r="FW109" s="242"/>
      <c r="FX109" s="242"/>
      <c r="FY109" s="242"/>
      <c r="FZ109" s="242"/>
      <c r="GA109" s="242"/>
      <c r="GB109" s="242"/>
      <c r="GC109" s="242"/>
      <c r="GD109" s="242"/>
      <c r="GE109" s="242"/>
      <c r="GF109" s="242"/>
      <c r="GG109" s="242"/>
      <c r="GH109" s="242"/>
      <c r="GI109" s="242"/>
      <c r="GJ109" s="242"/>
      <c r="GK109" s="242"/>
      <c r="GL109" s="242"/>
      <c r="GM109" s="242"/>
      <c r="GN109" s="242"/>
      <c r="GO109" s="242"/>
      <c r="GP109" s="242"/>
      <c r="GQ109" s="242"/>
      <c r="GR109" s="242"/>
      <c r="GS109" s="242"/>
      <c r="GT109" s="242"/>
      <c r="GU109" s="242"/>
      <c r="GV109" s="242"/>
      <c r="GW109" s="242"/>
      <c r="GX109" s="242"/>
      <c r="GY109" s="242"/>
      <c r="GZ109" s="242"/>
      <c r="HA109" s="242"/>
      <c r="HB109" s="242"/>
      <c r="HC109" s="242"/>
      <c r="HD109" s="242"/>
      <c r="HE109" s="242"/>
      <c r="HF109" s="242"/>
      <c r="HG109" s="242"/>
      <c r="HH109" s="242"/>
      <c r="HI109" s="242"/>
      <c r="HJ109" s="242"/>
      <c r="HK109" s="242"/>
      <c r="HL109" s="242"/>
      <c r="HM109" s="242"/>
      <c r="HN109" s="242"/>
      <c r="HO109" s="242"/>
      <c r="HP109" s="242"/>
      <c r="HQ109" s="242"/>
      <c r="HR109" s="242"/>
      <c r="HS109" s="242"/>
      <c r="HT109" s="242"/>
      <c r="HU109" s="242"/>
      <c r="HV109" s="242"/>
      <c r="HW109" s="242"/>
      <c r="HX109" s="242"/>
      <c r="HY109" s="242"/>
      <c r="HZ109" s="242"/>
      <c r="IA109" s="242"/>
      <c r="IB109" s="242"/>
      <c r="IC109" s="242"/>
      <c r="ID109" s="242"/>
      <c r="IE109" s="242"/>
      <c r="IF109" s="242"/>
      <c r="IG109" s="242"/>
      <c r="IH109" s="242"/>
      <c r="II109" s="242"/>
      <c r="IJ109" s="242"/>
      <c r="IK109" s="242"/>
      <c r="IL109" s="242"/>
      <c r="IM109" s="242"/>
      <c r="IN109" s="242"/>
      <c r="IO109" s="242"/>
      <c r="IP109" s="242"/>
      <c r="IQ109" s="242"/>
      <c r="IR109" s="242"/>
      <c r="IS109" s="242"/>
      <c r="IT109" s="242"/>
      <c r="IU109" s="242"/>
      <c r="IV109" s="242"/>
      <c r="IW109" s="242"/>
    </row>
    <row r="110" customFormat="false" ht="12.6" hidden="true" customHeight="true" outlineLevel="0" collapsed="false">
      <c r="A110" s="168" t="s">
        <v>312</v>
      </c>
      <c r="E110" s="184" t="n">
        <v>1</v>
      </c>
      <c r="F110" s="184" t="n">
        <f aca="false">E110+1</f>
        <v>2</v>
      </c>
      <c r="G110" s="184" t="n">
        <f aca="false">F110+1</f>
        <v>3</v>
      </c>
      <c r="H110" s="184" t="n">
        <f aca="false">G110+1</f>
        <v>4</v>
      </c>
      <c r="I110" s="184" t="n">
        <f aca="false">H110+1</f>
        <v>5</v>
      </c>
      <c r="J110" s="184" t="n">
        <f aca="false">I110+1</f>
        <v>6</v>
      </c>
      <c r="K110" s="184" t="n">
        <f aca="false">J110+1</f>
        <v>7</v>
      </c>
      <c r="L110" s="184" t="n">
        <f aca="false">K110+1</f>
        <v>8</v>
      </c>
      <c r="M110" s="184" t="n">
        <f aca="false">L110+1</f>
        <v>9</v>
      </c>
      <c r="N110" s="184" t="n">
        <f aca="false">M110+1</f>
        <v>10</v>
      </c>
      <c r="O110" s="184" t="n">
        <f aca="false">N110+1</f>
        <v>11</v>
      </c>
      <c r="P110" s="184" t="n">
        <f aca="false">O110+1</f>
        <v>12</v>
      </c>
      <c r="Q110" s="184" t="n">
        <f aca="false">P110+1</f>
        <v>13</v>
      </c>
      <c r="R110" s="184" t="n">
        <f aca="false">Q110+1</f>
        <v>14</v>
      </c>
      <c r="S110" s="184" t="n">
        <f aca="false">R110+1</f>
        <v>15</v>
      </c>
      <c r="T110" s="184" t="n">
        <f aca="false">S110+1</f>
        <v>16</v>
      </c>
      <c r="U110" s="184" t="n">
        <f aca="false">T110+1</f>
        <v>17</v>
      </c>
      <c r="V110" s="184" t="n">
        <f aca="false">U110+1</f>
        <v>18</v>
      </c>
      <c r="W110" s="184" t="n">
        <f aca="false">V110+1</f>
        <v>19</v>
      </c>
      <c r="X110" s="184" t="n">
        <f aca="false">W110+1</f>
        <v>20</v>
      </c>
      <c r="Y110" s="184" t="n">
        <f aca="false">X110+1</f>
        <v>21</v>
      </c>
      <c r="Z110" s="184" t="n">
        <f aca="false">Y110+1</f>
        <v>22</v>
      </c>
      <c r="AA110" s="184" t="n">
        <f aca="false">Z110+1</f>
        <v>23</v>
      </c>
      <c r="AB110" s="184" t="n">
        <f aca="false">AA110+1</f>
        <v>24</v>
      </c>
      <c r="AC110" s="184" t="n">
        <f aca="false">AB110+1</f>
        <v>25</v>
      </c>
      <c r="AD110" s="184" t="n">
        <f aca="false">AC110+1</f>
        <v>26</v>
      </c>
      <c r="AE110" s="184" t="n">
        <f aca="false">AD110+1</f>
        <v>27</v>
      </c>
      <c r="AF110" s="184" t="n">
        <f aca="false">AE110+1</f>
        <v>28</v>
      </c>
      <c r="AG110" s="184" t="n">
        <f aca="false">AF110+1</f>
        <v>29</v>
      </c>
      <c r="AH110" s="184" t="n">
        <f aca="false">AG110+1</f>
        <v>30</v>
      </c>
    </row>
    <row r="111" customFormat="false" ht="12.6" hidden="true" customHeight="true" outlineLevel="0" collapsed="false">
      <c r="A111" s="184" t="s">
        <v>294</v>
      </c>
      <c r="B111" s="184" t="n">
        <f aca="false">(1.1*B121)+(1*B129)</f>
        <v>1.067</v>
      </c>
      <c r="E111" s="297" t="n">
        <f aca="false">E121+E129</f>
        <v>113158.555526262</v>
      </c>
      <c r="F111" s="297" t="n">
        <f aca="false">F121+F129</f>
        <v>109182.289616798</v>
      </c>
      <c r="G111" s="297" t="n">
        <f aca="false">G121+G129</f>
        <v>106541.923321185</v>
      </c>
      <c r="H111" s="297" t="n">
        <f aca="false">H121+H129</f>
        <v>103823.206958391</v>
      </c>
      <c r="I111" s="297" t="n">
        <f aca="false">I121+I129</f>
        <v>101026.140528415</v>
      </c>
      <c r="J111" s="297" t="n">
        <f aca="false">J121+J129</f>
        <v>98150.7240312574</v>
      </c>
      <c r="K111" s="297" t="n">
        <f aca="false">K121+K129</f>
        <v>95196.9574669184</v>
      </c>
      <c r="L111" s="297" t="n">
        <f aca="false">L121+L129</f>
        <v>92164.8408353977</v>
      </c>
      <c r="M111" s="297" t="n">
        <f aca="false">M121+M129</f>
        <v>89054.3741366955</v>
      </c>
      <c r="N111" s="297" t="n">
        <f aca="false">N121+N129</f>
        <v>85865.5573708118</v>
      </c>
      <c r="O111" s="297" t="n">
        <f aca="false">O121+O129</f>
        <v>82598.3905377465</v>
      </c>
      <c r="P111" s="297" t="n">
        <f aca="false">P121+P129</f>
        <v>79252.8736374996</v>
      </c>
      <c r="Q111" s="297" t="n">
        <f aca="false">Q121+Q129</f>
        <v>75829.0066700711</v>
      </c>
      <c r="R111" s="297" t="n">
        <f aca="false">R121+R129</f>
        <v>72326.7896354611</v>
      </c>
      <c r="S111" s="297" t="n">
        <f aca="false">S121+S129</f>
        <v>68746.2225336695</v>
      </c>
      <c r="T111" s="297" t="n">
        <f aca="false">T121+T129</f>
        <v>65087.3053646963</v>
      </c>
      <c r="U111" s="297" t="n">
        <f aca="false">U121+U129</f>
        <v>61350.0381285416</v>
      </c>
      <c r="V111" s="297" t="n">
        <f aca="false">V121+V129</f>
        <v>57534.4208252053</v>
      </c>
      <c r="W111" s="297" t="n">
        <f aca="false">W121+W129</f>
        <v>53640.4534546875</v>
      </c>
      <c r="X111" s="297" t="n">
        <f aca="false">X121+X129</f>
        <v>49668.1360169881</v>
      </c>
      <c r="Y111" s="297" t="n">
        <f aca="false">Y121+Y129</f>
        <v>45617.4685121071</v>
      </c>
      <c r="Z111" s="297" t="n">
        <f aca="false">Z121+Z129</f>
        <v>41488.4509400445</v>
      </c>
      <c r="AA111" s="297" t="n">
        <f aca="false">AA121+AA129</f>
        <v>37281.0833008004</v>
      </c>
      <c r="AB111" s="297" t="n">
        <f aca="false">AB121+AB129</f>
        <v>32995.3655943747</v>
      </c>
      <c r="AC111" s="297" t="n">
        <f aca="false">AC121+AC129</f>
        <v>28631.2978207675</v>
      </c>
      <c r="AD111" s="297" t="n">
        <f aca="false">AD121+AD129</f>
        <v>24188.8799799787</v>
      </c>
      <c r="AE111" s="297" t="n">
        <f aca="false">AE121+AE129</f>
        <v>19668.1120720083</v>
      </c>
      <c r="AF111" s="297" t="n">
        <f aca="false">AF121+AF129</f>
        <v>15068.9940968563</v>
      </c>
      <c r="AG111" s="297" t="n">
        <f aca="false">AG121+AG129</f>
        <v>10391.5260545228</v>
      </c>
      <c r="AH111" s="297" t="n">
        <f aca="false">AH121+AH129</f>
        <v>5635.70794500773</v>
      </c>
    </row>
    <row r="112" customFormat="false" ht="12.6" hidden="true" customHeight="true" outlineLevel="0" collapsed="false">
      <c r="A112" s="184" t="s">
        <v>295</v>
      </c>
      <c r="E112" s="297" t="n">
        <f aca="false">E122+E130</f>
        <v>3400.34783223669</v>
      </c>
      <c r="F112" s="297" t="n">
        <f aca="false">F122+F130</f>
        <v>2322.48401741347</v>
      </c>
      <c r="G112" s="297" t="n">
        <f aca="false">G122+G130</f>
        <v>2331.81493478123</v>
      </c>
      <c r="H112" s="297" t="n">
        <f aca="false">H122+H130</f>
        <v>2337.47821234671</v>
      </c>
      <c r="I112" s="297" t="n">
        <f aca="false">I122+I130</f>
        <v>2339.33148447513</v>
      </c>
      <c r="J112" s="297" t="n">
        <f aca="false">J122+J130</f>
        <v>2337.21597467613</v>
      </c>
      <c r="K112" s="297" t="n">
        <f aca="false">K122+K130</f>
        <v>2330.95551716109</v>
      </c>
      <c r="L112" s="297" t="n">
        <f aca="false">L122+L130</f>
        <v>2320.35546024651</v>
      </c>
      <c r="M112" s="297" t="n">
        <f aca="false">M122+M130</f>
        <v>2305.20144205732</v>
      </c>
      <c r="N112" s="297" t="n">
        <f aca="false">N122+N130</f>
        <v>2285.25802777155</v>
      </c>
      <c r="O112" s="297" t="n">
        <f aca="false">O122+O130</f>
        <v>2260.26719631495</v>
      </c>
      <c r="P112" s="297" t="n">
        <f aca="false">P122+P130</f>
        <v>2229.94666294372</v>
      </c>
      <c r="Q112" s="297" t="n">
        <f aca="false">Q122+Q130</f>
        <v>2193.98802252832</v>
      </c>
      <c r="R112" s="297" t="n">
        <f aca="false">R122+R130</f>
        <v>2152.05469655029</v>
      </c>
      <c r="S112" s="297" t="n">
        <f aca="false">S122+S130</f>
        <v>2103.77966482492</v>
      </c>
      <c r="T112" s="297" t="n">
        <f aca="false">T122+T130</f>
        <v>2048.76296074026</v>
      </c>
      <c r="U112" s="297" t="n">
        <f aca="false">U122+U130</f>
        <v>1986.56890632703</v>
      </c>
      <c r="V112" s="297" t="n">
        <f aca="false">V122+V130</f>
        <v>1916.72306071456</v>
      </c>
      <c r="W112" s="297" t="n">
        <f aca="false">W122+W130</f>
        <v>1838.70885244632</v>
      </c>
      <c r="X112" s="297" t="n">
        <f aca="false">X122+X130</f>
        <v>1751.96386268441</v>
      </c>
      <c r="Y112" s="297" t="n">
        <f aca="false">Y122+Y130</f>
        <v>1655.87572247967</v>
      </c>
      <c r="Z112" s="297" t="n">
        <f aca="false">Z122+Z130</f>
        <v>1549.77758296882</v>
      </c>
      <c r="AA112" s="297" t="n">
        <f aca="false">AA122+AA130</f>
        <v>1432.94311252302</v>
      </c>
      <c r="AB112" s="297" t="n">
        <f aca="false">AB122+AB130</f>
        <v>1304.58096944662</v>
      </c>
      <c r="AC112" s="297" t="n">
        <f aca="false">AC122+AC130</f>
        <v>1163.82869273216</v>
      </c>
      <c r="AD112" s="297" t="n">
        <f aca="false">AD122+AD130</f>
        <v>1009.74594653189</v>
      </c>
      <c r="AE112" s="297" t="n">
        <f aca="false">AE122+AE130</f>
        <v>841.307046308356</v>
      </c>
      <c r="AF112" s="297" t="n">
        <f aca="false">AF122+AF130</f>
        <v>657.392685962444</v>
      </c>
      <c r="AG112" s="297" t="n">
        <f aca="false">AG122+AG130</f>
        <v>456.780775481632</v>
      </c>
      <c r="AH112" s="297" t="n">
        <f aca="false">AH122+AH130</f>
        <v>238.136287654845</v>
      </c>
    </row>
    <row r="113" customFormat="false" ht="12.6" hidden="true" customHeight="true" outlineLevel="0" collapsed="false">
      <c r="A113" s="184" t="s">
        <v>296</v>
      </c>
      <c r="E113" s="297" t="n">
        <f aca="false">E123+E131</f>
        <v>3977.2659094645</v>
      </c>
      <c r="F113" s="297" t="n">
        <f aca="false">F123+F131</f>
        <v>2642.36629561279</v>
      </c>
      <c r="G113" s="297" t="n">
        <f aca="false">G123+G131</f>
        <v>2721.71636279436</v>
      </c>
      <c r="H113" s="297" t="n">
        <f aca="false">H123+H131</f>
        <v>2801.06642997592</v>
      </c>
      <c r="I113" s="297" t="n">
        <f aca="false">I123+I131</f>
        <v>2880.41649715749</v>
      </c>
      <c r="J113" s="297" t="n">
        <f aca="false">J123+J131</f>
        <v>2959.76656433906</v>
      </c>
      <c r="K113" s="297" t="n">
        <f aca="false">K123+K131</f>
        <v>3039.11663152062</v>
      </c>
      <c r="L113" s="297" t="n">
        <f aca="false">L123+L131</f>
        <v>3118.46669870219</v>
      </c>
      <c r="M113" s="297" t="n">
        <f aca="false">M123+M131</f>
        <v>3197.81676588376</v>
      </c>
      <c r="N113" s="297" t="n">
        <f aca="false">N123+N131</f>
        <v>3277.16683306532</v>
      </c>
      <c r="O113" s="297" t="n">
        <f aca="false">O123+O131</f>
        <v>3356.51690024689</v>
      </c>
      <c r="P113" s="297" t="n">
        <f aca="false">P123+P131</f>
        <v>3435.86696742846</v>
      </c>
      <c r="Q113" s="297" t="n">
        <f aca="false">Q123+Q131</f>
        <v>3515.21703461002</v>
      </c>
      <c r="R113" s="297" t="n">
        <f aca="false">R123+R131</f>
        <v>3594.56710179159</v>
      </c>
      <c r="S113" s="297" t="n">
        <f aca="false">S123+S131</f>
        <v>3673.91716897316</v>
      </c>
      <c r="T113" s="297" t="n">
        <f aca="false">T123+T131</f>
        <v>3753.26723615472</v>
      </c>
      <c r="U113" s="297" t="n">
        <f aca="false">U123+U131</f>
        <v>3832.61730333629</v>
      </c>
      <c r="V113" s="297" t="n">
        <f aca="false">V123+V131</f>
        <v>3911.96737051785</v>
      </c>
      <c r="W113" s="297" t="n">
        <f aca="false">W123+W131</f>
        <v>3991.31743769942</v>
      </c>
      <c r="X113" s="297" t="n">
        <f aca="false">X123+X131</f>
        <v>4070.66750488099</v>
      </c>
      <c r="Y113" s="297" t="n">
        <f aca="false">Y123+Y131</f>
        <v>4150.01757206255</v>
      </c>
      <c r="Z113" s="297" t="n">
        <f aca="false">Z123+Z131</f>
        <v>4229.36763924412</v>
      </c>
      <c r="AA113" s="297" t="n">
        <f aca="false">AA123+AA131</f>
        <v>4308.71770642568</v>
      </c>
      <c r="AB113" s="297" t="n">
        <f aca="false">AB123+AB131</f>
        <v>4388.06777360725</v>
      </c>
      <c r="AC113" s="297" t="n">
        <f aca="false">AC123+AC131</f>
        <v>4467.41784078882</v>
      </c>
      <c r="AD113" s="297" t="n">
        <f aca="false">AD123+AD131</f>
        <v>4546.76790797038</v>
      </c>
      <c r="AE113" s="297" t="n">
        <f aca="false">AE123+AE131</f>
        <v>4626.11797515195</v>
      </c>
      <c r="AF113" s="297" t="n">
        <f aca="false">AF123+AF131</f>
        <v>4705.46804233352</v>
      </c>
      <c r="AG113" s="297" t="n">
        <f aca="false">AG123+AG131</f>
        <v>4784.81810951508</v>
      </c>
      <c r="AH113" s="297" t="n">
        <f aca="false">AH123+AH131</f>
        <v>4864.16817669665</v>
      </c>
    </row>
    <row r="114" customFormat="false" ht="12.6" hidden="true" customHeight="true" outlineLevel="0" collapsed="false">
      <c r="A114" s="184" t="s">
        <v>297</v>
      </c>
      <c r="E114" s="297" t="n">
        <f aca="false">E124+E132</f>
        <v>120535.169267964</v>
      </c>
      <c r="F114" s="297" t="n">
        <f aca="false">F124+F132</f>
        <v>114349.453988413</v>
      </c>
      <c r="G114" s="297" t="n">
        <f aca="false">G124+G132</f>
        <v>110665.183122087</v>
      </c>
      <c r="H114" s="297" t="n">
        <f aca="false">H124+H132</f>
        <v>106977.244615959</v>
      </c>
      <c r="I114" s="297" t="n">
        <f aca="false">I124+I132</f>
        <v>103285.496104393</v>
      </c>
      <c r="J114" s="297" t="n">
        <f aca="false">J124+J132</f>
        <v>99589.7788109006</v>
      </c>
      <c r="K114" s="297" t="n">
        <f aca="false">K124+K132</f>
        <v>95889.9165696917</v>
      </c>
      <c r="L114" s="297" t="n">
        <f aca="false">L124+L132</f>
        <v>92185.7147290833</v>
      </c>
      <c r="M114" s="297" t="n">
        <f aca="false">M124+M132</f>
        <v>88476.9589272003</v>
      </c>
      <c r="N114" s="297" t="n">
        <f aca="false">N124+N132</f>
        <v>84763.4137292206</v>
      </c>
      <c r="O114" s="297" t="n">
        <f aca="false">O124+O132</f>
        <v>81044.8211140702</v>
      </c>
      <c r="P114" s="297" t="n">
        <f aca="false">P124+P132</f>
        <v>77320.8987970051</v>
      </c>
      <c r="Q114" s="297" t="n">
        <f aca="false">Q124+Q132</f>
        <v>73591.3383728959</v>
      </c>
      <c r="R114" s="297" t="n">
        <f aca="false">R124+R132</f>
        <v>69855.803263224</v>
      </c>
      <c r="S114" s="297" t="n">
        <f aca="false">S124+S132</f>
        <v>66113.9264478048</v>
      </c>
      <c r="T114" s="297" t="n">
        <f aca="false">T124+T132</f>
        <v>62365.3079600263</v>
      </c>
      <c r="U114" s="297" t="n">
        <f aca="false">U124+U132</f>
        <v>58609.5121219192</v>
      </c>
      <c r="V114" s="297" t="n">
        <f aca="false">V124+V132</f>
        <v>54846.0644926129</v>
      </c>
      <c r="W114" s="297" t="n">
        <f aca="false">W124+W132</f>
        <v>51074.4485006507</v>
      </c>
      <c r="X114" s="297" t="n">
        <f aca="false">X124+X132</f>
        <v>47294.101727195</v>
      </c>
      <c r="Y114" s="297" t="n">
        <f aca="false">Y124+Y132</f>
        <v>43504.4118032964</v>
      </c>
      <c r="Z114" s="297" t="n">
        <f aca="false">Z124+Z132</f>
        <v>39704.7118800917</v>
      </c>
      <c r="AA114" s="297" t="n">
        <f aca="false">AA124+AA132</f>
        <v>35894.2756259521</v>
      </c>
      <c r="AB114" s="297" t="n">
        <f aca="false">AB124+AB132</f>
        <v>32072.3116991818</v>
      </c>
      <c r="AC114" s="297" t="n">
        <f aca="false">AC124+AC132</f>
        <v>28237.9576387735</v>
      </c>
      <c r="AD114" s="297" t="n">
        <f aca="false">AD124+AD132</f>
        <v>24390.2731088794</v>
      </c>
      <c r="AE114" s="297" t="n">
        <f aca="false">AE124+AE132</f>
        <v>20528.232424962</v>
      </c>
      <c r="AF114" s="297" t="n">
        <f aca="false">AF124+AF132</f>
        <v>16650.7162809222</v>
      </c>
      <c r="AG114" s="297" t="n">
        <f aca="false">AG124+AG132</f>
        <v>12756.5025867476</v>
      </c>
      <c r="AH114" s="297" t="n">
        <f aca="false">AH124+AH132</f>
        <v>8844.25631522693</v>
      </c>
    </row>
    <row r="115" customFormat="false" ht="12.6" hidden="true" customHeight="true" outlineLevel="0" collapsed="false">
      <c r="A115" s="184" t="s">
        <v>298</v>
      </c>
      <c r="E115" s="297" t="n">
        <f aca="false">E125+E133</f>
        <v>112582.637449035</v>
      </c>
      <c r="F115" s="297" t="n">
        <f aca="false">F125+F133</f>
        <v>109870.798360557</v>
      </c>
      <c r="G115" s="297" t="n">
        <f aca="false">G125+G133</f>
        <v>107078.465021112</v>
      </c>
      <c r="H115" s="297" t="n">
        <f aca="false">H125+H133</f>
        <v>104205.573105186</v>
      </c>
      <c r="I115" s="297" t="n">
        <f aca="false">I125+I133</f>
        <v>101252.056357499</v>
      </c>
      <c r="J115" s="297" t="n">
        <f aca="false">J125+J133</f>
        <v>98217.8465351156</v>
      </c>
      <c r="K115" s="297" t="n">
        <f aca="false">K125+K133</f>
        <v>95102.8733478089</v>
      </c>
      <c r="L115" s="297" t="n">
        <f aca="false">L125+L133</f>
        <v>91907.0643966472</v>
      </c>
      <c r="M115" s="297" t="n">
        <f aca="false">M125+M133</f>
        <v>88630.34511073</v>
      </c>
      <c r="N115" s="297" t="n">
        <f aca="false">N125+N133</f>
        <v>85272.6386820303</v>
      </c>
      <c r="O115" s="297" t="n">
        <f aca="false">O125+O133</f>
        <v>81833.86599828</v>
      </c>
      <c r="P115" s="297" t="n">
        <f aca="false">P125+P133</f>
        <v>78313.945573843</v>
      </c>
      <c r="Q115" s="297" t="n">
        <f aca="false">Q125+Q133</f>
        <v>74712.7934785142</v>
      </c>
      <c r="R115" s="297" t="n">
        <f aca="false">R125+R133</f>
        <v>71030.3232641822</v>
      </c>
      <c r="S115" s="297" t="n">
        <f aca="false">S125+S133</f>
        <v>67266.4458892925</v>
      </c>
      <c r="T115" s="297" t="n">
        <f aca="false">T125+T133</f>
        <v>63421.0696410437</v>
      </c>
      <c r="U115" s="297" t="n">
        <f aca="false">U125+U133</f>
        <v>59494.1000552506</v>
      </c>
      <c r="V115" s="297" t="n">
        <f aca="false">V125+V133</f>
        <v>55485.4398338021</v>
      </c>
      <c r="W115" s="297" t="n">
        <f aca="false">W125+W133</f>
        <v>51394.9887596442</v>
      </c>
      <c r="X115" s="297" t="n">
        <f aca="false">X125+X133</f>
        <v>47222.643609211</v>
      </c>
      <c r="Y115" s="297" t="n">
        <f aca="false">Y125+Y133</f>
        <v>42968.2980622296</v>
      </c>
      <c r="Z115" s="297" t="n">
        <f aca="false">Z125+Z133</f>
        <v>38631.8426088191</v>
      </c>
      <c r="AA115" s="297" t="n">
        <f aca="false">AA125+AA133</f>
        <v>34213.164453802</v>
      </c>
      <c r="AB115" s="297" t="n">
        <f aca="false">AB125+AB133</f>
        <v>29712.1474181456</v>
      </c>
      <c r="AC115" s="297" t="n">
        <f aca="false">AC125+AC133</f>
        <v>25128.6718374462</v>
      </c>
      <c r="AD115" s="297" t="n">
        <f aca="false">AD125+AD133</f>
        <v>20462.6144573679</v>
      </c>
      <c r="AE115" s="297" t="n">
        <f aca="false">AE125+AE133</f>
        <v>15713.8483259448</v>
      </c>
      <c r="AF115" s="297" t="n">
        <f aca="false">AF125+AF133</f>
        <v>10882.242682652</v>
      </c>
      <c r="AG115" s="297" t="n">
        <f aca="false">AG125+AG133</f>
        <v>5967.66284414887</v>
      </c>
      <c r="AH115" s="297" t="n">
        <f aca="false">AH125+AH133</f>
        <v>969.970086594515</v>
      </c>
    </row>
    <row r="116" customFormat="false" ht="12.75" hidden="true" customHeight="false" outlineLevel="0" collapsed="false"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</row>
    <row r="117" customFormat="false" ht="12.75" hidden="true" customHeight="false" outlineLevel="0" collapsed="false">
      <c r="A117" s="322"/>
      <c r="E117" s="184" t="n">
        <v>1</v>
      </c>
      <c r="F117" s="184" t="n">
        <v>1</v>
      </c>
      <c r="G117" s="184" t="n">
        <v>1</v>
      </c>
      <c r="H117" s="184" t="n">
        <v>1</v>
      </c>
      <c r="I117" s="184" t="n">
        <v>1</v>
      </c>
      <c r="J117" s="184" t="n">
        <v>1</v>
      </c>
      <c r="K117" s="184" t="n">
        <v>1</v>
      </c>
      <c r="L117" s="184" t="n">
        <v>1</v>
      </c>
      <c r="M117" s="184" t="n">
        <v>1</v>
      </c>
      <c r="N117" s="184" t="n">
        <v>1</v>
      </c>
      <c r="O117" s="184" t="n">
        <v>1</v>
      </c>
      <c r="P117" s="184" t="n">
        <v>1</v>
      </c>
      <c r="Q117" s="184" t="n">
        <v>1</v>
      </c>
      <c r="R117" s="184" t="n">
        <v>1</v>
      </c>
      <c r="S117" s="184" t="n">
        <v>1</v>
      </c>
      <c r="T117" s="184" t="n">
        <v>1</v>
      </c>
      <c r="U117" s="184" t="n">
        <v>1</v>
      </c>
      <c r="V117" s="184" t="n">
        <v>1</v>
      </c>
      <c r="W117" s="184" t="n">
        <v>1</v>
      </c>
      <c r="X117" s="184" t="n">
        <v>1</v>
      </c>
      <c r="Y117" s="184" t="n">
        <v>1</v>
      </c>
      <c r="Z117" s="184" t="n">
        <v>1</v>
      </c>
      <c r="AA117" s="184" t="n">
        <v>1</v>
      </c>
      <c r="AB117" s="184" t="n">
        <v>1</v>
      </c>
      <c r="AC117" s="184" t="n">
        <v>1</v>
      </c>
      <c r="AD117" s="184" t="n">
        <v>1</v>
      </c>
      <c r="AE117" s="184" t="n">
        <v>1</v>
      </c>
      <c r="AF117" s="184" t="n">
        <v>1</v>
      </c>
      <c r="AG117" s="184" t="n">
        <v>1</v>
      </c>
    </row>
    <row r="118" customFormat="false" ht="12.75" hidden="true" customHeight="false" outlineLevel="0" collapsed="false">
      <c r="A118" s="322"/>
      <c r="E118" s="323"/>
    </row>
    <row r="119" customFormat="false" ht="12.75" hidden="true" customHeight="false" outlineLevel="0" collapsed="false">
      <c r="A119" s="322"/>
      <c r="B119" s="323"/>
      <c r="C119" s="323" t="n">
        <v>0.0207717569786535</v>
      </c>
      <c r="D119" s="323"/>
      <c r="E119" s="323" t="n">
        <f aca="false">1+(('Book Income Statement'!C5-6)/6)</f>
        <v>1.05416666666667</v>
      </c>
      <c r="F119" s="323" t="n">
        <v>0.7</v>
      </c>
      <c r="G119" s="323" t="n">
        <f aca="false">F119+$C$119</f>
        <v>0.720771756978654</v>
      </c>
      <c r="H119" s="323" t="n">
        <f aca="false">G119+$C$119</f>
        <v>0.741543513957307</v>
      </c>
      <c r="I119" s="323" t="n">
        <f aca="false">H119+$C$119</f>
        <v>0.762315270935961</v>
      </c>
      <c r="J119" s="323" t="n">
        <f aca="false">I119+$C$119</f>
        <v>0.783087027914614</v>
      </c>
      <c r="K119" s="323" t="n">
        <f aca="false">J119+$C$119</f>
        <v>0.803858784893268</v>
      </c>
      <c r="L119" s="323" t="n">
        <f aca="false">K119+$C$119</f>
        <v>0.824630541871921</v>
      </c>
      <c r="M119" s="323" t="n">
        <f aca="false">L119+$C$119</f>
        <v>0.845402298850575</v>
      </c>
      <c r="N119" s="323" t="n">
        <f aca="false">M119+$C$119</f>
        <v>0.866174055829228</v>
      </c>
      <c r="O119" s="323" t="n">
        <f aca="false">N119+$C$119</f>
        <v>0.886945812807882</v>
      </c>
      <c r="P119" s="323" t="n">
        <f aca="false">O119+$C$119</f>
        <v>0.907717569786535</v>
      </c>
      <c r="Q119" s="323" t="n">
        <f aca="false">P119+$C$119</f>
        <v>0.928489326765189</v>
      </c>
      <c r="R119" s="323" t="n">
        <f aca="false">Q119+$C$119</f>
        <v>0.949261083743842</v>
      </c>
      <c r="S119" s="323" t="n">
        <f aca="false">R119+$C$119</f>
        <v>0.970032840722496</v>
      </c>
      <c r="T119" s="323" t="n">
        <f aca="false">S119+$C$119</f>
        <v>0.990804597701149</v>
      </c>
      <c r="U119" s="323" t="n">
        <f aca="false">T119+$C$119</f>
        <v>1.0115763546798</v>
      </c>
      <c r="V119" s="323" t="n">
        <f aca="false">U119+$C$119</f>
        <v>1.03234811165846</v>
      </c>
      <c r="W119" s="323" t="n">
        <f aca="false">V119+$C$119</f>
        <v>1.05311986863711</v>
      </c>
      <c r="X119" s="323" t="n">
        <f aca="false">W119+$C$119</f>
        <v>1.07389162561576</v>
      </c>
      <c r="Y119" s="323" t="n">
        <f aca="false">X119+$C$119</f>
        <v>1.09466338259442</v>
      </c>
      <c r="Z119" s="323" t="n">
        <f aca="false">Y119+$C$119</f>
        <v>1.11543513957307</v>
      </c>
      <c r="AA119" s="323" t="n">
        <f aca="false">Z119+$C$119</f>
        <v>1.13620689655172</v>
      </c>
      <c r="AB119" s="323" t="n">
        <f aca="false">AA119+$C$119</f>
        <v>1.15697865353038</v>
      </c>
      <c r="AC119" s="323" t="n">
        <f aca="false">AB119+$C$119</f>
        <v>1.17775041050903</v>
      </c>
      <c r="AD119" s="323" t="n">
        <f aca="false">AC119+$C$119</f>
        <v>1.19852216748768</v>
      </c>
      <c r="AE119" s="323" t="n">
        <f aca="false">AD119+$C$119</f>
        <v>1.21929392446634</v>
      </c>
      <c r="AF119" s="323" t="n">
        <f aca="false">AE119+$C$119</f>
        <v>1.24006568144499</v>
      </c>
      <c r="AG119" s="323" t="n">
        <f aca="false">AF119+$C$119</f>
        <v>1.26083743842364</v>
      </c>
      <c r="AH119" s="323" t="n">
        <f aca="false">AG119+$C$119</f>
        <v>1.2816091954023</v>
      </c>
    </row>
    <row r="120" customFormat="false" ht="12.6" hidden="true" customHeight="true" outlineLevel="0" collapsed="false">
      <c r="A120" s="168" t="s">
        <v>313</v>
      </c>
      <c r="E120" s="184" t="n">
        <v>1</v>
      </c>
      <c r="F120" s="184" t="n">
        <f aca="false">E120+1</f>
        <v>2</v>
      </c>
      <c r="G120" s="184" t="n">
        <f aca="false">F120+1</f>
        <v>3</v>
      </c>
      <c r="H120" s="184" t="n">
        <f aca="false">G120+1</f>
        <v>4</v>
      </c>
      <c r="I120" s="184" t="n">
        <f aca="false">H120+1</f>
        <v>5</v>
      </c>
      <c r="J120" s="184" t="n">
        <f aca="false">I120+1</f>
        <v>6</v>
      </c>
      <c r="K120" s="184" t="n">
        <f aca="false">J120+1</f>
        <v>7</v>
      </c>
      <c r="L120" s="184" t="n">
        <f aca="false">K120+1</f>
        <v>8</v>
      </c>
      <c r="M120" s="184" t="n">
        <f aca="false">L120+1</f>
        <v>9</v>
      </c>
      <c r="N120" s="184" t="n">
        <f aca="false">M120+1</f>
        <v>10</v>
      </c>
      <c r="O120" s="184" t="n">
        <f aca="false">N120+1</f>
        <v>11</v>
      </c>
      <c r="P120" s="184" t="n">
        <f aca="false">O120+1</f>
        <v>12</v>
      </c>
      <c r="Q120" s="184" t="n">
        <f aca="false">P120+1</f>
        <v>13</v>
      </c>
      <c r="R120" s="184" t="n">
        <f aca="false">Q120+1</f>
        <v>14</v>
      </c>
      <c r="S120" s="184" t="n">
        <f aca="false">R120+1</f>
        <v>15</v>
      </c>
      <c r="T120" s="184" t="n">
        <f aca="false">S120+1</f>
        <v>16</v>
      </c>
      <c r="U120" s="184" t="n">
        <f aca="false">T120+1</f>
        <v>17</v>
      </c>
      <c r="V120" s="184" t="n">
        <f aca="false">U120+1</f>
        <v>18</v>
      </c>
      <c r="W120" s="184" t="n">
        <f aca="false">V120+1</f>
        <v>19</v>
      </c>
      <c r="X120" s="184" t="n">
        <f aca="false">W120+1</f>
        <v>20</v>
      </c>
      <c r="Y120" s="184" t="n">
        <f aca="false">X120+1</f>
        <v>21</v>
      </c>
      <c r="Z120" s="184" t="n">
        <f aca="false">Y120+1</f>
        <v>22</v>
      </c>
      <c r="AA120" s="184" t="n">
        <f aca="false">Z120+1</f>
        <v>23</v>
      </c>
      <c r="AB120" s="184" t="n">
        <f aca="false">AA120+1</f>
        <v>24</v>
      </c>
      <c r="AC120" s="184" t="n">
        <f aca="false">AB120+1</f>
        <v>25</v>
      </c>
      <c r="AD120" s="184" t="n">
        <f aca="false">AC120+1</f>
        <v>26</v>
      </c>
      <c r="AE120" s="184" t="n">
        <f aca="false">AD120+1</f>
        <v>27</v>
      </c>
      <c r="AF120" s="184" t="n">
        <f aca="false">AE120+1</f>
        <v>28</v>
      </c>
      <c r="AG120" s="184" t="n">
        <f aca="false">AF120+1</f>
        <v>29</v>
      </c>
      <c r="AH120" s="184" t="n">
        <f aca="false">AG120+1</f>
        <v>30</v>
      </c>
    </row>
    <row r="121" customFormat="false" ht="12.6" hidden="true" customHeight="true" outlineLevel="0" collapsed="false">
      <c r="A121" s="184" t="s">
        <v>294</v>
      </c>
      <c r="B121" s="259" t="n">
        <f aca="false">'Project Assumptions'!I38</f>
        <v>0.97</v>
      </c>
      <c r="C121" s="259"/>
      <c r="E121" s="297" t="n">
        <f aca="false">'Project Assumptions'!$C$49*'Project Assumptions'!$I$38</f>
        <v>113158.555526262</v>
      </c>
      <c r="F121" s="306" t="n">
        <f aca="false">E125</f>
        <v>109182.289616798</v>
      </c>
      <c r="G121" s="306" t="n">
        <f aca="false">F125</f>
        <v>106541.923321185</v>
      </c>
      <c r="H121" s="306" t="n">
        <f aca="false">G125</f>
        <v>103823.206958391</v>
      </c>
      <c r="I121" s="306" t="n">
        <f aca="false">H125</f>
        <v>101026.140528415</v>
      </c>
      <c r="J121" s="306" t="n">
        <f aca="false">I125</f>
        <v>98150.7240312574</v>
      </c>
      <c r="K121" s="306" t="n">
        <f aca="false">J125</f>
        <v>95196.9574669184</v>
      </c>
      <c r="L121" s="306" t="n">
        <f aca="false">K125</f>
        <v>92164.8408353977</v>
      </c>
      <c r="M121" s="306" t="n">
        <f aca="false">L125</f>
        <v>89054.3741366955</v>
      </c>
      <c r="N121" s="306" t="n">
        <f aca="false">M125</f>
        <v>85865.5573708118</v>
      </c>
      <c r="O121" s="306" t="n">
        <f aca="false">N125</f>
        <v>82598.3905377465</v>
      </c>
      <c r="P121" s="306" t="n">
        <f aca="false">O125</f>
        <v>79252.8736374996</v>
      </c>
      <c r="Q121" s="306" t="n">
        <f aca="false">P125</f>
        <v>75829.0066700711</v>
      </c>
      <c r="R121" s="306" t="n">
        <f aca="false">Q125</f>
        <v>72326.7896354611</v>
      </c>
      <c r="S121" s="306" t="n">
        <f aca="false">R125</f>
        <v>68746.2225336695</v>
      </c>
      <c r="T121" s="306" t="n">
        <f aca="false">S125</f>
        <v>65087.3053646963</v>
      </c>
      <c r="U121" s="306" t="n">
        <f aca="false">T125</f>
        <v>61350.0381285416</v>
      </c>
      <c r="V121" s="306" t="n">
        <f aca="false">U125</f>
        <v>57534.4208252053</v>
      </c>
      <c r="W121" s="306" t="n">
        <f aca="false">V125</f>
        <v>53640.4534546875</v>
      </c>
      <c r="X121" s="306" t="n">
        <f aca="false">W125</f>
        <v>49668.1360169881</v>
      </c>
      <c r="Y121" s="306" t="n">
        <f aca="false">X125</f>
        <v>45617.4685121071</v>
      </c>
      <c r="Z121" s="306" t="n">
        <f aca="false">Y125</f>
        <v>41488.4509400445</v>
      </c>
      <c r="AA121" s="306" t="n">
        <f aca="false">Z125</f>
        <v>37281.0833008004</v>
      </c>
      <c r="AB121" s="306" t="n">
        <f aca="false">AA125</f>
        <v>32995.3655943747</v>
      </c>
      <c r="AC121" s="306" t="n">
        <f aca="false">AB125</f>
        <v>28631.2978207675</v>
      </c>
      <c r="AD121" s="306" t="n">
        <f aca="false">AC125</f>
        <v>24188.8799799787</v>
      </c>
      <c r="AE121" s="306" t="n">
        <f aca="false">AD125</f>
        <v>19668.1120720083</v>
      </c>
      <c r="AF121" s="306" t="n">
        <f aca="false">AE125</f>
        <v>15068.9940968563</v>
      </c>
      <c r="AG121" s="306" t="n">
        <f aca="false">AF125</f>
        <v>10391.5260545228</v>
      </c>
      <c r="AH121" s="306" t="n">
        <f aca="false">AG125</f>
        <v>5635.70794500773</v>
      </c>
    </row>
    <row r="122" customFormat="false" ht="12.6" hidden="true" customHeight="true" outlineLevel="0" collapsed="false">
      <c r="A122" s="184" t="s">
        <v>295</v>
      </c>
      <c r="B122" s="259" t="n">
        <f aca="false">'Project Assumptions'!I43</f>
        <v>0.06</v>
      </c>
      <c r="C122" s="259"/>
      <c r="E122" s="297" t="n">
        <f aca="false">-IPMT($D$22/2,E120,15*2,$E$74)</f>
        <v>3400.34783223669</v>
      </c>
      <c r="F122" s="297" t="n">
        <f aca="false">-IPMT($D$22/2*F119,F120,15*2,$E$74)</f>
        <v>2322.48401741347</v>
      </c>
      <c r="G122" s="297" t="n">
        <f aca="false">-IPMT($D$22/2*G119,G120,15*2,$E$74)</f>
        <v>2331.81493478123</v>
      </c>
      <c r="H122" s="297" t="n">
        <f aca="false">-IPMT($D$22/2*H119,H120,15*2,$E$74)</f>
        <v>2337.47821234671</v>
      </c>
      <c r="I122" s="297" t="n">
        <f aca="false">-IPMT($D$22/2*I119,I120,15*2,$E$74)</f>
        <v>2339.33148447513</v>
      </c>
      <c r="J122" s="297" t="n">
        <f aca="false">-IPMT($D$22/2*J119,J120,15*2,$E$74)</f>
        <v>2337.21597467613</v>
      </c>
      <c r="K122" s="297" t="n">
        <f aca="false">-IPMT($D$22/2*K119,K120,15*2,$E$74)</f>
        <v>2330.95551716109</v>
      </c>
      <c r="L122" s="297" t="n">
        <f aca="false">-IPMT($D$22/2*L119,L120,15*2,$E$74)</f>
        <v>2320.35546024651</v>
      </c>
      <c r="M122" s="297" t="n">
        <f aca="false">-IPMT($D$22/2*M119,M120,15*2,$E$74)</f>
        <v>2305.20144205732</v>
      </c>
      <c r="N122" s="297" t="n">
        <f aca="false">-IPMT($D$22/2*N119,N120,15*2,$E$74)</f>
        <v>2285.25802777155</v>
      </c>
      <c r="O122" s="297" t="n">
        <f aca="false">-IPMT($D$22/2*O119,O120,15*2,$E$74)</f>
        <v>2260.26719631495</v>
      </c>
      <c r="P122" s="297" t="n">
        <f aca="false">-IPMT($D$22/2*P119,P120,15*2,$E$74)</f>
        <v>2229.94666294372</v>
      </c>
      <c r="Q122" s="297" t="n">
        <f aca="false">-IPMT($D$22/2*Q119,Q120,15*2,$E$74)</f>
        <v>2193.98802252832</v>
      </c>
      <c r="R122" s="297" t="n">
        <f aca="false">-IPMT($D$22/2*R119,R120,15*2,$E$74)</f>
        <v>2152.05469655029</v>
      </c>
      <c r="S122" s="297" t="n">
        <f aca="false">-IPMT($D$22/2*S119,S120,15*2,$E$74)</f>
        <v>2103.77966482492</v>
      </c>
      <c r="T122" s="297" t="n">
        <f aca="false">-IPMT($D$22/2*T119,T120,15*2,$E$74)</f>
        <v>2048.76296074026</v>
      </c>
      <c r="U122" s="297" t="n">
        <f aca="false">-IPMT($D$22/2*U119,U120,15*2,$E$74)</f>
        <v>1986.56890632703</v>
      </c>
      <c r="V122" s="297" t="n">
        <f aca="false">-IPMT($D$22/2*V119,V120,15*2,$E$74)</f>
        <v>1916.72306071456</v>
      </c>
      <c r="W122" s="297" t="n">
        <f aca="false">-IPMT($D$22/2*W119,W120,15*2,$E$74)</f>
        <v>1838.70885244632</v>
      </c>
      <c r="X122" s="297" t="n">
        <f aca="false">-IPMT($D$22/2*X119,X120,15*2,$E$74)</f>
        <v>1751.96386268441</v>
      </c>
      <c r="Y122" s="297" t="n">
        <f aca="false">-IPMT($D$22/2*Y119,Y120,15*2,$E$74)</f>
        <v>1655.87572247967</v>
      </c>
      <c r="Z122" s="297" t="n">
        <f aca="false">-IPMT($D$22/2*Z119,Z120,15*2,$E$74)</f>
        <v>1549.77758296882</v>
      </c>
      <c r="AA122" s="297" t="n">
        <f aca="false">-IPMT($D$22/2*AA119,AA120,15*2,$E$74)</f>
        <v>1432.94311252302</v>
      </c>
      <c r="AB122" s="297" t="n">
        <f aca="false">-IPMT($D$22/2*AB119,AB120,15*2,$E$74)</f>
        <v>1304.58096944662</v>
      </c>
      <c r="AC122" s="297" t="n">
        <f aca="false">-IPMT($D$22/2*AC119,AC120,15*2,$E$74)</f>
        <v>1163.82869273216</v>
      </c>
      <c r="AD122" s="297" t="n">
        <f aca="false">-IPMT($D$22/2*AD119,AD120,15*2,$E$74)</f>
        <v>1009.74594653189</v>
      </c>
      <c r="AE122" s="297" t="n">
        <f aca="false">-IPMT($D$22/2*AE119,AE120,15*2,$E$74)</f>
        <v>841.307046308356</v>
      </c>
      <c r="AF122" s="297" t="n">
        <f aca="false">-IPMT($D$22/2*AF119,AF120,15*2,$E$74)</f>
        <v>657.392685962444</v>
      </c>
      <c r="AG122" s="297" t="n">
        <f aca="false">-IPMT($D$22/2*AG119,AG120,15*2,$E$74)</f>
        <v>456.780775481632</v>
      </c>
      <c r="AH122" s="297" t="n">
        <f aca="false">-IPMT($D$22/2*AH119,AH120,15*2,$E$74)</f>
        <v>238.136287654845</v>
      </c>
    </row>
    <row r="123" customFormat="false" ht="12.6" hidden="true" customHeight="true" outlineLevel="0" collapsed="false">
      <c r="A123" s="184" t="s">
        <v>296</v>
      </c>
      <c r="E123" s="297" t="n">
        <f aca="false">$E$121/('Project Assumptions'!$I$42*2)*'Debt Amortization'!E119</f>
        <v>3976.2659094645</v>
      </c>
      <c r="F123" s="297" t="n">
        <f aca="false">$E$121/('Project Assumptions'!$I$42*2)*'Debt Amortization'!F119</f>
        <v>2640.36629561279</v>
      </c>
      <c r="G123" s="297" t="n">
        <f aca="false">$E$121/('Project Assumptions'!$I$42*2)*'Debt Amortization'!G119</f>
        <v>2718.71636279436</v>
      </c>
      <c r="H123" s="297" t="n">
        <f aca="false">$E$121/('Project Assumptions'!$I$42*2)*'Debt Amortization'!H119</f>
        <v>2797.06642997592</v>
      </c>
      <c r="I123" s="297" t="n">
        <f aca="false">$E$121/('Project Assumptions'!$I$42*2)*'Debt Amortization'!I119</f>
        <v>2875.41649715749</v>
      </c>
      <c r="J123" s="297" t="n">
        <f aca="false">$E$121/('Project Assumptions'!$I$42*2)*'Debt Amortization'!J119</f>
        <v>2953.76656433906</v>
      </c>
      <c r="K123" s="297" t="n">
        <f aca="false">$E$121/('Project Assumptions'!$I$42*2)*'Debt Amortization'!K119</f>
        <v>3032.11663152062</v>
      </c>
      <c r="L123" s="297" t="n">
        <f aca="false">$E$121/('Project Assumptions'!$I$42*2)*'Debt Amortization'!L119</f>
        <v>3110.46669870219</v>
      </c>
      <c r="M123" s="297" t="n">
        <f aca="false">$E$121/('Project Assumptions'!$I$42*2)*'Debt Amortization'!M119</f>
        <v>3188.81676588376</v>
      </c>
      <c r="N123" s="297" t="n">
        <f aca="false">$E$121/('Project Assumptions'!$I$42*2)*'Debt Amortization'!N119</f>
        <v>3267.16683306532</v>
      </c>
      <c r="O123" s="297" t="n">
        <f aca="false">$E$121/('Project Assumptions'!$I$42*2)*'Debt Amortization'!O119</f>
        <v>3345.51690024689</v>
      </c>
      <c r="P123" s="297" t="n">
        <f aca="false">$E$121/('Project Assumptions'!$I$42*2)*'Debt Amortization'!P119</f>
        <v>3423.86696742846</v>
      </c>
      <c r="Q123" s="297" t="n">
        <f aca="false">$E$121/('Project Assumptions'!$I$42*2)*'Debt Amortization'!Q119</f>
        <v>3502.21703461002</v>
      </c>
      <c r="R123" s="297" t="n">
        <f aca="false">$E$121/('Project Assumptions'!$I$42*2)*'Debt Amortization'!R119</f>
        <v>3580.56710179159</v>
      </c>
      <c r="S123" s="297" t="n">
        <f aca="false">$E$121/('Project Assumptions'!$I$42*2)*'Debt Amortization'!S119</f>
        <v>3658.91716897316</v>
      </c>
      <c r="T123" s="297" t="n">
        <f aca="false">$E$121/('Project Assumptions'!$I$42*2)*'Debt Amortization'!T119</f>
        <v>3737.26723615472</v>
      </c>
      <c r="U123" s="297" t="n">
        <f aca="false">$E$121/('Project Assumptions'!$I$42*2)*'Debt Amortization'!U119</f>
        <v>3815.61730333629</v>
      </c>
      <c r="V123" s="297" t="n">
        <f aca="false">$E$121/('Project Assumptions'!$I$42*2)*'Debt Amortization'!V119</f>
        <v>3893.96737051785</v>
      </c>
      <c r="W123" s="297" t="n">
        <f aca="false">$E$121/('Project Assumptions'!$I$42*2)*'Debt Amortization'!W119</f>
        <v>3972.31743769942</v>
      </c>
      <c r="X123" s="297" t="n">
        <f aca="false">$E$121/('Project Assumptions'!$I$42*2)*'Debt Amortization'!X119</f>
        <v>4050.66750488099</v>
      </c>
      <c r="Y123" s="297" t="n">
        <f aca="false">$E$121/('Project Assumptions'!$I$42*2)*'Debt Amortization'!Y119</f>
        <v>4129.01757206255</v>
      </c>
      <c r="Z123" s="297" t="n">
        <f aca="false">$E$121/('Project Assumptions'!$I$42*2)*'Debt Amortization'!Z119</f>
        <v>4207.36763924412</v>
      </c>
      <c r="AA123" s="297" t="n">
        <f aca="false">$E$121/('Project Assumptions'!$I$42*2)*'Debt Amortization'!AA119</f>
        <v>4285.71770642568</v>
      </c>
      <c r="AB123" s="297" t="n">
        <f aca="false">$E$121/('Project Assumptions'!$I$42*2)*'Debt Amortization'!AB119</f>
        <v>4364.06777360725</v>
      </c>
      <c r="AC123" s="297" t="n">
        <f aca="false">$E$121/('Project Assumptions'!$I$42*2)*'Debt Amortization'!AC119</f>
        <v>4442.41784078882</v>
      </c>
      <c r="AD123" s="297" t="n">
        <f aca="false">$E$121/('Project Assumptions'!$I$42*2)*'Debt Amortization'!AD119</f>
        <v>4520.76790797038</v>
      </c>
      <c r="AE123" s="297" t="n">
        <f aca="false">$E$121/('Project Assumptions'!$I$42*2)*'Debt Amortization'!AE119</f>
        <v>4599.11797515195</v>
      </c>
      <c r="AF123" s="297" t="n">
        <f aca="false">$E$121/('Project Assumptions'!$I$42*2)*'Debt Amortization'!AF119</f>
        <v>4677.46804233352</v>
      </c>
      <c r="AG123" s="297" t="n">
        <f aca="false">$E$121/('Project Assumptions'!$I$42*2)*'Debt Amortization'!AG119</f>
        <v>4755.81810951508</v>
      </c>
      <c r="AH123" s="297" t="n">
        <f aca="false">$E$121/('Project Assumptions'!$I$42*2)*'Debt Amortization'!AH119</f>
        <v>4834.16817669665</v>
      </c>
    </row>
    <row r="124" customFormat="false" ht="12.6" hidden="true" customHeight="true" outlineLevel="0" collapsed="false">
      <c r="A124" s="184" t="s">
        <v>297</v>
      </c>
      <c r="E124" s="297" t="n">
        <f aca="false">SUM(E122:E123)</f>
        <v>7376.61374170119</v>
      </c>
      <c r="F124" s="297" t="n">
        <f aca="false">SUM(F122:F123)</f>
        <v>4962.85031302626</v>
      </c>
      <c r="G124" s="297" t="n">
        <f aca="false">SUM(G122:G123)</f>
        <v>5050.53129757559</v>
      </c>
      <c r="H124" s="297" t="n">
        <f aca="false">SUM(H122:H123)</f>
        <v>5134.54464232263</v>
      </c>
      <c r="I124" s="297" t="n">
        <f aca="false">SUM(I122:I123)</f>
        <v>5214.74798163262</v>
      </c>
      <c r="J124" s="297" t="n">
        <f aca="false">SUM(J122:J123)</f>
        <v>5290.98253901519</v>
      </c>
      <c r="K124" s="297" t="n">
        <f aca="false">SUM(K122:K123)</f>
        <v>5363.07214868171</v>
      </c>
      <c r="L124" s="297" t="n">
        <f aca="false">SUM(L122:L123)</f>
        <v>5430.8221589487</v>
      </c>
      <c r="M124" s="297" t="n">
        <f aca="false">SUM(M122:M123)</f>
        <v>5494.01820794108</v>
      </c>
      <c r="N124" s="297" t="n">
        <f aca="false">SUM(N122:N123)</f>
        <v>5552.42486083688</v>
      </c>
      <c r="O124" s="297" t="n">
        <f aca="false">SUM(O122:O123)</f>
        <v>5605.78409656184</v>
      </c>
      <c r="P124" s="297" t="n">
        <f aca="false">SUM(P122:P123)</f>
        <v>5653.81363037217</v>
      </c>
      <c r="Q124" s="297" t="n">
        <f aca="false">SUM(Q122:Q123)</f>
        <v>5696.20505713835</v>
      </c>
      <c r="R124" s="297" t="n">
        <f aca="false">SUM(R122:R123)</f>
        <v>5732.62179834188</v>
      </c>
      <c r="S124" s="297" t="n">
        <f aca="false">SUM(S122:S123)</f>
        <v>5762.69683379808</v>
      </c>
      <c r="T124" s="297" t="n">
        <f aca="false">SUM(T122:T123)</f>
        <v>5786.03019689498</v>
      </c>
      <c r="U124" s="297" t="n">
        <f aca="false">SUM(U122:U123)</f>
        <v>5802.18620966331</v>
      </c>
      <c r="V124" s="297" t="n">
        <f aca="false">SUM(V122:V123)</f>
        <v>5810.69043123242</v>
      </c>
      <c r="W124" s="297" t="n">
        <f aca="false">SUM(W122:W123)</f>
        <v>5811.02629014574</v>
      </c>
      <c r="X124" s="297" t="n">
        <f aca="false">SUM(X122:X123)</f>
        <v>5802.63136756539</v>
      </c>
      <c r="Y124" s="297" t="n">
        <f aca="false">SUM(Y122:Y123)</f>
        <v>5784.89329454222</v>
      </c>
      <c r="Z124" s="297" t="n">
        <f aca="false">SUM(Z122:Z123)</f>
        <v>5757.14522221294</v>
      </c>
      <c r="AA124" s="297" t="n">
        <f aca="false">SUM(AA122:AA123)</f>
        <v>5718.66081894871</v>
      </c>
      <c r="AB124" s="297" t="n">
        <f aca="false">SUM(AB122:AB123)</f>
        <v>5668.64874305387</v>
      </c>
      <c r="AC124" s="297" t="n">
        <f aca="false">SUM(AC122:AC123)</f>
        <v>5606.24653352098</v>
      </c>
      <c r="AD124" s="297" t="n">
        <f aca="false">SUM(AD122:AD123)</f>
        <v>5530.51385450228</v>
      </c>
      <c r="AE124" s="297" t="n">
        <f aca="false">SUM(AE122:AE123)</f>
        <v>5440.4250214603</v>
      </c>
      <c r="AF124" s="297" t="n">
        <f aca="false">SUM(AF122:AF123)</f>
        <v>5334.86072829596</v>
      </c>
      <c r="AG124" s="297" t="n">
        <f aca="false">SUM(AG122:AG123)</f>
        <v>5212.59888499671</v>
      </c>
      <c r="AH124" s="297" t="n">
        <f aca="false">SUM(AH122:AH123)</f>
        <v>5072.30446435149</v>
      </c>
    </row>
    <row r="125" customFormat="false" ht="12.6" hidden="true" customHeight="true" outlineLevel="0" collapsed="false">
      <c r="A125" s="184" t="s">
        <v>298</v>
      </c>
      <c r="E125" s="306" t="n">
        <f aca="false">E121-E123</f>
        <v>109182.289616798</v>
      </c>
      <c r="F125" s="306" t="n">
        <f aca="false">F121-F123</f>
        <v>106541.923321185</v>
      </c>
      <c r="G125" s="306" t="n">
        <f aca="false">G121-G123</f>
        <v>103823.206958391</v>
      </c>
      <c r="H125" s="306" t="n">
        <f aca="false">H121-H123</f>
        <v>101026.140528415</v>
      </c>
      <c r="I125" s="306" t="n">
        <f aca="false">I121-I123</f>
        <v>98150.7240312574</v>
      </c>
      <c r="J125" s="306" t="n">
        <f aca="false">J121-J123</f>
        <v>95196.9574669184</v>
      </c>
      <c r="K125" s="306" t="n">
        <f aca="false">K121-K123</f>
        <v>92164.8408353977</v>
      </c>
      <c r="L125" s="306" t="n">
        <f aca="false">L121-L123</f>
        <v>89054.3741366955</v>
      </c>
      <c r="M125" s="306" t="n">
        <f aca="false">M121-M123</f>
        <v>85865.5573708118</v>
      </c>
      <c r="N125" s="306" t="n">
        <f aca="false">N121-N123</f>
        <v>82598.3905377465</v>
      </c>
      <c r="O125" s="306" t="n">
        <f aca="false">O121-O123</f>
        <v>79252.8736374996</v>
      </c>
      <c r="P125" s="306" t="n">
        <f aca="false">P121-P123</f>
        <v>75829.0066700711</v>
      </c>
      <c r="Q125" s="306" t="n">
        <f aca="false">Q121-Q123</f>
        <v>72326.7896354611</v>
      </c>
      <c r="R125" s="306" t="n">
        <f aca="false">R121-R123</f>
        <v>68746.2225336695</v>
      </c>
      <c r="S125" s="306" t="n">
        <f aca="false">S121-S123</f>
        <v>65087.3053646963</v>
      </c>
      <c r="T125" s="306" t="n">
        <f aca="false">T121-T123</f>
        <v>61350.0381285416</v>
      </c>
      <c r="U125" s="306" t="n">
        <f aca="false">U121-U123</f>
        <v>57534.4208252053</v>
      </c>
      <c r="V125" s="306" t="n">
        <f aca="false">V121-V123</f>
        <v>53640.4534546875</v>
      </c>
      <c r="W125" s="306" t="n">
        <f aca="false">W121-W123</f>
        <v>49668.1360169881</v>
      </c>
      <c r="X125" s="306" t="n">
        <f aca="false">X121-X123</f>
        <v>45617.4685121071</v>
      </c>
      <c r="Y125" s="306" t="n">
        <f aca="false">Y121-Y123</f>
        <v>41488.4509400445</v>
      </c>
      <c r="Z125" s="306" t="n">
        <f aca="false">Z121-Z123</f>
        <v>37281.0833008004</v>
      </c>
      <c r="AA125" s="306" t="n">
        <f aca="false">AA121-AA123</f>
        <v>32995.3655943747</v>
      </c>
      <c r="AB125" s="306" t="n">
        <f aca="false">AB121-AB123</f>
        <v>28631.2978207675</v>
      </c>
      <c r="AC125" s="306" t="n">
        <f aca="false">AC121-AC123</f>
        <v>24188.8799799787</v>
      </c>
      <c r="AD125" s="306" t="n">
        <f aca="false">AD121-AD123</f>
        <v>19668.1120720083</v>
      </c>
      <c r="AE125" s="306" t="n">
        <f aca="false">AE121-AE123</f>
        <v>15068.9940968563</v>
      </c>
      <c r="AF125" s="306" t="n">
        <f aca="false">AF121-AF123</f>
        <v>10391.5260545228</v>
      </c>
      <c r="AG125" s="306" t="n">
        <f aca="false">AG121-AG123</f>
        <v>5635.70794500773</v>
      </c>
      <c r="AH125" s="306" t="n">
        <f aca="false">AH121-AH123</f>
        <v>801.539768311081</v>
      </c>
    </row>
    <row r="126" customFormat="false" ht="12.75" hidden="true" customHeight="false" outlineLevel="0" collapsed="false"/>
    <row r="127" customFormat="false" ht="12.75" hidden="true" customHeight="false" outlineLevel="0" collapsed="false"/>
    <row r="128" customFormat="false" ht="12.6" hidden="true" customHeight="true" outlineLevel="0" collapsed="false">
      <c r="A128" s="168"/>
    </row>
    <row r="129" customFormat="false" ht="12.6" hidden="true" customHeight="true" outlineLevel="0" collapsed="false">
      <c r="B129" s="259"/>
      <c r="C129" s="259"/>
      <c r="E129" s="297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</row>
    <row r="130" customFormat="false" ht="12.6" hidden="true" customHeight="true" outlineLevel="0" collapsed="false">
      <c r="B130" s="259"/>
      <c r="C130" s="259"/>
      <c r="E130" s="297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</row>
    <row r="131" customFormat="false" ht="12.6" hidden="true" customHeight="true" outlineLevel="0" collapsed="false">
      <c r="E131" s="297" t="n">
        <f aca="false">E120</f>
        <v>1</v>
      </c>
      <c r="F131" s="297" t="n">
        <f aca="false">F120</f>
        <v>2</v>
      </c>
      <c r="G131" s="297" t="n">
        <f aca="false">G120</f>
        <v>3</v>
      </c>
      <c r="H131" s="297" t="n">
        <f aca="false">H120</f>
        <v>4</v>
      </c>
      <c r="I131" s="297" t="n">
        <f aca="false">I120</f>
        <v>5</v>
      </c>
      <c r="J131" s="297" t="n">
        <f aca="false">J120</f>
        <v>6</v>
      </c>
      <c r="K131" s="297" t="n">
        <f aca="false">K120</f>
        <v>7</v>
      </c>
      <c r="L131" s="297" t="n">
        <f aca="false">L120</f>
        <v>8</v>
      </c>
      <c r="M131" s="297" t="n">
        <f aca="false">M120</f>
        <v>9</v>
      </c>
      <c r="N131" s="297" t="n">
        <f aca="false">N120</f>
        <v>10</v>
      </c>
      <c r="O131" s="297" t="n">
        <f aca="false">O120</f>
        <v>11</v>
      </c>
      <c r="P131" s="297" t="n">
        <f aca="false">P120</f>
        <v>12</v>
      </c>
      <c r="Q131" s="297" t="n">
        <f aca="false">Q120</f>
        <v>13</v>
      </c>
      <c r="R131" s="297" t="n">
        <f aca="false">R120</f>
        <v>14</v>
      </c>
      <c r="S131" s="297" t="n">
        <f aca="false">S120</f>
        <v>15</v>
      </c>
      <c r="T131" s="297" t="n">
        <f aca="false">T120</f>
        <v>16</v>
      </c>
      <c r="U131" s="297" t="n">
        <f aca="false">U120</f>
        <v>17</v>
      </c>
      <c r="V131" s="297" t="n">
        <f aca="false">V120</f>
        <v>18</v>
      </c>
      <c r="W131" s="297" t="n">
        <f aca="false">W120</f>
        <v>19</v>
      </c>
      <c r="X131" s="297" t="n">
        <f aca="false">X120</f>
        <v>20</v>
      </c>
      <c r="Y131" s="297" t="n">
        <f aca="false">Y120</f>
        <v>21</v>
      </c>
      <c r="Z131" s="297" t="n">
        <f aca="false">Z120</f>
        <v>22</v>
      </c>
      <c r="AA131" s="297" t="n">
        <f aca="false">AA120</f>
        <v>23</v>
      </c>
      <c r="AB131" s="297" t="n">
        <f aca="false">AB120</f>
        <v>24</v>
      </c>
      <c r="AC131" s="297" t="n">
        <f aca="false">AC120</f>
        <v>25</v>
      </c>
      <c r="AD131" s="297" t="n">
        <f aca="false">AD120</f>
        <v>26</v>
      </c>
      <c r="AE131" s="297" t="n">
        <f aca="false">AE120</f>
        <v>27</v>
      </c>
      <c r="AF131" s="297" t="n">
        <f aca="false">AF120</f>
        <v>28</v>
      </c>
      <c r="AG131" s="297" t="n">
        <f aca="false">AG120</f>
        <v>29</v>
      </c>
      <c r="AH131" s="297" t="n">
        <f aca="false">AH120</f>
        <v>30</v>
      </c>
    </row>
    <row r="132" customFormat="false" ht="12.6" hidden="true" customHeight="true" outlineLevel="0" collapsed="false">
      <c r="A132" s="184" t="s">
        <v>294</v>
      </c>
      <c r="B132" s="259"/>
      <c r="C132" s="259"/>
      <c r="E132" s="297" t="n">
        <f aca="false">'Project Assumptions'!$C$49*'Project Assumptions'!$I$38</f>
        <v>113158.555526262</v>
      </c>
      <c r="F132" s="306" t="n">
        <f aca="false">E136</f>
        <v>109386.603675387</v>
      </c>
      <c r="G132" s="306" t="n">
        <f aca="false">F136</f>
        <v>105614.651824512</v>
      </c>
      <c r="H132" s="306" t="n">
        <f aca="false">G136</f>
        <v>101842.699973636</v>
      </c>
      <c r="I132" s="306" t="n">
        <f aca="false">H136</f>
        <v>98070.7481227608</v>
      </c>
      <c r="J132" s="306" t="n">
        <f aca="false">I136</f>
        <v>94298.7962718854</v>
      </c>
      <c r="K132" s="306" t="n">
        <f aca="false">J136</f>
        <v>90526.84442101</v>
      </c>
      <c r="L132" s="306" t="n">
        <f aca="false">K136</f>
        <v>86754.8925701346</v>
      </c>
      <c r="M132" s="306" t="n">
        <f aca="false">L136</f>
        <v>82982.9407192592</v>
      </c>
      <c r="N132" s="306" t="n">
        <f aca="false">M136</f>
        <v>79210.9888683838</v>
      </c>
      <c r="O132" s="306" t="n">
        <f aca="false">N136</f>
        <v>75439.0370175084</v>
      </c>
      <c r="P132" s="306" t="n">
        <f aca="false">O136</f>
        <v>71667.0851666329</v>
      </c>
      <c r="Q132" s="306" t="n">
        <f aca="false">P136</f>
        <v>67895.1333157575</v>
      </c>
      <c r="R132" s="306" t="n">
        <f aca="false">Q136</f>
        <v>64123.1814648821</v>
      </c>
      <c r="S132" s="306" t="n">
        <f aca="false">R136</f>
        <v>60351.2296140067</v>
      </c>
      <c r="T132" s="306" t="n">
        <f aca="false">S136</f>
        <v>56579.2777631313</v>
      </c>
      <c r="U132" s="306" t="n">
        <f aca="false">T136</f>
        <v>52807.3259122559</v>
      </c>
      <c r="V132" s="306" t="n">
        <f aca="false">U136</f>
        <v>49035.3740613804</v>
      </c>
      <c r="W132" s="306" t="n">
        <f aca="false">V136</f>
        <v>45263.422210505</v>
      </c>
      <c r="X132" s="306" t="n">
        <f aca="false">W136</f>
        <v>41491.4703596296</v>
      </c>
      <c r="Y132" s="306" t="n">
        <f aca="false">X136</f>
        <v>37719.5185087542</v>
      </c>
      <c r="Z132" s="306" t="n">
        <f aca="false">Y136</f>
        <v>33947.5666578788</v>
      </c>
      <c r="AA132" s="306" t="n">
        <f aca="false">Z136</f>
        <v>30175.6148070033</v>
      </c>
      <c r="AB132" s="306" t="n">
        <f aca="false">AA136</f>
        <v>26403.6629561279</v>
      </c>
      <c r="AC132" s="306" t="n">
        <f aca="false">AB136</f>
        <v>22631.7111052525</v>
      </c>
      <c r="AD132" s="306" t="n">
        <f aca="false">AC136</f>
        <v>18859.7592543771</v>
      </c>
      <c r="AE132" s="306" t="n">
        <f aca="false">AD136</f>
        <v>15087.8074035017</v>
      </c>
      <c r="AF132" s="306" t="n">
        <f aca="false">AE136</f>
        <v>11315.8555526263</v>
      </c>
      <c r="AG132" s="306" t="n">
        <f aca="false">AF136</f>
        <v>7543.90370175085</v>
      </c>
      <c r="AH132" s="306" t="n">
        <f aca="false">AG136</f>
        <v>3771.95185087543</v>
      </c>
    </row>
    <row r="133" customFormat="false" ht="12.6" hidden="true" customHeight="true" outlineLevel="0" collapsed="false">
      <c r="A133" s="184" t="s">
        <v>295</v>
      </c>
      <c r="B133" s="259"/>
      <c r="C133" s="259"/>
      <c r="E133" s="297" t="n">
        <f aca="false">-IPMT($D$22/2,E131,15*2,$E$74)</f>
        <v>3400.34783223669</v>
      </c>
      <c r="F133" s="297" t="n">
        <f aca="false">-IPMT($D$22/2,F131,15*2,$E$74)</f>
        <v>3328.87503937185</v>
      </c>
      <c r="G133" s="297" t="n">
        <f aca="false">-IPMT($D$22/2,G131,15*2,$E$74)</f>
        <v>3255.25806272106</v>
      </c>
      <c r="H133" s="297" t="n">
        <f aca="false">-IPMT($D$22/2,H131,15*2,$E$74)</f>
        <v>3179.43257677075</v>
      </c>
      <c r="I133" s="297" t="n">
        <f aca="false">-IPMT($D$22/2,I131,15*2,$E$74)</f>
        <v>3101.33232624193</v>
      </c>
      <c r="J133" s="297" t="n">
        <f aca="false">-IPMT($D$22/2,J131,15*2,$E$74)</f>
        <v>3020.88906819724</v>
      </c>
      <c r="K133" s="297" t="n">
        <f aca="false">-IPMT($D$22/2,K131,15*2,$E$74)</f>
        <v>2938.03251241122</v>
      </c>
      <c r="L133" s="297" t="n">
        <f aca="false">-IPMT($D$22/2,L131,15*2,$E$74)</f>
        <v>2852.69025995161</v>
      </c>
      <c r="M133" s="297" t="n">
        <f aca="false">-IPMT($D$22/2,M131,15*2,$E$74)</f>
        <v>2764.78773991822</v>
      </c>
      <c r="N133" s="297" t="n">
        <f aca="false">-IPMT($D$22/2,N131,15*2,$E$74)</f>
        <v>2674.24814428382</v>
      </c>
      <c r="O133" s="297" t="n">
        <f aca="false">-IPMT($D$22/2,O131,15*2,$E$74)</f>
        <v>2580.9923607804</v>
      </c>
      <c r="P133" s="297" t="n">
        <f aca="false">-IPMT($D$22/2,P131,15*2,$E$74)</f>
        <v>2484.93890377187</v>
      </c>
      <c r="Q133" s="297" t="n">
        <f aca="false">-IPMT($D$22/2,Q131,15*2,$E$74)</f>
        <v>2386.00384305308</v>
      </c>
      <c r="R133" s="297" t="n">
        <f aca="false">-IPMT($D$22/2,R131,15*2,$E$74)</f>
        <v>2284.10073051273</v>
      </c>
      <c r="S133" s="297" t="n">
        <f aca="false">-IPMT($D$22/2,S131,15*2,$E$74)</f>
        <v>2179.14052459617</v>
      </c>
      <c r="T133" s="297" t="n">
        <f aca="false">-IPMT($D$22/2,T131,15*2,$E$74)</f>
        <v>2071.03151250211</v>
      </c>
      <c r="U133" s="297" t="n">
        <f aca="false">-IPMT($D$22/2,U131,15*2,$E$74)</f>
        <v>1959.67923004523</v>
      </c>
      <c r="V133" s="297" t="n">
        <f aca="false">-IPMT($D$22/2,V131,15*2,$E$74)</f>
        <v>1844.98637911465</v>
      </c>
      <c r="W133" s="297" t="n">
        <f aca="false">-IPMT($D$22/2,W131,15*2,$E$74)</f>
        <v>1726.85274265614</v>
      </c>
      <c r="X133" s="297" t="n">
        <f aca="false">-IPMT($D$22/2,X131,15*2,$E$74)</f>
        <v>1605.17509710388</v>
      </c>
      <c r="Y133" s="297" t="n">
        <f aca="false">-IPMT($D$22/2,Y131,15*2,$E$74)</f>
        <v>1479.84712218506</v>
      </c>
      <c r="Z133" s="297" t="n">
        <f aca="false">-IPMT($D$22/2,Z131,15*2,$E$74)</f>
        <v>1350.75930801867</v>
      </c>
      <c r="AA133" s="297" t="n">
        <f aca="false">-IPMT($D$22/2,AA131,15*2,$E$74)</f>
        <v>1217.79885942729</v>
      </c>
      <c r="AB133" s="297" t="n">
        <f aca="false">-IPMT($D$22/2,AB131,15*2,$E$74)</f>
        <v>1080.84959737816</v>
      </c>
      <c r="AC133" s="297" t="n">
        <f aca="false">-IPMT($D$22/2,AC131,15*2,$E$74)</f>
        <v>939.791857467565</v>
      </c>
      <c r="AD133" s="297" t="n">
        <f aca="false">-IPMT($D$22/2,AD131,15*2,$E$74)</f>
        <v>794.502385359649</v>
      </c>
      <c r="AE133" s="297" t="n">
        <f aca="false">-IPMT($D$22/2,AE131,15*2,$E$74)</f>
        <v>644.854229088495</v>
      </c>
      <c r="AF133" s="297" t="n">
        <f aca="false">-IPMT($D$22/2,AF131,15*2,$E$74)</f>
        <v>490.716628129208</v>
      </c>
      <c r="AG133" s="297" t="n">
        <f aca="false">-IPMT($D$22/2,AG131,15*2,$E$74)</f>
        <v>331.954899141142</v>
      </c>
      <c r="AH133" s="297" t="n">
        <f aca="false">-IPMT($D$22/2,AH131,15*2,$E$74)</f>
        <v>168.430318283433</v>
      </c>
    </row>
    <row r="134" customFormat="false" ht="12.6" hidden="true" customHeight="true" outlineLevel="0" collapsed="false">
      <c r="A134" s="184" t="s">
        <v>296</v>
      </c>
      <c r="E134" s="297" t="n">
        <f aca="false">$E$121/('Project Assumptions'!$I$42*2)</f>
        <v>3771.95185087542</v>
      </c>
      <c r="F134" s="297" t="n">
        <f aca="false">$E$121/('Project Assumptions'!$I$42*2)</f>
        <v>3771.95185087542</v>
      </c>
      <c r="G134" s="297" t="n">
        <f aca="false">$E$121/('Project Assumptions'!$I$42*2)</f>
        <v>3771.95185087542</v>
      </c>
      <c r="H134" s="297" t="n">
        <f aca="false">$E$121/('Project Assumptions'!$I$42*2)</f>
        <v>3771.95185087542</v>
      </c>
      <c r="I134" s="297" t="n">
        <f aca="false">$E$121/('Project Assumptions'!$I$42*2)</f>
        <v>3771.95185087542</v>
      </c>
      <c r="J134" s="297" t="n">
        <f aca="false">$E$121/('Project Assumptions'!$I$42*2)</f>
        <v>3771.95185087542</v>
      </c>
      <c r="K134" s="297" t="n">
        <f aca="false">$E$121/('Project Assumptions'!$I$42*2)</f>
        <v>3771.95185087542</v>
      </c>
      <c r="L134" s="297" t="n">
        <f aca="false">$E$121/('Project Assumptions'!$I$42*2)</f>
        <v>3771.95185087542</v>
      </c>
      <c r="M134" s="297" t="n">
        <f aca="false">$E$121/('Project Assumptions'!$I$42*2)</f>
        <v>3771.95185087542</v>
      </c>
      <c r="N134" s="297" t="n">
        <f aca="false">$E$121/('Project Assumptions'!$I$42*2)</f>
        <v>3771.95185087542</v>
      </c>
      <c r="O134" s="297" t="n">
        <f aca="false">$E$121/('Project Assumptions'!$I$42*2)</f>
        <v>3771.95185087542</v>
      </c>
      <c r="P134" s="297" t="n">
        <f aca="false">$E$121/('Project Assumptions'!$I$42*2)</f>
        <v>3771.95185087542</v>
      </c>
      <c r="Q134" s="297" t="n">
        <f aca="false">$E$121/('Project Assumptions'!$I$42*2)</f>
        <v>3771.95185087542</v>
      </c>
      <c r="R134" s="297" t="n">
        <f aca="false">$E$121/('Project Assumptions'!$I$42*2)</f>
        <v>3771.95185087542</v>
      </c>
      <c r="S134" s="297" t="n">
        <f aca="false">$E$121/('Project Assumptions'!$I$42*2)</f>
        <v>3771.95185087542</v>
      </c>
      <c r="T134" s="297" t="n">
        <f aca="false">$E$121/('Project Assumptions'!$I$42*2)</f>
        <v>3771.95185087542</v>
      </c>
      <c r="U134" s="297" t="n">
        <f aca="false">$E$121/('Project Assumptions'!$I$42*2)</f>
        <v>3771.95185087542</v>
      </c>
      <c r="V134" s="297" t="n">
        <f aca="false">$E$121/('Project Assumptions'!$I$42*2)</f>
        <v>3771.95185087542</v>
      </c>
      <c r="W134" s="297" t="n">
        <f aca="false">$E$121/('Project Assumptions'!$I$42*2)</f>
        <v>3771.95185087542</v>
      </c>
      <c r="X134" s="297" t="n">
        <f aca="false">$E$121/('Project Assumptions'!$I$42*2)</f>
        <v>3771.95185087542</v>
      </c>
      <c r="Y134" s="297" t="n">
        <f aca="false">$E$121/('Project Assumptions'!$I$42*2)</f>
        <v>3771.95185087542</v>
      </c>
      <c r="Z134" s="297" t="n">
        <f aca="false">$E$121/('Project Assumptions'!$I$42*2)</f>
        <v>3771.95185087542</v>
      </c>
      <c r="AA134" s="297" t="n">
        <f aca="false">$E$121/('Project Assumptions'!$I$42*2)</f>
        <v>3771.95185087542</v>
      </c>
      <c r="AB134" s="297" t="n">
        <f aca="false">$E$121/('Project Assumptions'!$I$42*2)</f>
        <v>3771.95185087542</v>
      </c>
      <c r="AC134" s="297" t="n">
        <f aca="false">$E$121/('Project Assumptions'!$I$42*2)</f>
        <v>3771.95185087542</v>
      </c>
      <c r="AD134" s="297" t="n">
        <f aca="false">$E$121/('Project Assumptions'!$I$42*2)</f>
        <v>3771.95185087542</v>
      </c>
      <c r="AE134" s="297" t="n">
        <f aca="false">$E$121/('Project Assumptions'!$I$42*2)</f>
        <v>3771.95185087542</v>
      </c>
      <c r="AF134" s="297" t="n">
        <f aca="false">$E$121/('Project Assumptions'!$I$42*2)</f>
        <v>3771.95185087542</v>
      </c>
      <c r="AG134" s="297" t="n">
        <f aca="false">$E$121/('Project Assumptions'!$I$42*2)</f>
        <v>3771.95185087542</v>
      </c>
      <c r="AH134" s="297" t="n">
        <f aca="false">$E$121/('Project Assumptions'!$I$42*2)</f>
        <v>3771.95185087542</v>
      </c>
    </row>
    <row r="135" customFormat="false" ht="12.6" hidden="true" customHeight="true" outlineLevel="0" collapsed="false">
      <c r="A135" s="184" t="s">
        <v>297</v>
      </c>
      <c r="E135" s="297" t="n">
        <f aca="false">SUM(E133:E134)</f>
        <v>7172.2996831121</v>
      </c>
      <c r="F135" s="297" t="n">
        <f aca="false">SUM(F133:F134)</f>
        <v>7100.82689024726</v>
      </c>
      <c r="G135" s="297" t="n">
        <f aca="false">SUM(G133:G134)</f>
        <v>7027.20991359648</v>
      </c>
      <c r="H135" s="297" t="n">
        <f aca="false">SUM(H133:H134)</f>
        <v>6951.38442764616</v>
      </c>
      <c r="I135" s="297" t="n">
        <f aca="false">SUM(I133:I134)</f>
        <v>6873.28417711734</v>
      </c>
      <c r="J135" s="297" t="n">
        <f aca="false">SUM(J133:J134)</f>
        <v>6792.84091907266</v>
      </c>
      <c r="K135" s="297" t="n">
        <f aca="false">SUM(K133:K134)</f>
        <v>6709.98436328664</v>
      </c>
      <c r="L135" s="297" t="n">
        <f aca="false">SUM(L133:L134)</f>
        <v>6624.64211082703</v>
      </c>
      <c r="M135" s="297" t="n">
        <f aca="false">SUM(M133:M134)</f>
        <v>6536.73959079364</v>
      </c>
      <c r="N135" s="297" t="n">
        <f aca="false">SUM(N133:N134)</f>
        <v>6446.19999515924</v>
      </c>
      <c r="O135" s="297" t="n">
        <f aca="false">SUM(O133:O134)</f>
        <v>6352.94421165581</v>
      </c>
      <c r="P135" s="297" t="n">
        <f aca="false">SUM(P133:P134)</f>
        <v>6256.89075464728</v>
      </c>
      <c r="Q135" s="297" t="n">
        <f aca="false">SUM(Q133:Q134)</f>
        <v>6157.9556939285</v>
      </c>
      <c r="R135" s="297" t="n">
        <f aca="false">SUM(R133:R134)</f>
        <v>6056.05258138815</v>
      </c>
      <c r="S135" s="297" t="n">
        <f aca="false">SUM(S133:S134)</f>
        <v>5951.09237547158</v>
      </c>
      <c r="T135" s="297" t="n">
        <f aca="false">SUM(T133:T134)</f>
        <v>5842.98336337753</v>
      </c>
      <c r="U135" s="297" t="n">
        <f aca="false">SUM(U133:U134)</f>
        <v>5731.63108092065</v>
      </c>
      <c r="V135" s="297" t="n">
        <f aca="false">SUM(V133:V134)</f>
        <v>5616.93822999006</v>
      </c>
      <c r="W135" s="297" t="n">
        <f aca="false">SUM(W133:W134)</f>
        <v>5498.80459353156</v>
      </c>
      <c r="X135" s="297" t="n">
        <f aca="false">SUM(X133:X134)</f>
        <v>5377.1269479793</v>
      </c>
      <c r="Y135" s="297" t="n">
        <f aca="false">SUM(Y133:Y134)</f>
        <v>5251.79897306048</v>
      </c>
      <c r="Z135" s="297" t="n">
        <f aca="false">SUM(Z133:Z134)</f>
        <v>5122.71115889408</v>
      </c>
      <c r="AA135" s="297" t="n">
        <f aca="false">SUM(AA133:AA134)</f>
        <v>4989.7507103027</v>
      </c>
      <c r="AB135" s="297" t="n">
        <f aca="false">SUM(AB133:AB134)</f>
        <v>4852.80144825358</v>
      </c>
      <c r="AC135" s="297" t="n">
        <f aca="false">SUM(AC133:AC134)</f>
        <v>4711.74370834298</v>
      </c>
      <c r="AD135" s="297" t="n">
        <f aca="false">SUM(AD133:AD134)</f>
        <v>4566.45423623507</v>
      </c>
      <c r="AE135" s="297" t="n">
        <f aca="false">SUM(AE133:AE134)</f>
        <v>4416.80607996391</v>
      </c>
      <c r="AF135" s="297" t="n">
        <f aca="false">SUM(AF133:AF134)</f>
        <v>4262.66847900462</v>
      </c>
      <c r="AG135" s="297" t="n">
        <f aca="false">SUM(AG133:AG134)</f>
        <v>4103.90675001656</v>
      </c>
      <c r="AH135" s="297" t="n">
        <f aca="false">SUM(AH133:AH134)</f>
        <v>3940.38216915885</v>
      </c>
    </row>
    <row r="136" customFormat="false" ht="12.6" hidden="true" customHeight="true" outlineLevel="0" collapsed="false">
      <c r="A136" s="184" t="s">
        <v>298</v>
      </c>
      <c r="E136" s="306" t="n">
        <f aca="false">E132-E134</f>
        <v>109386.603675387</v>
      </c>
      <c r="F136" s="306" t="n">
        <f aca="false">F132-F134</f>
        <v>105614.651824512</v>
      </c>
      <c r="G136" s="306" t="n">
        <f aca="false">G132-G134</f>
        <v>101842.699973636</v>
      </c>
      <c r="H136" s="306" t="n">
        <f aca="false">H132-H134</f>
        <v>98070.7481227608</v>
      </c>
      <c r="I136" s="306" t="n">
        <f aca="false">I132-I134</f>
        <v>94298.7962718854</v>
      </c>
      <c r="J136" s="306" t="n">
        <f aca="false">J132-J134</f>
        <v>90526.84442101</v>
      </c>
      <c r="K136" s="306" t="n">
        <f aca="false">K132-K134</f>
        <v>86754.8925701346</v>
      </c>
      <c r="L136" s="306" t="n">
        <f aca="false">L132-L134</f>
        <v>82982.9407192592</v>
      </c>
      <c r="M136" s="306" t="n">
        <f aca="false">M132-M134</f>
        <v>79210.9888683838</v>
      </c>
      <c r="N136" s="306" t="n">
        <f aca="false">N132-N134</f>
        <v>75439.0370175084</v>
      </c>
      <c r="O136" s="306" t="n">
        <f aca="false">O132-O134</f>
        <v>71667.0851666329</v>
      </c>
      <c r="P136" s="306" t="n">
        <f aca="false">P132-P134</f>
        <v>67895.1333157575</v>
      </c>
      <c r="Q136" s="306" t="n">
        <f aca="false">Q132-Q134</f>
        <v>64123.1814648821</v>
      </c>
      <c r="R136" s="306" t="n">
        <f aca="false">R132-R134</f>
        <v>60351.2296140067</v>
      </c>
      <c r="S136" s="306" t="n">
        <f aca="false">S132-S134</f>
        <v>56579.2777631313</v>
      </c>
      <c r="T136" s="306" t="n">
        <f aca="false">T132-T134</f>
        <v>52807.3259122559</v>
      </c>
      <c r="U136" s="306" t="n">
        <f aca="false">U132-U134</f>
        <v>49035.3740613804</v>
      </c>
      <c r="V136" s="306" t="n">
        <f aca="false">V132-V134</f>
        <v>45263.422210505</v>
      </c>
      <c r="W136" s="306" t="n">
        <f aca="false">W132-W134</f>
        <v>41491.4703596296</v>
      </c>
      <c r="X136" s="306" t="n">
        <f aca="false">X132-X134</f>
        <v>37719.5185087542</v>
      </c>
      <c r="Y136" s="306" t="n">
        <f aca="false">Y132-Y134</f>
        <v>33947.5666578788</v>
      </c>
      <c r="Z136" s="306" t="n">
        <f aca="false">Z132-Z134</f>
        <v>30175.6148070033</v>
      </c>
      <c r="AA136" s="306" t="n">
        <f aca="false">AA132-AA134</f>
        <v>26403.6629561279</v>
      </c>
      <c r="AB136" s="306" t="n">
        <f aca="false">AB132-AB134</f>
        <v>22631.7111052525</v>
      </c>
      <c r="AC136" s="306" t="n">
        <f aca="false">AC132-AC134</f>
        <v>18859.7592543771</v>
      </c>
      <c r="AD136" s="306" t="n">
        <f aca="false">AD132-AD134</f>
        <v>15087.8074035017</v>
      </c>
      <c r="AE136" s="306" t="n">
        <f aca="false">AE132-AE134</f>
        <v>11315.8555526263</v>
      </c>
      <c r="AF136" s="306" t="n">
        <f aca="false">AF132-AF134</f>
        <v>7543.90370175085</v>
      </c>
      <c r="AG136" s="306" t="n">
        <f aca="false">AG132-AG134</f>
        <v>3771.95185087543</v>
      </c>
      <c r="AH136" s="306" t="n">
        <f aca="false">AH132-AH134</f>
        <v>1.72803993336856E-011</v>
      </c>
    </row>
    <row r="137" customFormat="false" ht="12.75" hidden="true" customHeight="false" outlineLevel="0" collapsed="false">
      <c r="A137" s="322"/>
      <c r="B137" s="323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F137" s="323"/>
      <c r="AG137" s="323"/>
    </row>
    <row r="138" customFormat="false" ht="12.6" hidden="true" customHeight="true" outlineLevel="0" collapsed="false">
      <c r="A138" s="168"/>
      <c r="C138" s="306" t="n">
        <f aca="false">SUM(E138:T138)-SUM(E135:AH135)</f>
        <v>6688.54998301822</v>
      </c>
      <c r="E138" s="306" t="n">
        <f aca="false">'Book Income Statement'!C7</f>
        <v>6243.8376</v>
      </c>
      <c r="F138" s="306" t="n">
        <f aca="false">'Book Income Statement'!D7</f>
        <v>11846.016</v>
      </c>
      <c r="G138" s="306" t="n">
        <f aca="false">'Book Income Statement'!E7</f>
        <v>11846.016</v>
      </c>
      <c r="H138" s="306" t="n">
        <f aca="false">'Book Income Statement'!F7</f>
        <v>11846.016</v>
      </c>
      <c r="I138" s="306" t="n">
        <f aca="false">'Book Income Statement'!G7</f>
        <v>11846.016</v>
      </c>
      <c r="J138" s="306" t="n">
        <f aca="false">'Book Income Statement'!H7</f>
        <v>11846.016</v>
      </c>
      <c r="K138" s="306" t="n">
        <f aca="false">'Book Income Statement'!I7</f>
        <v>11846.016</v>
      </c>
      <c r="L138" s="306" t="n">
        <f aca="false">'Book Income Statement'!J7</f>
        <v>11846.016</v>
      </c>
      <c r="M138" s="306" t="n">
        <f aca="false">'Book Income Statement'!K7</f>
        <v>11846.016</v>
      </c>
      <c r="N138" s="306" t="n">
        <f aca="false">'Book Income Statement'!L7</f>
        <v>11846.016</v>
      </c>
      <c r="O138" s="306" t="n">
        <f aca="false">'Book Income Statement'!M7</f>
        <v>11846.016</v>
      </c>
      <c r="P138" s="306" t="n">
        <f aca="false">'Book Income Statement'!N7</f>
        <v>11846.016</v>
      </c>
      <c r="Q138" s="306" t="n">
        <f aca="false">'Book Income Statement'!O7</f>
        <v>11846.016</v>
      </c>
      <c r="R138" s="306" t="n">
        <f aca="false">'Book Income Statement'!P7</f>
        <v>11846.016</v>
      </c>
      <c r="S138" s="306" t="n">
        <f aca="false">'Book Income Statement'!Q7</f>
        <v>11846.016</v>
      </c>
      <c r="T138" s="306" t="n">
        <f aca="false">'Book Income Statement'!R7</f>
        <v>7897.344</v>
      </c>
      <c r="U138" s="306"/>
    </row>
    <row r="139" customFormat="false" ht="12.6" hidden="false" customHeight="true" outlineLevel="0" collapsed="false">
      <c r="B139" s="259"/>
      <c r="D139" s="297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</row>
    <row r="140" customFormat="false" ht="12.6" hidden="false" customHeight="true" outlineLevel="0" collapsed="false">
      <c r="B140" s="259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</row>
    <row r="141" customFormat="false" ht="12.6" hidden="false" customHeight="true" outlineLevel="0" collapsed="false"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</row>
    <row r="142" customFormat="false" ht="12.6" hidden="false" customHeight="true" outlineLevel="0" collapsed="false">
      <c r="D142" s="297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</row>
    <row r="143" customFormat="false" ht="12.6" hidden="false" customHeight="true" outlineLevel="0" collapsed="false"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</row>
    <row r="144" customFormat="false" ht="12.6" hidden="false" customHeight="true" outlineLevel="0" collapsed="false"/>
    <row r="145" customFormat="false" ht="12.6" hidden="false" customHeight="true" outlineLevel="0" collapsed="false">
      <c r="B145" s="22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</row>
    <row r="146" customFormat="false" ht="12.6" hidden="false" customHeight="true" outlineLevel="0" collapsed="false"/>
    <row r="147" customFormat="false" ht="12.6" hidden="false" customHeight="true" outlineLevel="0" collapsed="false"/>
    <row r="148" customFormat="false" ht="12.6" hidden="false" customHeight="true" outlineLevel="0" collapsed="false"/>
    <row r="149" customFormat="false" ht="12.6" hidden="false" customHeight="true" outlineLevel="0" collapsed="false">
      <c r="A149" s="246"/>
      <c r="B149" s="242"/>
      <c r="C149" s="324"/>
      <c r="D149" s="292"/>
      <c r="E149" s="292"/>
      <c r="F149" s="292"/>
      <c r="G149" s="292"/>
      <c r="H149" s="292"/>
      <c r="I149" s="292"/>
      <c r="J149" s="292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  <c r="Y149" s="292"/>
      <c r="Z149" s="292"/>
      <c r="AA149" s="292"/>
      <c r="AB149" s="29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  <c r="BE149" s="242"/>
      <c r="BF149" s="242"/>
      <c r="BG149" s="242"/>
      <c r="BH149" s="242"/>
      <c r="BI149" s="242"/>
      <c r="BJ149" s="242"/>
      <c r="BK149" s="242"/>
      <c r="BL149" s="242"/>
      <c r="BM149" s="242"/>
      <c r="BN149" s="242"/>
      <c r="BO149" s="242"/>
      <c r="BP149" s="242"/>
      <c r="BQ149" s="242"/>
      <c r="BR149" s="242"/>
      <c r="BS149" s="242"/>
      <c r="BT149" s="242"/>
      <c r="BU149" s="242"/>
      <c r="BV149" s="242"/>
      <c r="BW149" s="242"/>
      <c r="BX149" s="242"/>
      <c r="BY149" s="242"/>
      <c r="BZ149" s="242"/>
      <c r="CA149" s="242"/>
      <c r="CB149" s="242"/>
      <c r="CC149" s="242"/>
      <c r="CD149" s="242"/>
      <c r="CE149" s="242"/>
      <c r="CF149" s="242"/>
      <c r="CG149" s="242"/>
      <c r="CH149" s="242"/>
      <c r="CI149" s="242"/>
      <c r="CJ149" s="242"/>
      <c r="CK149" s="242"/>
      <c r="CL149" s="242"/>
      <c r="CM149" s="242"/>
      <c r="CN149" s="242"/>
      <c r="CO149" s="242"/>
      <c r="CP149" s="242"/>
      <c r="CQ149" s="242"/>
      <c r="CR149" s="242"/>
      <c r="CS149" s="242"/>
      <c r="CT149" s="242"/>
      <c r="CU149" s="242"/>
      <c r="CV149" s="242"/>
      <c r="CW149" s="242"/>
      <c r="CX149" s="242"/>
      <c r="CY149" s="242"/>
      <c r="CZ149" s="242"/>
      <c r="DA149" s="242"/>
      <c r="DB149" s="242"/>
      <c r="DC149" s="242"/>
      <c r="DD149" s="242"/>
      <c r="DE149" s="242"/>
      <c r="DF149" s="242"/>
      <c r="DG149" s="242"/>
      <c r="DH149" s="242"/>
      <c r="DI149" s="242"/>
      <c r="DJ149" s="242"/>
      <c r="DK149" s="242"/>
      <c r="DL149" s="242"/>
      <c r="DM149" s="242"/>
      <c r="DN149" s="242"/>
      <c r="DO149" s="242"/>
      <c r="DP149" s="242"/>
      <c r="DQ149" s="242"/>
      <c r="DR149" s="242"/>
      <c r="DS149" s="242"/>
      <c r="DT149" s="242"/>
      <c r="DU149" s="242"/>
      <c r="DV149" s="242"/>
      <c r="DW149" s="242"/>
      <c r="DX149" s="242"/>
      <c r="DY149" s="242"/>
      <c r="DZ149" s="242"/>
      <c r="EA149" s="242"/>
      <c r="EB149" s="242"/>
      <c r="EC149" s="242"/>
      <c r="ED149" s="242"/>
      <c r="EE149" s="242"/>
      <c r="EF149" s="242"/>
      <c r="EG149" s="242"/>
      <c r="EH149" s="242"/>
      <c r="EI149" s="242"/>
      <c r="EJ149" s="242"/>
      <c r="EK149" s="242"/>
      <c r="EL149" s="242"/>
      <c r="EM149" s="242"/>
      <c r="EN149" s="242"/>
      <c r="EO149" s="242"/>
      <c r="EP149" s="242"/>
      <c r="EQ149" s="242"/>
      <c r="ER149" s="242"/>
      <c r="ES149" s="242"/>
      <c r="ET149" s="242"/>
      <c r="EU149" s="242"/>
      <c r="EV149" s="242"/>
      <c r="EW149" s="242"/>
      <c r="EX149" s="242"/>
      <c r="EY149" s="242"/>
      <c r="EZ149" s="242"/>
      <c r="FA149" s="242"/>
      <c r="FB149" s="242"/>
      <c r="FC149" s="242"/>
      <c r="FD149" s="242"/>
      <c r="FE149" s="242"/>
      <c r="FF149" s="242"/>
      <c r="FG149" s="242"/>
      <c r="FH149" s="242"/>
      <c r="FI149" s="242"/>
      <c r="FJ149" s="242"/>
      <c r="FK149" s="242"/>
      <c r="FL149" s="242"/>
      <c r="FM149" s="242"/>
      <c r="FN149" s="242"/>
      <c r="FO149" s="242"/>
      <c r="FP149" s="242"/>
      <c r="FQ149" s="242"/>
      <c r="FR149" s="242"/>
      <c r="FS149" s="242"/>
      <c r="FT149" s="242"/>
      <c r="FU149" s="242"/>
      <c r="FV149" s="242"/>
      <c r="FW149" s="242"/>
      <c r="FX149" s="242"/>
      <c r="FY149" s="242"/>
      <c r="FZ149" s="242"/>
      <c r="GA149" s="242"/>
      <c r="GB149" s="242"/>
      <c r="GC149" s="242"/>
      <c r="GD149" s="242"/>
      <c r="GE149" s="242"/>
      <c r="GF149" s="242"/>
      <c r="GG149" s="242"/>
      <c r="GH149" s="242"/>
      <c r="GI149" s="242"/>
      <c r="GJ149" s="242"/>
      <c r="GK149" s="242"/>
      <c r="GL149" s="242"/>
      <c r="GM149" s="242"/>
      <c r="GN149" s="242"/>
      <c r="GO149" s="242"/>
      <c r="GP149" s="242"/>
      <c r="GQ149" s="242"/>
      <c r="GR149" s="242"/>
      <c r="GS149" s="242"/>
      <c r="GT149" s="242"/>
      <c r="GU149" s="242"/>
      <c r="GV149" s="242"/>
      <c r="GW149" s="242"/>
      <c r="GX149" s="242"/>
      <c r="GY149" s="242"/>
      <c r="GZ149" s="242"/>
      <c r="HA149" s="242"/>
      <c r="HB149" s="242"/>
      <c r="HC149" s="242"/>
      <c r="HD149" s="242"/>
      <c r="HE149" s="242"/>
      <c r="HF149" s="242"/>
      <c r="HG149" s="242"/>
      <c r="HH149" s="242"/>
      <c r="HI149" s="242"/>
      <c r="HJ149" s="242"/>
      <c r="HK149" s="242"/>
      <c r="HL149" s="242"/>
      <c r="HM149" s="242"/>
      <c r="HN149" s="242"/>
      <c r="HO149" s="242"/>
      <c r="HP149" s="242"/>
      <c r="HQ149" s="242"/>
      <c r="HR149" s="242"/>
      <c r="HS149" s="242"/>
      <c r="HT149" s="242"/>
      <c r="HU149" s="242"/>
      <c r="HV149" s="242"/>
      <c r="HW149" s="242"/>
      <c r="HX149" s="242"/>
      <c r="HY149" s="242"/>
      <c r="HZ149" s="242"/>
      <c r="IA149" s="242"/>
      <c r="IB149" s="242"/>
      <c r="IC149" s="242"/>
      <c r="ID149" s="242"/>
      <c r="IE149" s="242"/>
      <c r="IF149" s="242"/>
      <c r="IG149" s="242"/>
      <c r="IH149" s="242"/>
      <c r="II149" s="242"/>
      <c r="IJ149" s="242"/>
      <c r="IK149" s="242"/>
      <c r="IL149" s="242"/>
      <c r="IM149" s="242"/>
      <c r="IN149" s="242"/>
      <c r="IO149" s="242"/>
      <c r="IP149" s="242"/>
      <c r="IQ149" s="242"/>
      <c r="IR149" s="242"/>
      <c r="IS149" s="242"/>
      <c r="IT149" s="242"/>
      <c r="IU149" s="242"/>
      <c r="IV149" s="242"/>
      <c r="IW149" s="242"/>
    </row>
    <row r="150" customFormat="false" ht="12.6" hidden="false" customHeight="true" outlineLevel="0" collapsed="false">
      <c r="B150" s="242"/>
      <c r="C150" s="292"/>
      <c r="D150" s="292"/>
      <c r="E150" s="292"/>
      <c r="F150" s="292"/>
      <c r="G150" s="292"/>
      <c r="H150" s="292"/>
      <c r="I150" s="292"/>
      <c r="J150" s="292"/>
      <c r="K150" s="292"/>
      <c r="L150" s="292"/>
      <c r="M150" s="292"/>
      <c r="N150" s="292"/>
      <c r="O150" s="292"/>
      <c r="P150" s="292"/>
      <c r="Q150" s="292"/>
      <c r="R150" s="292"/>
      <c r="S150" s="292"/>
      <c r="T150" s="292"/>
      <c r="U150" s="292"/>
      <c r="V150" s="292"/>
      <c r="W150" s="292"/>
      <c r="X150" s="292"/>
      <c r="Y150" s="292"/>
      <c r="Z150" s="292"/>
      <c r="AA150" s="292"/>
      <c r="AB150" s="29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  <c r="BE150" s="242"/>
      <c r="BF150" s="242"/>
      <c r="BG150" s="242"/>
      <c r="BH150" s="242"/>
      <c r="BI150" s="242"/>
      <c r="BJ150" s="242"/>
      <c r="BK150" s="242"/>
      <c r="BL150" s="242"/>
      <c r="BM150" s="242"/>
      <c r="BN150" s="242"/>
      <c r="BO150" s="242"/>
      <c r="BP150" s="242"/>
      <c r="BQ150" s="242"/>
      <c r="BR150" s="242"/>
      <c r="BS150" s="242"/>
      <c r="BT150" s="242"/>
      <c r="BU150" s="242"/>
      <c r="BV150" s="242"/>
      <c r="BW150" s="242"/>
      <c r="BX150" s="242"/>
      <c r="BY150" s="242"/>
      <c r="BZ150" s="242"/>
      <c r="CA150" s="242"/>
      <c r="CB150" s="242"/>
      <c r="CC150" s="242"/>
      <c r="CD150" s="242"/>
      <c r="CE150" s="242"/>
      <c r="CF150" s="242"/>
      <c r="CG150" s="242"/>
      <c r="CH150" s="242"/>
      <c r="CI150" s="242"/>
      <c r="CJ150" s="242"/>
      <c r="CK150" s="242"/>
      <c r="CL150" s="242"/>
      <c r="CM150" s="242"/>
      <c r="CN150" s="242"/>
      <c r="CO150" s="242"/>
      <c r="CP150" s="242"/>
      <c r="CQ150" s="242"/>
      <c r="CR150" s="242"/>
      <c r="CS150" s="242"/>
      <c r="CT150" s="242"/>
      <c r="CU150" s="242"/>
      <c r="CV150" s="242"/>
      <c r="CW150" s="242"/>
      <c r="CX150" s="242"/>
      <c r="CY150" s="242"/>
      <c r="CZ150" s="242"/>
      <c r="DA150" s="242"/>
      <c r="DB150" s="242"/>
      <c r="DC150" s="242"/>
      <c r="DD150" s="242"/>
      <c r="DE150" s="242"/>
      <c r="DF150" s="242"/>
      <c r="DG150" s="242"/>
      <c r="DH150" s="242"/>
      <c r="DI150" s="242"/>
      <c r="DJ150" s="242"/>
      <c r="DK150" s="242"/>
      <c r="DL150" s="242"/>
      <c r="DM150" s="242"/>
      <c r="DN150" s="242"/>
      <c r="DO150" s="242"/>
      <c r="DP150" s="242"/>
      <c r="DQ150" s="242"/>
      <c r="DR150" s="242"/>
      <c r="DS150" s="242"/>
      <c r="DT150" s="242"/>
      <c r="DU150" s="242"/>
      <c r="DV150" s="242"/>
      <c r="DW150" s="242"/>
      <c r="DX150" s="242"/>
      <c r="DY150" s="242"/>
      <c r="DZ150" s="242"/>
      <c r="EA150" s="242"/>
      <c r="EB150" s="242"/>
      <c r="EC150" s="242"/>
      <c r="ED150" s="242"/>
      <c r="EE150" s="242"/>
      <c r="EF150" s="242"/>
      <c r="EG150" s="242"/>
      <c r="EH150" s="242"/>
      <c r="EI150" s="242"/>
      <c r="EJ150" s="242"/>
      <c r="EK150" s="242"/>
      <c r="EL150" s="242"/>
      <c r="EM150" s="242"/>
      <c r="EN150" s="242"/>
      <c r="EO150" s="242"/>
      <c r="EP150" s="242"/>
      <c r="EQ150" s="242"/>
      <c r="ER150" s="242"/>
      <c r="ES150" s="242"/>
      <c r="ET150" s="242"/>
      <c r="EU150" s="242"/>
      <c r="EV150" s="242"/>
      <c r="EW150" s="242"/>
      <c r="EX150" s="242"/>
      <c r="EY150" s="242"/>
      <c r="EZ150" s="242"/>
      <c r="FA150" s="242"/>
      <c r="FB150" s="242"/>
      <c r="FC150" s="242"/>
      <c r="FD150" s="242"/>
      <c r="FE150" s="242"/>
      <c r="FF150" s="242"/>
      <c r="FG150" s="242"/>
      <c r="FH150" s="242"/>
      <c r="FI150" s="242"/>
      <c r="FJ150" s="242"/>
      <c r="FK150" s="242"/>
      <c r="FL150" s="242"/>
      <c r="FM150" s="242"/>
      <c r="FN150" s="242"/>
      <c r="FO150" s="242"/>
      <c r="FP150" s="242"/>
      <c r="FQ150" s="242"/>
      <c r="FR150" s="242"/>
      <c r="FS150" s="242"/>
      <c r="FT150" s="242"/>
      <c r="FU150" s="242"/>
      <c r="FV150" s="242"/>
      <c r="FW150" s="242"/>
      <c r="FX150" s="242"/>
      <c r="FY150" s="242"/>
      <c r="FZ150" s="242"/>
      <c r="GA150" s="242"/>
      <c r="GB150" s="242"/>
      <c r="GC150" s="242"/>
      <c r="GD150" s="242"/>
      <c r="GE150" s="242"/>
      <c r="GF150" s="242"/>
      <c r="GG150" s="242"/>
      <c r="GH150" s="242"/>
      <c r="GI150" s="242"/>
      <c r="GJ150" s="242"/>
      <c r="GK150" s="242"/>
      <c r="GL150" s="242"/>
      <c r="GM150" s="242"/>
      <c r="GN150" s="242"/>
      <c r="GO150" s="242"/>
      <c r="GP150" s="242"/>
      <c r="GQ150" s="242"/>
      <c r="GR150" s="242"/>
      <c r="GS150" s="242"/>
      <c r="GT150" s="242"/>
      <c r="GU150" s="242"/>
      <c r="GV150" s="242"/>
      <c r="GW150" s="242"/>
      <c r="GX150" s="242"/>
      <c r="GY150" s="242"/>
      <c r="GZ150" s="242"/>
      <c r="HA150" s="242"/>
      <c r="HB150" s="242"/>
      <c r="HC150" s="242"/>
      <c r="HD150" s="242"/>
      <c r="HE150" s="242"/>
      <c r="HF150" s="242"/>
      <c r="HG150" s="242"/>
      <c r="HH150" s="242"/>
      <c r="HI150" s="242"/>
      <c r="HJ150" s="242"/>
      <c r="HK150" s="242"/>
      <c r="HL150" s="242"/>
      <c r="HM150" s="242"/>
      <c r="HN150" s="242"/>
      <c r="HO150" s="242"/>
      <c r="HP150" s="242"/>
      <c r="HQ150" s="242"/>
      <c r="HR150" s="242"/>
      <c r="HS150" s="242"/>
      <c r="HT150" s="242"/>
      <c r="HU150" s="242"/>
      <c r="HV150" s="242"/>
      <c r="HW150" s="242"/>
      <c r="HX150" s="242"/>
      <c r="HY150" s="242"/>
      <c r="HZ150" s="242"/>
      <c r="IA150" s="242"/>
      <c r="IB150" s="242"/>
      <c r="IC150" s="242"/>
      <c r="ID150" s="242"/>
      <c r="IE150" s="242"/>
      <c r="IF150" s="242"/>
      <c r="IG150" s="242"/>
      <c r="IH150" s="242"/>
      <c r="II150" s="242"/>
      <c r="IJ150" s="242"/>
      <c r="IK150" s="242"/>
      <c r="IL150" s="242"/>
      <c r="IM150" s="242"/>
      <c r="IN150" s="242"/>
      <c r="IO150" s="242"/>
      <c r="IP150" s="242"/>
      <c r="IQ150" s="242"/>
      <c r="IR150" s="242"/>
      <c r="IS150" s="242"/>
      <c r="IT150" s="242"/>
      <c r="IU150" s="242"/>
      <c r="IV150" s="242"/>
      <c r="IW150" s="242"/>
    </row>
    <row r="151" customFormat="false" ht="12.6" hidden="false" customHeight="true" outlineLevel="0" collapsed="false">
      <c r="A151" s="246"/>
      <c r="B151" s="242"/>
      <c r="C151" s="292"/>
      <c r="D151" s="313"/>
      <c r="E151" s="313"/>
      <c r="F151" s="313"/>
      <c r="G151" s="313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  <c r="AA151" s="313"/>
      <c r="AB151" s="313"/>
      <c r="AC151" s="313"/>
      <c r="AD151" s="313"/>
      <c r="AE151" s="313"/>
      <c r="AF151" s="313"/>
      <c r="AG151" s="313"/>
      <c r="AH151" s="313"/>
      <c r="AI151" s="313"/>
      <c r="AJ151" s="313"/>
      <c r="AK151" s="313"/>
      <c r="AL151" s="313"/>
      <c r="AM151" s="313"/>
      <c r="AN151" s="313"/>
      <c r="AO151" s="313"/>
      <c r="AP151" s="313"/>
      <c r="AQ151" s="313"/>
      <c r="AR151" s="313"/>
      <c r="AS151" s="242"/>
      <c r="AT151" s="242"/>
      <c r="AU151" s="242"/>
      <c r="AV151" s="242"/>
      <c r="AW151" s="242"/>
      <c r="AX151" s="242"/>
      <c r="AY151" s="242"/>
      <c r="AZ151" s="242"/>
      <c r="BA151" s="242"/>
      <c r="BB151" s="242"/>
      <c r="BC151" s="242"/>
      <c r="BD151" s="242"/>
      <c r="BE151" s="242"/>
      <c r="BF151" s="242"/>
      <c r="BG151" s="242"/>
      <c r="BH151" s="242"/>
      <c r="BI151" s="242"/>
      <c r="BJ151" s="242"/>
      <c r="BK151" s="242"/>
      <c r="BL151" s="242"/>
      <c r="BM151" s="242"/>
      <c r="BN151" s="242"/>
      <c r="BO151" s="242"/>
      <c r="BP151" s="242"/>
      <c r="BQ151" s="242"/>
      <c r="BR151" s="242"/>
      <c r="BS151" s="242"/>
      <c r="BT151" s="242"/>
      <c r="BU151" s="242"/>
      <c r="BV151" s="242"/>
      <c r="BW151" s="242"/>
      <c r="BX151" s="242"/>
      <c r="BY151" s="242"/>
      <c r="BZ151" s="242"/>
      <c r="CA151" s="242"/>
      <c r="CB151" s="242"/>
      <c r="CC151" s="242"/>
      <c r="CD151" s="242"/>
      <c r="CE151" s="242"/>
      <c r="CF151" s="242"/>
      <c r="CG151" s="242"/>
      <c r="CH151" s="242"/>
      <c r="CI151" s="242"/>
      <c r="CJ151" s="242"/>
      <c r="CK151" s="242"/>
      <c r="CL151" s="242"/>
      <c r="CM151" s="242"/>
      <c r="CN151" s="242"/>
      <c r="CO151" s="242"/>
      <c r="CP151" s="242"/>
      <c r="CQ151" s="242"/>
      <c r="CR151" s="242"/>
      <c r="CS151" s="242"/>
      <c r="CT151" s="242"/>
      <c r="CU151" s="242"/>
      <c r="CV151" s="242"/>
      <c r="CW151" s="242"/>
      <c r="CX151" s="242"/>
      <c r="CY151" s="242"/>
      <c r="CZ151" s="242"/>
      <c r="DA151" s="242"/>
      <c r="DB151" s="242"/>
      <c r="DC151" s="242"/>
      <c r="DD151" s="242"/>
      <c r="DE151" s="242"/>
      <c r="DF151" s="242"/>
      <c r="DG151" s="242"/>
      <c r="DH151" s="242"/>
      <c r="DI151" s="242"/>
      <c r="DJ151" s="242"/>
      <c r="DK151" s="242"/>
      <c r="DL151" s="242"/>
      <c r="DM151" s="242"/>
      <c r="DN151" s="242"/>
      <c r="DO151" s="242"/>
      <c r="DP151" s="242"/>
      <c r="DQ151" s="242"/>
      <c r="DR151" s="242"/>
      <c r="DS151" s="242"/>
      <c r="DT151" s="242"/>
      <c r="DU151" s="242"/>
      <c r="DV151" s="242"/>
      <c r="DW151" s="242"/>
      <c r="DX151" s="242"/>
      <c r="DY151" s="242"/>
      <c r="DZ151" s="242"/>
      <c r="EA151" s="242"/>
      <c r="EB151" s="242"/>
      <c r="EC151" s="242"/>
      <c r="ED151" s="242"/>
      <c r="EE151" s="242"/>
      <c r="EF151" s="242"/>
      <c r="EG151" s="242"/>
      <c r="EH151" s="242"/>
      <c r="EI151" s="242"/>
      <c r="EJ151" s="242"/>
      <c r="EK151" s="242"/>
      <c r="EL151" s="242"/>
      <c r="EM151" s="242"/>
      <c r="EN151" s="242"/>
      <c r="EO151" s="242"/>
      <c r="EP151" s="242"/>
      <c r="EQ151" s="242"/>
      <c r="ER151" s="242"/>
      <c r="ES151" s="242"/>
      <c r="ET151" s="242"/>
      <c r="EU151" s="242"/>
      <c r="EV151" s="242"/>
      <c r="EW151" s="242"/>
      <c r="EX151" s="242"/>
      <c r="EY151" s="242"/>
      <c r="EZ151" s="242"/>
      <c r="FA151" s="242"/>
      <c r="FB151" s="242"/>
      <c r="FC151" s="242"/>
      <c r="FD151" s="242"/>
      <c r="FE151" s="242"/>
      <c r="FF151" s="242"/>
      <c r="FG151" s="242"/>
      <c r="FH151" s="242"/>
      <c r="FI151" s="242"/>
      <c r="FJ151" s="242"/>
      <c r="FK151" s="242"/>
      <c r="FL151" s="242"/>
      <c r="FM151" s="242"/>
      <c r="FN151" s="242"/>
      <c r="FO151" s="242"/>
      <c r="FP151" s="242"/>
      <c r="FQ151" s="242"/>
      <c r="FR151" s="242"/>
      <c r="FS151" s="242"/>
      <c r="FT151" s="242"/>
      <c r="FU151" s="242"/>
      <c r="FV151" s="242"/>
      <c r="FW151" s="242"/>
      <c r="FX151" s="242"/>
      <c r="FY151" s="242"/>
      <c r="FZ151" s="242"/>
      <c r="GA151" s="242"/>
      <c r="GB151" s="242"/>
      <c r="GC151" s="242"/>
      <c r="GD151" s="242"/>
      <c r="GE151" s="242"/>
      <c r="GF151" s="242"/>
      <c r="GG151" s="242"/>
      <c r="GH151" s="242"/>
      <c r="GI151" s="242"/>
      <c r="GJ151" s="242"/>
      <c r="GK151" s="242"/>
      <c r="GL151" s="242"/>
      <c r="GM151" s="242"/>
      <c r="GN151" s="242"/>
      <c r="GO151" s="242"/>
      <c r="GP151" s="242"/>
      <c r="GQ151" s="242"/>
      <c r="GR151" s="242"/>
      <c r="GS151" s="242"/>
      <c r="GT151" s="242"/>
      <c r="GU151" s="242"/>
      <c r="GV151" s="242"/>
      <c r="GW151" s="242"/>
      <c r="GX151" s="242"/>
      <c r="GY151" s="242"/>
      <c r="GZ151" s="242"/>
      <c r="HA151" s="242"/>
      <c r="HB151" s="242"/>
      <c r="HC151" s="242"/>
      <c r="HD151" s="242"/>
      <c r="HE151" s="242"/>
      <c r="HF151" s="242"/>
      <c r="HG151" s="242"/>
      <c r="HH151" s="242"/>
      <c r="HI151" s="242"/>
      <c r="HJ151" s="242"/>
      <c r="HK151" s="242"/>
      <c r="HL151" s="242"/>
      <c r="HM151" s="242"/>
      <c r="HN151" s="242"/>
      <c r="HO151" s="242"/>
      <c r="HP151" s="242"/>
      <c r="HQ151" s="242"/>
      <c r="HR151" s="242"/>
      <c r="HS151" s="242"/>
      <c r="HT151" s="242"/>
      <c r="HU151" s="242"/>
      <c r="HV151" s="242"/>
      <c r="HW151" s="242"/>
      <c r="HX151" s="242"/>
      <c r="HY151" s="242"/>
      <c r="HZ151" s="242"/>
      <c r="IA151" s="242"/>
      <c r="IB151" s="242"/>
      <c r="IC151" s="242"/>
      <c r="ID151" s="242"/>
      <c r="IE151" s="242"/>
      <c r="IF151" s="242"/>
      <c r="IG151" s="242"/>
      <c r="IH151" s="242"/>
      <c r="II151" s="242"/>
      <c r="IJ151" s="242"/>
      <c r="IK151" s="242"/>
      <c r="IL151" s="242"/>
      <c r="IM151" s="242"/>
      <c r="IN151" s="242"/>
      <c r="IO151" s="242"/>
      <c r="IP151" s="242"/>
      <c r="IQ151" s="242"/>
      <c r="IR151" s="242"/>
      <c r="IS151" s="242"/>
      <c r="IT151" s="242"/>
      <c r="IU151" s="242"/>
      <c r="IV151" s="242"/>
      <c r="IW151" s="242"/>
    </row>
    <row r="152" customFormat="false" ht="12.6" hidden="false" customHeight="true" outlineLevel="0" collapsed="false">
      <c r="A152" s="246"/>
      <c r="B152" s="242"/>
      <c r="C152" s="292"/>
      <c r="D152" s="325"/>
      <c r="E152" s="325"/>
      <c r="F152" s="325"/>
      <c r="G152" s="325"/>
      <c r="H152" s="325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  <c r="S152" s="325"/>
      <c r="T152" s="325"/>
      <c r="U152" s="325"/>
      <c r="V152" s="325"/>
      <c r="W152" s="325"/>
      <c r="X152" s="325"/>
      <c r="Y152" s="325"/>
      <c r="Z152" s="325"/>
      <c r="AA152" s="325"/>
      <c r="AB152" s="325"/>
      <c r="AC152" s="325"/>
      <c r="AD152" s="325"/>
      <c r="AE152" s="325"/>
      <c r="AF152" s="325"/>
      <c r="AG152" s="325"/>
      <c r="AH152" s="325"/>
      <c r="AI152" s="325"/>
      <c r="AJ152" s="325"/>
      <c r="AK152" s="325"/>
      <c r="AL152" s="325"/>
      <c r="AM152" s="325"/>
      <c r="AN152" s="325"/>
      <c r="AO152" s="325"/>
      <c r="AP152" s="325"/>
      <c r="AQ152" s="325"/>
      <c r="AR152" s="325"/>
      <c r="AS152" s="242"/>
      <c r="AT152" s="242"/>
      <c r="AU152" s="242"/>
      <c r="AV152" s="242"/>
      <c r="AW152" s="242"/>
      <c r="AX152" s="242"/>
      <c r="AY152" s="242"/>
      <c r="AZ152" s="242"/>
      <c r="BA152" s="242"/>
      <c r="BB152" s="242"/>
      <c r="BC152" s="242"/>
      <c r="BD152" s="242"/>
      <c r="BE152" s="242"/>
      <c r="BF152" s="242"/>
      <c r="BG152" s="242"/>
      <c r="BH152" s="242"/>
      <c r="BI152" s="242"/>
      <c r="BJ152" s="242"/>
      <c r="BK152" s="242"/>
      <c r="BL152" s="242"/>
      <c r="BM152" s="242"/>
      <c r="BN152" s="242"/>
      <c r="BO152" s="242"/>
      <c r="BP152" s="242"/>
      <c r="BQ152" s="242"/>
      <c r="BR152" s="242"/>
      <c r="BS152" s="242"/>
      <c r="BT152" s="242"/>
      <c r="BU152" s="242"/>
      <c r="BV152" s="242"/>
      <c r="BW152" s="242"/>
      <c r="BX152" s="242"/>
      <c r="BY152" s="242"/>
      <c r="BZ152" s="242"/>
      <c r="CA152" s="242"/>
      <c r="CB152" s="242"/>
      <c r="CC152" s="242"/>
      <c r="CD152" s="242"/>
      <c r="CE152" s="242"/>
      <c r="CF152" s="242"/>
      <c r="CG152" s="242"/>
      <c r="CH152" s="242"/>
      <c r="CI152" s="242"/>
      <c r="CJ152" s="242"/>
      <c r="CK152" s="242"/>
      <c r="CL152" s="242"/>
      <c r="CM152" s="242"/>
      <c r="CN152" s="242"/>
      <c r="CO152" s="242"/>
      <c r="CP152" s="242"/>
      <c r="CQ152" s="242"/>
      <c r="CR152" s="242"/>
      <c r="CS152" s="242"/>
      <c r="CT152" s="242"/>
      <c r="CU152" s="242"/>
      <c r="CV152" s="242"/>
      <c r="CW152" s="242"/>
      <c r="CX152" s="242"/>
      <c r="CY152" s="242"/>
      <c r="CZ152" s="242"/>
      <c r="DA152" s="242"/>
      <c r="DB152" s="242"/>
      <c r="DC152" s="242"/>
      <c r="DD152" s="242"/>
      <c r="DE152" s="242"/>
      <c r="DF152" s="242"/>
      <c r="DG152" s="242"/>
      <c r="DH152" s="242"/>
      <c r="DI152" s="242"/>
      <c r="DJ152" s="242"/>
      <c r="DK152" s="242"/>
      <c r="DL152" s="242"/>
      <c r="DM152" s="242"/>
      <c r="DN152" s="242"/>
      <c r="DO152" s="242"/>
      <c r="DP152" s="242"/>
      <c r="DQ152" s="242"/>
      <c r="DR152" s="242"/>
      <c r="DS152" s="242"/>
      <c r="DT152" s="242"/>
      <c r="DU152" s="242"/>
      <c r="DV152" s="242"/>
      <c r="DW152" s="242"/>
      <c r="DX152" s="242"/>
      <c r="DY152" s="242"/>
      <c r="DZ152" s="242"/>
      <c r="EA152" s="242"/>
      <c r="EB152" s="242"/>
      <c r="EC152" s="242"/>
      <c r="ED152" s="242"/>
      <c r="EE152" s="242"/>
      <c r="EF152" s="242"/>
      <c r="EG152" s="242"/>
      <c r="EH152" s="242"/>
      <c r="EI152" s="242"/>
      <c r="EJ152" s="242"/>
      <c r="EK152" s="242"/>
      <c r="EL152" s="242"/>
      <c r="EM152" s="242"/>
      <c r="EN152" s="242"/>
      <c r="EO152" s="242"/>
      <c r="EP152" s="242"/>
      <c r="EQ152" s="242"/>
      <c r="ER152" s="242"/>
      <c r="ES152" s="242"/>
      <c r="ET152" s="242"/>
      <c r="EU152" s="242"/>
      <c r="EV152" s="242"/>
      <c r="EW152" s="242"/>
      <c r="EX152" s="242"/>
      <c r="EY152" s="242"/>
      <c r="EZ152" s="242"/>
      <c r="FA152" s="242"/>
      <c r="FB152" s="242"/>
      <c r="FC152" s="242"/>
      <c r="FD152" s="242"/>
      <c r="FE152" s="242"/>
      <c r="FF152" s="242"/>
      <c r="FG152" s="242"/>
      <c r="FH152" s="242"/>
      <c r="FI152" s="242"/>
      <c r="FJ152" s="242"/>
      <c r="FK152" s="242"/>
      <c r="FL152" s="242"/>
      <c r="FM152" s="242"/>
      <c r="FN152" s="242"/>
      <c r="FO152" s="242"/>
      <c r="FP152" s="242"/>
      <c r="FQ152" s="242"/>
      <c r="FR152" s="242"/>
      <c r="FS152" s="242"/>
      <c r="FT152" s="242"/>
      <c r="FU152" s="242"/>
      <c r="FV152" s="242"/>
      <c r="FW152" s="242"/>
      <c r="FX152" s="242"/>
      <c r="FY152" s="242"/>
      <c r="FZ152" s="242"/>
      <c r="GA152" s="242"/>
      <c r="GB152" s="242"/>
      <c r="GC152" s="242"/>
      <c r="GD152" s="242"/>
      <c r="GE152" s="242"/>
      <c r="GF152" s="242"/>
      <c r="GG152" s="242"/>
      <c r="GH152" s="242"/>
      <c r="GI152" s="242"/>
      <c r="GJ152" s="242"/>
      <c r="GK152" s="242"/>
      <c r="GL152" s="242"/>
      <c r="GM152" s="242"/>
      <c r="GN152" s="242"/>
      <c r="GO152" s="242"/>
      <c r="GP152" s="242"/>
      <c r="GQ152" s="242"/>
      <c r="GR152" s="242"/>
      <c r="GS152" s="242"/>
      <c r="GT152" s="242"/>
      <c r="GU152" s="242"/>
      <c r="GV152" s="242"/>
      <c r="GW152" s="242"/>
      <c r="GX152" s="242"/>
      <c r="GY152" s="242"/>
      <c r="GZ152" s="242"/>
      <c r="HA152" s="242"/>
      <c r="HB152" s="242"/>
      <c r="HC152" s="242"/>
      <c r="HD152" s="242"/>
      <c r="HE152" s="242"/>
      <c r="HF152" s="242"/>
      <c r="HG152" s="242"/>
      <c r="HH152" s="242"/>
      <c r="HI152" s="242"/>
      <c r="HJ152" s="242"/>
      <c r="HK152" s="242"/>
      <c r="HL152" s="242"/>
      <c r="HM152" s="242"/>
      <c r="HN152" s="242"/>
      <c r="HO152" s="242"/>
      <c r="HP152" s="242"/>
      <c r="HQ152" s="242"/>
      <c r="HR152" s="242"/>
      <c r="HS152" s="242"/>
      <c r="HT152" s="242"/>
      <c r="HU152" s="242"/>
      <c r="HV152" s="242"/>
      <c r="HW152" s="242"/>
      <c r="HX152" s="242"/>
      <c r="HY152" s="242"/>
      <c r="HZ152" s="242"/>
      <c r="IA152" s="242"/>
      <c r="IB152" s="242"/>
      <c r="IC152" s="242"/>
      <c r="ID152" s="242"/>
      <c r="IE152" s="242"/>
      <c r="IF152" s="242"/>
      <c r="IG152" s="242"/>
      <c r="IH152" s="242"/>
      <c r="II152" s="242"/>
      <c r="IJ152" s="242"/>
      <c r="IK152" s="242"/>
      <c r="IL152" s="242"/>
      <c r="IM152" s="242"/>
      <c r="IN152" s="242"/>
      <c r="IO152" s="242"/>
      <c r="IP152" s="242"/>
      <c r="IQ152" s="242"/>
      <c r="IR152" s="242"/>
      <c r="IS152" s="242"/>
      <c r="IT152" s="242"/>
      <c r="IU152" s="242"/>
      <c r="IV152" s="242"/>
      <c r="IW152" s="242"/>
    </row>
    <row r="153" customFormat="false" ht="12.6" hidden="false" customHeight="true" outlineLevel="0" collapsed="false">
      <c r="A153" s="246"/>
      <c r="B153" s="242"/>
      <c r="C153" s="292"/>
      <c r="D153" s="292"/>
      <c r="E153" s="292"/>
      <c r="F153" s="292"/>
      <c r="G153" s="292"/>
      <c r="H153" s="292"/>
      <c r="I153" s="292"/>
      <c r="J153" s="292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  <c r="U153" s="292"/>
      <c r="V153" s="292"/>
      <c r="W153" s="292"/>
      <c r="X153" s="292"/>
      <c r="Y153" s="292"/>
      <c r="Z153" s="292"/>
      <c r="AA153" s="292"/>
      <c r="AB153" s="292"/>
      <c r="AC153" s="292"/>
      <c r="AD153" s="292"/>
      <c r="AE153" s="292"/>
      <c r="AF153" s="292"/>
      <c r="AG153" s="292"/>
      <c r="AH153" s="292"/>
      <c r="AI153" s="292"/>
      <c r="AJ153" s="292"/>
      <c r="AK153" s="292"/>
      <c r="AL153" s="292"/>
      <c r="AM153" s="292"/>
      <c r="AN153" s="292"/>
      <c r="AO153" s="292"/>
      <c r="AP153" s="292"/>
      <c r="AQ153" s="292"/>
      <c r="AR153" s="292"/>
      <c r="AS153" s="242"/>
      <c r="AT153" s="242"/>
      <c r="AU153" s="242"/>
      <c r="AV153" s="242"/>
      <c r="AW153" s="242"/>
      <c r="AX153" s="242"/>
      <c r="AY153" s="242"/>
      <c r="AZ153" s="242"/>
      <c r="BA153" s="242"/>
      <c r="BB153" s="242"/>
      <c r="BC153" s="242"/>
      <c r="BD153" s="242"/>
      <c r="BE153" s="242"/>
      <c r="BF153" s="242"/>
      <c r="BG153" s="242"/>
      <c r="BH153" s="242"/>
      <c r="BI153" s="242"/>
      <c r="BJ153" s="242"/>
      <c r="BK153" s="242"/>
      <c r="BL153" s="242"/>
      <c r="BM153" s="242"/>
      <c r="BN153" s="242"/>
      <c r="BO153" s="242"/>
      <c r="BP153" s="242"/>
      <c r="BQ153" s="242"/>
      <c r="BR153" s="242"/>
      <c r="BS153" s="242"/>
      <c r="BT153" s="242"/>
      <c r="BU153" s="242"/>
      <c r="BV153" s="242"/>
      <c r="BW153" s="242"/>
      <c r="BX153" s="242"/>
      <c r="BY153" s="242"/>
      <c r="BZ153" s="242"/>
      <c r="CA153" s="242"/>
      <c r="CB153" s="242"/>
      <c r="CC153" s="242"/>
      <c r="CD153" s="242"/>
      <c r="CE153" s="242"/>
      <c r="CF153" s="242"/>
      <c r="CG153" s="242"/>
      <c r="CH153" s="242"/>
      <c r="CI153" s="242"/>
      <c r="CJ153" s="242"/>
      <c r="CK153" s="242"/>
      <c r="CL153" s="242"/>
      <c r="CM153" s="242"/>
      <c r="CN153" s="242"/>
      <c r="CO153" s="242"/>
      <c r="CP153" s="242"/>
      <c r="CQ153" s="242"/>
      <c r="CR153" s="242"/>
      <c r="CS153" s="242"/>
      <c r="CT153" s="242"/>
      <c r="CU153" s="242"/>
      <c r="CV153" s="242"/>
      <c r="CW153" s="242"/>
      <c r="CX153" s="242"/>
      <c r="CY153" s="242"/>
      <c r="CZ153" s="242"/>
      <c r="DA153" s="242"/>
      <c r="DB153" s="242"/>
      <c r="DC153" s="242"/>
      <c r="DD153" s="242"/>
      <c r="DE153" s="242"/>
      <c r="DF153" s="242"/>
      <c r="DG153" s="242"/>
      <c r="DH153" s="242"/>
      <c r="DI153" s="242"/>
      <c r="DJ153" s="242"/>
      <c r="DK153" s="242"/>
      <c r="DL153" s="242"/>
      <c r="DM153" s="242"/>
      <c r="DN153" s="242"/>
      <c r="DO153" s="242"/>
      <c r="DP153" s="242"/>
      <c r="DQ153" s="242"/>
      <c r="DR153" s="242"/>
      <c r="DS153" s="242"/>
      <c r="DT153" s="242"/>
      <c r="DU153" s="242"/>
      <c r="DV153" s="242"/>
      <c r="DW153" s="242"/>
      <c r="DX153" s="242"/>
      <c r="DY153" s="242"/>
      <c r="DZ153" s="242"/>
      <c r="EA153" s="242"/>
      <c r="EB153" s="242"/>
      <c r="EC153" s="242"/>
      <c r="ED153" s="242"/>
      <c r="EE153" s="242"/>
      <c r="EF153" s="242"/>
      <c r="EG153" s="242"/>
      <c r="EH153" s="242"/>
      <c r="EI153" s="242"/>
      <c r="EJ153" s="242"/>
      <c r="EK153" s="242"/>
      <c r="EL153" s="242"/>
      <c r="EM153" s="242"/>
      <c r="EN153" s="242"/>
      <c r="EO153" s="242"/>
      <c r="EP153" s="242"/>
      <c r="EQ153" s="242"/>
      <c r="ER153" s="242"/>
      <c r="ES153" s="242"/>
      <c r="ET153" s="242"/>
      <c r="EU153" s="242"/>
      <c r="EV153" s="242"/>
      <c r="EW153" s="242"/>
      <c r="EX153" s="242"/>
      <c r="EY153" s="242"/>
      <c r="EZ153" s="242"/>
      <c r="FA153" s="242"/>
      <c r="FB153" s="242"/>
      <c r="FC153" s="242"/>
      <c r="FD153" s="242"/>
      <c r="FE153" s="242"/>
      <c r="FF153" s="242"/>
      <c r="FG153" s="242"/>
      <c r="FH153" s="242"/>
      <c r="FI153" s="242"/>
      <c r="FJ153" s="242"/>
      <c r="FK153" s="242"/>
      <c r="FL153" s="242"/>
      <c r="FM153" s="242"/>
      <c r="FN153" s="242"/>
      <c r="FO153" s="242"/>
      <c r="FP153" s="242"/>
      <c r="FQ153" s="242"/>
      <c r="FR153" s="242"/>
      <c r="FS153" s="242"/>
      <c r="FT153" s="242"/>
      <c r="FU153" s="242"/>
      <c r="FV153" s="242"/>
      <c r="FW153" s="242"/>
      <c r="FX153" s="242"/>
      <c r="FY153" s="242"/>
      <c r="FZ153" s="242"/>
      <c r="GA153" s="242"/>
      <c r="GB153" s="242"/>
      <c r="GC153" s="242"/>
      <c r="GD153" s="242"/>
      <c r="GE153" s="242"/>
      <c r="GF153" s="242"/>
      <c r="GG153" s="242"/>
      <c r="GH153" s="242"/>
      <c r="GI153" s="242"/>
      <c r="GJ153" s="242"/>
      <c r="GK153" s="242"/>
      <c r="GL153" s="242"/>
      <c r="GM153" s="242"/>
      <c r="GN153" s="242"/>
      <c r="GO153" s="242"/>
      <c r="GP153" s="242"/>
      <c r="GQ153" s="242"/>
      <c r="GR153" s="242"/>
      <c r="GS153" s="242"/>
      <c r="GT153" s="242"/>
      <c r="GU153" s="242"/>
      <c r="GV153" s="242"/>
      <c r="GW153" s="242"/>
      <c r="GX153" s="242"/>
      <c r="GY153" s="242"/>
      <c r="GZ153" s="242"/>
      <c r="HA153" s="242"/>
      <c r="HB153" s="242"/>
      <c r="HC153" s="242"/>
      <c r="HD153" s="242"/>
      <c r="HE153" s="242"/>
      <c r="HF153" s="242"/>
      <c r="HG153" s="242"/>
      <c r="HH153" s="242"/>
      <c r="HI153" s="242"/>
      <c r="HJ153" s="242"/>
      <c r="HK153" s="242"/>
      <c r="HL153" s="242"/>
      <c r="HM153" s="242"/>
      <c r="HN153" s="242"/>
      <c r="HO153" s="242"/>
      <c r="HP153" s="242"/>
      <c r="HQ153" s="242"/>
      <c r="HR153" s="242"/>
      <c r="HS153" s="242"/>
      <c r="HT153" s="242"/>
      <c r="HU153" s="242"/>
      <c r="HV153" s="242"/>
      <c r="HW153" s="242"/>
      <c r="HX153" s="242"/>
      <c r="HY153" s="242"/>
      <c r="HZ153" s="242"/>
      <c r="IA153" s="242"/>
      <c r="IB153" s="242"/>
      <c r="IC153" s="242"/>
      <c r="ID153" s="242"/>
      <c r="IE153" s="242"/>
      <c r="IF153" s="242"/>
      <c r="IG153" s="242"/>
      <c r="IH153" s="242"/>
      <c r="II153" s="242"/>
      <c r="IJ153" s="242"/>
      <c r="IK153" s="242"/>
      <c r="IL153" s="242"/>
      <c r="IM153" s="242"/>
      <c r="IN153" s="242"/>
      <c r="IO153" s="242"/>
      <c r="IP153" s="242"/>
      <c r="IQ153" s="242"/>
      <c r="IR153" s="242"/>
      <c r="IS153" s="242"/>
      <c r="IT153" s="242"/>
      <c r="IU153" s="242"/>
      <c r="IV153" s="242"/>
      <c r="IW153" s="242"/>
    </row>
    <row r="154" customFormat="false" ht="12.6" hidden="false" customHeight="true" outlineLevel="0" collapsed="false">
      <c r="A154" s="246"/>
      <c r="B154" s="326"/>
      <c r="C154" s="292"/>
      <c r="D154" s="292"/>
      <c r="E154" s="292"/>
      <c r="F154" s="292"/>
      <c r="G154" s="292"/>
      <c r="H154" s="292"/>
      <c r="I154" s="292"/>
      <c r="J154" s="292"/>
      <c r="K154" s="292"/>
      <c r="L154" s="292"/>
      <c r="M154" s="292"/>
      <c r="N154" s="292"/>
      <c r="O154" s="292"/>
      <c r="P154" s="292"/>
      <c r="Q154" s="292"/>
      <c r="R154" s="292"/>
      <c r="S154" s="292"/>
      <c r="T154" s="292"/>
      <c r="U154" s="292"/>
      <c r="V154" s="292"/>
      <c r="W154" s="292"/>
      <c r="X154" s="292"/>
      <c r="Y154" s="292"/>
      <c r="Z154" s="292"/>
      <c r="AA154" s="292"/>
      <c r="AB154" s="292"/>
      <c r="AC154" s="292"/>
      <c r="AD154" s="292"/>
      <c r="AE154" s="292"/>
      <c r="AF154" s="292"/>
      <c r="AG154" s="292"/>
      <c r="AH154" s="292"/>
      <c r="AI154" s="292"/>
      <c r="AJ154" s="292"/>
      <c r="AK154" s="292"/>
      <c r="AL154" s="292"/>
      <c r="AM154" s="292"/>
      <c r="AN154" s="292"/>
      <c r="AO154" s="292"/>
      <c r="AP154" s="292"/>
      <c r="AQ154" s="292"/>
      <c r="AR154" s="292"/>
      <c r="AS154" s="242"/>
      <c r="AT154" s="242"/>
      <c r="AU154" s="242"/>
      <c r="AV154" s="242"/>
      <c r="AW154" s="242"/>
      <c r="AX154" s="242"/>
      <c r="AY154" s="242"/>
      <c r="AZ154" s="242"/>
      <c r="BA154" s="242"/>
      <c r="BB154" s="242"/>
      <c r="BC154" s="242"/>
      <c r="BD154" s="242"/>
      <c r="BE154" s="242"/>
      <c r="BF154" s="242"/>
      <c r="BG154" s="242"/>
      <c r="BH154" s="242"/>
      <c r="BI154" s="242"/>
      <c r="BJ154" s="242"/>
      <c r="BK154" s="242"/>
      <c r="BL154" s="242"/>
      <c r="BM154" s="242"/>
      <c r="BN154" s="242"/>
      <c r="BO154" s="242"/>
      <c r="BP154" s="242"/>
      <c r="BQ154" s="242"/>
      <c r="BR154" s="242"/>
      <c r="BS154" s="242"/>
      <c r="BT154" s="242"/>
      <c r="BU154" s="242"/>
      <c r="BV154" s="242"/>
      <c r="BW154" s="242"/>
      <c r="BX154" s="242"/>
      <c r="BY154" s="242"/>
      <c r="BZ154" s="242"/>
      <c r="CA154" s="242"/>
      <c r="CB154" s="242"/>
      <c r="CC154" s="242"/>
      <c r="CD154" s="242"/>
      <c r="CE154" s="242"/>
      <c r="CF154" s="242"/>
      <c r="CG154" s="242"/>
      <c r="CH154" s="242"/>
      <c r="CI154" s="242"/>
      <c r="CJ154" s="242"/>
      <c r="CK154" s="242"/>
      <c r="CL154" s="242"/>
      <c r="CM154" s="242"/>
      <c r="CN154" s="242"/>
      <c r="CO154" s="242"/>
      <c r="CP154" s="242"/>
      <c r="CQ154" s="242"/>
      <c r="CR154" s="242"/>
      <c r="CS154" s="242"/>
      <c r="CT154" s="242"/>
      <c r="CU154" s="242"/>
      <c r="CV154" s="242"/>
      <c r="CW154" s="242"/>
      <c r="CX154" s="242"/>
      <c r="CY154" s="242"/>
      <c r="CZ154" s="242"/>
      <c r="DA154" s="242"/>
      <c r="DB154" s="242"/>
      <c r="DC154" s="242"/>
      <c r="DD154" s="242"/>
      <c r="DE154" s="242"/>
      <c r="DF154" s="242"/>
      <c r="DG154" s="242"/>
      <c r="DH154" s="242"/>
      <c r="DI154" s="242"/>
      <c r="DJ154" s="242"/>
      <c r="DK154" s="242"/>
      <c r="DL154" s="242"/>
      <c r="DM154" s="242"/>
      <c r="DN154" s="242"/>
      <c r="DO154" s="242"/>
      <c r="DP154" s="242"/>
      <c r="DQ154" s="242"/>
      <c r="DR154" s="242"/>
      <c r="DS154" s="242"/>
      <c r="DT154" s="242"/>
      <c r="DU154" s="242"/>
      <c r="DV154" s="242"/>
      <c r="DW154" s="242"/>
      <c r="DX154" s="242"/>
      <c r="DY154" s="242"/>
      <c r="DZ154" s="242"/>
      <c r="EA154" s="242"/>
      <c r="EB154" s="242"/>
      <c r="EC154" s="242"/>
      <c r="ED154" s="242"/>
      <c r="EE154" s="242"/>
      <c r="EF154" s="242"/>
      <c r="EG154" s="242"/>
      <c r="EH154" s="242"/>
      <c r="EI154" s="242"/>
      <c r="EJ154" s="242"/>
      <c r="EK154" s="242"/>
      <c r="EL154" s="242"/>
      <c r="EM154" s="242"/>
      <c r="EN154" s="242"/>
      <c r="EO154" s="242"/>
      <c r="EP154" s="242"/>
      <c r="EQ154" s="242"/>
      <c r="ER154" s="242"/>
      <c r="ES154" s="242"/>
      <c r="ET154" s="242"/>
      <c r="EU154" s="242"/>
      <c r="EV154" s="242"/>
      <c r="EW154" s="242"/>
      <c r="EX154" s="242"/>
      <c r="EY154" s="242"/>
      <c r="EZ154" s="242"/>
      <c r="FA154" s="242"/>
      <c r="FB154" s="242"/>
      <c r="FC154" s="242"/>
      <c r="FD154" s="242"/>
      <c r="FE154" s="242"/>
      <c r="FF154" s="242"/>
      <c r="FG154" s="242"/>
      <c r="FH154" s="242"/>
      <c r="FI154" s="242"/>
      <c r="FJ154" s="242"/>
      <c r="FK154" s="242"/>
      <c r="FL154" s="242"/>
      <c r="FM154" s="242"/>
      <c r="FN154" s="242"/>
      <c r="FO154" s="242"/>
      <c r="FP154" s="242"/>
      <c r="FQ154" s="242"/>
      <c r="FR154" s="242"/>
      <c r="FS154" s="242"/>
      <c r="FT154" s="242"/>
      <c r="FU154" s="242"/>
      <c r="FV154" s="242"/>
      <c r="FW154" s="242"/>
      <c r="FX154" s="242"/>
      <c r="FY154" s="242"/>
      <c r="FZ154" s="242"/>
      <c r="GA154" s="242"/>
      <c r="GB154" s="242"/>
      <c r="GC154" s="242"/>
      <c r="GD154" s="242"/>
      <c r="GE154" s="242"/>
      <c r="GF154" s="242"/>
      <c r="GG154" s="242"/>
      <c r="GH154" s="242"/>
      <c r="GI154" s="242"/>
      <c r="GJ154" s="242"/>
      <c r="GK154" s="242"/>
      <c r="GL154" s="242"/>
      <c r="GM154" s="242"/>
      <c r="GN154" s="242"/>
      <c r="GO154" s="242"/>
      <c r="GP154" s="242"/>
      <c r="GQ154" s="242"/>
      <c r="GR154" s="242"/>
      <c r="GS154" s="242"/>
      <c r="GT154" s="242"/>
      <c r="GU154" s="242"/>
      <c r="GV154" s="242"/>
      <c r="GW154" s="242"/>
      <c r="GX154" s="242"/>
      <c r="GY154" s="242"/>
      <c r="GZ154" s="242"/>
      <c r="HA154" s="242"/>
      <c r="HB154" s="242"/>
      <c r="HC154" s="242"/>
      <c r="HD154" s="242"/>
      <c r="HE154" s="242"/>
      <c r="HF154" s="242"/>
      <c r="HG154" s="242"/>
      <c r="HH154" s="242"/>
      <c r="HI154" s="242"/>
      <c r="HJ154" s="242"/>
      <c r="HK154" s="242"/>
      <c r="HL154" s="242"/>
      <c r="HM154" s="242"/>
      <c r="HN154" s="242"/>
      <c r="HO154" s="242"/>
      <c r="HP154" s="242"/>
      <c r="HQ154" s="242"/>
      <c r="HR154" s="242"/>
      <c r="HS154" s="242"/>
      <c r="HT154" s="242"/>
      <c r="HU154" s="242"/>
      <c r="HV154" s="242"/>
      <c r="HW154" s="242"/>
      <c r="HX154" s="242"/>
      <c r="HY154" s="242"/>
      <c r="HZ154" s="242"/>
      <c r="IA154" s="242"/>
      <c r="IB154" s="242"/>
      <c r="IC154" s="242"/>
      <c r="ID154" s="242"/>
      <c r="IE154" s="242"/>
      <c r="IF154" s="242"/>
      <c r="IG154" s="242"/>
      <c r="IH154" s="242"/>
      <c r="II154" s="242"/>
      <c r="IJ154" s="242"/>
      <c r="IK154" s="242"/>
      <c r="IL154" s="242"/>
      <c r="IM154" s="242"/>
      <c r="IN154" s="242"/>
      <c r="IO154" s="242"/>
      <c r="IP154" s="242"/>
      <c r="IQ154" s="242"/>
      <c r="IR154" s="242"/>
      <c r="IS154" s="242"/>
      <c r="IT154" s="242"/>
      <c r="IU154" s="242"/>
      <c r="IV154" s="242"/>
      <c r="IW154" s="242"/>
    </row>
    <row r="155" customFormat="false" ht="12.6" hidden="false" customHeight="true" outlineLevel="0" collapsed="false">
      <c r="A155" s="246"/>
      <c r="B155" s="242"/>
      <c r="C155" s="324"/>
      <c r="D155" s="325"/>
      <c r="E155" s="325"/>
      <c r="F155" s="325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5"/>
      <c r="AD155" s="325"/>
      <c r="AE155" s="325"/>
      <c r="AF155" s="325"/>
      <c r="AG155" s="325"/>
      <c r="AH155" s="325"/>
      <c r="AI155" s="325"/>
      <c r="AJ155" s="325"/>
      <c r="AK155" s="325"/>
      <c r="AL155" s="325"/>
      <c r="AM155" s="325"/>
      <c r="AN155" s="325"/>
      <c r="AO155" s="325"/>
      <c r="AP155" s="325"/>
      <c r="AQ155" s="325"/>
      <c r="AR155" s="325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2"/>
      <c r="BD155" s="242"/>
      <c r="BE155" s="242"/>
      <c r="BF155" s="242"/>
      <c r="BG155" s="242"/>
      <c r="BH155" s="242"/>
      <c r="BI155" s="242"/>
      <c r="BJ155" s="242"/>
      <c r="BK155" s="242"/>
      <c r="BL155" s="242"/>
      <c r="BM155" s="242"/>
      <c r="BN155" s="242"/>
      <c r="BO155" s="242"/>
      <c r="BP155" s="242"/>
      <c r="BQ155" s="242"/>
      <c r="BR155" s="242"/>
      <c r="BS155" s="242"/>
      <c r="BT155" s="242"/>
      <c r="BU155" s="242"/>
      <c r="BV155" s="242"/>
      <c r="BW155" s="242"/>
      <c r="BX155" s="242"/>
      <c r="BY155" s="242"/>
      <c r="BZ155" s="242"/>
      <c r="CA155" s="242"/>
      <c r="CB155" s="242"/>
      <c r="CC155" s="242"/>
      <c r="CD155" s="242"/>
      <c r="CE155" s="242"/>
      <c r="CF155" s="242"/>
      <c r="CG155" s="242"/>
      <c r="CH155" s="242"/>
      <c r="CI155" s="242"/>
      <c r="CJ155" s="242"/>
      <c r="CK155" s="242"/>
      <c r="CL155" s="242"/>
      <c r="CM155" s="242"/>
      <c r="CN155" s="242"/>
      <c r="CO155" s="242"/>
      <c r="CP155" s="242"/>
      <c r="CQ155" s="242"/>
      <c r="CR155" s="242"/>
      <c r="CS155" s="242"/>
      <c r="CT155" s="242"/>
      <c r="CU155" s="242"/>
      <c r="CV155" s="242"/>
      <c r="CW155" s="242"/>
      <c r="CX155" s="242"/>
      <c r="CY155" s="242"/>
      <c r="CZ155" s="242"/>
      <c r="DA155" s="242"/>
      <c r="DB155" s="242"/>
      <c r="DC155" s="242"/>
      <c r="DD155" s="242"/>
      <c r="DE155" s="242"/>
      <c r="DF155" s="242"/>
      <c r="DG155" s="242"/>
      <c r="DH155" s="242"/>
      <c r="DI155" s="242"/>
      <c r="DJ155" s="242"/>
      <c r="DK155" s="242"/>
      <c r="DL155" s="242"/>
      <c r="DM155" s="242"/>
      <c r="DN155" s="242"/>
      <c r="DO155" s="242"/>
      <c r="DP155" s="242"/>
      <c r="DQ155" s="242"/>
      <c r="DR155" s="242"/>
      <c r="DS155" s="242"/>
      <c r="DT155" s="242"/>
      <c r="DU155" s="242"/>
      <c r="DV155" s="242"/>
      <c r="DW155" s="242"/>
      <c r="DX155" s="242"/>
      <c r="DY155" s="242"/>
      <c r="DZ155" s="242"/>
      <c r="EA155" s="242"/>
      <c r="EB155" s="242"/>
      <c r="EC155" s="242"/>
      <c r="ED155" s="242"/>
      <c r="EE155" s="242"/>
      <c r="EF155" s="242"/>
      <c r="EG155" s="242"/>
      <c r="EH155" s="242"/>
      <c r="EI155" s="242"/>
      <c r="EJ155" s="242"/>
      <c r="EK155" s="242"/>
      <c r="EL155" s="242"/>
      <c r="EM155" s="242"/>
      <c r="EN155" s="242"/>
      <c r="EO155" s="242"/>
      <c r="EP155" s="242"/>
      <c r="EQ155" s="242"/>
      <c r="ER155" s="242"/>
      <c r="ES155" s="242"/>
      <c r="ET155" s="242"/>
      <c r="EU155" s="242"/>
      <c r="EV155" s="242"/>
      <c r="EW155" s="242"/>
      <c r="EX155" s="242"/>
      <c r="EY155" s="242"/>
      <c r="EZ155" s="242"/>
      <c r="FA155" s="242"/>
      <c r="FB155" s="242"/>
      <c r="FC155" s="242"/>
      <c r="FD155" s="242"/>
      <c r="FE155" s="242"/>
      <c r="FF155" s="242"/>
      <c r="FG155" s="242"/>
      <c r="FH155" s="242"/>
      <c r="FI155" s="242"/>
      <c r="FJ155" s="242"/>
      <c r="FK155" s="242"/>
      <c r="FL155" s="242"/>
      <c r="FM155" s="242"/>
      <c r="FN155" s="242"/>
      <c r="FO155" s="242"/>
      <c r="FP155" s="242"/>
      <c r="FQ155" s="242"/>
      <c r="FR155" s="242"/>
      <c r="FS155" s="242"/>
      <c r="FT155" s="242"/>
      <c r="FU155" s="242"/>
      <c r="FV155" s="242"/>
      <c r="FW155" s="242"/>
      <c r="FX155" s="242"/>
      <c r="FY155" s="242"/>
      <c r="FZ155" s="242"/>
      <c r="GA155" s="242"/>
      <c r="GB155" s="242"/>
      <c r="GC155" s="242"/>
      <c r="GD155" s="242"/>
      <c r="GE155" s="242"/>
      <c r="GF155" s="242"/>
      <c r="GG155" s="242"/>
      <c r="GH155" s="242"/>
      <c r="GI155" s="242"/>
      <c r="GJ155" s="242"/>
      <c r="GK155" s="242"/>
      <c r="GL155" s="242"/>
      <c r="GM155" s="242"/>
      <c r="GN155" s="242"/>
      <c r="GO155" s="242"/>
      <c r="GP155" s="242"/>
      <c r="GQ155" s="242"/>
      <c r="GR155" s="242"/>
      <c r="GS155" s="242"/>
      <c r="GT155" s="242"/>
      <c r="GU155" s="242"/>
      <c r="GV155" s="242"/>
      <c r="GW155" s="242"/>
      <c r="GX155" s="242"/>
      <c r="GY155" s="242"/>
      <c r="GZ155" s="242"/>
      <c r="HA155" s="242"/>
      <c r="HB155" s="242"/>
      <c r="HC155" s="242"/>
      <c r="HD155" s="242"/>
      <c r="HE155" s="242"/>
      <c r="HF155" s="242"/>
      <c r="HG155" s="242"/>
      <c r="HH155" s="242"/>
      <c r="HI155" s="242"/>
      <c r="HJ155" s="242"/>
      <c r="HK155" s="242"/>
      <c r="HL155" s="242"/>
      <c r="HM155" s="242"/>
      <c r="HN155" s="242"/>
      <c r="HO155" s="242"/>
      <c r="HP155" s="242"/>
      <c r="HQ155" s="242"/>
      <c r="HR155" s="242"/>
      <c r="HS155" s="242"/>
      <c r="HT155" s="242"/>
      <c r="HU155" s="242"/>
      <c r="HV155" s="242"/>
      <c r="HW155" s="242"/>
      <c r="HX155" s="242"/>
      <c r="HY155" s="242"/>
      <c r="HZ155" s="242"/>
      <c r="IA155" s="242"/>
      <c r="IB155" s="242"/>
      <c r="IC155" s="242"/>
      <c r="ID155" s="242"/>
      <c r="IE155" s="242"/>
      <c r="IF155" s="242"/>
      <c r="IG155" s="242"/>
      <c r="IH155" s="242"/>
      <c r="II155" s="242"/>
      <c r="IJ155" s="242"/>
      <c r="IK155" s="242"/>
      <c r="IL155" s="242"/>
      <c r="IM155" s="242"/>
      <c r="IN155" s="242"/>
      <c r="IO155" s="242"/>
      <c r="IP155" s="242"/>
      <c r="IQ155" s="242"/>
      <c r="IR155" s="242"/>
      <c r="IS155" s="242"/>
      <c r="IT155" s="242"/>
      <c r="IU155" s="242"/>
      <c r="IV155" s="242"/>
      <c r="IW155" s="242"/>
    </row>
    <row r="156" customFormat="false" ht="12.6" hidden="false" customHeight="true" outlineLevel="0" collapsed="false">
      <c r="A156" s="246"/>
      <c r="B156" s="242"/>
      <c r="C156" s="292"/>
      <c r="D156" s="292"/>
      <c r="E156" s="292"/>
      <c r="F156" s="292"/>
      <c r="G156" s="292"/>
      <c r="H156" s="292"/>
      <c r="I156" s="292"/>
      <c r="J156" s="292"/>
      <c r="K156" s="292"/>
      <c r="L156" s="292"/>
      <c r="M156" s="292"/>
      <c r="N156" s="292"/>
      <c r="O156" s="292"/>
      <c r="P156" s="292"/>
      <c r="Q156" s="292"/>
      <c r="R156" s="292"/>
      <c r="S156" s="292"/>
      <c r="T156" s="292"/>
      <c r="U156" s="292"/>
      <c r="V156" s="292"/>
      <c r="W156" s="292"/>
      <c r="X156" s="292"/>
      <c r="Y156" s="292"/>
      <c r="Z156" s="292"/>
      <c r="AA156" s="292"/>
      <c r="AB156" s="292"/>
      <c r="AC156" s="242"/>
      <c r="AD156" s="242"/>
      <c r="AE156" s="242"/>
      <c r="AF156" s="242"/>
      <c r="AG156" s="242"/>
      <c r="AH156" s="242"/>
      <c r="AI156" s="242"/>
      <c r="AJ156" s="242"/>
      <c r="AK156" s="242"/>
      <c r="AL156" s="242"/>
      <c r="AM156" s="242"/>
      <c r="AN156" s="242"/>
      <c r="AO156" s="242"/>
      <c r="AP156" s="242"/>
      <c r="AQ156" s="242"/>
      <c r="AR156" s="242"/>
      <c r="AS156" s="242"/>
      <c r="AT156" s="242"/>
      <c r="AU156" s="242"/>
      <c r="AV156" s="242"/>
      <c r="AW156" s="242"/>
      <c r="AX156" s="242"/>
      <c r="AY156" s="242"/>
      <c r="AZ156" s="242"/>
      <c r="BA156" s="242"/>
      <c r="BB156" s="242"/>
      <c r="BC156" s="242"/>
      <c r="BD156" s="242"/>
      <c r="BE156" s="242"/>
      <c r="BF156" s="242"/>
      <c r="BG156" s="242"/>
      <c r="BH156" s="242"/>
      <c r="BI156" s="242"/>
      <c r="BJ156" s="242"/>
      <c r="BK156" s="242"/>
      <c r="BL156" s="242"/>
      <c r="BM156" s="242"/>
      <c r="BN156" s="242"/>
      <c r="BO156" s="242"/>
      <c r="BP156" s="242"/>
      <c r="BQ156" s="242"/>
      <c r="BR156" s="242"/>
      <c r="BS156" s="242"/>
      <c r="BT156" s="242"/>
      <c r="BU156" s="242"/>
      <c r="BV156" s="242"/>
      <c r="BW156" s="242"/>
      <c r="BX156" s="242"/>
      <c r="BY156" s="242"/>
      <c r="BZ156" s="242"/>
      <c r="CA156" s="242"/>
      <c r="CB156" s="242"/>
      <c r="CC156" s="242"/>
      <c r="CD156" s="242"/>
      <c r="CE156" s="242"/>
      <c r="CF156" s="242"/>
      <c r="CG156" s="242"/>
      <c r="CH156" s="242"/>
      <c r="CI156" s="242"/>
      <c r="CJ156" s="242"/>
      <c r="CK156" s="242"/>
      <c r="CL156" s="242"/>
      <c r="CM156" s="242"/>
      <c r="CN156" s="242"/>
      <c r="CO156" s="242"/>
      <c r="CP156" s="242"/>
      <c r="CQ156" s="242"/>
      <c r="CR156" s="242"/>
      <c r="CS156" s="242"/>
      <c r="CT156" s="242"/>
      <c r="CU156" s="242"/>
      <c r="CV156" s="242"/>
      <c r="CW156" s="242"/>
      <c r="CX156" s="242"/>
      <c r="CY156" s="242"/>
      <c r="CZ156" s="242"/>
      <c r="DA156" s="242"/>
      <c r="DB156" s="242"/>
      <c r="DC156" s="242"/>
      <c r="DD156" s="242"/>
      <c r="DE156" s="242"/>
      <c r="DF156" s="242"/>
      <c r="DG156" s="242"/>
      <c r="DH156" s="242"/>
      <c r="DI156" s="242"/>
      <c r="DJ156" s="242"/>
      <c r="DK156" s="242"/>
      <c r="DL156" s="242"/>
      <c r="DM156" s="242"/>
      <c r="DN156" s="242"/>
      <c r="DO156" s="242"/>
      <c r="DP156" s="242"/>
      <c r="DQ156" s="242"/>
      <c r="DR156" s="242"/>
      <c r="DS156" s="242"/>
      <c r="DT156" s="242"/>
      <c r="DU156" s="242"/>
      <c r="DV156" s="242"/>
      <c r="DW156" s="242"/>
      <c r="DX156" s="242"/>
      <c r="DY156" s="242"/>
      <c r="DZ156" s="242"/>
      <c r="EA156" s="242"/>
      <c r="EB156" s="242"/>
      <c r="EC156" s="242"/>
      <c r="ED156" s="242"/>
      <c r="EE156" s="242"/>
      <c r="EF156" s="242"/>
      <c r="EG156" s="242"/>
      <c r="EH156" s="242"/>
      <c r="EI156" s="242"/>
      <c r="EJ156" s="242"/>
      <c r="EK156" s="242"/>
      <c r="EL156" s="242"/>
      <c r="EM156" s="242"/>
      <c r="EN156" s="242"/>
      <c r="EO156" s="242"/>
      <c r="EP156" s="242"/>
      <c r="EQ156" s="242"/>
      <c r="ER156" s="242"/>
      <c r="ES156" s="242"/>
      <c r="ET156" s="242"/>
      <c r="EU156" s="242"/>
      <c r="EV156" s="242"/>
      <c r="EW156" s="242"/>
      <c r="EX156" s="242"/>
      <c r="EY156" s="242"/>
      <c r="EZ156" s="242"/>
      <c r="FA156" s="242"/>
      <c r="FB156" s="242"/>
      <c r="FC156" s="242"/>
      <c r="FD156" s="242"/>
      <c r="FE156" s="242"/>
      <c r="FF156" s="242"/>
      <c r="FG156" s="242"/>
      <c r="FH156" s="242"/>
      <c r="FI156" s="242"/>
      <c r="FJ156" s="242"/>
      <c r="FK156" s="242"/>
      <c r="FL156" s="242"/>
      <c r="FM156" s="242"/>
      <c r="FN156" s="242"/>
      <c r="FO156" s="242"/>
      <c r="FP156" s="242"/>
      <c r="FQ156" s="242"/>
      <c r="FR156" s="242"/>
      <c r="FS156" s="242"/>
      <c r="FT156" s="242"/>
      <c r="FU156" s="242"/>
      <c r="FV156" s="242"/>
      <c r="FW156" s="242"/>
      <c r="FX156" s="242"/>
      <c r="FY156" s="242"/>
      <c r="FZ156" s="242"/>
      <c r="GA156" s="242"/>
      <c r="GB156" s="242"/>
      <c r="GC156" s="242"/>
      <c r="GD156" s="242"/>
      <c r="GE156" s="242"/>
      <c r="GF156" s="242"/>
      <c r="GG156" s="242"/>
      <c r="GH156" s="242"/>
      <c r="GI156" s="242"/>
      <c r="GJ156" s="242"/>
      <c r="GK156" s="242"/>
      <c r="GL156" s="242"/>
      <c r="GM156" s="242"/>
      <c r="GN156" s="242"/>
      <c r="GO156" s="242"/>
      <c r="GP156" s="242"/>
      <c r="GQ156" s="242"/>
      <c r="GR156" s="242"/>
      <c r="GS156" s="242"/>
      <c r="GT156" s="242"/>
      <c r="GU156" s="242"/>
      <c r="GV156" s="242"/>
      <c r="GW156" s="242"/>
      <c r="GX156" s="242"/>
      <c r="GY156" s="242"/>
      <c r="GZ156" s="242"/>
      <c r="HA156" s="242"/>
      <c r="HB156" s="242"/>
      <c r="HC156" s="242"/>
      <c r="HD156" s="242"/>
      <c r="HE156" s="242"/>
      <c r="HF156" s="242"/>
      <c r="HG156" s="242"/>
      <c r="HH156" s="242"/>
      <c r="HI156" s="242"/>
      <c r="HJ156" s="242"/>
      <c r="HK156" s="242"/>
      <c r="HL156" s="242"/>
      <c r="HM156" s="242"/>
      <c r="HN156" s="242"/>
      <c r="HO156" s="242"/>
      <c r="HP156" s="242"/>
      <c r="HQ156" s="242"/>
      <c r="HR156" s="242"/>
      <c r="HS156" s="242"/>
      <c r="HT156" s="242"/>
      <c r="HU156" s="242"/>
      <c r="HV156" s="242"/>
      <c r="HW156" s="242"/>
      <c r="HX156" s="242"/>
      <c r="HY156" s="242"/>
      <c r="HZ156" s="242"/>
      <c r="IA156" s="242"/>
      <c r="IB156" s="242"/>
      <c r="IC156" s="242"/>
      <c r="ID156" s="242"/>
      <c r="IE156" s="242"/>
      <c r="IF156" s="242"/>
      <c r="IG156" s="242"/>
      <c r="IH156" s="242"/>
      <c r="II156" s="242"/>
      <c r="IJ156" s="242"/>
      <c r="IK156" s="242"/>
      <c r="IL156" s="242"/>
      <c r="IM156" s="242"/>
      <c r="IN156" s="242"/>
      <c r="IO156" s="242"/>
      <c r="IP156" s="242"/>
      <c r="IQ156" s="242"/>
      <c r="IR156" s="242"/>
      <c r="IS156" s="242"/>
      <c r="IT156" s="242"/>
      <c r="IU156" s="242"/>
      <c r="IV156" s="242"/>
      <c r="IW156" s="242"/>
    </row>
    <row r="157" customFormat="false" ht="12.6" hidden="false" customHeight="true" outlineLevel="0" collapsed="false">
      <c r="A157" s="242"/>
      <c r="B157" s="242"/>
      <c r="C157" s="292"/>
      <c r="D157" s="292"/>
      <c r="E157" s="292"/>
      <c r="F157" s="292"/>
      <c r="G157" s="292"/>
      <c r="H157" s="292"/>
      <c r="I157" s="292"/>
      <c r="J157" s="292"/>
      <c r="K157" s="292"/>
      <c r="L157" s="292"/>
      <c r="M157" s="292"/>
      <c r="N157" s="292"/>
      <c r="O157" s="292"/>
      <c r="P157" s="292"/>
      <c r="Q157" s="292"/>
      <c r="R157" s="292"/>
      <c r="S157" s="292"/>
      <c r="T157" s="292"/>
      <c r="U157" s="292"/>
      <c r="V157" s="292"/>
      <c r="W157" s="292"/>
      <c r="X157" s="292"/>
      <c r="Y157" s="292"/>
      <c r="Z157" s="292"/>
      <c r="AA157" s="292"/>
      <c r="AB157" s="292"/>
      <c r="AC157" s="242"/>
      <c r="AD157" s="242"/>
      <c r="AE157" s="242"/>
      <c r="AF157" s="242"/>
      <c r="AG157" s="242"/>
      <c r="AH157" s="242"/>
      <c r="AI157" s="242"/>
      <c r="AJ157" s="242"/>
      <c r="AK157" s="242"/>
      <c r="AL157" s="242"/>
      <c r="AM157" s="242"/>
      <c r="AN157" s="242"/>
      <c r="AO157" s="242"/>
      <c r="AP157" s="242"/>
      <c r="AQ157" s="242"/>
      <c r="AR157" s="242"/>
      <c r="AS157" s="242"/>
      <c r="AT157" s="242"/>
      <c r="AU157" s="242"/>
      <c r="AV157" s="242"/>
      <c r="AW157" s="242"/>
      <c r="AX157" s="242"/>
      <c r="AY157" s="242"/>
      <c r="AZ157" s="242"/>
      <c r="BA157" s="242"/>
      <c r="BB157" s="242"/>
      <c r="BC157" s="242"/>
      <c r="BD157" s="242"/>
      <c r="BE157" s="242"/>
      <c r="BF157" s="242"/>
      <c r="BG157" s="242"/>
      <c r="BH157" s="242"/>
      <c r="BI157" s="242"/>
      <c r="BJ157" s="242"/>
      <c r="BK157" s="242"/>
      <c r="BL157" s="242"/>
      <c r="BM157" s="242"/>
      <c r="BN157" s="242"/>
      <c r="BO157" s="242"/>
      <c r="BP157" s="242"/>
      <c r="BQ157" s="242"/>
      <c r="BR157" s="242"/>
      <c r="BS157" s="242"/>
      <c r="BT157" s="242"/>
      <c r="BU157" s="242"/>
      <c r="BV157" s="242"/>
      <c r="BW157" s="242"/>
      <c r="BX157" s="242"/>
      <c r="BY157" s="242"/>
      <c r="BZ157" s="242"/>
      <c r="CA157" s="242"/>
      <c r="CB157" s="242"/>
      <c r="CC157" s="242"/>
      <c r="CD157" s="242"/>
      <c r="CE157" s="242"/>
      <c r="CF157" s="242"/>
      <c r="CG157" s="242"/>
      <c r="CH157" s="242"/>
      <c r="CI157" s="242"/>
      <c r="CJ157" s="242"/>
      <c r="CK157" s="242"/>
      <c r="CL157" s="242"/>
      <c r="CM157" s="242"/>
      <c r="CN157" s="242"/>
      <c r="CO157" s="242"/>
      <c r="CP157" s="242"/>
      <c r="CQ157" s="242"/>
      <c r="CR157" s="242"/>
      <c r="CS157" s="242"/>
      <c r="CT157" s="242"/>
      <c r="CU157" s="242"/>
      <c r="CV157" s="242"/>
      <c r="CW157" s="242"/>
      <c r="CX157" s="242"/>
      <c r="CY157" s="242"/>
      <c r="CZ157" s="242"/>
      <c r="DA157" s="242"/>
      <c r="DB157" s="242"/>
      <c r="DC157" s="242"/>
      <c r="DD157" s="242"/>
      <c r="DE157" s="242"/>
      <c r="DF157" s="242"/>
      <c r="DG157" s="242"/>
      <c r="DH157" s="242"/>
      <c r="DI157" s="242"/>
      <c r="DJ157" s="242"/>
      <c r="DK157" s="242"/>
      <c r="DL157" s="242"/>
      <c r="DM157" s="242"/>
      <c r="DN157" s="242"/>
      <c r="DO157" s="242"/>
      <c r="DP157" s="242"/>
      <c r="DQ157" s="242"/>
      <c r="DR157" s="242"/>
      <c r="DS157" s="242"/>
      <c r="DT157" s="242"/>
      <c r="DU157" s="242"/>
      <c r="DV157" s="242"/>
      <c r="DW157" s="242"/>
      <c r="DX157" s="242"/>
      <c r="DY157" s="242"/>
      <c r="DZ157" s="242"/>
      <c r="EA157" s="242"/>
      <c r="EB157" s="242"/>
      <c r="EC157" s="242"/>
      <c r="ED157" s="242"/>
      <c r="EE157" s="242"/>
      <c r="EF157" s="242"/>
      <c r="EG157" s="242"/>
      <c r="EH157" s="242"/>
      <c r="EI157" s="242"/>
      <c r="EJ157" s="242"/>
      <c r="EK157" s="242"/>
      <c r="EL157" s="242"/>
      <c r="EM157" s="242"/>
      <c r="EN157" s="242"/>
      <c r="EO157" s="242"/>
      <c r="EP157" s="242"/>
      <c r="EQ157" s="242"/>
      <c r="ER157" s="242"/>
      <c r="ES157" s="242"/>
      <c r="ET157" s="242"/>
      <c r="EU157" s="242"/>
      <c r="EV157" s="242"/>
      <c r="EW157" s="242"/>
      <c r="EX157" s="242"/>
      <c r="EY157" s="242"/>
      <c r="EZ157" s="242"/>
      <c r="FA157" s="242"/>
      <c r="FB157" s="242"/>
      <c r="FC157" s="242"/>
      <c r="FD157" s="242"/>
      <c r="FE157" s="242"/>
      <c r="FF157" s="242"/>
      <c r="FG157" s="242"/>
      <c r="FH157" s="242"/>
      <c r="FI157" s="242"/>
      <c r="FJ157" s="242"/>
      <c r="FK157" s="242"/>
      <c r="FL157" s="242"/>
      <c r="FM157" s="242"/>
      <c r="FN157" s="242"/>
      <c r="FO157" s="242"/>
      <c r="FP157" s="242"/>
      <c r="FQ157" s="242"/>
      <c r="FR157" s="242"/>
      <c r="FS157" s="242"/>
      <c r="FT157" s="242"/>
      <c r="FU157" s="242"/>
      <c r="FV157" s="242"/>
      <c r="FW157" s="242"/>
      <c r="FX157" s="242"/>
      <c r="FY157" s="242"/>
      <c r="FZ157" s="242"/>
      <c r="GA157" s="242"/>
      <c r="GB157" s="242"/>
      <c r="GC157" s="242"/>
      <c r="GD157" s="242"/>
      <c r="GE157" s="242"/>
      <c r="GF157" s="242"/>
      <c r="GG157" s="242"/>
      <c r="GH157" s="242"/>
      <c r="GI157" s="242"/>
      <c r="GJ157" s="242"/>
      <c r="GK157" s="242"/>
      <c r="GL157" s="242"/>
      <c r="GM157" s="242"/>
      <c r="GN157" s="242"/>
      <c r="GO157" s="242"/>
      <c r="GP157" s="242"/>
      <c r="GQ157" s="242"/>
      <c r="GR157" s="242"/>
      <c r="GS157" s="242"/>
      <c r="GT157" s="242"/>
      <c r="GU157" s="242"/>
      <c r="GV157" s="242"/>
      <c r="GW157" s="242"/>
      <c r="GX157" s="242"/>
      <c r="GY157" s="242"/>
      <c r="GZ157" s="242"/>
      <c r="HA157" s="242"/>
      <c r="HB157" s="242"/>
      <c r="HC157" s="242"/>
      <c r="HD157" s="242"/>
      <c r="HE157" s="242"/>
      <c r="HF157" s="242"/>
      <c r="HG157" s="242"/>
      <c r="HH157" s="242"/>
      <c r="HI157" s="242"/>
      <c r="HJ157" s="242"/>
      <c r="HK157" s="242"/>
      <c r="HL157" s="242"/>
      <c r="HM157" s="242"/>
      <c r="HN157" s="242"/>
      <c r="HO157" s="242"/>
      <c r="HP157" s="242"/>
      <c r="HQ157" s="242"/>
      <c r="HR157" s="242"/>
      <c r="HS157" s="242"/>
      <c r="HT157" s="242"/>
      <c r="HU157" s="242"/>
      <c r="HV157" s="242"/>
      <c r="HW157" s="242"/>
      <c r="HX157" s="242"/>
      <c r="HY157" s="242"/>
      <c r="HZ157" s="242"/>
      <c r="IA157" s="242"/>
      <c r="IB157" s="242"/>
      <c r="IC157" s="242"/>
      <c r="ID157" s="242"/>
      <c r="IE157" s="242"/>
      <c r="IF157" s="242"/>
      <c r="IG157" s="242"/>
      <c r="IH157" s="242"/>
      <c r="II157" s="242"/>
      <c r="IJ157" s="242"/>
      <c r="IK157" s="242"/>
      <c r="IL157" s="242"/>
      <c r="IM157" s="242"/>
      <c r="IN157" s="242"/>
      <c r="IO157" s="242"/>
      <c r="IP157" s="242"/>
      <c r="IQ157" s="242"/>
      <c r="IR157" s="242"/>
      <c r="IS157" s="242"/>
      <c r="IT157" s="242"/>
      <c r="IU157" s="242"/>
      <c r="IV157" s="242"/>
      <c r="IW157" s="242"/>
    </row>
    <row r="158" customFormat="false" ht="12.6" hidden="false" customHeight="true" outlineLevel="0" collapsed="false">
      <c r="A158" s="242"/>
      <c r="B158" s="242"/>
      <c r="C158" s="292"/>
      <c r="D158" s="292"/>
      <c r="E158" s="292"/>
      <c r="F158" s="292"/>
      <c r="G158" s="292"/>
      <c r="H158" s="292"/>
      <c r="I158" s="292"/>
      <c r="J158" s="292"/>
      <c r="K158" s="292"/>
      <c r="L158" s="292"/>
      <c r="M158" s="292"/>
      <c r="N158" s="292"/>
      <c r="O158" s="292"/>
      <c r="P158" s="292"/>
      <c r="Q158" s="292"/>
      <c r="R158" s="292"/>
      <c r="S158" s="292"/>
      <c r="T158" s="292"/>
      <c r="U158" s="292"/>
      <c r="V158" s="292"/>
      <c r="W158" s="292"/>
      <c r="X158" s="292"/>
      <c r="Y158" s="292"/>
      <c r="Z158" s="292"/>
      <c r="AA158" s="292"/>
      <c r="AB158" s="292"/>
      <c r="AC158" s="242"/>
      <c r="AD158" s="242"/>
      <c r="AE158" s="242"/>
      <c r="AF158" s="242"/>
      <c r="AG158" s="242"/>
      <c r="AH158" s="242"/>
      <c r="AI158" s="242"/>
      <c r="AJ158" s="242"/>
      <c r="AK158" s="242"/>
      <c r="AL158" s="242"/>
      <c r="AM158" s="242"/>
      <c r="AN158" s="242"/>
      <c r="AO158" s="242"/>
      <c r="AP158" s="242"/>
      <c r="AQ158" s="242"/>
      <c r="AR158" s="242"/>
      <c r="AS158" s="242"/>
      <c r="AT158" s="242"/>
      <c r="AU158" s="242"/>
      <c r="AV158" s="242"/>
      <c r="AW158" s="242"/>
      <c r="AX158" s="242"/>
      <c r="AY158" s="242"/>
      <c r="AZ158" s="242"/>
      <c r="BA158" s="242"/>
      <c r="BB158" s="242"/>
      <c r="BC158" s="242"/>
      <c r="BD158" s="242"/>
      <c r="BE158" s="242"/>
      <c r="BF158" s="242"/>
      <c r="BG158" s="242"/>
      <c r="BH158" s="242"/>
      <c r="BI158" s="242"/>
      <c r="BJ158" s="242"/>
      <c r="BK158" s="242"/>
      <c r="BL158" s="242"/>
      <c r="BM158" s="242"/>
      <c r="BN158" s="242"/>
      <c r="BO158" s="242"/>
      <c r="BP158" s="242"/>
      <c r="BQ158" s="242"/>
      <c r="BR158" s="242"/>
      <c r="BS158" s="242"/>
      <c r="BT158" s="242"/>
      <c r="BU158" s="242"/>
      <c r="BV158" s="242"/>
      <c r="BW158" s="242"/>
      <c r="BX158" s="242"/>
      <c r="BY158" s="242"/>
      <c r="BZ158" s="242"/>
      <c r="CA158" s="242"/>
      <c r="CB158" s="242"/>
      <c r="CC158" s="242"/>
      <c r="CD158" s="242"/>
      <c r="CE158" s="242"/>
      <c r="CF158" s="242"/>
      <c r="CG158" s="242"/>
      <c r="CH158" s="242"/>
      <c r="CI158" s="242"/>
      <c r="CJ158" s="242"/>
      <c r="CK158" s="242"/>
      <c r="CL158" s="242"/>
      <c r="CM158" s="242"/>
      <c r="CN158" s="242"/>
      <c r="CO158" s="242"/>
      <c r="CP158" s="242"/>
      <c r="CQ158" s="242"/>
      <c r="CR158" s="242"/>
      <c r="CS158" s="242"/>
      <c r="CT158" s="242"/>
      <c r="CU158" s="242"/>
      <c r="CV158" s="242"/>
      <c r="CW158" s="242"/>
      <c r="CX158" s="242"/>
      <c r="CY158" s="242"/>
      <c r="CZ158" s="242"/>
      <c r="DA158" s="242"/>
      <c r="DB158" s="242"/>
      <c r="DC158" s="242"/>
      <c r="DD158" s="242"/>
      <c r="DE158" s="242"/>
      <c r="DF158" s="242"/>
      <c r="DG158" s="242"/>
      <c r="DH158" s="242"/>
      <c r="DI158" s="242"/>
      <c r="DJ158" s="242"/>
      <c r="DK158" s="242"/>
      <c r="DL158" s="242"/>
      <c r="DM158" s="242"/>
      <c r="DN158" s="242"/>
      <c r="DO158" s="242"/>
      <c r="DP158" s="242"/>
      <c r="DQ158" s="242"/>
      <c r="DR158" s="242"/>
      <c r="DS158" s="242"/>
      <c r="DT158" s="242"/>
      <c r="DU158" s="242"/>
      <c r="DV158" s="242"/>
      <c r="DW158" s="242"/>
      <c r="DX158" s="242"/>
      <c r="DY158" s="242"/>
      <c r="DZ158" s="242"/>
      <c r="EA158" s="242"/>
      <c r="EB158" s="242"/>
      <c r="EC158" s="242"/>
      <c r="ED158" s="242"/>
      <c r="EE158" s="242"/>
      <c r="EF158" s="242"/>
      <c r="EG158" s="242"/>
      <c r="EH158" s="242"/>
      <c r="EI158" s="242"/>
      <c r="EJ158" s="242"/>
      <c r="EK158" s="242"/>
      <c r="EL158" s="242"/>
      <c r="EM158" s="242"/>
      <c r="EN158" s="242"/>
      <c r="EO158" s="242"/>
      <c r="EP158" s="242"/>
      <c r="EQ158" s="242"/>
      <c r="ER158" s="242"/>
      <c r="ES158" s="242"/>
      <c r="ET158" s="242"/>
      <c r="EU158" s="242"/>
      <c r="EV158" s="242"/>
      <c r="EW158" s="242"/>
      <c r="EX158" s="242"/>
      <c r="EY158" s="242"/>
      <c r="EZ158" s="242"/>
      <c r="FA158" s="242"/>
      <c r="FB158" s="242"/>
      <c r="FC158" s="242"/>
      <c r="FD158" s="242"/>
      <c r="FE158" s="242"/>
      <c r="FF158" s="242"/>
      <c r="FG158" s="242"/>
      <c r="FH158" s="242"/>
      <c r="FI158" s="242"/>
      <c r="FJ158" s="242"/>
      <c r="FK158" s="242"/>
      <c r="FL158" s="242"/>
      <c r="FM158" s="242"/>
      <c r="FN158" s="242"/>
      <c r="FO158" s="242"/>
      <c r="FP158" s="242"/>
      <c r="FQ158" s="242"/>
      <c r="FR158" s="242"/>
      <c r="FS158" s="242"/>
      <c r="FT158" s="242"/>
      <c r="FU158" s="242"/>
      <c r="FV158" s="242"/>
      <c r="FW158" s="242"/>
      <c r="FX158" s="242"/>
      <c r="FY158" s="242"/>
      <c r="FZ158" s="242"/>
      <c r="GA158" s="242"/>
      <c r="GB158" s="242"/>
      <c r="GC158" s="242"/>
      <c r="GD158" s="242"/>
      <c r="GE158" s="242"/>
      <c r="GF158" s="242"/>
      <c r="GG158" s="242"/>
      <c r="GH158" s="242"/>
      <c r="GI158" s="242"/>
      <c r="GJ158" s="242"/>
      <c r="GK158" s="242"/>
      <c r="GL158" s="242"/>
      <c r="GM158" s="242"/>
      <c r="GN158" s="242"/>
      <c r="GO158" s="242"/>
      <c r="GP158" s="242"/>
      <c r="GQ158" s="242"/>
      <c r="GR158" s="242"/>
      <c r="GS158" s="242"/>
      <c r="GT158" s="242"/>
      <c r="GU158" s="242"/>
      <c r="GV158" s="242"/>
      <c r="GW158" s="242"/>
      <c r="GX158" s="242"/>
      <c r="GY158" s="242"/>
      <c r="GZ158" s="242"/>
      <c r="HA158" s="242"/>
      <c r="HB158" s="242"/>
      <c r="HC158" s="242"/>
      <c r="HD158" s="242"/>
      <c r="HE158" s="242"/>
      <c r="HF158" s="242"/>
      <c r="HG158" s="242"/>
      <c r="HH158" s="242"/>
      <c r="HI158" s="242"/>
      <c r="HJ158" s="242"/>
      <c r="HK158" s="242"/>
      <c r="HL158" s="242"/>
      <c r="HM158" s="242"/>
      <c r="HN158" s="242"/>
      <c r="HO158" s="242"/>
      <c r="HP158" s="242"/>
      <c r="HQ158" s="242"/>
      <c r="HR158" s="242"/>
      <c r="HS158" s="242"/>
      <c r="HT158" s="242"/>
      <c r="HU158" s="242"/>
      <c r="HV158" s="242"/>
      <c r="HW158" s="242"/>
      <c r="HX158" s="242"/>
      <c r="HY158" s="242"/>
      <c r="HZ158" s="242"/>
      <c r="IA158" s="242"/>
      <c r="IB158" s="242"/>
      <c r="IC158" s="242"/>
      <c r="ID158" s="242"/>
      <c r="IE158" s="242"/>
      <c r="IF158" s="242"/>
      <c r="IG158" s="242"/>
      <c r="IH158" s="242"/>
      <c r="II158" s="242"/>
      <c r="IJ158" s="242"/>
      <c r="IK158" s="242"/>
      <c r="IL158" s="242"/>
      <c r="IM158" s="242"/>
      <c r="IN158" s="242"/>
      <c r="IO158" s="242"/>
      <c r="IP158" s="242"/>
      <c r="IQ158" s="242"/>
      <c r="IR158" s="242"/>
      <c r="IS158" s="242"/>
      <c r="IT158" s="242"/>
      <c r="IU158" s="242"/>
      <c r="IV158" s="242"/>
      <c r="IW158" s="242"/>
    </row>
    <row r="159" customFormat="false" ht="12.6" hidden="false" customHeight="true" outlineLevel="0" collapsed="false">
      <c r="A159" s="242"/>
      <c r="B159" s="242"/>
      <c r="AC159" s="242"/>
      <c r="AD159" s="242"/>
      <c r="AE159" s="242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2"/>
      <c r="AP159" s="242"/>
      <c r="AQ159" s="242"/>
      <c r="AR159" s="242"/>
      <c r="AS159" s="242"/>
      <c r="AT159" s="242"/>
      <c r="AU159" s="242"/>
      <c r="AV159" s="242"/>
      <c r="AW159" s="242"/>
      <c r="AX159" s="242"/>
      <c r="AY159" s="242"/>
      <c r="AZ159" s="242"/>
      <c r="BA159" s="242"/>
      <c r="BB159" s="242"/>
      <c r="BC159" s="242"/>
      <c r="BD159" s="242"/>
      <c r="BE159" s="242"/>
      <c r="BF159" s="242"/>
      <c r="BG159" s="242"/>
      <c r="BH159" s="242"/>
      <c r="BI159" s="242"/>
      <c r="BJ159" s="242"/>
      <c r="BK159" s="242"/>
      <c r="BL159" s="242"/>
      <c r="BM159" s="242"/>
      <c r="BN159" s="242"/>
      <c r="BO159" s="242"/>
      <c r="BP159" s="242"/>
      <c r="BQ159" s="242"/>
      <c r="BR159" s="242"/>
      <c r="BS159" s="242"/>
      <c r="BT159" s="242"/>
      <c r="BU159" s="242"/>
      <c r="BV159" s="242"/>
      <c r="BW159" s="242"/>
      <c r="BX159" s="242"/>
      <c r="BY159" s="242"/>
      <c r="BZ159" s="242"/>
      <c r="CA159" s="242"/>
      <c r="CB159" s="242"/>
      <c r="CC159" s="242"/>
      <c r="CD159" s="242"/>
      <c r="CE159" s="242"/>
      <c r="CF159" s="242"/>
      <c r="CG159" s="242"/>
      <c r="CH159" s="242"/>
      <c r="CI159" s="242"/>
      <c r="CJ159" s="242"/>
      <c r="CK159" s="242"/>
      <c r="CL159" s="242"/>
      <c r="CM159" s="242"/>
      <c r="CN159" s="242"/>
      <c r="CO159" s="242"/>
      <c r="CP159" s="242"/>
      <c r="CQ159" s="242"/>
      <c r="CR159" s="242"/>
      <c r="CS159" s="242"/>
      <c r="CT159" s="242"/>
      <c r="CU159" s="242"/>
      <c r="CV159" s="242"/>
      <c r="CW159" s="242"/>
      <c r="CX159" s="242"/>
      <c r="CY159" s="242"/>
      <c r="CZ159" s="242"/>
      <c r="DA159" s="242"/>
      <c r="DB159" s="242"/>
      <c r="DC159" s="242"/>
      <c r="DD159" s="242"/>
      <c r="DE159" s="242"/>
      <c r="DF159" s="242"/>
      <c r="DG159" s="242"/>
      <c r="DH159" s="242"/>
      <c r="DI159" s="242"/>
      <c r="DJ159" s="242"/>
      <c r="DK159" s="242"/>
      <c r="DL159" s="242"/>
      <c r="DM159" s="242"/>
      <c r="DN159" s="242"/>
      <c r="DO159" s="242"/>
      <c r="DP159" s="242"/>
      <c r="DQ159" s="242"/>
      <c r="DR159" s="242"/>
      <c r="DS159" s="242"/>
      <c r="DT159" s="242"/>
      <c r="DU159" s="242"/>
      <c r="DV159" s="242"/>
      <c r="DW159" s="242"/>
      <c r="DX159" s="242"/>
      <c r="DY159" s="242"/>
      <c r="DZ159" s="242"/>
      <c r="EA159" s="242"/>
      <c r="EB159" s="242"/>
      <c r="EC159" s="242"/>
      <c r="ED159" s="242"/>
      <c r="EE159" s="242"/>
      <c r="EF159" s="242"/>
      <c r="EG159" s="242"/>
      <c r="EH159" s="242"/>
      <c r="EI159" s="242"/>
      <c r="EJ159" s="242"/>
      <c r="EK159" s="242"/>
      <c r="EL159" s="242"/>
      <c r="EM159" s="242"/>
      <c r="EN159" s="242"/>
      <c r="EO159" s="242"/>
      <c r="EP159" s="242"/>
      <c r="EQ159" s="242"/>
      <c r="ER159" s="242"/>
      <c r="ES159" s="242"/>
      <c r="ET159" s="242"/>
      <c r="EU159" s="242"/>
      <c r="EV159" s="242"/>
      <c r="EW159" s="242"/>
      <c r="EX159" s="242"/>
      <c r="EY159" s="242"/>
      <c r="EZ159" s="242"/>
      <c r="FA159" s="242"/>
      <c r="FB159" s="242"/>
      <c r="FC159" s="242"/>
      <c r="FD159" s="242"/>
      <c r="FE159" s="242"/>
      <c r="FF159" s="242"/>
      <c r="FG159" s="242"/>
      <c r="FH159" s="242"/>
      <c r="FI159" s="242"/>
      <c r="FJ159" s="242"/>
      <c r="FK159" s="242"/>
      <c r="FL159" s="242"/>
      <c r="FM159" s="242"/>
      <c r="FN159" s="242"/>
      <c r="FO159" s="242"/>
      <c r="FP159" s="242"/>
      <c r="FQ159" s="242"/>
      <c r="FR159" s="242"/>
      <c r="FS159" s="242"/>
      <c r="FT159" s="242"/>
      <c r="FU159" s="242"/>
      <c r="FV159" s="242"/>
      <c r="FW159" s="242"/>
      <c r="FX159" s="242"/>
      <c r="FY159" s="242"/>
      <c r="FZ159" s="242"/>
      <c r="GA159" s="242"/>
      <c r="GB159" s="242"/>
      <c r="GC159" s="242"/>
      <c r="GD159" s="242"/>
      <c r="GE159" s="242"/>
      <c r="GF159" s="242"/>
      <c r="GG159" s="242"/>
      <c r="GH159" s="242"/>
      <c r="GI159" s="242"/>
      <c r="GJ159" s="242"/>
      <c r="GK159" s="242"/>
      <c r="GL159" s="242"/>
      <c r="GM159" s="242"/>
      <c r="GN159" s="242"/>
      <c r="GO159" s="242"/>
      <c r="GP159" s="242"/>
      <c r="GQ159" s="242"/>
      <c r="GR159" s="242"/>
      <c r="GS159" s="242"/>
      <c r="GT159" s="242"/>
      <c r="GU159" s="242"/>
      <c r="GV159" s="242"/>
      <c r="GW159" s="242"/>
      <c r="GX159" s="242"/>
      <c r="GY159" s="242"/>
      <c r="GZ159" s="242"/>
      <c r="HA159" s="242"/>
      <c r="HB159" s="242"/>
      <c r="HC159" s="242"/>
      <c r="HD159" s="242"/>
      <c r="HE159" s="242"/>
      <c r="HF159" s="242"/>
      <c r="HG159" s="242"/>
      <c r="HH159" s="242"/>
      <c r="HI159" s="242"/>
      <c r="HJ159" s="242"/>
      <c r="HK159" s="242"/>
      <c r="HL159" s="242"/>
      <c r="HM159" s="242"/>
      <c r="HN159" s="242"/>
      <c r="HO159" s="242"/>
      <c r="HP159" s="242"/>
      <c r="HQ159" s="242"/>
      <c r="HR159" s="242"/>
      <c r="HS159" s="242"/>
      <c r="HT159" s="242"/>
      <c r="HU159" s="242"/>
      <c r="HV159" s="242"/>
      <c r="HW159" s="242"/>
      <c r="HX159" s="242"/>
      <c r="HY159" s="242"/>
      <c r="HZ159" s="242"/>
      <c r="IA159" s="242"/>
      <c r="IB159" s="242"/>
      <c r="IC159" s="242"/>
      <c r="ID159" s="242"/>
      <c r="IE159" s="242"/>
      <c r="IF159" s="242"/>
      <c r="IG159" s="242"/>
      <c r="IH159" s="242"/>
      <c r="II159" s="242"/>
      <c r="IJ159" s="242"/>
      <c r="IK159" s="242"/>
      <c r="IL159" s="242"/>
      <c r="IM159" s="242"/>
      <c r="IN159" s="242"/>
      <c r="IO159" s="242"/>
      <c r="IP159" s="242"/>
      <c r="IQ159" s="242"/>
      <c r="IR159" s="242"/>
      <c r="IS159" s="242"/>
      <c r="IT159" s="242"/>
      <c r="IU159" s="242"/>
      <c r="IV159" s="242"/>
      <c r="IW159" s="242"/>
    </row>
    <row r="160" customFormat="false" ht="12.75" hidden="false" customHeight="false" outlineLevel="0" collapsed="false">
      <c r="A160" s="222"/>
      <c r="B160" s="316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</row>
    <row r="161" customFormat="false" ht="12.75" hidden="false" customHeight="false" outlineLevel="0" collapsed="false">
      <c r="B161" s="295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</row>
    <row r="162" customFormat="false" ht="12.75" hidden="false" customHeight="false" outlineLevel="0" collapsed="false">
      <c r="B162" s="31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</row>
    <row r="163" customFormat="false" ht="12.75" hidden="false" customHeight="false" outlineLevel="0" collapsed="false">
      <c r="B163" s="32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</row>
    <row r="164" customFormat="false" ht="12.75" hidden="false" customHeight="false" outlineLevel="0" collapsed="false">
      <c r="A164" s="293"/>
      <c r="B164" s="293"/>
      <c r="C164" s="293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  <c r="CG164" s="293"/>
      <c r="CH164" s="293"/>
      <c r="CI164" s="293"/>
      <c r="CJ164" s="293"/>
      <c r="CK164" s="293"/>
      <c r="CL164" s="293"/>
      <c r="CM164" s="293"/>
      <c r="CN164" s="293"/>
      <c r="CO164" s="293"/>
      <c r="CP164" s="293"/>
      <c r="CQ164" s="293"/>
      <c r="CR164" s="293"/>
      <c r="CS164" s="293"/>
      <c r="CT164" s="293"/>
      <c r="CU164" s="293"/>
      <c r="CV164" s="293"/>
      <c r="CW164" s="293"/>
      <c r="CX164" s="293"/>
      <c r="CY164" s="293"/>
      <c r="CZ164" s="293"/>
      <c r="DA164" s="293"/>
      <c r="DB164" s="293"/>
      <c r="DC164" s="293"/>
      <c r="DD164" s="293"/>
      <c r="DE164" s="293"/>
      <c r="DF164" s="293"/>
      <c r="DG164" s="293"/>
      <c r="DH164" s="293"/>
      <c r="DI164" s="293"/>
      <c r="DJ164" s="293"/>
      <c r="DK164" s="293"/>
      <c r="DL164" s="293"/>
      <c r="DM164" s="293"/>
      <c r="DN164" s="293"/>
      <c r="DO164" s="293"/>
      <c r="DP164" s="293"/>
      <c r="DQ164" s="293"/>
      <c r="DR164" s="293"/>
      <c r="DS164" s="293"/>
      <c r="DT164" s="293"/>
      <c r="DU164" s="293"/>
      <c r="DV164" s="293"/>
      <c r="DW164" s="293"/>
      <c r="DX164" s="293"/>
      <c r="DY164" s="293"/>
      <c r="DZ164" s="293"/>
      <c r="EA164" s="293"/>
      <c r="EB164" s="293"/>
      <c r="EC164" s="293"/>
      <c r="ED164" s="293"/>
      <c r="EE164" s="293"/>
      <c r="EF164" s="293"/>
      <c r="EG164" s="293"/>
      <c r="EH164" s="293"/>
      <c r="EI164" s="293"/>
      <c r="EJ164" s="293"/>
      <c r="EK164" s="293"/>
      <c r="EL164" s="293"/>
      <c r="EM164" s="293"/>
      <c r="EN164" s="293"/>
      <c r="EO164" s="293"/>
      <c r="EP164" s="293"/>
      <c r="EQ164" s="293"/>
      <c r="ER164" s="293"/>
      <c r="ES164" s="293"/>
      <c r="ET164" s="293"/>
      <c r="EU164" s="293"/>
      <c r="EV164" s="293"/>
      <c r="EW164" s="293"/>
      <c r="EX164" s="293"/>
      <c r="EY164" s="293"/>
      <c r="EZ164" s="293"/>
      <c r="FA164" s="293"/>
      <c r="FB164" s="293"/>
      <c r="FC164" s="293"/>
      <c r="FD164" s="293"/>
      <c r="FE164" s="293"/>
      <c r="FF164" s="293"/>
      <c r="FG164" s="293"/>
      <c r="FH164" s="293"/>
      <c r="FI164" s="293"/>
      <c r="FJ164" s="293"/>
      <c r="FK164" s="293"/>
      <c r="FL164" s="293"/>
      <c r="FM164" s="293"/>
      <c r="FN164" s="293"/>
      <c r="FO164" s="293"/>
      <c r="FP164" s="293"/>
      <c r="FQ164" s="293"/>
      <c r="FR164" s="293"/>
      <c r="FS164" s="293"/>
      <c r="FT164" s="293"/>
      <c r="FU164" s="293"/>
      <c r="FV164" s="293"/>
      <c r="FW164" s="293"/>
      <c r="FX164" s="293"/>
      <c r="FY164" s="293"/>
      <c r="FZ164" s="293"/>
      <c r="GA164" s="293"/>
      <c r="GB164" s="293"/>
      <c r="GC164" s="293"/>
      <c r="GD164" s="293"/>
      <c r="GE164" s="293"/>
      <c r="GF164" s="293"/>
      <c r="GG164" s="293"/>
      <c r="GH164" s="293"/>
      <c r="GI164" s="293"/>
      <c r="GJ164" s="293"/>
      <c r="GK164" s="293"/>
      <c r="GL164" s="293"/>
      <c r="GM164" s="293"/>
      <c r="GN164" s="293"/>
      <c r="GO164" s="293"/>
      <c r="GP164" s="293"/>
      <c r="GQ164" s="293"/>
      <c r="GR164" s="293"/>
      <c r="GS164" s="293"/>
      <c r="GT164" s="293"/>
      <c r="GU164" s="293"/>
      <c r="GV164" s="293"/>
      <c r="GW164" s="293"/>
      <c r="GX164" s="293"/>
      <c r="GY164" s="293"/>
      <c r="GZ164" s="293"/>
      <c r="HA164" s="293"/>
      <c r="HB164" s="293"/>
      <c r="HC164" s="293"/>
      <c r="HD164" s="293"/>
      <c r="HE164" s="293"/>
      <c r="HF164" s="293"/>
      <c r="HG164" s="293"/>
      <c r="HH164" s="293"/>
      <c r="HI164" s="293"/>
      <c r="HJ164" s="293"/>
      <c r="HK164" s="293"/>
      <c r="HL164" s="293"/>
      <c r="HM164" s="293"/>
      <c r="HN164" s="293"/>
      <c r="HO164" s="293"/>
      <c r="HP164" s="293"/>
      <c r="HQ164" s="293"/>
      <c r="HR164" s="293"/>
      <c r="HS164" s="293"/>
      <c r="HT164" s="293"/>
      <c r="HU164" s="293"/>
      <c r="HV164" s="293"/>
      <c r="HW164" s="293"/>
      <c r="HX164" s="293"/>
      <c r="HY164" s="293"/>
      <c r="HZ164" s="293"/>
      <c r="IA164" s="293"/>
      <c r="IB164" s="293"/>
      <c r="IC164" s="293"/>
      <c r="ID164" s="293"/>
      <c r="IE164" s="293"/>
      <c r="IF164" s="293"/>
      <c r="IG164" s="293"/>
      <c r="IH164" s="293"/>
      <c r="II164" s="293"/>
      <c r="IJ164" s="293"/>
      <c r="IK164" s="293"/>
      <c r="IL164" s="293"/>
      <c r="IM164" s="293"/>
      <c r="IN164" s="293"/>
      <c r="IO164" s="293"/>
      <c r="IP164" s="293"/>
      <c r="IQ164" s="293"/>
      <c r="IR164" s="293"/>
      <c r="IS164" s="293"/>
      <c r="IT164" s="293"/>
      <c r="IU164" s="293"/>
      <c r="IV164" s="293"/>
      <c r="IW164" s="293"/>
    </row>
    <row r="165" customFormat="false" ht="12.6" hidden="false" customHeight="true" outlineLevel="0" collapsed="false">
      <c r="A165" s="293"/>
      <c r="B165" s="247"/>
      <c r="C165" s="293"/>
      <c r="D165" s="302"/>
      <c r="E165" s="302"/>
      <c r="F165" s="302"/>
      <c r="G165" s="302"/>
      <c r="H165" s="302"/>
      <c r="I165" s="302"/>
      <c r="J165" s="302"/>
      <c r="K165" s="302"/>
      <c r="L165" s="302"/>
      <c r="M165" s="302"/>
      <c r="N165" s="302"/>
      <c r="O165" s="302"/>
      <c r="P165" s="302"/>
      <c r="Q165" s="302"/>
      <c r="R165" s="302"/>
      <c r="S165" s="302"/>
      <c r="T165" s="302"/>
      <c r="U165" s="302"/>
      <c r="V165" s="302"/>
      <c r="W165" s="302"/>
      <c r="X165" s="302"/>
      <c r="Y165" s="302"/>
      <c r="Z165" s="302"/>
      <c r="AA165" s="302"/>
      <c r="AB165" s="302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  <c r="CG165" s="293"/>
      <c r="CH165" s="293"/>
      <c r="CI165" s="293"/>
      <c r="CJ165" s="293"/>
      <c r="CK165" s="293"/>
      <c r="CL165" s="293"/>
      <c r="CM165" s="293"/>
      <c r="CN165" s="293"/>
      <c r="CO165" s="293"/>
      <c r="CP165" s="293"/>
      <c r="CQ165" s="293"/>
      <c r="CR165" s="293"/>
      <c r="CS165" s="293"/>
      <c r="CT165" s="293"/>
      <c r="CU165" s="293"/>
      <c r="CV165" s="293"/>
      <c r="CW165" s="293"/>
      <c r="CX165" s="293"/>
      <c r="CY165" s="293"/>
      <c r="CZ165" s="293"/>
      <c r="DA165" s="293"/>
      <c r="DB165" s="293"/>
      <c r="DC165" s="293"/>
      <c r="DD165" s="293"/>
      <c r="DE165" s="293"/>
      <c r="DF165" s="293"/>
      <c r="DG165" s="293"/>
      <c r="DH165" s="293"/>
      <c r="DI165" s="293"/>
      <c r="DJ165" s="293"/>
      <c r="DK165" s="293"/>
      <c r="DL165" s="293"/>
      <c r="DM165" s="293"/>
      <c r="DN165" s="293"/>
      <c r="DO165" s="293"/>
      <c r="DP165" s="293"/>
      <c r="DQ165" s="293"/>
      <c r="DR165" s="293"/>
      <c r="DS165" s="293"/>
      <c r="DT165" s="293"/>
      <c r="DU165" s="293"/>
      <c r="DV165" s="293"/>
      <c r="DW165" s="293"/>
      <c r="DX165" s="293"/>
      <c r="DY165" s="293"/>
      <c r="DZ165" s="293"/>
      <c r="EA165" s="293"/>
      <c r="EB165" s="293"/>
      <c r="EC165" s="293"/>
      <c r="ED165" s="293"/>
      <c r="EE165" s="293"/>
      <c r="EF165" s="293"/>
      <c r="EG165" s="293"/>
      <c r="EH165" s="293"/>
      <c r="EI165" s="293"/>
      <c r="EJ165" s="293"/>
      <c r="EK165" s="293"/>
      <c r="EL165" s="293"/>
      <c r="EM165" s="293"/>
      <c r="EN165" s="293"/>
      <c r="EO165" s="293"/>
      <c r="EP165" s="293"/>
      <c r="EQ165" s="293"/>
      <c r="ER165" s="293"/>
      <c r="ES165" s="293"/>
      <c r="ET165" s="293"/>
      <c r="EU165" s="293"/>
      <c r="EV165" s="293"/>
      <c r="EW165" s="293"/>
      <c r="EX165" s="293"/>
      <c r="EY165" s="293"/>
      <c r="EZ165" s="293"/>
      <c r="FA165" s="293"/>
      <c r="FB165" s="293"/>
      <c r="FC165" s="293"/>
      <c r="FD165" s="293"/>
      <c r="FE165" s="293"/>
      <c r="FF165" s="293"/>
      <c r="FG165" s="293"/>
      <c r="FH165" s="293"/>
      <c r="FI165" s="293"/>
      <c r="FJ165" s="293"/>
      <c r="FK165" s="293"/>
      <c r="FL165" s="293"/>
      <c r="FM165" s="293"/>
      <c r="FN165" s="293"/>
      <c r="FO165" s="293"/>
      <c r="FP165" s="293"/>
      <c r="FQ165" s="293"/>
      <c r="FR165" s="293"/>
      <c r="FS165" s="293"/>
      <c r="FT165" s="293"/>
      <c r="FU165" s="293"/>
      <c r="FV165" s="293"/>
      <c r="FW165" s="293"/>
      <c r="FX165" s="293"/>
      <c r="FY165" s="293"/>
      <c r="FZ165" s="293"/>
      <c r="GA165" s="293"/>
      <c r="GB165" s="293"/>
      <c r="GC165" s="293"/>
      <c r="GD165" s="293"/>
      <c r="GE165" s="293"/>
      <c r="GF165" s="293"/>
      <c r="GG165" s="293"/>
      <c r="GH165" s="293"/>
      <c r="GI165" s="293"/>
      <c r="GJ165" s="293"/>
      <c r="GK165" s="293"/>
      <c r="GL165" s="293"/>
      <c r="GM165" s="293"/>
      <c r="GN165" s="293"/>
      <c r="GO165" s="293"/>
      <c r="GP165" s="293"/>
      <c r="GQ165" s="293"/>
      <c r="GR165" s="293"/>
      <c r="GS165" s="293"/>
      <c r="GT165" s="293"/>
      <c r="GU165" s="293"/>
      <c r="GV165" s="293"/>
      <c r="GW165" s="293"/>
      <c r="GX165" s="293"/>
      <c r="GY165" s="293"/>
      <c r="GZ165" s="293"/>
      <c r="HA165" s="293"/>
      <c r="HB165" s="293"/>
      <c r="HC165" s="293"/>
      <c r="HD165" s="293"/>
      <c r="HE165" s="293"/>
      <c r="HF165" s="293"/>
      <c r="HG165" s="293"/>
      <c r="HH165" s="293"/>
      <c r="HI165" s="293"/>
      <c r="HJ165" s="293"/>
      <c r="HK165" s="293"/>
      <c r="HL165" s="293"/>
      <c r="HM165" s="293"/>
      <c r="HN165" s="293"/>
      <c r="HO165" s="293"/>
      <c r="HP165" s="293"/>
      <c r="HQ165" s="293"/>
      <c r="HR165" s="293"/>
      <c r="HS165" s="293"/>
      <c r="HT165" s="293"/>
      <c r="HU165" s="293"/>
      <c r="HV165" s="293"/>
      <c r="HW165" s="293"/>
      <c r="HX165" s="293"/>
      <c r="HY165" s="293"/>
      <c r="HZ165" s="293"/>
      <c r="IA165" s="293"/>
      <c r="IB165" s="293"/>
      <c r="IC165" s="293"/>
      <c r="ID165" s="293"/>
      <c r="IE165" s="293"/>
      <c r="IF165" s="293"/>
      <c r="IG165" s="293"/>
      <c r="IH165" s="293"/>
      <c r="II165" s="293"/>
      <c r="IJ165" s="293"/>
      <c r="IK165" s="293"/>
      <c r="IL165" s="293"/>
      <c r="IM165" s="293"/>
      <c r="IN165" s="293"/>
      <c r="IO165" s="293"/>
      <c r="IP165" s="293"/>
      <c r="IQ165" s="293"/>
      <c r="IR165" s="293"/>
      <c r="IS165" s="293"/>
      <c r="IT165" s="293"/>
      <c r="IU165" s="293"/>
      <c r="IV165" s="293"/>
      <c r="IW165" s="293"/>
    </row>
    <row r="166" customFormat="false" ht="12.6" hidden="false" customHeight="true" outlineLevel="0" collapsed="false">
      <c r="A166" s="293"/>
      <c r="B166" s="247"/>
      <c r="C166" s="293"/>
      <c r="D166" s="328"/>
      <c r="E166" s="302"/>
      <c r="F166" s="302"/>
      <c r="G166" s="302"/>
      <c r="H166" s="302"/>
      <c r="I166" s="302"/>
      <c r="J166" s="302"/>
      <c r="K166" s="302"/>
      <c r="L166" s="302"/>
      <c r="M166" s="302"/>
      <c r="N166" s="302"/>
      <c r="O166" s="302"/>
      <c r="P166" s="302"/>
      <c r="Q166" s="302"/>
      <c r="R166" s="302"/>
      <c r="S166" s="302"/>
      <c r="T166" s="302"/>
      <c r="U166" s="302"/>
      <c r="V166" s="302"/>
      <c r="W166" s="302"/>
      <c r="X166" s="302"/>
      <c r="Y166" s="302"/>
      <c r="Z166" s="302"/>
      <c r="AA166" s="302"/>
      <c r="AB166" s="302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  <c r="CF166" s="293"/>
      <c r="CG166" s="293"/>
      <c r="CH166" s="293"/>
      <c r="CI166" s="293"/>
      <c r="CJ166" s="293"/>
      <c r="CK166" s="293"/>
      <c r="CL166" s="293"/>
      <c r="CM166" s="293"/>
      <c r="CN166" s="293"/>
      <c r="CO166" s="293"/>
      <c r="CP166" s="293"/>
      <c r="CQ166" s="293"/>
      <c r="CR166" s="293"/>
      <c r="CS166" s="293"/>
      <c r="CT166" s="293"/>
      <c r="CU166" s="293"/>
      <c r="CV166" s="293"/>
      <c r="CW166" s="293"/>
      <c r="CX166" s="293"/>
      <c r="CY166" s="293"/>
      <c r="CZ166" s="293"/>
      <c r="DA166" s="293"/>
      <c r="DB166" s="293"/>
      <c r="DC166" s="293"/>
      <c r="DD166" s="293"/>
      <c r="DE166" s="293"/>
      <c r="DF166" s="293"/>
      <c r="DG166" s="293"/>
      <c r="DH166" s="293"/>
      <c r="DI166" s="293"/>
      <c r="DJ166" s="293"/>
      <c r="DK166" s="293"/>
      <c r="DL166" s="293"/>
      <c r="DM166" s="293"/>
      <c r="DN166" s="293"/>
      <c r="DO166" s="293"/>
      <c r="DP166" s="293"/>
      <c r="DQ166" s="293"/>
      <c r="DR166" s="293"/>
      <c r="DS166" s="293"/>
      <c r="DT166" s="293"/>
      <c r="DU166" s="293"/>
      <c r="DV166" s="293"/>
      <c r="DW166" s="293"/>
      <c r="DX166" s="293"/>
      <c r="DY166" s="293"/>
      <c r="DZ166" s="293"/>
      <c r="EA166" s="293"/>
      <c r="EB166" s="293"/>
      <c r="EC166" s="293"/>
      <c r="ED166" s="293"/>
      <c r="EE166" s="293"/>
      <c r="EF166" s="293"/>
      <c r="EG166" s="293"/>
      <c r="EH166" s="293"/>
      <c r="EI166" s="293"/>
      <c r="EJ166" s="293"/>
      <c r="EK166" s="293"/>
      <c r="EL166" s="293"/>
      <c r="EM166" s="293"/>
      <c r="EN166" s="293"/>
      <c r="EO166" s="293"/>
      <c r="EP166" s="293"/>
      <c r="EQ166" s="293"/>
      <c r="ER166" s="293"/>
      <c r="ES166" s="293"/>
      <c r="ET166" s="293"/>
      <c r="EU166" s="293"/>
      <c r="EV166" s="293"/>
      <c r="EW166" s="293"/>
      <c r="EX166" s="293"/>
      <c r="EY166" s="293"/>
      <c r="EZ166" s="293"/>
      <c r="FA166" s="293"/>
      <c r="FB166" s="293"/>
      <c r="FC166" s="293"/>
      <c r="FD166" s="293"/>
      <c r="FE166" s="293"/>
      <c r="FF166" s="293"/>
      <c r="FG166" s="293"/>
      <c r="FH166" s="293"/>
      <c r="FI166" s="293"/>
      <c r="FJ166" s="293"/>
      <c r="FK166" s="293"/>
      <c r="FL166" s="293"/>
      <c r="FM166" s="293"/>
      <c r="FN166" s="293"/>
      <c r="FO166" s="293"/>
      <c r="FP166" s="293"/>
      <c r="FQ166" s="293"/>
      <c r="FR166" s="293"/>
      <c r="FS166" s="293"/>
      <c r="FT166" s="293"/>
      <c r="FU166" s="293"/>
      <c r="FV166" s="293"/>
      <c r="FW166" s="293"/>
      <c r="FX166" s="293"/>
      <c r="FY166" s="293"/>
      <c r="FZ166" s="293"/>
      <c r="GA166" s="293"/>
      <c r="GB166" s="293"/>
      <c r="GC166" s="293"/>
      <c r="GD166" s="293"/>
      <c r="GE166" s="293"/>
      <c r="GF166" s="293"/>
      <c r="GG166" s="293"/>
      <c r="GH166" s="293"/>
      <c r="GI166" s="293"/>
      <c r="GJ166" s="293"/>
      <c r="GK166" s="293"/>
      <c r="GL166" s="293"/>
      <c r="GM166" s="293"/>
      <c r="GN166" s="293"/>
      <c r="GO166" s="293"/>
      <c r="GP166" s="293"/>
      <c r="GQ166" s="293"/>
      <c r="GR166" s="293"/>
      <c r="GS166" s="293"/>
      <c r="GT166" s="293"/>
      <c r="GU166" s="293"/>
      <c r="GV166" s="293"/>
      <c r="GW166" s="293"/>
      <c r="GX166" s="293"/>
      <c r="GY166" s="293"/>
      <c r="GZ166" s="293"/>
      <c r="HA166" s="293"/>
      <c r="HB166" s="293"/>
      <c r="HC166" s="293"/>
      <c r="HD166" s="293"/>
      <c r="HE166" s="293"/>
      <c r="HF166" s="293"/>
      <c r="HG166" s="293"/>
      <c r="HH166" s="293"/>
      <c r="HI166" s="293"/>
      <c r="HJ166" s="293"/>
      <c r="HK166" s="293"/>
      <c r="HL166" s="293"/>
      <c r="HM166" s="293"/>
      <c r="HN166" s="293"/>
      <c r="HO166" s="293"/>
      <c r="HP166" s="293"/>
      <c r="HQ166" s="293"/>
      <c r="HR166" s="293"/>
      <c r="HS166" s="293"/>
      <c r="HT166" s="293"/>
      <c r="HU166" s="293"/>
      <c r="HV166" s="293"/>
      <c r="HW166" s="293"/>
      <c r="HX166" s="293"/>
      <c r="HY166" s="293"/>
      <c r="HZ166" s="293"/>
      <c r="IA166" s="293"/>
      <c r="IB166" s="293"/>
      <c r="IC166" s="293"/>
      <c r="ID166" s="293"/>
      <c r="IE166" s="293"/>
      <c r="IF166" s="293"/>
      <c r="IG166" s="293"/>
      <c r="IH166" s="293"/>
      <c r="II166" s="293"/>
      <c r="IJ166" s="293"/>
      <c r="IK166" s="293"/>
      <c r="IL166" s="293"/>
      <c r="IM166" s="293"/>
      <c r="IN166" s="293"/>
      <c r="IO166" s="293"/>
      <c r="IP166" s="293"/>
      <c r="IQ166" s="293"/>
      <c r="IR166" s="293"/>
      <c r="IS166" s="293"/>
      <c r="IT166" s="293"/>
      <c r="IU166" s="293"/>
      <c r="IV166" s="293"/>
      <c r="IW166" s="293"/>
    </row>
    <row r="167" customFormat="false" ht="12.75" hidden="false" customHeight="false" outlineLevel="0" collapsed="false"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329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</row>
    <row r="168" customFormat="false" ht="12.75" hidden="false" customHeight="false" outlineLevel="0" collapsed="false">
      <c r="A168" s="300"/>
      <c r="B168" s="310"/>
      <c r="C168" s="297"/>
      <c r="D168" s="293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330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  <c r="CF168" s="293"/>
      <c r="CG168" s="293"/>
      <c r="CH168" s="293"/>
      <c r="CI168" s="293"/>
      <c r="CJ168" s="293"/>
      <c r="CK168" s="293"/>
      <c r="CL168" s="293"/>
      <c r="CM168" s="293"/>
      <c r="CN168" s="293"/>
      <c r="CO168" s="293"/>
      <c r="CP168" s="293"/>
      <c r="CQ168" s="293"/>
      <c r="CR168" s="293"/>
      <c r="CS168" s="293"/>
      <c r="CT168" s="293"/>
      <c r="CU168" s="293"/>
      <c r="CV168" s="293"/>
      <c r="CW168" s="293"/>
      <c r="CX168" s="293"/>
      <c r="CY168" s="293"/>
      <c r="CZ168" s="293"/>
      <c r="DA168" s="293"/>
      <c r="DB168" s="293"/>
      <c r="DC168" s="293"/>
      <c r="DD168" s="293"/>
      <c r="DE168" s="293"/>
      <c r="DF168" s="293"/>
      <c r="DG168" s="293"/>
      <c r="DH168" s="293"/>
      <c r="DI168" s="293"/>
      <c r="DJ168" s="293"/>
      <c r="DK168" s="293"/>
      <c r="DL168" s="293"/>
      <c r="DM168" s="293"/>
      <c r="DN168" s="293"/>
      <c r="DO168" s="293"/>
      <c r="DP168" s="293"/>
      <c r="DQ168" s="293"/>
      <c r="DR168" s="293"/>
      <c r="DS168" s="293"/>
      <c r="DT168" s="293"/>
      <c r="DU168" s="293"/>
      <c r="DV168" s="293"/>
      <c r="DW168" s="293"/>
      <c r="DX168" s="293"/>
      <c r="DY168" s="293"/>
      <c r="DZ168" s="293"/>
      <c r="EA168" s="293"/>
      <c r="EB168" s="293"/>
      <c r="EC168" s="293"/>
      <c r="ED168" s="293"/>
      <c r="EE168" s="293"/>
      <c r="EF168" s="293"/>
      <c r="EG168" s="293"/>
      <c r="EH168" s="293"/>
      <c r="EI168" s="293"/>
      <c r="EJ168" s="293"/>
      <c r="EK168" s="293"/>
      <c r="EL168" s="293"/>
      <c r="EM168" s="293"/>
      <c r="EN168" s="293"/>
      <c r="EO168" s="293"/>
      <c r="EP168" s="293"/>
      <c r="EQ168" s="293"/>
      <c r="ER168" s="293"/>
      <c r="ES168" s="293"/>
      <c r="ET168" s="293"/>
      <c r="EU168" s="293"/>
      <c r="EV168" s="293"/>
      <c r="EW168" s="293"/>
      <c r="EX168" s="293"/>
      <c r="EY168" s="293"/>
      <c r="EZ168" s="293"/>
      <c r="FA168" s="293"/>
      <c r="FB168" s="293"/>
      <c r="FC168" s="293"/>
      <c r="FD168" s="293"/>
      <c r="FE168" s="293"/>
      <c r="FF168" s="293"/>
      <c r="FG168" s="293"/>
      <c r="FH168" s="293"/>
      <c r="FI168" s="293"/>
      <c r="FJ168" s="293"/>
      <c r="FK168" s="293"/>
      <c r="FL168" s="293"/>
      <c r="FM168" s="293"/>
      <c r="FN168" s="293"/>
      <c r="FO168" s="293"/>
      <c r="FP168" s="293"/>
      <c r="FQ168" s="293"/>
      <c r="FR168" s="293"/>
      <c r="FS168" s="293"/>
      <c r="FT168" s="293"/>
      <c r="FU168" s="293"/>
      <c r="FV168" s="293"/>
      <c r="FW168" s="293"/>
      <c r="FX168" s="293"/>
      <c r="FY168" s="293"/>
      <c r="FZ168" s="293"/>
      <c r="GA168" s="293"/>
      <c r="GB168" s="293"/>
      <c r="GC168" s="293"/>
      <c r="GD168" s="293"/>
      <c r="GE168" s="293"/>
      <c r="GF168" s="293"/>
      <c r="GG168" s="293"/>
      <c r="GH168" s="293"/>
      <c r="GI168" s="293"/>
      <c r="GJ168" s="293"/>
      <c r="GK168" s="293"/>
      <c r="GL168" s="293"/>
      <c r="GM168" s="293"/>
      <c r="GN168" s="293"/>
      <c r="GO168" s="293"/>
      <c r="GP168" s="293"/>
      <c r="GQ168" s="293"/>
      <c r="GR168" s="293"/>
      <c r="GS168" s="293"/>
      <c r="GT168" s="293"/>
      <c r="GU168" s="293"/>
      <c r="GV168" s="293"/>
      <c r="GW168" s="293"/>
      <c r="GX168" s="293"/>
      <c r="GY168" s="293"/>
      <c r="GZ168" s="293"/>
      <c r="HA168" s="293"/>
      <c r="HB168" s="293"/>
      <c r="HC168" s="293"/>
      <c r="HD168" s="293"/>
      <c r="HE168" s="293"/>
      <c r="HF168" s="293"/>
      <c r="HG168" s="293"/>
      <c r="HH168" s="293"/>
      <c r="HI168" s="293"/>
      <c r="HJ168" s="293"/>
      <c r="HK168" s="293"/>
      <c r="HL168" s="293"/>
      <c r="HM168" s="293"/>
      <c r="HN168" s="293"/>
      <c r="HO168" s="293"/>
      <c r="HP168" s="293"/>
      <c r="HQ168" s="293"/>
      <c r="HR168" s="293"/>
      <c r="HS168" s="293"/>
      <c r="HT168" s="293"/>
      <c r="HU168" s="293"/>
      <c r="HV168" s="293"/>
      <c r="HW168" s="293"/>
      <c r="HX168" s="293"/>
      <c r="HY168" s="293"/>
      <c r="HZ168" s="293"/>
      <c r="IA168" s="293"/>
      <c r="IB168" s="293"/>
      <c r="IC168" s="293"/>
      <c r="ID168" s="293"/>
      <c r="IE168" s="293"/>
      <c r="IF168" s="293"/>
      <c r="IG168" s="293"/>
      <c r="IH168" s="293"/>
      <c r="II168" s="293"/>
      <c r="IJ168" s="293"/>
      <c r="IK168" s="293"/>
      <c r="IL168" s="293"/>
      <c r="IM168" s="293"/>
      <c r="IN168" s="293"/>
      <c r="IO168" s="293"/>
      <c r="IP168" s="293"/>
      <c r="IQ168" s="293"/>
      <c r="IR168" s="293"/>
      <c r="IS168" s="293"/>
      <c r="IT168" s="293"/>
      <c r="IU168" s="293"/>
      <c r="IV168" s="293"/>
      <c r="IW168" s="293"/>
    </row>
    <row r="169" customFormat="false" ht="12.6" hidden="false" customHeight="true" outlineLevel="0" collapsed="false">
      <c r="A169" s="293"/>
      <c r="B169" s="295"/>
      <c r="C169" s="293"/>
      <c r="D169" s="297"/>
      <c r="E169" s="302"/>
      <c r="F169" s="302"/>
      <c r="G169" s="302"/>
      <c r="H169" s="302"/>
      <c r="I169" s="302"/>
      <c r="J169" s="302"/>
      <c r="K169" s="302"/>
      <c r="L169" s="302"/>
      <c r="M169" s="302"/>
      <c r="N169" s="302"/>
      <c r="O169" s="302"/>
      <c r="P169" s="302"/>
      <c r="Q169" s="302"/>
      <c r="R169" s="302"/>
      <c r="S169" s="302"/>
      <c r="T169" s="302"/>
      <c r="U169" s="302"/>
      <c r="V169" s="302"/>
      <c r="W169" s="302"/>
      <c r="X169" s="302"/>
      <c r="Y169" s="302"/>
      <c r="Z169" s="302"/>
      <c r="AA169" s="302"/>
      <c r="AB169" s="302"/>
      <c r="AC169" s="293"/>
      <c r="AD169" s="293"/>
      <c r="AE169" s="293"/>
      <c r="AF169" s="293"/>
      <c r="AG169" s="293"/>
      <c r="AH169" s="293"/>
      <c r="AI169" s="293"/>
      <c r="AJ169" s="293"/>
      <c r="AK169" s="293"/>
      <c r="AL169" s="293"/>
      <c r="AM169" s="293"/>
      <c r="AN169" s="293"/>
      <c r="AO169" s="293"/>
      <c r="AP169" s="293"/>
      <c r="AQ169" s="293"/>
      <c r="AR169" s="293"/>
      <c r="AS169" s="293"/>
      <c r="AT169" s="293"/>
      <c r="AU169" s="293"/>
      <c r="AV169" s="293"/>
      <c r="AW169" s="293"/>
      <c r="AX169" s="293"/>
      <c r="AY169" s="293"/>
      <c r="AZ169" s="293"/>
      <c r="BA169" s="293"/>
      <c r="BB169" s="293"/>
      <c r="BC169" s="293"/>
      <c r="BD169" s="293"/>
      <c r="BE169" s="293"/>
      <c r="BF169" s="293"/>
      <c r="BG169" s="293"/>
      <c r="BH169" s="293"/>
      <c r="BI169" s="293"/>
      <c r="BJ169" s="293"/>
      <c r="BK169" s="293"/>
      <c r="BL169" s="293"/>
      <c r="BM169" s="293"/>
      <c r="BN169" s="293"/>
      <c r="BO169" s="293"/>
      <c r="BP169" s="293"/>
      <c r="BQ169" s="293"/>
      <c r="BR169" s="293"/>
      <c r="BS169" s="293"/>
      <c r="BT169" s="293"/>
      <c r="BU169" s="293"/>
      <c r="BV169" s="293"/>
      <c r="BW169" s="293"/>
      <c r="BX169" s="293"/>
      <c r="BY169" s="293"/>
      <c r="BZ169" s="293"/>
      <c r="CA169" s="293"/>
      <c r="CB169" s="293"/>
      <c r="CC169" s="293"/>
      <c r="CD169" s="293"/>
      <c r="CE169" s="293"/>
      <c r="CF169" s="293"/>
      <c r="CG169" s="293"/>
      <c r="CH169" s="293"/>
      <c r="CI169" s="293"/>
      <c r="CJ169" s="293"/>
      <c r="CK169" s="293"/>
      <c r="CL169" s="293"/>
      <c r="CM169" s="293"/>
      <c r="CN169" s="293"/>
      <c r="CO169" s="293"/>
      <c r="CP169" s="293"/>
      <c r="CQ169" s="293"/>
      <c r="CR169" s="293"/>
      <c r="CS169" s="293"/>
      <c r="CT169" s="293"/>
      <c r="CU169" s="293"/>
      <c r="CV169" s="293"/>
      <c r="CW169" s="293"/>
      <c r="CX169" s="293"/>
      <c r="CY169" s="293"/>
      <c r="CZ169" s="293"/>
      <c r="DA169" s="293"/>
      <c r="DB169" s="293"/>
      <c r="DC169" s="293"/>
      <c r="DD169" s="293"/>
      <c r="DE169" s="293"/>
      <c r="DF169" s="293"/>
      <c r="DG169" s="293"/>
      <c r="DH169" s="293"/>
      <c r="DI169" s="293"/>
      <c r="DJ169" s="293"/>
      <c r="DK169" s="293"/>
      <c r="DL169" s="293"/>
      <c r="DM169" s="293"/>
      <c r="DN169" s="293"/>
      <c r="DO169" s="293"/>
      <c r="DP169" s="293"/>
      <c r="DQ169" s="293"/>
      <c r="DR169" s="293"/>
      <c r="DS169" s="293"/>
      <c r="DT169" s="293"/>
      <c r="DU169" s="293"/>
      <c r="DV169" s="293"/>
      <c r="DW169" s="293"/>
      <c r="DX169" s="293"/>
      <c r="DY169" s="293"/>
      <c r="DZ169" s="293"/>
      <c r="EA169" s="293"/>
      <c r="EB169" s="293"/>
      <c r="EC169" s="293"/>
      <c r="ED169" s="293"/>
      <c r="EE169" s="293"/>
      <c r="EF169" s="293"/>
      <c r="EG169" s="293"/>
      <c r="EH169" s="293"/>
      <c r="EI169" s="293"/>
      <c r="EJ169" s="293"/>
      <c r="EK169" s="293"/>
      <c r="EL169" s="293"/>
      <c r="EM169" s="293"/>
      <c r="EN169" s="293"/>
      <c r="EO169" s="293"/>
      <c r="EP169" s="293"/>
      <c r="EQ169" s="293"/>
      <c r="ER169" s="293"/>
      <c r="ES169" s="293"/>
      <c r="ET169" s="293"/>
      <c r="EU169" s="293"/>
      <c r="EV169" s="293"/>
      <c r="EW169" s="293"/>
      <c r="EX169" s="293"/>
      <c r="EY169" s="293"/>
      <c r="EZ169" s="293"/>
      <c r="FA169" s="293"/>
      <c r="FB169" s="293"/>
      <c r="FC169" s="293"/>
      <c r="FD169" s="293"/>
      <c r="FE169" s="293"/>
      <c r="FF169" s="293"/>
      <c r="FG169" s="293"/>
      <c r="FH169" s="293"/>
      <c r="FI169" s="293"/>
      <c r="FJ169" s="293"/>
      <c r="FK169" s="293"/>
      <c r="FL169" s="293"/>
      <c r="FM169" s="293"/>
      <c r="FN169" s="293"/>
      <c r="FO169" s="293"/>
      <c r="FP169" s="293"/>
      <c r="FQ169" s="293"/>
      <c r="FR169" s="293"/>
      <c r="FS169" s="293"/>
      <c r="FT169" s="293"/>
      <c r="FU169" s="293"/>
      <c r="FV169" s="293"/>
      <c r="FW169" s="293"/>
      <c r="FX169" s="293"/>
      <c r="FY169" s="293"/>
      <c r="FZ169" s="293"/>
      <c r="GA169" s="293"/>
      <c r="GB169" s="293"/>
      <c r="GC169" s="293"/>
      <c r="GD169" s="293"/>
      <c r="GE169" s="293"/>
      <c r="GF169" s="293"/>
      <c r="GG169" s="293"/>
      <c r="GH169" s="293"/>
      <c r="GI169" s="293"/>
      <c r="GJ169" s="293"/>
      <c r="GK169" s="293"/>
      <c r="GL169" s="293"/>
      <c r="GM169" s="293"/>
      <c r="GN169" s="293"/>
      <c r="GO169" s="293"/>
      <c r="GP169" s="293"/>
      <c r="GQ169" s="293"/>
      <c r="GR169" s="293"/>
      <c r="GS169" s="293"/>
      <c r="GT169" s="293"/>
      <c r="GU169" s="293"/>
      <c r="GV169" s="293"/>
      <c r="GW169" s="293"/>
      <c r="GX169" s="293"/>
      <c r="GY169" s="293"/>
      <c r="GZ169" s="293"/>
      <c r="HA169" s="293"/>
      <c r="HB169" s="293"/>
      <c r="HC169" s="293"/>
      <c r="HD169" s="293"/>
      <c r="HE169" s="293"/>
      <c r="HF169" s="293"/>
      <c r="HG169" s="293"/>
      <c r="HH169" s="293"/>
      <c r="HI169" s="293"/>
      <c r="HJ169" s="293"/>
      <c r="HK169" s="293"/>
      <c r="HL169" s="293"/>
      <c r="HM169" s="293"/>
      <c r="HN169" s="293"/>
      <c r="HO169" s="293"/>
      <c r="HP169" s="293"/>
      <c r="HQ169" s="293"/>
      <c r="HR169" s="293"/>
      <c r="HS169" s="293"/>
      <c r="HT169" s="293"/>
      <c r="HU169" s="293"/>
      <c r="HV169" s="293"/>
      <c r="HW169" s="293"/>
      <c r="HX169" s="293"/>
      <c r="HY169" s="293"/>
      <c r="HZ169" s="293"/>
      <c r="IA169" s="293"/>
      <c r="IB169" s="293"/>
      <c r="IC169" s="293"/>
      <c r="ID169" s="293"/>
      <c r="IE169" s="293"/>
      <c r="IF169" s="293"/>
      <c r="IG169" s="293"/>
      <c r="IH169" s="293"/>
      <c r="II169" s="293"/>
      <c r="IJ169" s="293"/>
      <c r="IK169" s="293"/>
      <c r="IL169" s="293"/>
      <c r="IM169" s="293"/>
      <c r="IN169" s="293"/>
      <c r="IO169" s="293"/>
      <c r="IP169" s="293"/>
      <c r="IQ169" s="293"/>
      <c r="IR169" s="293"/>
      <c r="IS169" s="293"/>
      <c r="IT169" s="293"/>
      <c r="IU169" s="293"/>
      <c r="IV169" s="293"/>
      <c r="IW169" s="293"/>
    </row>
    <row r="170" customFormat="false" ht="12.6" hidden="false" customHeight="true" outlineLevel="0" collapsed="false">
      <c r="A170" s="293"/>
      <c r="B170" s="317"/>
      <c r="C170" s="293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297"/>
      <c r="P170" s="29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  <c r="AA170" s="297"/>
      <c r="AB170" s="297"/>
      <c r="AC170" s="293"/>
      <c r="AD170" s="293"/>
      <c r="AE170" s="293"/>
      <c r="AF170" s="293"/>
      <c r="AG170" s="293"/>
      <c r="AH170" s="293"/>
      <c r="AI170" s="293"/>
      <c r="AJ170" s="293"/>
      <c r="AK170" s="293"/>
      <c r="AL170" s="293"/>
      <c r="AM170" s="293"/>
      <c r="AN170" s="293"/>
      <c r="AO170" s="293"/>
      <c r="AP170" s="293"/>
      <c r="AQ170" s="293"/>
      <c r="AR170" s="293"/>
      <c r="AS170" s="293"/>
      <c r="AT170" s="293"/>
      <c r="AU170" s="293"/>
      <c r="AV170" s="293"/>
      <c r="AW170" s="293"/>
      <c r="AX170" s="293"/>
      <c r="AY170" s="293"/>
      <c r="AZ170" s="293"/>
      <c r="BA170" s="293"/>
      <c r="BB170" s="293"/>
      <c r="BC170" s="293"/>
      <c r="BD170" s="293"/>
      <c r="BE170" s="293"/>
      <c r="BF170" s="293"/>
      <c r="BG170" s="293"/>
      <c r="BH170" s="293"/>
      <c r="BI170" s="293"/>
      <c r="BJ170" s="293"/>
      <c r="BK170" s="293"/>
      <c r="BL170" s="293"/>
      <c r="BM170" s="293"/>
      <c r="BN170" s="293"/>
      <c r="BO170" s="293"/>
      <c r="BP170" s="293"/>
      <c r="BQ170" s="293"/>
      <c r="BR170" s="293"/>
      <c r="BS170" s="293"/>
      <c r="BT170" s="293"/>
      <c r="BU170" s="293"/>
      <c r="BV170" s="293"/>
      <c r="BW170" s="293"/>
      <c r="BX170" s="293"/>
      <c r="BY170" s="293"/>
      <c r="BZ170" s="293"/>
      <c r="CA170" s="293"/>
      <c r="CB170" s="293"/>
      <c r="CC170" s="293"/>
      <c r="CD170" s="293"/>
      <c r="CE170" s="293"/>
      <c r="CF170" s="293"/>
      <c r="CG170" s="293"/>
      <c r="CH170" s="293"/>
      <c r="CI170" s="293"/>
      <c r="CJ170" s="293"/>
      <c r="CK170" s="293"/>
      <c r="CL170" s="293"/>
      <c r="CM170" s="293"/>
      <c r="CN170" s="293"/>
      <c r="CO170" s="293"/>
      <c r="CP170" s="293"/>
      <c r="CQ170" s="293"/>
      <c r="CR170" s="293"/>
      <c r="CS170" s="293"/>
      <c r="CT170" s="293"/>
      <c r="CU170" s="293"/>
      <c r="CV170" s="293"/>
      <c r="CW170" s="293"/>
      <c r="CX170" s="293"/>
      <c r="CY170" s="293"/>
      <c r="CZ170" s="293"/>
      <c r="DA170" s="293"/>
      <c r="DB170" s="293"/>
      <c r="DC170" s="293"/>
      <c r="DD170" s="293"/>
      <c r="DE170" s="293"/>
      <c r="DF170" s="293"/>
      <c r="DG170" s="293"/>
      <c r="DH170" s="293"/>
      <c r="DI170" s="293"/>
      <c r="DJ170" s="293"/>
      <c r="DK170" s="293"/>
      <c r="DL170" s="293"/>
      <c r="DM170" s="293"/>
      <c r="DN170" s="293"/>
      <c r="DO170" s="293"/>
      <c r="DP170" s="293"/>
      <c r="DQ170" s="293"/>
      <c r="DR170" s="293"/>
      <c r="DS170" s="293"/>
      <c r="DT170" s="293"/>
      <c r="DU170" s="293"/>
      <c r="DV170" s="293"/>
      <c r="DW170" s="293"/>
      <c r="DX170" s="293"/>
      <c r="DY170" s="293"/>
      <c r="DZ170" s="293"/>
      <c r="EA170" s="293"/>
      <c r="EB170" s="293"/>
      <c r="EC170" s="293"/>
      <c r="ED170" s="293"/>
      <c r="EE170" s="293"/>
      <c r="EF170" s="293"/>
      <c r="EG170" s="293"/>
      <c r="EH170" s="293"/>
      <c r="EI170" s="293"/>
      <c r="EJ170" s="293"/>
      <c r="EK170" s="293"/>
      <c r="EL170" s="293"/>
      <c r="EM170" s="293"/>
      <c r="EN170" s="293"/>
      <c r="EO170" s="293"/>
      <c r="EP170" s="293"/>
      <c r="EQ170" s="293"/>
      <c r="ER170" s="293"/>
      <c r="ES170" s="293"/>
      <c r="ET170" s="293"/>
      <c r="EU170" s="293"/>
      <c r="EV170" s="293"/>
      <c r="EW170" s="293"/>
      <c r="EX170" s="293"/>
      <c r="EY170" s="293"/>
      <c r="EZ170" s="293"/>
      <c r="FA170" s="293"/>
      <c r="FB170" s="293"/>
      <c r="FC170" s="293"/>
      <c r="FD170" s="293"/>
      <c r="FE170" s="293"/>
      <c r="FF170" s="293"/>
      <c r="FG170" s="293"/>
      <c r="FH170" s="293"/>
      <c r="FI170" s="293"/>
      <c r="FJ170" s="293"/>
      <c r="FK170" s="293"/>
      <c r="FL170" s="293"/>
      <c r="FM170" s="293"/>
      <c r="FN170" s="293"/>
      <c r="FO170" s="293"/>
      <c r="FP170" s="293"/>
      <c r="FQ170" s="293"/>
      <c r="FR170" s="293"/>
      <c r="FS170" s="293"/>
      <c r="FT170" s="293"/>
      <c r="FU170" s="293"/>
      <c r="FV170" s="293"/>
      <c r="FW170" s="293"/>
      <c r="FX170" s="293"/>
      <c r="FY170" s="293"/>
      <c r="FZ170" s="293"/>
      <c r="GA170" s="293"/>
      <c r="GB170" s="293"/>
      <c r="GC170" s="293"/>
      <c r="GD170" s="293"/>
      <c r="GE170" s="293"/>
      <c r="GF170" s="293"/>
      <c r="GG170" s="293"/>
      <c r="GH170" s="293"/>
      <c r="GI170" s="293"/>
      <c r="GJ170" s="293"/>
      <c r="GK170" s="293"/>
      <c r="GL170" s="293"/>
      <c r="GM170" s="293"/>
      <c r="GN170" s="293"/>
      <c r="GO170" s="293"/>
      <c r="GP170" s="293"/>
      <c r="GQ170" s="293"/>
      <c r="GR170" s="293"/>
      <c r="GS170" s="293"/>
      <c r="GT170" s="293"/>
      <c r="GU170" s="293"/>
      <c r="GV170" s="293"/>
      <c r="GW170" s="293"/>
      <c r="GX170" s="293"/>
      <c r="GY170" s="293"/>
      <c r="GZ170" s="293"/>
      <c r="HA170" s="293"/>
      <c r="HB170" s="293"/>
      <c r="HC170" s="293"/>
      <c r="HD170" s="293"/>
      <c r="HE170" s="293"/>
      <c r="HF170" s="293"/>
      <c r="HG170" s="293"/>
      <c r="HH170" s="293"/>
      <c r="HI170" s="293"/>
      <c r="HJ170" s="293"/>
      <c r="HK170" s="293"/>
      <c r="HL170" s="293"/>
      <c r="HM170" s="293"/>
      <c r="HN170" s="293"/>
      <c r="HO170" s="293"/>
      <c r="HP170" s="293"/>
      <c r="HQ170" s="293"/>
      <c r="HR170" s="293"/>
      <c r="HS170" s="293"/>
      <c r="HT170" s="293"/>
      <c r="HU170" s="293"/>
      <c r="HV170" s="293"/>
      <c r="HW170" s="293"/>
      <c r="HX170" s="293"/>
      <c r="HY170" s="293"/>
      <c r="HZ170" s="293"/>
      <c r="IA170" s="293"/>
      <c r="IB170" s="293"/>
      <c r="IC170" s="293"/>
      <c r="ID170" s="293"/>
      <c r="IE170" s="293"/>
      <c r="IF170" s="293"/>
      <c r="IG170" s="293"/>
      <c r="IH170" s="293"/>
      <c r="II170" s="293"/>
      <c r="IJ170" s="293"/>
      <c r="IK170" s="293"/>
      <c r="IL170" s="293"/>
      <c r="IM170" s="293"/>
      <c r="IN170" s="293"/>
      <c r="IO170" s="293"/>
      <c r="IP170" s="293"/>
      <c r="IQ170" s="293"/>
      <c r="IR170" s="293"/>
      <c r="IS170" s="293"/>
      <c r="IT170" s="293"/>
      <c r="IU170" s="293"/>
      <c r="IV170" s="293"/>
      <c r="IW170" s="293"/>
    </row>
    <row r="171" customFormat="false" ht="12.6" hidden="false" customHeight="true" outlineLevel="0" collapsed="false">
      <c r="A171" s="293"/>
      <c r="B171" s="331"/>
      <c r="C171" s="293"/>
      <c r="D171" s="302"/>
      <c r="E171" s="302"/>
      <c r="F171" s="302"/>
      <c r="G171" s="302"/>
      <c r="H171" s="302"/>
      <c r="I171" s="30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302"/>
      <c r="U171" s="302"/>
      <c r="V171" s="302"/>
      <c r="W171" s="302"/>
      <c r="X171" s="302"/>
      <c r="Y171" s="302"/>
      <c r="Z171" s="302"/>
      <c r="AA171" s="302"/>
      <c r="AB171" s="302"/>
      <c r="AC171" s="293"/>
      <c r="AD171" s="293"/>
      <c r="AE171" s="293"/>
      <c r="AF171" s="293"/>
      <c r="AG171" s="293"/>
      <c r="AH171" s="293"/>
      <c r="AI171" s="293"/>
      <c r="AJ171" s="293"/>
      <c r="AK171" s="293"/>
      <c r="AL171" s="293"/>
      <c r="AM171" s="293"/>
      <c r="AN171" s="293"/>
      <c r="AO171" s="293"/>
      <c r="AP171" s="293"/>
      <c r="AQ171" s="293"/>
      <c r="AR171" s="293"/>
      <c r="AS171" s="293"/>
      <c r="AT171" s="293"/>
      <c r="AU171" s="293"/>
      <c r="AV171" s="293"/>
      <c r="AW171" s="293"/>
      <c r="AX171" s="293"/>
      <c r="AY171" s="293"/>
      <c r="AZ171" s="293"/>
      <c r="BA171" s="293"/>
      <c r="BB171" s="293"/>
      <c r="BC171" s="293"/>
      <c r="BD171" s="293"/>
      <c r="BE171" s="293"/>
      <c r="BF171" s="293"/>
      <c r="BG171" s="293"/>
      <c r="BH171" s="293"/>
      <c r="BI171" s="293"/>
      <c r="BJ171" s="293"/>
      <c r="BK171" s="293"/>
      <c r="BL171" s="293"/>
      <c r="BM171" s="293"/>
      <c r="BN171" s="293"/>
      <c r="BO171" s="293"/>
      <c r="BP171" s="293"/>
      <c r="BQ171" s="293"/>
      <c r="BR171" s="293"/>
      <c r="BS171" s="293"/>
      <c r="BT171" s="293"/>
      <c r="BU171" s="293"/>
      <c r="BV171" s="293"/>
      <c r="BW171" s="293"/>
      <c r="BX171" s="293"/>
      <c r="BY171" s="293"/>
      <c r="BZ171" s="293"/>
      <c r="CA171" s="293"/>
      <c r="CB171" s="293"/>
      <c r="CC171" s="293"/>
      <c r="CD171" s="293"/>
      <c r="CE171" s="293"/>
      <c r="CF171" s="293"/>
      <c r="CG171" s="293"/>
      <c r="CH171" s="293"/>
      <c r="CI171" s="293"/>
      <c r="CJ171" s="293"/>
      <c r="CK171" s="293"/>
      <c r="CL171" s="293"/>
      <c r="CM171" s="293"/>
      <c r="CN171" s="293"/>
      <c r="CO171" s="293"/>
      <c r="CP171" s="293"/>
      <c r="CQ171" s="293"/>
      <c r="CR171" s="293"/>
      <c r="CS171" s="293"/>
      <c r="CT171" s="293"/>
      <c r="CU171" s="293"/>
      <c r="CV171" s="293"/>
      <c r="CW171" s="293"/>
      <c r="CX171" s="293"/>
      <c r="CY171" s="293"/>
      <c r="CZ171" s="293"/>
      <c r="DA171" s="293"/>
      <c r="DB171" s="293"/>
      <c r="DC171" s="293"/>
      <c r="DD171" s="293"/>
      <c r="DE171" s="293"/>
      <c r="DF171" s="293"/>
      <c r="DG171" s="293"/>
      <c r="DH171" s="293"/>
      <c r="DI171" s="293"/>
      <c r="DJ171" s="293"/>
      <c r="DK171" s="293"/>
      <c r="DL171" s="293"/>
      <c r="DM171" s="293"/>
      <c r="DN171" s="293"/>
      <c r="DO171" s="293"/>
      <c r="DP171" s="293"/>
      <c r="DQ171" s="293"/>
      <c r="DR171" s="293"/>
      <c r="DS171" s="293"/>
      <c r="DT171" s="293"/>
      <c r="DU171" s="293"/>
      <c r="DV171" s="293"/>
      <c r="DW171" s="293"/>
      <c r="DX171" s="293"/>
      <c r="DY171" s="293"/>
      <c r="DZ171" s="293"/>
      <c r="EA171" s="293"/>
      <c r="EB171" s="293"/>
      <c r="EC171" s="293"/>
      <c r="ED171" s="293"/>
      <c r="EE171" s="293"/>
      <c r="EF171" s="293"/>
      <c r="EG171" s="293"/>
      <c r="EH171" s="293"/>
      <c r="EI171" s="293"/>
      <c r="EJ171" s="293"/>
      <c r="EK171" s="293"/>
      <c r="EL171" s="293"/>
      <c r="EM171" s="293"/>
      <c r="EN171" s="293"/>
      <c r="EO171" s="293"/>
      <c r="EP171" s="293"/>
      <c r="EQ171" s="293"/>
      <c r="ER171" s="293"/>
      <c r="ES171" s="293"/>
      <c r="ET171" s="293"/>
      <c r="EU171" s="293"/>
      <c r="EV171" s="293"/>
      <c r="EW171" s="293"/>
      <c r="EX171" s="293"/>
      <c r="EY171" s="293"/>
      <c r="EZ171" s="293"/>
      <c r="FA171" s="293"/>
      <c r="FB171" s="293"/>
      <c r="FC171" s="293"/>
      <c r="FD171" s="293"/>
      <c r="FE171" s="293"/>
      <c r="FF171" s="293"/>
      <c r="FG171" s="293"/>
      <c r="FH171" s="293"/>
      <c r="FI171" s="293"/>
      <c r="FJ171" s="293"/>
      <c r="FK171" s="293"/>
      <c r="FL171" s="293"/>
      <c r="FM171" s="293"/>
      <c r="FN171" s="293"/>
      <c r="FO171" s="293"/>
      <c r="FP171" s="293"/>
      <c r="FQ171" s="293"/>
      <c r="FR171" s="293"/>
      <c r="FS171" s="293"/>
      <c r="FT171" s="293"/>
      <c r="FU171" s="293"/>
      <c r="FV171" s="293"/>
      <c r="FW171" s="293"/>
      <c r="FX171" s="293"/>
      <c r="FY171" s="293"/>
      <c r="FZ171" s="293"/>
      <c r="GA171" s="293"/>
      <c r="GB171" s="293"/>
      <c r="GC171" s="293"/>
      <c r="GD171" s="293"/>
      <c r="GE171" s="293"/>
      <c r="GF171" s="293"/>
      <c r="GG171" s="293"/>
      <c r="GH171" s="293"/>
      <c r="GI171" s="293"/>
      <c r="GJ171" s="293"/>
      <c r="GK171" s="293"/>
      <c r="GL171" s="293"/>
      <c r="GM171" s="293"/>
      <c r="GN171" s="293"/>
      <c r="GO171" s="293"/>
      <c r="GP171" s="293"/>
      <c r="GQ171" s="293"/>
      <c r="GR171" s="293"/>
      <c r="GS171" s="293"/>
      <c r="GT171" s="293"/>
      <c r="GU171" s="293"/>
      <c r="GV171" s="293"/>
      <c r="GW171" s="293"/>
      <c r="GX171" s="293"/>
      <c r="GY171" s="293"/>
      <c r="GZ171" s="293"/>
      <c r="HA171" s="293"/>
      <c r="HB171" s="293"/>
      <c r="HC171" s="293"/>
      <c r="HD171" s="293"/>
      <c r="HE171" s="293"/>
      <c r="HF171" s="293"/>
      <c r="HG171" s="293"/>
      <c r="HH171" s="293"/>
      <c r="HI171" s="293"/>
      <c r="HJ171" s="293"/>
      <c r="HK171" s="293"/>
      <c r="HL171" s="293"/>
      <c r="HM171" s="293"/>
      <c r="HN171" s="293"/>
      <c r="HO171" s="293"/>
      <c r="HP171" s="293"/>
      <c r="HQ171" s="293"/>
      <c r="HR171" s="293"/>
      <c r="HS171" s="293"/>
      <c r="HT171" s="293"/>
      <c r="HU171" s="293"/>
      <c r="HV171" s="293"/>
      <c r="HW171" s="293"/>
      <c r="HX171" s="293"/>
      <c r="HY171" s="293"/>
      <c r="HZ171" s="293"/>
      <c r="IA171" s="293"/>
      <c r="IB171" s="293"/>
      <c r="IC171" s="293"/>
      <c r="ID171" s="293"/>
      <c r="IE171" s="293"/>
      <c r="IF171" s="293"/>
      <c r="IG171" s="293"/>
      <c r="IH171" s="293"/>
      <c r="II171" s="293"/>
      <c r="IJ171" s="293"/>
      <c r="IK171" s="293"/>
      <c r="IL171" s="293"/>
      <c r="IM171" s="293"/>
      <c r="IN171" s="293"/>
      <c r="IO171" s="293"/>
      <c r="IP171" s="293"/>
      <c r="IQ171" s="293"/>
      <c r="IR171" s="293"/>
      <c r="IS171" s="293"/>
      <c r="IT171" s="293"/>
      <c r="IU171" s="293"/>
      <c r="IV171" s="293"/>
      <c r="IW171" s="293"/>
    </row>
    <row r="172" customFormat="false" ht="12.6" hidden="false" customHeight="true" outlineLevel="0" collapsed="false">
      <c r="A172" s="293"/>
      <c r="C172" s="293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  <c r="AC172" s="293"/>
      <c r="AD172" s="293"/>
      <c r="AE172" s="293"/>
      <c r="AF172" s="293"/>
      <c r="AG172" s="293"/>
      <c r="AH172" s="293"/>
      <c r="AI172" s="293"/>
      <c r="AJ172" s="293"/>
      <c r="AK172" s="293"/>
      <c r="AL172" s="293"/>
      <c r="AM172" s="293"/>
      <c r="AN172" s="293"/>
      <c r="AO172" s="293"/>
      <c r="AP172" s="293"/>
      <c r="AQ172" s="293"/>
      <c r="AR172" s="293"/>
      <c r="AS172" s="293"/>
      <c r="AT172" s="293"/>
      <c r="AU172" s="293"/>
      <c r="AV172" s="293"/>
      <c r="AW172" s="293"/>
      <c r="AX172" s="293"/>
      <c r="AY172" s="293"/>
      <c r="AZ172" s="293"/>
      <c r="BA172" s="293"/>
      <c r="BB172" s="293"/>
      <c r="BC172" s="293"/>
      <c r="BD172" s="293"/>
      <c r="BE172" s="293"/>
      <c r="BF172" s="293"/>
      <c r="BG172" s="293"/>
      <c r="BH172" s="293"/>
      <c r="BI172" s="293"/>
      <c r="BJ172" s="293"/>
      <c r="BK172" s="293"/>
      <c r="BL172" s="293"/>
      <c r="BM172" s="293"/>
      <c r="BN172" s="293"/>
      <c r="BO172" s="293"/>
      <c r="BP172" s="293"/>
      <c r="BQ172" s="293"/>
      <c r="BR172" s="293"/>
      <c r="BS172" s="293"/>
      <c r="BT172" s="293"/>
      <c r="BU172" s="293"/>
      <c r="BV172" s="293"/>
      <c r="BW172" s="293"/>
      <c r="BX172" s="293"/>
      <c r="BY172" s="293"/>
      <c r="BZ172" s="293"/>
      <c r="CA172" s="293"/>
      <c r="CB172" s="293"/>
      <c r="CC172" s="293"/>
      <c r="CD172" s="293"/>
      <c r="CE172" s="293"/>
      <c r="CF172" s="293"/>
      <c r="CG172" s="293"/>
      <c r="CH172" s="293"/>
      <c r="CI172" s="293"/>
      <c r="CJ172" s="293"/>
      <c r="CK172" s="293"/>
      <c r="CL172" s="293"/>
      <c r="CM172" s="293"/>
      <c r="CN172" s="293"/>
      <c r="CO172" s="293"/>
      <c r="CP172" s="293"/>
      <c r="CQ172" s="293"/>
      <c r="CR172" s="293"/>
      <c r="CS172" s="293"/>
      <c r="CT172" s="293"/>
      <c r="CU172" s="293"/>
      <c r="CV172" s="293"/>
      <c r="CW172" s="293"/>
      <c r="CX172" s="293"/>
      <c r="CY172" s="293"/>
      <c r="CZ172" s="293"/>
      <c r="DA172" s="293"/>
      <c r="DB172" s="293"/>
      <c r="DC172" s="293"/>
      <c r="DD172" s="293"/>
      <c r="DE172" s="293"/>
      <c r="DF172" s="293"/>
      <c r="DG172" s="293"/>
      <c r="DH172" s="293"/>
      <c r="DI172" s="293"/>
      <c r="DJ172" s="293"/>
      <c r="DK172" s="293"/>
      <c r="DL172" s="293"/>
      <c r="DM172" s="293"/>
      <c r="DN172" s="293"/>
      <c r="DO172" s="293"/>
      <c r="DP172" s="293"/>
      <c r="DQ172" s="293"/>
      <c r="DR172" s="293"/>
      <c r="DS172" s="293"/>
      <c r="DT172" s="293"/>
      <c r="DU172" s="293"/>
      <c r="DV172" s="293"/>
      <c r="DW172" s="293"/>
      <c r="DX172" s="293"/>
      <c r="DY172" s="293"/>
      <c r="DZ172" s="293"/>
      <c r="EA172" s="293"/>
      <c r="EB172" s="293"/>
      <c r="EC172" s="293"/>
      <c r="ED172" s="293"/>
      <c r="EE172" s="293"/>
      <c r="EF172" s="293"/>
      <c r="EG172" s="293"/>
      <c r="EH172" s="293"/>
      <c r="EI172" s="293"/>
      <c r="EJ172" s="293"/>
      <c r="EK172" s="293"/>
      <c r="EL172" s="293"/>
      <c r="EM172" s="293"/>
      <c r="EN172" s="293"/>
      <c r="EO172" s="293"/>
      <c r="EP172" s="293"/>
      <c r="EQ172" s="293"/>
      <c r="ER172" s="293"/>
      <c r="ES172" s="293"/>
      <c r="ET172" s="293"/>
      <c r="EU172" s="293"/>
      <c r="EV172" s="293"/>
      <c r="EW172" s="293"/>
      <c r="EX172" s="293"/>
      <c r="EY172" s="293"/>
      <c r="EZ172" s="293"/>
      <c r="FA172" s="293"/>
      <c r="FB172" s="293"/>
      <c r="FC172" s="293"/>
      <c r="FD172" s="293"/>
      <c r="FE172" s="293"/>
      <c r="FF172" s="293"/>
      <c r="FG172" s="293"/>
      <c r="FH172" s="293"/>
      <c r="FI172" s="293"/>
      <c r="FJ172" s="293"/>
      <c r="FK172" s="293"/>
      <c r="FL172" s="293"/>
      <c r="FM172" s="293"/>
      <c r="FN172" s="293"/>
      <c r="FO172" s="293"/>
      <c r="FP172" s="293"/>
      <c r="FQ172" s="293"/>
      <c r="FR172" s="293"/>
      <c r="FS172" s="293"/>
      <c r="FT172" s="293"/>
      <c r="FU172" s="293"/>
      <c r="FV172" s="293"/>
      <c r="FW172" s="293"/>
      <c r="FX172" s="293"/>
      <c r="FY172" s="293"/>
      <c r="FZ172" s="293"/>
      <c r="GA172" s="293"/>
      <c r="GB172" s="293"/>
      <c r="GC172" s="293"/>
      <c r="GD172" s="293"/>
      <c r="GE172" s="293"/>
      <c r="GF172" s="293"/>
      <c r="GG172" s="293"/>
      <c r="GH172" s="293"/>
      <c r="GI172" s="293"/>
      <c r="GJ172" s="293"/>
      <c r="GK172" s="293"/>
      <c r="GL172" s="293"/>
      <c r="GM172" s="293"/>
      <c r="GN172" s="293"/>
      <c r="GO172" s="293"/>
      <c r="GP172" s="293"/>
      <c r="GQ172" s="293"/>
      <c r="GR172" s="293"/>
      <c r="GS172" s="293"/>
      <c r="GT172" s="293"/>
      <c r="GU172" s="293"/>
      <c r="GV172" s="293"/>
      <c r="GW172" s="293"/>
      <c r="GX172" s="293"/>
      <c r="GY172" s="293"/>
      <c r="GZ172" s="293"/>
      <c r="HA172" s="293"/>
      <c r="HB172" s="293"/>
      <c r="HC172" s="293"/>
      <c r="HD172" s="293"/>
      <c r="HE172" s="293"/>
      <c r="HF172" s="293"/>
      <c r="HG172" s="293"/>
      <c r="HH172" s="293"/>
      <c r="HI172" s="293"/>
      <c r="HJ172" s="293"/>
      <c r="HK172" s="293"/>
      <c r="HL172" s="293"/>
      <c r="HM172" s="293"/>
      <c r="HN172" s="293"/>
      <c r="HO172" s="293"/>
      <c r="HP172" s="293"/>
      <c r="HQ172" s="293"/>
      <c r="HR172" s="293"/>
      <c r="HS172" s="293"/>
      <c r="HT172" s="293"/>
      <c r="HU172" s="293"/>
      <c r="HV172" s="293"/>
      <c r="HW172" s="293"/>
      <c r="HX172" s="293"/>
      <c r="HY172" s="293"/>
      <c r="HZ172" s="293"/>
      <c r="IA172" s="293"/>
      <c r="IB172" s="293"/>
      <c r="IC172" s="293"/>
      <c r="ID172" s="293"/>
      <c r="IE172" s="293"/>
      <c r="IF172" s="293"/>
      <c r="IG172" s="293"/>
      <c r="IH172" s="293"/>
      <c r="II172" s="293"/>
      <c r="IJ172" s="293"/>
      <c r="IK172" s="293"/>
      <c r="IL172" s="293"/>
      <c r="IM172" s="293"/>
      <c r="IN172" s="293"/>
      <c r="IO172" s="293"/>
      <c r="IP172" s="293"/>
      <c r="IQ172" s="293"/>
      <c r="IR172" s="293"/>
      <c r="IS172" s="293"/>
      <c r="IT172" s="293"/>
      <c r="IU172" s="293"/>
      <c r="IV172" s="293"/>
      <c r="IW172" s="293"/>
    </row>
    <row r="173" customFormat="false" ht="12.6" hidden="false" customHeight="true" outlineLevel="0" collapsed="false">
      <c r="A173" s="293"/>
      <c r="B173" s="247"/>
      <c r="C173" s="293"/>
      <c r="D173" s="302"/>
      <c r="E173" s="302"/>
      <c r="F173" s="302"/>
      <c r="G173" s="302"/>
      <c r="H173" s="302"/>
      <c r="I173" s="302"/>
      <c r="J173" s="302"/>
      <c r="K173" s="302"/>
      <c r="L173" s="302"/>
      <c r="M173" s="302"/>
      <c r="N173" s="302"/>
      <c r="O173" s="302"/>
      <c r="P173" s="302"/>
      <c r="Q173" s="302"/>
      <c r="R173" s="302"/>
      <c r="S173" s="302"/>
      <c r="T173" s="302"/>
      <c r="U173" s="302"/>
      <c r="V173" s="302"/>
      <c r="W173" s="302"/>
      <c r="X173" s="302"/>
      <c r="Y173" s="302"/>
      <c r="Z173" s="302"/>
      <c r="AA173" s="302"/>
      <c r="AB173" s="302"/>
      <c r="AC173" s="293"/>
      <c r="AD173" s="293"/>
      <c r="AE173" s="293"/>
      <c r="AF173" s="293"/>
      <c r="AG173" s="293"/>
      <c r="AH173" s="293"/>
      <c r="AI173" s="293"/>
      <c r="AJ173" s="293"/>
      <c r="AK173" s="293"/>
      <c r="AL173" s="293"/>
      <c r="AM173" s="293"/>
      <c r="AN173" s="293"/>
      <c r="AO173" s="293"/>
      <c r="AP173" s="293"/>
      <c r="AQ173" s="293"/>
      <c r="AR173" s="293"/>
      <c r="AS173" s="293"/>
      <c r="AT173" s="293"/>
      <c r="AU173" s="293"/>
      <c r="AV173" s="293"/>
      <c r="AW173" s="293"/>
      <c r="AX173" s="293"/>
      <c r="AY173" s="293"/>
      <c r="AZ173" s="293"/>
      <c r="BA173" s="293"/>
      <c r="BB173" s="293"/>
      <c r="BC173" s="293"/>
      <c r="BD173" s="293"/>
      <c r="BE173" s="293"/>
      <c r="BF173" s="293"/>
      <c r="BG173" s="293"/>
      <c r="BH173" s="293"/>
      <c r="BI173" s="293"/>
      <c r="BJ173" s="293"/>
      <c r="BK173" s="293"/>
      <c r="BL173" s="293"/>
      <c r="BM173" s="293"/>
      <c r="BN173" s="293"/>
      <c r="BO173" s="293"/>
      <c r="BP173" s="293"/>
      <c r="BQ173" s="293"/>
      <c r="BR173" s="293"/>
      <c r="BS173" s="293"/>
      <c r="BT173" s="293"/>
      <c r="BU173" s="293"/>
      <c r="BV173" s="293"/>
      <c r="BW173" s="293"/>
      <c r="BX173" s="293"/>
      <c r="BY173" s="293"/>
      <c r="BZ173" s="293"/>
      <c r="CA173" s="293"/>
      <c r="CB173" s="293"/>
      <c r="CC173" s="293"/>
      <c r="CD173" s="293"/>
      <c r="CE173" s="293"/>
      <c r="CF173" s="293"/>
      <c r="CG173" s="293"/>
      <c r="CH173" s="293"/>
      <c r="CI173" s="293"/>
      <c r="CJ173" s="293"/>
      <c r="CK173" s="293"/>
      <c r="CL173" s="293"/>
      <c r="CM173" s="293"/>
      <c r="CN173" s="293"/>
      <c r="CO173" s="293"/>
      <c r="CP173" s="293"/>
      <c r="CQ173" s="293"/>
      <c r="CR173" s="293"/>
      <c r="CS173" s="293"/>
      <c r="CT173" s="293"/>
      <c r="CU173" s="293"/>
      <c r="CV173" s="293"/>
      <c r="CW173" s="293"/>
      <c r="CX173" s="293"/>
      <c r="CY173" s="293"/>
      <c r="CZ173" s="293"/>
      <c r="DA173" s="293"/>
      <c r="DB173" s="293"/>
      <c r="DC173" s="293"/>
      <c r="DD173" s="293"/>
      <c r="DE173" s="293"/>
      <c r="DF173" s="293"/>
      <c r="DG173" s="293"/>
      <c r="DH173" s="293"/>
      <c r="DI173" s="293"/>
      <c r="DJ173" s="293"/>
      <c r="DK173" s="293"/>
      <c r="DL173" s="293"/>
      <c r="DM173" s="293"/>
      <c r="DN173" s="293"/>
      <c r="DO173" s="293"/>
      <c r="DP173" s="293"/>
      <c r="DQ173" s="293"/>
      <c r="DR173" s="293"/>
      <c r="DS173" s="293"/>
      <c r="DT173" s="293"/>
      <c r="DU173" s="293"/>
      <c r="DV173" s="293"/>
      <c r="DW173" s="293"/>
      <c r="DX173" s="293"/>
      <c r="DY173" s="293"/>
      <c r="DZ173" s="293"/>
      <c r="EA173" s="293"/>
      <c r="EB173" s="293"/>
      <c r="EC173" s="293"/>
      <c r="ED173" s="293"/>
      <c r="EE173" s="293"/>
      <c r="EF173" s="293"/>
      <c r="EG173" s="293"/>
      <c r="EH173" s="293"/>
      <c r="EI173" s="293"/>
      <c r="EJ173" s="293"/>
      <c r="EK173" s="293"/>
      <c r="EL173" s="293"/>
      <c r="EM173" s="293"/>
      <c r="EN173" s="293"/>
      <c r="EO173" s="293"/>
      <c r="EP173" s="293"/>
      <c r="EQ173" s="293"/>
      <c r="ER173" s="293"/>
      <c r="ES173" s="293"/>
      <c r="ET173" s="293"/>
      <c r="EU173" s="293"/>
      <c r="EV173" s="293"/>
      <c r="EW173" s="293"/>
      <c r="EX173" s="293"/>
      <c r="EY173" s="293"/>
      <c r="EZ173" s="293"/>
      <c r="FA173" s="293"/>
      <c r="FB173" s="293"/>
      <c r="FC173" s="293"/>
      <c r="FD173" s="293"/>
      <c r="FE173" s="293"/>
      <c r="FF173" s="293"/>
      <c r="FG173" s="293"/>
      <c r="FH173" s="293"/>
      <c r="FI173" s="293"/>
      <c r="FJ173" s="293"/>
      <c r="FK173" s="293"/>
      <c r="FL173" s="293"/>
      <c r="FM173" s="293"/>
      <c r="FN173" s="293"/>
      <c r="FO173" s="293"/>
      <c r="FP173" s="293"/>
      <c r="FQ173" s="293"/>
      <c r="FR173" s="293"/>
      <c r="FS173" s="293"/>
      <c r="FT173" s="293"/>
      <c r="FU173" s="293"/>
      <c r="FV173" s="293"/>
      <c r="FW173" s="293"/>
      <c r="FX173" s="293"/>
      <c r="FY173" s="293"/>
      <c r="FZ173" s="293"/>
      <c r="GA173" s="293"/>
      <c r="GB173" s="293"/>
      <c r="GC173" s="293"/>
      <c r="GD173" s="293"/>
      <c r="GE173" s="293"/>
      <c r="GF173" s="293"/>
      <c r="GG173" s="293"/>
      <c r="GH173" s="293"/>
      <c r="GI173" s="293"/>
      <c r="GJ173" s="293"/>
      <c r="GK173" s="293"/>
      <c r="GL173" s="293"/>
      <c r="GM173" s="293"/>
      <c r="GN173" s="293"/>
      <c r="GO173" s="293"/>
      <c r="GP173" s="293"/>
      <c r="GQ173" s="293"/>
      <c r="GR173" s="293"/>
      <c r="GS173" s="293"/>
      <c r="GT173" s="293"/>
      <c r="GU173" s="293"/>
      <c r="GV173" s="293"/>
      <c r="GW173" s="293"/>
      <c r="GX173" s="293"/>
      <c r="GY173" s="293"/>
      <c r="GZ173" s="293"/>
      <c r="HA173" s="293"/>
      <c r="HB173" s="293"/>
      <c r="HC173" s="293"/>
      <c r="HD173" s="293"/>
      <c r="HE173" s="293"/>
      <c r="HF173" s="293"/>
      <c r="HG173" s="293"/>
      <c r="HH173" s="293"/>
      <c r="HI173" s="293"/>
      <c r="HJ173" s="293"/>
      <c r="HK173" s="293"/>
      <c r="HL173" s="293"/>
      <c r="HM173" s="293"/>
      <c r="HN173" s="293"/>
      <c r="HO173" s="293"/>
      <c r="HP173" s="293"/>
      <c r="HQ173" s="293"/>
      <c r="HR173" s="293"/>
      <c r="HS173" s="293"/>
      <c r="HT173" s="293"/>
      <c r="HU173" s="293"/>
      <c r="HV173" s="293"/>
      <c r="HW173" s="293"/>
      <c r="HX173" s="293"/>
      <c r="HY173" s="293"/>
      <c r="HZ173" s="293"/>
      <c r="IA173" s="293"/>
      <c r="IB173" s="293"/>
      <c r="IC173" s="293"/>
      <c r="ID173" s="293"/>
      <c r="IE173" s="293"/>
      <c r="IF173" s="293"/>
      <c r="IG173" s="293"/>
      <c r="IH173" s="293"/>
      <c r="II173" s="293"/>
      <c r="IJ173" s="293"/>
      <c r="IK173" s="293"/>
      <c r="IL173" s="293"/>
      <c r="IM173" s="293"/>
      <c r="IN173" s="293"/>
      <c r="IO173" s="293"/>
      <c r="IP173" s="293"/>
      <c r="IQ173" s="293"/>
      <c r="IR173" s="293"/>
      <c r="IS173" s="293"/>
      <c r="IT173" s="293"/>
      <c r="IU173" s="293"/>
      <c r="IV173" s="293"/>
      <c r="IW173" s="293"/>
    </row>
    <row r="174" customFormat="false" ht="12.6" hidden="false" customHeight="true" outlineLevel="0" collapsed="false">
      <c r="A174" s="293"/>
      <c r="B174" s="247"/>
      <c r="C174" s="293"/>
      <c r="D174" s="328"/>
      <c r="E174" s="302"/>
      <c r="F174" s="302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2"/>
      <c r="V174" s="302"/>
      <c r="W174" s="302"/>
      <c r="X174" s="302"/>
      <c r="Y174" s="302"/>
      <c r="Z174" s="302"/>
      <c r="AA174" s="302"/>
      <c r="AB174" s="302"/>
      <c r="AC174" s="293"/>
      <c r="AD174" s="293"/>
      <c r="AE174" s="293"/>
      <c r="AF174" s="293"/>
      <c r="AG174" s="293"/>
      <c r="AH174" s="293"/>
      <c r="AI174" s="293"/>
      <c r="AJ174" s="293"/>
      <c r="AK174" s="293"/>
      <c r="AL174" s="293"/>
      <c r="AM174" s="293"/>
      <c r="AN174" s="293"/>
      <c r="AO174" s="293"/>
      <c r="AP174" s="293"/>
      <c r="AQ174" s="293"/>
      <c r="AR174" s="293"/>
      <c r="AS174" s="293"/>
      <c r="AT174" s="293"/>
      <c r="AU174" s="293"/>
      <c r="AV174" s="293"/>
      <c r="AW174" s="293"/>
      <c r="AX174" s="293"/>
      <c r="AY174" s="293"/>
      <c r="AZ174" s="293"/>
      <c r="BA174" s="293"/>
      <c r="BB174" s="293"/>
      <c r="BC174" s="293"/>
      <c r="BD174" s="293"/>
      <c r="BE174" s="293"/>
      <c r="BF174" s="293"/>
      <c r="BG174" s="293"/>
      <c r="BH174" s="293"/>
      <c r="BI174" s="293"/>
      <c r="BJ174" s="293"/>
      <c r="BK174" s="293"/>
      <c r="BL174" s="293"/>
      <c r="BM174" s="293"/>
      <c r="BN174" s="293"/>
      <c r="BO174" s="293"/>
      <c r="BP174" s="293"/>
      <c r="BQ174" s="293"/>
      <c r="BR174" s="293"/>
      <c r="BS174" s="293"/>
      <c r="BT174" s="293"/>
      <c r="BU174" s="293"/>
      <c r="BV174" s="293"/>
      <c r="BW174" s="293"/>
      <c r="BX174" s="293"/>
      <c r="BY174" s="293"/>
      <c r="BZ174" s="293"/>
      <c r="CA174" s="293"/>
      <c r="CB174" s="293"/>
      <c r="CC174" s="293"/>
      <c r="CD174" s="293"/>
      <c r="CE174" s="293"/>
      <c r="CF174" s="293"/>
      <c r="CG174" s="293"/>
      <c r="CH174" s="293"/>
      <c r="CI174" s="293"/>
      <c r="CJ174" s="293"/>
      <c r="CK174" s="293"/>
      <c r="CL174" s="293"/>
      <c r="CM174" s="293"/>
      <c r="CN174" s="293"/>
      <c r="CO174" s="293"/>
      <c r="CP174" s="293"/>
      <c r="CQ174" s="293"/>
      <c r="CR174" s="293"/>
      <c r="CS174" s="293"/>
      <c r="CT174" s="293"/>
      <c r="CU174" s="293"/>
      <c r="CV174" s="293"/>
      <c r="CW174" s="293"/>
      <c r="CX174" s="293"/>
      <c r="CY174" s="293"/>
      <c r="CZ174" s="293"/>
      <c r="DA174" s="293"/>
      <c r="DB174" s="293"/>
      <c r="DC174" s="293"/>
      <c r="DD174" s="293"/>
      <c r="DE174" s="293"/>
      <c r="DF174" s="293"/>
      <c r="DG174" s="293"/>
      <c r="DH174" s="293"/>
      <c r="DI174" s="293"/>
      <c r="DJ174" s="293"/>
      <c r="DK174" s="293"/>
      <c r="DL174" s="293"/>
      <c r="DM174" s="293"/>
      <c r="DN174" s="293"/>
      <c r="DO174" s="293"/>
      <c r="DP174" s="293"/>
      <c r="DQ174" s="293"/>
      <c r="DR174" s="293"/>
      <c r="DS174" s="293"/>
      <c r="DT174" s="293"/>
      <c r="DU174" s="293"/>
      <c r="DV174" s="293"/>
      <c r="DW174" s="293"/>
      <c r="DX174" s="293"/>
      <c r="DY174" s="293"/>
      <c r="DZ174" s="293"/>
      <c r="EA174" s="293"/>
      <c r="EB174" s="293"/>
      <c r="EC174" s="293"/>
      <c r="ED174" s="293"/>
      <c r="EE174" s="293"/>
      <c r="EF174" s="293"/>
      <c r="EG174" s="293"/>
      <c r="EH174" s="293"/>
      <c r="EI174" s="293"/>
      <c r="EJ174" s="293"/>
      <c r="EK174" s="293"/>
      <c r="EL174" s="293"/>
      <c r="EM174" s="293"/>
      <c r="EN174" s="293"/>
      <c r="EO174" s="293"/>
      <c r="EP174" s="293"/>
      <c r="EQ174" s="293"/>
      <c r="ER174" s="293"/>
      <c r="ES174" s="293"/>
      <c r="ET174" s="293"/>
      <c r="EU174" s="293"/>
      <c r="EV174" s="293"/>
      <c r="EW174" s="293"/>
      <c r="EX174" s="293"/>
      <c r="EY174" s="293"/>
      <c r="EZ174" s="293"/>
      <c r="FA174" s="293"/>
      <c r="FB174" s="293"/>
      <c r="FC174" s="293"/>
      <c r="FD174" s="293"/>
      <c r="FE174" s="293"/>
      <c r="FF174" s="293"/>
      <c r="FG174" s="293"/>
      <c r="FH174" s="293"/>
      <c r="FI174" s="293"/>
      <c r="FJ174" s="293"/>
      <c r="FK174" s="293"/>
      <c r="FL174" s="293"/>
      <c r="FM174" s="293"/>
      <c r="FN174" s="293"/>
      <c r="FO174" s="293"/>
      <c r="FP174" s="293"/>
      <c r="FQ174" s="293"/>
      <c r="FR174" s="293"/>
      <c r="FS174" s="293"/>
      <c r="FT174" s="293"/>
      <c r="FU174" s="293"/>
      <c r="FV174" s="293"/>
      <c r="FW174" s="293"/>
      <c r="FX174" s="293"/>
      <c r="FY174" s="293"/>
      <c r="FZ174" s="293"/>
      <c r="GA174" s="293"/>
      <c r="GB174" s="293"/>
      <c r="GC174" s="293"/>
      <c r="GD174" s="293"/>
      <c r="GE174" s="293"/>
      <c r="GF174" s="293"/>
      <c r="GG174" s="293"/>
      <c r="GH174" s="293"/>
      <c r="GI174" s="293"/>
      <c r="GJ174" s="293"/>
      <c r="GK174" s="293"/>
      <c r="GL174" s="293"/>
      <c r="GM174" s="293"/>
      <c r="GN174" s="293"/>
      <c r="GO174" s="293"/>
      <c r="GP174" s="293"/>
      <c r="GQ174" s="293"/>
      <c r="GR174" s="293"/>
      <c r="GS174" s="293"/>
      <c r="GT174" s="293"/>
      <c r="GU174" s="293"/>
      <c r="GV174" s="293"/>
      <c r="GW174" s="293"/>
      <c r="GX174" s="293"/>
      <c r="GY174" s="293"/>
      <c r="GZ174" s="293"/>
      <c r="HA174" s="293"/>
      <c r="HB174" s="293"/>
      <c r="HC174" s="293"/>
      <c r="HD174" s="293"/>
      <c r="HE174" s="293"/>
      <c r="HF174" s="293"/>
      <c r="HG174" s="293"/>
      <c r="HH174" s="293"/>
      <c r="HI174" s="293"/>
      <c r="HJ174" s="293"/>
      <c r="HK174" s="293"/>
      <c r="HL174" s="293"/>
      <c r="HM174" s="293"/>
      <c r="HN174" s="293"/>
      <c r="HO174" s="293"/>
      <c r="HP174" s="293"/>
      <c r="HQ174" s="293"/>
      <c r="HR174" s="293"/>
      <c r="HS174" s="293"/>
      <c r="HT174" s="293"/>
      <c r="HU174" s="293"/>
      <c r="HV174" s="293"/>
      <c r="HW174" s="293"/>
      <c r="HX174" s="293"/>
      <c r="HY174" s="293"/>
      <c r="HZ174" s="293"/>
      <c r="IA174" s="293"/>
      <c r="IB174" s="293"/>
      <c r="IC174" s="293"/>
      <c r="ID174" s="293"/>
      <c r="IE174" s="293"/>
      <c r="IF174" s="293"/>
      <c r="IG174" s="293"/>
      <c r="IH174" s="293"/>
      <c r="II174" s="293"/>
      <c r="IJ174" s="293"/>
      <c r="IK174" s="293"/>
      <c r="IL174" s="293"/>
      <c r="IM174" s="293"/>
      <c r="IN174" s="293"/>
      <c r="IO174" s="293"/>
      <c r="IP174" s="293"/>
      <c r="IQ174" s="293"/>
      <c r="IR174" s="293"/>
      <c r="IS174" s="293"/>
      <c r="IT174" s="293"/>
      <c r="IU174" s="293"/>
      <c r="IV174" s="293"/>
      <c r="IW174" s="293"/>
    </row>
    <row r="175" customFormat="false" ht="12.6" hidden="false" customHeight="true" outlineLevel="0" collapsed="false">
      <c r="A175" s="293"/>
      <c r="B175" s="247"/>
      <c r="C175" s="293"/>
      <c r="D175" s="328"/>
      <c r="E175" s="328"/>
      <c r="F175" s="328"/>
      <c r="G175" s="328"/>
      <c r="H175" s="328"/>
      <c r="I175" s="328"/>
      <c r="J175" s="328"/>
      <c r="K175" s="328"/>
      <c r="L175" s="328"/>
      <c r="M175" s="328"/>
      <c r="N175" s="328"/>
      <c r="O175" s="328"/>
      <c r="P175" s="328"/>
      <c r="Q175" s="328"/>
      <c r="R175" s="328"/>
      <c r="S175" s="328"/>
      <c r="T175" s="328"/>
      <c r="U175" s="328"/>
      <c r="V175" s="328"/>
      <c r="W175" s="328"/>
      <c r="X175" s="328"/>
      <c r="Y175" s="328"/>
      <c r="Z175" s="328"/>
      <c r="AA175" s="328"/>
      <c r="AB175" s="328"/>
      <c r="AC175" s="293"/>
      <c r="AD175" s="293"/>
      <c r="AE175" s="293"/>
      <c r="AF175" s="293"/>
      <c r="AG175" s="293"/>
      <c r="AH175" s="293"/>
      <c r="AI175" s="293"/>
      <c r="AJ175" s="293"/>
      <c r="AK175" s="293"/>
      <c r="AL175" s="293"/>
      <c r="AM175" s="293"/>
      <c r="AN175" s="293"/>
      <c r="AO175" s="293"/>
      <c r="AP175" s="293"/>
      <c r="AQ175" s="293"/>
      <c r="AR175" s="293"/>
      <c r="AS175" s="293"/>
      <c r="AT175" s="293"/>
      <c r="AU175" s="293"/>
      <c r="AV175" s="293"/>
      <c r="AW175" s="293"/>
      <c r="AX175" s="293"/>
      <c r="AY175" s="293"/>
      <c r="AZ175" s="293"/>
      <c r="BA175" s="293"/>
      <c r="BB175" s="293"/>
      <c r="BC175" s="293"/>
      <c r="BD175" s="293"/>
      <c r="BE175" s="293"/>
      <c r="BF175" s="293"/>
      <c r="BG175" s="293"/>
      <c r="BH175" s="293"/>
      <c r="BI175" s="293"/>
      <c r="BJ175" s="293"/>
      <c r="BK175" s="293"/>
      <c r="BL175" s="293"/>
      <c r="BM175" s="293"/>
      <c r="BN175" s="293"/>
      <c r="BO175" s="293"/>
      <c r="BP175" s="293"/>
      <c r="BQ175" s="293"/>
      <c r="BR175" s="293"/>
      <c r="BS175" s="293"/>
      <c r="BT175" s="293"/>
      <c r="BU175" s="293"/>
      <c r="BV175" s="293"/>
      <c r="BW175" s="293"/>
      <c r="BX175" s="293"/>
      <c r="BY175" s="293"/>
      <c r="BZ175" s="293"/>
      <c r="CA175" s="293"/>
      <c r="CB175" s="293"/>
      <c r="CC175" s="293"/>
      <c r="CD175" s="293"/>
      <c r="CE175" s="293"/>
      <c r="CF175" s="293"/>
      <c r="CG175" s="293"/>
      <c r="CH175" s="293"/>
      <c r="CI175" s="293"/>
      <c r="CJ175" s="293"/>
      <c r="CK175" s="293"/>
      <c r="CL175" s="293"/>
      <c r="CM175" s="293"/>
      <c r="CN175" s="293"/>
      <c r="CO175" s="293"/>
      <c r="CP175" s="293"/>
      <c r="CQ175" s="293"/>
      <c r="CR175" s="293"/>
      <c r="CS175" s="293"/>
      <c r="CT175" s="293"/>
      <c r="CU175" s="293"/>
      <c r="CV175" s="293"/>
      <c r="CW175" s="293"/>
      <c r="CX175" s="293"/>
      <c r="CY175" s="293"/>
      <c r="CZ175" s="293"/>
      <c r="DA175" s="293"/>
      <c r="DB175" s="293"/>
      <c r="DC175" s="293"/>
      <c r="DD175" s="293"/>
      <c r="DE175" s="293"/>
      <c r="DF175" s="293"/>
      <c r="DG175" s="293"/>
      <c r="DH175" s="293"/>
      <c r="DI175" s="293"/>
      <c r="DJ175" s="293"/>
      <c r="DK175" s="293"/>
      <c r="DL175" s="293"/>
      <c r="DM175" s="293"/>
      <c r="DN175" s="293"/>
      <c r="DO175" s="293"/>
      <c r="DP175" s="293"/>
      <c r="DQ175" s="293"/>
      <c r="DR175" s="293"/>
      <c r="DS175" s="293"/>
      <c r="DT175" s="293"/>
      <c r="DU175" s="293"/>
      <c r="DV175" s="293"/>
      <c r="DW175" s="293"/>
      <c r="DX175" s="293"/>
      <c r="DY175" s="293"/>
      <c r="DZ175" s="293"/>
      <c r="EA175" s="293"/>
      <c r="EB175" s="293"/>
      <c r="EC175" s="293"/>
      <c r="ED175" s="293"/>
      <c r="EE175" s="293"/>
      <c r="EF175" s="293"/>
      <c r="EG175" s="293"/>
      <c r="EH175" s="293"/>
      <c r="EI175" s="293"/>
      <c r="EJ175" s="293"/>
      <c r="EK175" s="293"/>
      <c r="EL175" s="293"/>
      <c r="EM175" s="293"/>
      <c r="EN175" s="293"/>
      <c r="EO175" s="293"/>
      <c r="EP175" s="293"/>
      <c r="EQ175" s="293"/>
      <c r="ER175" s="293"/>
      <c r="ES175" s="293"/>
      <c r="ET175" s="293"/>
      <c r="EU175" s="293"/>
      <c r="EV175" s="293"/>
      <c r="EW175" s="293"/>
      <c r="EX175" s="293"/>
      <c r="EY175" s="293"/>
      <c r="EZ175" s="293"/>
      <c r="FA175" s="293"/>
      <c r="FB175" s="293"/>
      <c r="FC175" s="293"/>
      <c r="FD175" s="293"/>
      <c r="FE175" s="293"/>
      <c r="FF175" s="293"/>
      <c r="FG175" s="293"/>
      <c r="FH175" s="293"/>
      <c r="FI175" s="293"/>
      <c r="FJ175" s="293"/>
      <c r="FK175" s="293"/>
      <c r="FL175" s="293"/>
      <c r="FM175" s="293"/>
      <c r="FN175" s="293"/>
      <c r="FO175" s="293"/>
      <c r="FP175" s="293"/>
      <c r="FQ175" s="293"/>
      <c r="FR175" s="293"/>
      <c r="FS175" s="293"/>
      <c r="FT175" s="293"/>
      <c r="FU175" s="293"/>
      <c r="FV175" s="293"/>
      <c r="FW175" s="293"/>
      <c r="FX175" s="293"/>
      <c r="FY175" s="293"/>
      <c r="FZ175" s="293"/>
      <c r="GA175" s="293"/>
      <c r="GB175" s="293"/>
      <c r="GC175" s="293"/>
      <c r="GD175" s="293"/>
      <c r="GE175" s="293"/>
      <c r="GF175" s="293"/>
      <c r="GG175" s="293"/>
      <c r="GH175" s="293"/>
      <c r="GI175" s="293"/>
      <c r="GJ175" s="293"/>
      <c r="GK175" s="293"/>
      <c r="GL175" s="293"/>
      <c r="GM175" s="293"/>
      <c r="GN175" s="293"/>
      <c r="GO175" s="293"/>
      <c r="GP175" s="293"/>
      <c r="GQ175" s="293"/>
      <c r="GR175" s="293"/>
      <c r="GS175" s="293"/>
      <c r="GT175" s="293"/>
      <c r="GU175" s="293"/>
      <c r="GV175" s="293"/>
      <c r="GW175" s="293"/>
      <c r="GX175" s="293"/>
      <c r="GY175" s="293"/>
      <c r="GZ175" s="293"/>
      <c r="HA175" s="293"/>
      <c r="HB175" s="293"/>
      <c r="HC175" s="293"/>
      <c r="HD175" s="293"/>
      <c r="HE175" s="293"/>
      <c r="HF175" s="293"/>
      <c r="HG175" s="293"/>
      <c r="HH175" s="293"/>
      <c r="HI175" s="293"/>
      <c r="HJ175" s="293"/>
      <c r="HK175" s="293"/>
      <c r="HL175" s="293"/>
      <c r="HM175" s="293"/>
      <c r="HN175" s="293"/>
      <c r="HO175" s="293"/>
      <c r="HP175" s="293"/>
      <c r="HQ175" s="293"/>
      <c r="HR175" s="293"/>
      <c r="HS175" s="293"/>
      <c r="HT175" s="293"/>
      <c r="HU175" s="293"/>
      <c r="HV175" s="293"/>
      <c r="HW175" s="293"/>
      <c r="HX175" s="293"/>
      <c r="HY175" s="293"/>
      <c r="HZ175" s="293"/>
      <c r="IA175" s="293"/>
      <c r="IB175" s="293"/>
      <c r="IC175" s="293"/>
      <c r="ID175" s="293"/>
      <c r="IE175" s="293"/>
      <c r="IF175" s="293"/>
      <c r="IG175" s="293"/>
      <c r="IH175" s="293"/>
      <c r="II175" s="293"/>
      <c r="IJ175" s="293"/>
      <c r="IK175" s="293"/>
      <c r="IL175" s="293"/>
      <c r="IM175" s="293"/>
      <c r="IN175" s="293"/>
      <c r="IO175" s="293"/>
      <c r="IP175" s="293"/>
      <c r="IQ175" s="293"/>
      <c r="IR175" s="293"/>
      <c r="IS175" s="293"/>
      <c r="IT175" s="293"/>
      <c r="IU175" s="293"/>
      <c r="IV175" s="293"/>
      <c r="IW175" s="293"/>
    </row>
    <row r="176" customFormat="false" ht="12.6" hidden="false" customHeight="true" outlineLevel="0" collapsed="false">
      <c r="B176" s="247"/>
      <c r="D176" s="313"/>
      <c r="E176" s="313"/>
      <c r="F176" s="313"/>
      <c r="G176" s="313"/>
      <c r="H176" s="313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  <c r="S176" s="313"/>
      <c r="T176" s="313"/>
      <c r="U176" s="313"/>
      <c r="V176" s="313"/>
      <c r="W176" s="313"/>
      <c r="X176" s="313"/>
      <c r="Y176" s="313"/>
      <c r="Z176" s="313"/>
      <c r="AA176" s="313"/>
      <c r="AB176" s="313"/>
    </row>
    <row r="177" customFormat="false" ht="12.6" hidden="false" customHeight="true" outlineLevel="0" collapsed="false"/>
    <row r="178" customFormat="false" ht="12.6" hidden="false" customHeight="true" outlineLevel="0" collapsed="false"/>
    <row r="179" customFormat="false" ht="12.6" hidden="false" customHeight="true" outlineLevel="0" collapsed="false"/>
    <row r="180" customFormat="false" ht="12.6" hidden="false" customHeight="true" outlineLevel="0" collapsed="false"/>
    <row r="181" customFormat="false" ht="12.6" hidden="false" customHeight="true" outlineLevel="0" collapsed="false"/>
    <row r="182" customFormat="false" ht="12.6" hidden="false" customHeight="true" outlineLevel="0" collapsed="false"/>
    <row r="183" customFormat="false" ht="12.6" hidden="false" customHeight="true" outlineLevel="0" collapsed="false"/>
    <row r="184" customFormat="false" ht="12.6" hidden="false" customHeight="true" outlineLevel="0" collapsed="false"/>
    <row r="185" customFormat="false" ht="12.6" hidden="false" customHeight="true" outlineLevel="0" collapsed="false"/>
    <row r="186" customFormat="false" ht="12.6" hidden="false" customHeight="true" outlineLevel="0" collapsed="false"/>
    <row r="187" customFormat="false" ht="12.6" hidden="false" customHeight="true" outlineLevel="0" collapsed="false"/>
    <row r="188" customFormat="false" ht="12.6" hidden="false" customHeight="true" outlineLevel="0" collapsed="false"/>
    <row r="189" customFormat="false" ht="12.6" hidden="false" customHeight="true" outlineLevel="0" collapsed="false"/>
    <row r="190" customFormat="false" ht="12.6" hidden="false" customHeight="true" outlineLevel="0" collapsed="false"/>
    <row r="191" customFormat="false" ht="12.6" hidden="false" customHeight="true" outlineLevel="0" collapsed="false"/>
    <row r="192" customFormat="false" ht="12.6" hidden="false" customHeight="true" outlineLevel="0" collapsed="false"/>
    <row r="193" customFormat="false" ht="12.6" hidden="false" customHeight="true" outlineLevel="0" collapsed="false"/>
    <row r="194" customFormat="false" ht="12.6" hidden="false" customHeight="true" outlineLevel="0" collapsed="false"/>
    <row r="195" customFormat="false" ht="12.6" hidden="false" customHeight="true" outlineLevel="0" collapsed="false"/>
    <row r="196" customFormat="false" ht="12.6" hidden="false" customHeight="true" outlineLevel="0" collapsed="false"/>
    <row r="197" customFormat="false" ht="12.6" hidden="false" customHeight="true" outlineLevel="0" collapsed="false"/>
    <row r="198" customFormat="false" ht="12.6" hidden="false" customHeight="true" outlineLevel="0" collapsed="false"/>
    <row r="199" customFormat="false" ht="12.6" hidden="false" customHeight="true" outlineLevel="0" collapsed="false"/>
    <row r="200" customFormat="false" ht="12.6" hidden="false" customHeight="true" outlineLevel="0" collapsed="false"/>
    <row r="201" customFormat="false" ht="12.6" hidden="false" customHeight="true" outlineLevel="0" collapsed="false"/>
    <row r="202" customFormat="false" ht="12.6" hidden="false" customHeight="true" outlineLevel="0" collapsed="false"/>
    <row r="203" customFormat="false" ht="12.6" hidden="false" customHeight="true" outlineLevel="0" collapsed="false"/>
    <row r="204" customFormat="false" ht="12.6" hidden="false" customHeight="true" outlineLevel="0" collapsed="false"/>
    <row r="205" customFormat="false" ht="12.6" hidden="false" customHeight="true" outlineLevel="0" collapsed="false"/>
    <row r="206" customFormat="false" ht="12.6" hidden="false" customHeight="true" outlineLevel="0" collapsed="false"/>
    <row r="207" customFormat="false" ht="12.6" hidden="false" customHeight="true" outlineLevel="0" collapsed="false"/>
    <row r="208" customFormat="false" ht="12.6" hidden="false" customHeight="true" outlineLevel="0" collapsed="false"/>
    <row r="209" customFormat="false" ht="12.6" hidden="false" customHeight="true" outlineLevel="0" collapsed="false"/>
    <row r="210" customFormat="false" ht="12.6" hidden="false" customHeight="true" outlineLevel="0" collapsed="false"/>
    <row r="211" customFormat="false" ht="12.6" hidden="false" customHeight="true" outlineLevel="0" collapsed="false"/>
    <row r="212" customFormat="false" ht="12.6" hidden="false" customHeight="true" outlineLevel="0" collapsed="false"/>
    <row r="213" customFormat="false" ht="12.6" hidden="false" customHeight="true" outlineLevel="0" collapsed="false"/>
    <row r="214" customFormat="false" ht="12.6" hidden="false" customHeight="true" outlineLevel="0" collapsed="false"/>
    <row r="215" customFormat="false" ht="12.6" hidden="false" customHeight="true" outlineLevel="0" collapsed="false"/>
    <row r="216" customFormat="false" ht="12.6" hidden="false" customHeight="true" outlineLevel="0" collapsed="false"/>
    <row r="217" customFormat="false" ht="12.6" hidden="false" customHeight="true" outlineLevel="0" collapsed="false"/>
    <row r="218" customFormat="false" ht="12.6" hidden="false" customHeight="true" outlineLevel="0" collapsed="false"/>
    <row r="219" customFormat="false" ht="12.6" hidden="false" customHeight="true" outlineLevel="0" collapsed="false"/>
    <row r="220" customFormat="false" ht="12.6" hidden="false" customHeight="true" outlineLevel="0" collapsed="false"/>
    <row r="221" customFormat="false" ht="12.6" hidden="false" customHeight="true" outlineLevel="0" collapsed="false"/>
    <row r="222" customFormat="false" ht="12.6" hidden="false" customHeight="true" outlineLevel="0" collapsed="false"/>
    <row r="223" customFormat="false" ht="12.6" hidden="false" customHeight="true" outlineLevel="0" collapsed="false"/>
    <row r="224" customFormat="false" ht="12.6" hidden="false" customHeight="true" outlineLevel="0" collapsed="false"/>
    <row r="225" customFormat="false" ht="12.6" hidden="false" customHeight="true" outlineLevel="0" collapsed="false"/>
    <row r="226" customFormat="false" ht="12.6" hidden="false" customHeight="true" outlineLevel="0" collapsed="false"/>
    <row r="227" customFormat="false" ht="12.6" hidden="false" customHeight="true" outlineLevel="0" collapsed="false"/>
    <row r="228" customFormat="false" ht="12.6" hidden="false" customHeight="true" outlineLevel="0" collapsed="false"/>
    <row r="229" customFormat="false" ht="12.6" hidden="false" customHeight="true" outlineLevel="0" collapsed="false"/>
    <row r="230" customFormat="false" ht="12.6" hidden="false" customHeight="true" outlineLevel="0" collapsed="false"/>
    <row r="231" customFormat="false" ht="12.6" hidden="false" customHeight="true" outlineLevel="0" collapsed="false"/>
    <row r="232" customFormat="false" ht="12.6" hidden="false" customHeight="true" outlineLevel="0" collapsed="false"/>
    <row r="233" customFormat="false" ht="12.6" hidden="false" customHeight="true" outlineLevel="0" collapsed="false"/>
    <row r="234" customFormat="false" ht="12.6" hidden="false" customHeight="true" outlineLevel="0" collapsed="false"/>
    <row r="235" customFormat="false" ht="12.6" hidden="false" customHeight="true" outlineLevel="0" collapsed="false"/>
    <row r="236" customFormat="false" ht="12.6" hidden="false" customHeight="true" outlineLevel="0" collapsed="false"/>
    <row r="237" customFormat="false" ht="12.6" hidden="false" customHeight="true" outlineLevel="0" collapsed="false"/>
    <row r="238" customFormat="false" ht="12.6" hidden="false" customHeight="true" outlineLevel="0" collapsed="false"/>
    <row r="239" customFormat="false" ht="12.6" hidden="false" customHeight="true" outlineLevel="0" collapsed="false"/>
    <row r="240" customFormat="false" ht="12.6" hidden="false" customHeight="true" outlineLevel="0" collapsed="false"/>
    <row r="241" customFormat="false" ht="12.6" hidden="false" customHeight="true" outlineLevel="0" collapsed="false"/>
    <row r="242" customFormat="false" ht="12.6" hidden="false" customHeight="true" outlineLevel="0" collapsed="false"/>
    <row r="243" customFormat="false" ht="12.6" hidden="false" customHeight="true" outlineLevel="0" collapsed="false"/>
    <row r="244" customFormat="false" ht="12.6" hidden="false" customHeight="true" outlineLevel="0" collapsed="false"/>
    <row r="245" customFormat="false" ht="12.6" hidden="false" customHeight="true" outlineLevel="0" collapsed="false"/>
    <row r="246" customFormat="false" ht="12.6" hidden="false" customHeight="true" outlineLevel="0" collapsed="false"/>
    <row r="247" customFormat="false" ht="12.6" hidden="false" customHeight="true" outlineLevel="0" collapsed="false"/>
    <row r="248" customFormat="false" ht="12.6" hidden="false" customHeight="true" outlineLevel="0" collapsed="false"/>
    <row r="249" customFormat="false" ht="12.6" hidden="false" customHeight="true" outlineLevel="0" collapsed="false"/>
    <row r="250" customFormat="false" ht="12.6" hidden="false" customHeight="true" outlineLevel="0" collapsed="false"/>
    <row r="251" customFormat="false" ht="12.6" hidden="false" customHeight="true" outlineLevel="0" collapsed="false"/>
    <row r="252" customFormat="false" ht="12.6" hidden="false" customHeight="true" outlineLevel="0" collapsed="false"/>
    <row r="253" customFormat="false" ht="12.6" hidden="false" customHeight="true" outlineLevel="0" collapsed="false"/>
    <row r="254" customFormat="false" ht="12.6" hidden="false" customHeight="true" outlineLevel="0" collapsed="false"/>
    <row r="255" customFormat="false" ht="12.6" hidden="false" customHeight="true" outlineLevel="0" collapsed="false"/>
    <row r="256" customFormat="false" ht="12.6" hidden="false" customHeight="true" outlineLevel="0" collapsed="false"/>
    <row r="257" customFormat="false" ht="12.6" hidden="false" customHeight="true" outlineLevel="0" collapsed="false"/>
    <row r="258" customFormat="false" ht="12.6" hidden="false" customHeight="true" outlineLevel="0" collapsed="false"/>
    <row r="259" customFormat="false" ht="12.6" hidden="false" customHeight="true" outlineLevel="0" collapsed="false"/>
    <row r="260" customFormat="false" ht="12.6" hidden="false" customHeight="true" outlineLevel="0" collapsed="false"/>
    <row r="261" customFormat="false" ht="12.6" hidden="false" customHeight="true" outlineLevel="0" collapsed="false"/>
    <row r="262" customFormat="false" ht="12.6" hidden="false" customHeight="true" outlineLevel="0" collapsed="false"/>
    <row r="263" customFormat="false" ht="12.6" hidden="false" customHeight="true" outlineLevel="0" collapsed="false"/>
    <row r="264" customFormat="false" ht="12.6" hidden="false" customHeight="true" outlineLevel="0" collapsed="false"/>
    <row r="265" customFormat="false" ht="12.6" hidden="false" customHeight="true" outlineLevel="0" collapsed="false"/>
    <row r="266" customFormat="false" ht="12.6" hidden="false" customHeight="true" outlineLevel="0" collapsed="false"/>
    <row r="267" customFormat="false" ht="12.6" hidden="false" customHeight="true" outlineLevel="0" collapsed="false"/>
    <row r="268" customFormat="false" ht="12.6" hidden="false" customHeight="true" outlineLevel="0" collapsed="false"/>
    <row r="269" customFormat="false" ht="12.6" hidden="false" customHeight="true" outlineLevel="0" collapsed="false"/>
    <row r="270" customFormat="false" ht="12.6" hidden="false" customHeight="true" outlineLevel="0" collapsed="false"/>
    <row r="271" customFormat="false" ht="12.6" hidden="false" customHeight="true" outlineLevel="0" collapsed="false"/>
    <row r="272" customFormat="false" ht="12.6" hidden="false" customHeight="true" outlineLevel="0" collapsed="false"/>
    <row r="273" customFormat="false" ht="12.6" hidden="false" customHeight="true" outlineLevel="0" collapsed="false"/>
    <row r="274" customFormat="false" ht="12.6" hidden="false" customHeight="true" outlineLevel="0" collapsed="false"/>
    <row r="275" customFormat="false" ht="12.6" hidden="false" customHeight="true" outlineLevel="0" collapsed="false"/>
    <row r="276" customFormat="false" ht="12.6" hidden="false" customHeight="true" outlineLevel="0" collapsed="false"/>
    <row r="277" customFormat="false" ht="12.6" hidden="false" customHeight="true" outlineLevel="0" collapsed="false"/>
    <row r="278" customFormat="false" ht="12.6" hidden="false" customHeight="true" outlineLevel="0" collapsed="false"/>
    <row r="279" customFormat="false" ht="12.6" hidden="false" customHeight="true" outlineLevel="0" collapsed="false"/>
    <row r="280" customFormat="false" ht="12.6" hidden="false" customHeight="true" outlineLevel="0" collapsed="false"/>
    <row r="281" customFormat="false" ht="12.6" hidden="false" customHeight="true" outlineLevel="0" collapsed="false"/>
    <row r="282" customFormat="false" ht="12.6" hidden="false" customHeight="true" outlineLevel="0" collapsed="false"/>
    <row r="283" customFormat="false" ht="12.6" hidden="false" customHeight="true" outlineLevel="0" collapsed="false"/>
    <row r="284" customFormat="false" ht="12.6" hidden="false" customHeight="true" outlineLevel="0" collapsed="false"/>
    <row r="285" customFormat="false" ht="12.6" hidden="false" customHeight="true" outlineLevel="0" collapsed="false"/>
    <row r="286" customFormat="false" ht="12.6" hidden="false" customHeight="true" outlineLevel="0" collapsed="false"/>
    <row r="287" customFormat="false" ht="12.6" hidden="false" customHeight="true" outlineLevel="0" collapsed="false"/>
    <row r="288" customFormat="false" ht="12.6" hidden="false" customHeight="true" outlineLevel="0" collapsed="false"/>
    <row r="289" customFormat="false" ht="12.6" hidden="false" customHeight="true" outlineLevel="0" collapsed="false"/>
    <row r="290" customFormat="false" ht="12.6" hidden="false" customHeight="true" outlineLevel="0" collapsed="false"/>
    <row r="291" customFormat="false" ht="12.6" hidden="false" customHeight="true" outlineLevel="0" collapsed="false"/>
    <row r="292" customFormat="false" ht="12.6" hidden="false" customHeight="true" outlineLevel="0" collapsed="false"/>
    <row r="293" customFormat="false" ht="12.6" hidden="false" customHeight="true" outlineLevel="0" collapsed="false"/>
    <row r="294" customFormat="false" ht="12.6" hidden="false" customHeight="true" outlineLevel="0" collapsed="false"/>
    <row r="295" customFormat="false" ht="12.6" hidden="false" customHeight="true" outlineLevel="0" collapsed="false"/>
    <row r="296" customFormat="false" ht="12.6" hidden="false" customHeight="true" outlineLevel="0" collapsed="false"/>
    <row r="297" customFormat="false" ht="12.6" hidden="false" customHeight="true" outlineLevel="0" collapsed="false"/>
    <row r="298" customFormat="false" ht="12.6" hidden="false" customHeight="true" outlineLevel="0" collapsed="false"/>
    <row r="299" customFormat="false" ht="12.6" hidden="false" customHeight="true" outlineLevel="0" collapsed="false"/>
    <row r="300" customFormat="false" ht="12.6" hidden="false" customHeight="true" outlineLevel="0" collapsed="false"/>
    <row r="301" customFormat="false" ht="12.6" hidden="false" customHeight="true" outlineLevel="0" collapsed="false"/>
    <row r="302" customFormat="false" ht="12.6" hidden="false" customHeight="true" outlineLevel="0" collapsed="false"/>
    <row r="303" customFormat="false" ht="12.6" hidden="false" customHeight="true" outlineLevel="0" collapsed="false"/>
    <row r="304" customFormat="false" ht="12.6" hidden="false" customHeight="true" outlineLevel="0" collapsed="false"/>
    <row r="305" customFormat="false" ht="12.6" hidden="false" customHeight="true" outlineLevel="0" collapsed="false"/>
    <row r="306" customFormat="false" ht="12.6" hidden="false" customHeight="true" outlineLevel="0" collapsed="false"/>
    <row r="307" customFormat="false" ht="12.6" hidden="false" customHeight="true" outlineLevel="0" collapsed="false"/>
    <row r="308" customFormat="false" ht="12.6" hidden="false" customHeight="true" outlineLevel="0" collapsed="false"/>
    <row r="309" customFormat="false" ht="12.6" hidden="false" customHeight="true" outlineLevel="0" collapsed="false"/>
    <row r="310" customFormat="false" ht="12.6" hidden="false" customHeight="true" outlineLevel="0" collapsed="false"/>
    <row r="311" customFormat="false" ht="12.6" hidden="false" customHeight="true" outlineLevel="0" collapsed="false"/>
    <row r="312" customFormat="false" ht="12.6" hidden="false" customHeight="true" outlineLevel="0" collapsed="false"/>
    <row r="313" customFormat="false" ht="12.6" hidden="false" customHeight="true" outlineLevel="0" collapsed="false"/>
    <row r="314" customFormat="false" ht="12.6" hidden="false" customHeight="true" outlineLevel="0" collapsed="false"/>
    <row r="315" customFormat="false" ht="12.6" hidden="false" customHeight="true" outlineLevel="0" collapsed="false"/>
    <row r="316" customFormat="false" ht="12.6" hidden="false" customHeight="true" outlineLevel="0" collapsed="false"/>
    <row r="317" customFormat="false" ht="12.6" hidden="false" customHeight="true" outlineLevel="0" collapsed="false"/>
    <row r="318" customFormat="false" ht="12.6" hidden="false" customHeight="true" outlineLevel="0" collapsed="false"/>
    <row r="319" customFormat="false" ht="12.6" hidden="false" customHeight="true" outlineLevel="0" collapsed="false"/>
    <row r="320" customFormat="false" ht="12.6" hidden="false" customHeight="true" outlineLevel="0" collapsed="false"/>
    <row r="321" customFormat="false" ht="12.6" hidden="false" customHeight="true" outlineLevel="0" collapsed="false"/>
    <row r="322" customFormat="false" ht="12.6" hidden="false" customHeight="true" outlineLevel="0" collapsed="false"/>
    <row r="323" customFormat="false" ht="12.6" hidden="false" customHeight="true" outlineLevel="0" collapsed="false"/>
    <row r="324" customFormat="false" ht="12.6" hidden="false" customHeight="true" outlineLevel="0" collapsed="false"/>
    <row r="325" customFormat="false" ht="12.6" hidden="false" customHeight="true" outlineLevel="0" collapsed="false"/>
    <row r="326" customFormat="false" ht="12.6" hidden="false" customHeight="true" outlineLevel="0" collapsed="false"/>
    <row r="327" customFormat="false" ht="12.6" hidden="false" customHeight="true" outlineLevel="0" collapsed="false"/>
    <row r="328" customFormat="false" ht="12.6" hidden="false" customHeight="true" outlineLevel="0" collapsed="false"/>
    <row r="329" customFormat="false" ht="12.6" hidden="false" customHeight="true" outlineLevel="0" collapsed="false"/>
  </sheetData>
  <printOptions headings="false" gridLines="false" gridLinesSet="true" horizontalCentered="true" verticalCentered="true"/>
  <pageMargins left="0.747916666666667" right="0.747916666666667" top="0.984027777777778" bottom="4.87013888888889" header="0.511811023622047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6"/>
  <sheetViews>
    <sheetView showFormulas="false" showGridLines="true" showRowColHeaders="true" showZeros="true" rightToLeft="false" tabSelected="false" showOutlineSymbols="true" defaultGridColor="true" view="normal" topLeftCell="A61" colorId="64" zoomScale="75" zoomScaleNormal="75" zoomScalePageLayoutView="25" workbookViewId="0">
      <selection pane="topLeft" activeCell="B8" activeCellId="0" sqref="B8"/>
    </sheetView>
  </sheetViews>
  <sheetFormatPr defaultColWidth="9.28125" defaultRowHeight="12.6" customHeight="true" zeroHeight="false" outlineLevelRow="0" outlineLevelCol="0"/>
  <cols>
    <col collapsed="false" customWidth="true" hidden="false" outlineLevel="0" max="1" min="1" style="236" width="26.99"/>
    <col collapsed="false" customWidth="true" hidden="false" outlineLevel="0" max="2" min="2" style="236" width="14.85"/>
    <col collapsed="false" customWidth="true" hidden="false" outlineLevel="0" max="18" min="3" style="237" width="9.7"/>
    <col collapsed="false" customWidth="true" hidden="false" outlineLevel="0" max="27" min="19" style="0" width="9.7"/>
    <col collapsed="false" customWidth="false" hidden="false" outlineLevel="0" max="29" min="28" style="237" width="9.28"/>
    <col collapsed="false" customWidth="true" hidden="false" outlineLevel="0" max="30" min="30" style="0" width="9.7"/>
    <col collapsed="false" customWidth="true" hidden="false" outlineLevel="0" max="31" min="31" style="237" width="10.71"/>
    <col collapsed="false" customWidth="false" hidden="false" outlineLevel="0" max="257" min="32" style="237" width="9.28"/>
  </cols>
  <sheetData>
    <row r="1" customFormat="false" ht="26.25" hidden="false" customHeight="true" outlineLevel="0" collapsed="false">
      <c r="A1" s="160" t="str">
        <f aca="false">'Project Assumptions'!$A$2</f>
        <v>PROJECT DOYLE</v>
      </c>
      <c r="B1" s="0"/>
      <c r="AC1" s="238"/>
    </row>
    <row r="2" customFormat="false" ht="15.6" hidden="false" customHeight="true" outlineLevel="0" collapsed="false">
      <c r="A2" s="162" t="s">
        <v>314</v>
      </c>
      <c r="B2" s="184"/>
      <c r="C2" s="239"/>
      <c r="D2" s="239"/>
      <c r="E2" s="239"/>
      <c r="F2" s="239"/>
      <c r="G2" s="239"/>
      <c r="H2" s="239"/>
      <c r="I2" s="239"/>
      <c r="J2" s="241"/>
      <c r="K2" s="241"/>
      <c r="L2" s="241"/>
      <c r="M2" s="241"/>
      <c r="N2" s="241"/>
      <c r="O2" s="241"/>
      <c r="P2" s="241"/>
      <c r="Q2" s="241"/>
      <c r="R2" s="241"/>
      <c r="AB2" s="242"/>
      <c r="AC2" s="243"/>
      <c r="AD2" s="184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  <c r="CP2" s="242"/>
      <c r="CQ2" s="242"/>
      <c r="CR2" s="242"/>
      <c r="CS2" s="242"/>
      <c r="CT2" s="242"/>
      <c r="CU2" s="242"/>
      <c r="CV2" s="242"/>
      <c r="CW2" s="242"/>
      <c r="CX2" s="242"/>
      <c r="CY2" s="242"/>
      <c r="CZ2" s="242"/>
      <c r="DA2" s="242"/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42"/>
      <c r="DV2" s="242"/>
      <c r="DW2" s="242"/>
      <c r="DX2" s="242"/>
      <c r="DY2" s="242"/>
      <c r="DZ2" s="242"/>
      <c r="EA2" s="242"/>
      <c r="EB2" s="242"/>
      <c r="EC2" s="242"/>
      <c r="ED2" s="242"/>
      <c r="EE2" s="242"/>
      <c r="EF2" s="242"/>
      <c r="EG2" s="242"/>
      <c r="EH2" s="242"/>
      <c r="EI2" s="242"/>
      <c r="EJ2" s="242"/>
      <c r="EK2" s="242"/>
      <c r="EL2" s="242"/>
      <c r="EM2" s="242"/>
      <c r="EN2" s="242"/>
      <c r="EO2" s="242"/>
      <c r="EP2" s="242"/>
      <c r="EQ2" s="242"/>
      <c r="ER2" s="242"/>
      <c r="ES2" s="242"/>
      <c r="ET2" s="242"/>
      <c r="EU2" s="242"/>
      <c r="EV2" s="242"/>
      <c r="EW2" s="242"/>
      <c r="EX2" s="242"/>
      <c r="EY2" s="242"/>
      <c r="EZ2" s="242"/>
      <c r="FA2" s="242"/>
      <c r="FB2" s="242"/>
      <c r="FC2" s="242"/>
      <c r="FD2" s="242"/>
      <c r="FE2" s="242"/>
      <c r="FF2" s="242"/>
      <c r="FG2" s="242"/>
      <c r="FH2" s="242"/>
      <c r="FI2" s="242"/>
      <c r="FJ2" s="242"/>
      <c r="FK2" s="242"/>
      <c r="FL2" s="242"/>
      <c r="FM2" s="242"/>
      <c r="FN2" s="242"/>
      <c r="FO2" s="242"/>
      <c r="FP2" s="242"/>
      <c r="FQ2" s="242"/>
      <c r="FR2" s="242"/>
      <c r="FS2" s="242"/>
      <c r="FT2" s="242"/>
      <c r="FU2" s="242"/>
      <c r="FV2" s="242"/>
      <c r="FW2" s="242"/>
      <c r="FX2" s="242"/>
      <c r="FY2" s="242"/>
      <c r="FZ2" s="242"/>
      <c r="GA2" s="242"/>
      <c r="GB2" s="242"/>
      <c r="GC2" s="242"/>
      <c r="GD2" s="242"/>
      <c r="GE2" s="242"/>
      <c r="GF2" s="242"/>
      <c r="GG2" s="242"/>
      <c r="GH2" s="242"/>
      <c r="GI2" s="242"/>
      <c r="GJ2" s="242"/>
      <c r="GK2" s="242"/>
      <c r="GL2" s="242"/>
      <c r="GM2" s="242"/>
      <c r="GN2" s="242"/>
      <c r="GO2" s="242"/>
      <c r="GP2" s="242"/>
      <c r="GQ2" s="242"/>
      <c r="GR2" s="242"/>
      <c r="GS2" s="242"/>
      <c r="GT2" s="242"/>
      <c r="GU2" s="242"/>
      <c r="GV2" s="242"/>
      <c r="GW2" s="242"/>
      <c r="GX2" s="242"/>
      <c r="GY2" s="242"/>
      <c r="GZ2" s="242"/>
      <c r="HA2" s="242"/>
      <c r="HB2" s="242"/>
      <c r="HC2" s="242"/>
      <c r="HD2" s="242"/>
      <c r="HE2" s="242"/>
      <c r="HF2" s="242"/>
      <c r="HG2" s="242"/>
      <c r="HH2" s="242"/>
      <c r="HI2" s="242"/>
      <c r="HJ2" s="242"/>
      <c r="HK2" s="242"/>
      <c r="HL2" s="242"/>
      <c r="HM2" s="242"/>
      <c r="HN2" s="242"/>
      <c r="HO2" s="242"/>
      <c r="HP2" s="242"/>
      <c r="HQ2" s="242"/>
      <c r="HR2" s="242"/>
      <c r="HS2" s="242"/>
      <c r="HT2" s="242"/>
      <c r="HU2" s="242"/>
      <c r="HV2" s="242"/>
      <c r="HW2" s="242"/>
      <c r="HX2" s="242"/>
      <c r="HY2" s="242"/>
      <c r="HZ2" s="242"/>
      <c r="IA2" s="242"/>
      <c r="IB2" s="242"/>
      <c r="IC2" s="242"/>
      <c r="ID2" s="242"/>
      <c r="IE2" s="242"/>
      <c r="IF2" s="242"/>
      <c r="IG2" s="242"/>
      <c r="IH2" s="242"/>
      <c r="II2" s="242"/>
      <c r="IJ2" s="242"/>
      <c r="IK2" s="242"/>
      <c r="IL2" s="242"/>
      <c r="IM2" s="242"/>
      <c r="IN2" s="242"/>
      <c r="IO2" s="242"/>
      <c r="IP2" s="242"/>
      <c r="IQ2" s="242"/>
      <c r="IR2" s="242"/>
      <c r="IS2" s="242"/>
      <c r="IT2" s="242"/>
      <c r="IU2" s="242"/>
      <c r="IV2" s="242"/>
      <c r="IW2" s="242"/>
    </row>
    <row r="3" customFormat="false" ht="12.6" hidden="false" customHeight="true" outlineLevel="0" collapsed="false">
      <c r="A3" s="245"/>
      <c r="B3" s="239"/>
      <c r="C3" s="242" t="n">
        <v>1</v>
      </c>
      <c r="D3" s="242" t="n">
        <v>2</v>
      </c>
      <c r="E3" s="242" t="n">
        <v>3</v>
      </c>
      <c r="F3" s="242" t="n">
        <v>4</v>
      </c>
      <c r="G3" s="242" t="n">
        <v>5</v>
      </c>
      <c r="H3" s="242" t="n">
        <v>6</v>
      </c>
      <c r="I3" s="268" t="n">
        <v>7</v>
      </c>
      <c r="J3" s="242" t="n">
        <v>8</v>
      </c>
      <c r="K3" s="242" t="n">
        <v>9</v>
      </c>
      <c r="L3" s="242" t="n">
        <v>10</v>
      </c>
      <c r="M3" s="242" t="n">
        <v>11</v>
      </c>
      <c r="N3" s="242" t="n">
        <v>12</v>
      </c>
      <c r="O3" s="268" t="n">
        <v>13</v>
      </c>
      <c r="P3" s="242" t="n">
        <v>14</v>
      </c>
      <c r="Q3" s="242" t="n">
        <v>15</v>
      </c>
      <c r="R3" s="242" t="n">
        <v>16</v>
      </c>
      <c r="AB3" s="242"/>
      <c r="AC3" s="243"/>
      <c r="AD3" s="184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  <c r="HO3" s="242"/>
      <c r="HP3" s="242"/>
      <c r="HQ3" s="242"/>
      <c r="HR3" s="242"/>
      <c r="HS3" s="242"/>
      <c r="HT3" s="242"/>
      <c r="HU3" s="242"/>
      <c r="HV3" s="242"/>
      <c r="HW3" s="242"/>
      <c r="HX3" s="242"/>
      <c r="HY3" s="242"/>
      <c r="HZ3" s="242"/>
      <c r="IA3" s="242"/>
      <c r="IB3" s="242"/>
      <c r="IC3" s="242"/>
      <c r="ID3" s="242"/>
      <c r="IE3" s="242"/>
      <c r="IF3" s="242"/>
      <c r="IG3" s="242"/>
      <c r="IH3" s="242"/>
      <c r="II3" s="242"/>
      <c r="IJ3" s="242"/>
      <c r="IK3" s="242"/>
      <c r="IL3" s="242"/>
      <c r="IM3" s="242"/>
      <c r="IN3" s="242"/>
      <c r="IO3" s="242"/>
      <c r="IP3" s="242"/>
      <c r="IQ3" s="242"/>
      <c r="IR3" s="242"/>
      <c r="IS3" s="242"/>
      <c r="IT3" s="242"/>
      <c r="IU3" s="242"/>
      <c r="IV3" s="242"/>
      <c r="IW3" s="242"/>
    </row>
    <row r="4" customFormat="false" ht="12.6" hidden="false" customHeight="true" outlineLevel="0" collapsed="false">
      <c r="A4" s="246"/>
      <c r="B4" s="242"/>
      <c r="C4" s="291" t="n">
        <f aca="false">YEAR('Project Assumptions'!$I$16)</f>
        <v>2000</v>
      </c>
      <c r="D4" s="291" t="n">
        <f aca="false">C4+1</f>
        <v>2001</v>
      </c>
      <c r="E4" s="291" t="n">
        <f aca="false">D4+1</f>
        <v>2002</v>
      </c>
      <c r="F4" s="291" t="n">
        <f aca="false">E4+1</f>
        <v>2003</v>
      </c>
      <c r="G4" s="291" t="n">
        <f aca="false">F4+1</f>
        <v>2004</v>
      </c>
      <c r="H4" s="291" t="n">
        <f aca="false">G4+1</f>
        <v>2005</v>
      </c>
      <c r="I4" s="291" t="n">
        <f aca="false">H4+1</f>
        <v>2006</v>
      </c>
      <c r="J4" s="291" t="n">
        <f aca="false">I4+1</f>
        <v>2007</v>
      </c>
      <c r="K4" s="291" t="n">
        <f aca="false">J4+1</f>
        <v>2008</v>
      </c>
      <c r="L4" s="291" t="n">
        <f aca="false">K4+1</f>
        <v>2009</v>
      </c>
      <c r="M4" s="291" t="n">
        <f aca="false">L4+1</f>
        <v>2010</v>
      </c>
      <c r="N4" s="291" t="n">
        <f aca="false">M4+1</f>
        <v>2011</v>
      </c>
      <c r="O4" s="291" t="n">
        <f aca="false">N4+1</f>
        <v>2012</v>
      </c>
      <c r="P4" s="291" t="n">
        <f aca="false">O4+1</f>
        <v>2013</v>
      </c>
      <c r="Q4" s="291" t="n">
        <f aca="false">P4+1</f>
        <v>2014</v>
      </c>
      <c r="R4" s="291" t="n">
        <f aca="false">Q4+1</f>
        <v>2015</v>
      </c>
      <c r="AB4" s="291"/>
      <c r="AC4" s="291"/>
      <c r="AD4" s="184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  <c r="IU4" s="242"/>
      <c r="IV4" s="242"/>
      <c r="IW4" s="242"/>
    </row>
    <row r="5" customFormat="false" ht="12.6" hidden="false" customHeight="true" outlineLevel="0" collapsed="false">
      <c r="A5" s="246" t="s">
        <v>315</v>
      </c>
      <c r="B5" s="242"/>
      <c r="C5" s="332" t="n">
        <f aca="false">ROUND((DATE(D4,1,1)-'Project Assumptions'!$F$21)/30.4375,1)*'Project Assumptions'!$I$21/'Project Assumptions'!$I$26+ROUND((DATE(D4,1,1)-'Project Assumptions'!$F$22)/30.4375,1)*'Project Assumptions'!$I$22/'Project Assumptions'!$I$26+ROUND((DATE(D4,1,1)-'Project Assumptions'!$F$23)/30.4375,1)*'Project Assumptions'!$I$23/'Project Assumptions'!$I$26+ROUND((DATE(D4,1,1)-'Project Assumptions'!$F$24)/30.4375,1)*'Project Assumptions'!$I$24/'Project Assumptions'!$I$26+ROUND((DATE(D4,1,1)-'Project Assumptions'!$F$25)/30.4375,1)*'Project Assumptions'!$I$25/'Project Assumptions'!$I$26</f>
        <v>6.325</v>
      </c>
      <c r="D5" s="333" t="n">
        <f aca="false">IF(D$3&lt;='Project Assumptions'!$I$15,12,IF(AND($C$5&lt;&gt;12,D$3='Project Assumptions'!$I$15+1),12-$C$5,0))</f>
        <v>12</v>
      </c>
      <c r="E5" s="333" t="n">
        <f aca="false">IF(E$3&lt;='Project Assumptions'!$I$15,12,IF(AND($C$5&lt;&gt;12,E$3='Project Assumptions'!$I$15+1),12-$C$5,0))</f>
        <v>12</v>
      </c>
      <c r="F5" s="333" t="n">
        <f aca="false">IF(F$3&lt;='Project Assumptions'!$I$15,12,IF(AND($C$5&lt;&gt;12,F$3='Project Assumptions'!$I$15+1),12-$C$5,0))</f>
        <v>12</v>
      </c>
      <c r="G5" s="333" t="n">
        <f aca="false">IF(G$3&lt;='Project Assumptions'!$I$15,12,IF(AND($C$5&lt;&gt;12,G$3='Project Assumptions'!$I$15+1),12-$C$5,0))</f>
        <v>12</v>
      </c>
      <c r="H5" s="333" t="n">
        <f aca="false">IF(H$3&lt;='Project Assumptions'!$I$15,12,IF(AND($C$5&lt;&gt;12,H$3='Project Assumptions'!$I$15+1),12-$C$5,0))</f>
        <v>12</v>
      </c>
      <c r="I5" s="333" t="n">
        <f aca="false">IF(I$3&lt;='Project Assumptions'!$I$15,12,IF(AND($C$5&lt;&gt;12,I$3='Project Assumptions'!$I$15+1),12-$C$5,0))</f>
        <v>12</v>
      </c>
      <c r="J5" s="333" t="n">
        <f aca="false">IF(J$3&lt;='Project Assumptions'!$I$15,12,IF(AND($C$5&lt;&gt;12,J$3='Project Assumptions'!$I$15+1),12-$C$5,0))</f>
        <v>12</v>
      </c>
      <c r="K5" s="333" t="n">
        <f aca="false">IF(K$3&lt;='Project Assumptions'!$I$15,12,IF(AND($C$5&lt;&gt;12,K$3='Project Assumptions'!$I$15+1),12-$C$5,0))</f>
        <v>12</v>
      </c>
      <c r="L5" s="333" t="n">
        <f aca="false">IF(L$3&lt;='Project Assumptions'!$I$15,12,IF(AND($C$5&lt;&gt;12,L$3='Project Assumptions'!$I$15+1),12-$C$5,0))</f>
        <v>12</v>
      </c>
      <c r="M5" s="333" t="n">
        <f aca="false">IF(M$3&lt;='Project Assumptions'!$I$15,12,IF(AND($C$5&lt;&gt;12,M$3='Project Assumptions'!$I$15+1),12-$C$5,0))</f>
        <v>12</v>
      </c>
      <c r="N5" s="333" t="n">
        <f aca="false">IF(N$3&lt;='Project Assumptions'!$I$15,12,IF(AND($C$5&lt;&gt;12,N$3='Project Assumptions'!$I$15+1),12-$C$5,0))</f>
        <v>12</v>
      </c>
      <c r="O5" s="333" t="n">
        <f aca="false">IF(O$3&lt;='Project Assumptions'!$I$15,12,IF(AND($C$5&lt;&gt;12,O$3='Project Assumptions'!$I$15+1),12-$C$5,0))</f>
        <v>12</v>
      </c>
      <c r="P5" s="333" t="n">
        <f aca="false">IF(P$3&lt;='Project Assumptions'!$I$15,12,IF(AND($C$5&lt;&gt;12,P$3='Project Assumptions'!$I$15+1),12-$C$5,0))</f>
        <v>12</v>
      </c>
      <c r="Q5" s="333" t="n">
        <f aca="false">IF(Q$3&lt;='Project Assumptions'!$I$15,12,IF(AND($C$5&lt;&gt;12,Q$3='Project Assumptions'!$I$15+1),12-$C$5,0))</f>
        <v>12</v>
      </c>
      <c r="R5" s="333" t="n">
        <f aca="false">IF(R$3&lt;='Project Assumptions'!$I$15,12,IF(AND($C$5&lt;&gt;12,R$3='Project Assumptions'!$I$15+1),12-ROUND((DATE(D4,1,1)-'Project Assumptions'!$F$25)/30.4375,1),0))</f>
        <v>8</v>
      </c>
      <c r="AB5" s="291"/>
      <c r="AC5" s="291"/>
      <c r="AD5" s="184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  <c r="IW5" s="242"/>
    </row>
    <row r="6" customFormat="false" ht="12.75" hidden="false" customHeight="true" outlineLevel="0" collapsed="false">
      <c r="A6" s="245" t="s">
        <v>316</v>
      </c>
      <c r="B6" s="242"/>
      <c r="C6" s="334" t="n">
        <v>6.21116071428571</v>
      </c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AB6" s="242"/>
      <c r="AC6" s="242"/>
      <c r="AD6" s="184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  <c r="IQ6" s="242"/>
      <c r="IR6" s="242"/>
      <c r="IS6" s="242"/>
      <c r="IT6" s="242"/>
      <c r="IU6" s="242"/>
      <c r="IV6" s="242"/>
      <c r="IW6" s="242"/>
    </row>
    <row r="7" customFormat="false" ht="12.75" hidden="false" customHeight="true" outlineLevel="0" collapsed="false">
      <c r="A7" s="248" t="s">
        <v>317</v>
      </c>
      <c r="B7" s="242"/>
      <c r="C7" s="239" t="n">
        <f aca="false">IF(C3&lt;='Project Assumptions'!$I$15+1,'PPA Assumptions'!C7*Operations!C12*C5,0)</f>
        <v>6243.8376</v>
      </c>
      <c r="D7" s="239" t="n">
        <f aca="false">IF(D3&lt;='Project Assumptions'!$I$15+1,'PPA Assumptions'!D7*Operations!D12*D5,0)</f>
        <v>11846.016</v>
      </c>
      <c r="E7" s="239" t="n">
        <f aca="false">IF(E3&lt;='Project Assumptions'!$I$15+1,'PPA Assumptions'!E7*Operations!E12*E5,0)</f>
        <v>11846.016</v>
      </c>
      <c r="F7" s="239" t="n">
        <f aca="false">IF(F3&lt;='Project Assumptions'!$I$15+1,'PPA Assumptions'!F7*Operations!F12*F5,0)</f>
        <v>11846.016</v>
      </c>
      <c r="G7" s="239" t="n">
        <f aca="false">IF(G3&lt;='Project Assumptions'!$I$15+1,'PPA Assumptions'!G7*Operations!G12*G5,0)</f>
        <v>11846.016</v>
      </c>
      <c r="H7" s="239" t="n">
        <f aca="false">IF(H3&lt;='Project Assumptions'!$I$15+1,'PPA Assumptions'!H7*Operations!H12*H5,0)</f>
        <v>11846.016</v>
      </c>
      <c r="I7" s="239" t="n">
        <f aca="false">IF(I3&lt;='Project Assumptions'!$I$15+1,'PPA Assumptions'!I7*Operations!I12*I5,0)</f>
        <v>11846.016</v>
      </c>
      <c r="J7" s="239" t="n">
        <f aca="false">IF(J3&lt;='Project Assumptions'!$I$15+1,'PPA Assumptions'!J7*Operations!J12*J5,0)</f>
        <v>11846.016</v>
      </c>
      <c r="K7" s="239" t="n">
        <f aca="false">IF(K3&lt;='Project Assumptions'!$I$15+1,'PPA Assumptions'!K7*Operations!K12*K5,0)</f>
        <v>11846.016</v>
      </c>
      <c r="L7" s="239" t="n">
        <f aca="false">IF(L3&lt;='Project Assumptions'!$I$15+1,'PPA Assumptions'!L7*Operations!L12*L5,0)</f>
        <v>11846.016</v>
      </c>
      <c r="M7" s="239" t="n">
        <f aca="false">IF(M3&lt;='Project Assumptions'!$I$15+1,'PPA Assumptions'!M7*Operations!M12*M5,0)</f>
        <v>11846.016</v>
      </c>
      <c r="N7" s="239" t="n">
        <f aca="false">IF(N3&lt;='Project Assumptions'!$I$15+1,'PPA Assumptions'!N7*Operations!N12*N5,0)</f>
        <v>11846.016</v>
      </c>
      <c r="O7" s="239" t="n">
        <f aca="false">IF(O3&lt;='Project Assumptions'!$I$15+1,'PPA Assumptions'!O7*Operations!O12*O5,0)</f>
        <v>11846.016</v>
      </c>
      <c r="P7" s="239" t="n">
        <f aca="false">IF(P3&lt;='Project Assumptions'!$I$15+1,'PPA Assumptions'!P7*Operations!P12*P5,0)</f>
        <v>11846.016</v>
      </c>
      <c r="Q7" s="239" t="n">
        <f aca="false">IF(Q3&lt;='Project Assumptions'!$I$15+1,'PPA Assumptions'!Q7*Operations!Q12*Q5,0)</f>
        <v>11846.016</v>
      </c>
      <c r="R7" s="239" t="n">
        <f aca="false">IF(R3&lt;='Project Assumptions'!$I$15+1,'PPA Assumptions'!R7*Operations!R12*R5,0)</f>
        <v>7897.344</v>
      </c>
      <c r="T7" s="267"/>
      <c r="U7" s="267"/>
      <c r="AB7" s="242"/>
      <c r="AC7" s="242"/>
      <c r="AD7" s="184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  <c r="IQ7" s="242"/>
      <c r="IR7" s="242"/>
      <c r="IS7" s="242"/>
      <c r="IT7" s="242"/>
      <c r="IU7" s="242"/>
      <c r="IV7" s="242"/>
      <c r="IW7" s="242"/>
    </row>
    <row r="8" customFormat="false" ht="12.75" hidden="false" customHeight="true" outlineLevel="0" collapsed="false">
      <c r="A8" s="248" t="s">
        <v>318</v>
      </c>
      <c r="B8" s="242"/>
      <c r="C8" s="254" t="n">
        <f aca="false">IF('Project Assumptions'!$C$71="YES",C5*'Project Assumptions'!$I$31*Operations!C12,0)</f>
        <v>182.7672</v>
      </c>
      <c r="D8" s="254" t="n">
        <f aca="false">IF(D$3&lt;='Project Assumptions'!$I$15,'Project Assumptions'!$I$31*(1+'Project Assumptions'!$N$19)*'Book Income Statement'!D5*Operations!C12,C8*D$5/12*(1+'Project Assumptions'!$N$19))</f>
        <v>353.68704</v>
      </c>
      <c r="E8" s="254" t="n">
        <f aca="false">IF(E$3&lt;='Project Assumptions'!$I$15,D8*(1+'Project Assumptions'!$N$19),D8*E$5/12*(1+'Project Assumptions'!$N$19))</f>
        <v>360.7607808</v>
      </c>
      <c r="F8" s="254" t="n">
        <f aca="false">IF(F$3&lt;='Project Assumptions'!$I$15,E8*(1+'Project Assumptions'!$N$19),E8*F$5/12*(1+'Project Assumptions'!$N$19))</f>
        <v>367.975996416</v>
      </c>
      <c r="G8" s="254" t="n">
        <f aca="false">IF(G$3&lt;='Project Assumptions'!$I$15,F8*(1+'Project Assumptions'!$N$19),F8*G$5/12*(1+'Project Assumptions'!$N$19))</f>
        <v>375.33551634432</v>
      </c>
      <c r="H8" s="254" t="n">
        <f aca="false">IF(H$3&lt;='Project Assumptions'!$I$15,G8*(1+'Project Assumptions'!$N$19),G8*H$5/12*(1+'Project Assumptions'!$N$19))</f>
        <v>382.842226671206</v>
      </c>
      <c r="I8" s="254" t="n">
        <f aca="false">IF(I$3&lt;='Project Assumptions'!$I$15,H8*(1+'Project Assumptions'!$N$19),H8*I$5/12*(1+'Project Assumptions'!$N$19))</f>
        <v>390.49907120463</v>
      </c>
      <c r="J8" s="254" t="n">
        <f aca="false">IF(J$3&lt;='Project Assumptions'!$I$15,I8*(1+'Project Assumptions'!$N$19),I8*J$5/12*(1+'Project Assumptions'!$N$19))</f>
        <v>398.309052628723</v>
      </c>
      <c r="K8" s="254" t="n">
        <f aca="false">IF(K$3&lt;='Project Assumptions'!$I$15,J8*(1+'Project Assumptions'!$N$19),J8*K$5/12*(1+'Project Assumptions'!$N$19))</f>
        <v>406.275233681298</v>
      </c>
      <c r="L8" s="254" t="n">
        <f aca="false">IF(L$3&lt;='Project Assumptions'!$I$15,K8*(1+'Project Assumptions'!$N$19),K8*L$5/12*(1+'Project Assumptions'!$N$19))</f>
        <v>414.400738354924</v>
      </c>
      <c r="M8" s="254" t="n">
        <f aca="false">IF(M$3&lt;='Project Assumptions'!$I$15,L8*(1+'Project Assumptions'!$N$19),L8*M$5/12*(1+'Project Assumptions'!$N$19))</f>
        <v>422.688753122022</v>
      </c>
      <c r="N8" s="254" t="n">
        <f aca="false">IF(N$3&lt;='Project Assumptions'!$I$15,M8*(1+'Project Assumptions'!$N$19),M8*N$5/12*(1+'Project Assumptions'!$N$19))</f>
        <v>431.142528184463</v>
      </c>
      <c r="O8" s="254" t="n">
        <f aca="false">IF(O$3&lt;='Project Assumptions'!$I$15,N8*(1+'Project Assumptions'!$N$19),N8*O$5/12*(1+'Project Assumptions'!$N$19))</f>
        <v>439.765378748152</v>
      </c>
      <c r="P8" s="254" t="n">
        <f aca="false">IF(P$3&lt;='Project Assumptions'!$I$15,O8*(1+'Project Assumptions'!$N$19),O8*P$5/12*(1+'Project Assumptions'!$N$19))</f>
        <v>448.560686323115</v>
      </c>
      <c r="Q8" s="254" t="n">
        <f aca="false">IF(Q$3&lt;='Project Assumptions'!$I$15,P8*(1+'Project Assumptions'!$N$19),P8*Q$5/12*(1+'Project Assumptions'!$N$19))</f>
        <v>457.531900049577</v>
      </c>
      <c r="R8" s="254" t="n">
        <f aca="false">IF(R$3&lt;='Project Assumptions'!$I$15,Q8*(1+'Project Assumptions'!$N$19),Q8*R$5/12*(1+'Project Assumptions'!$N$19))</f>
        <v>311.121692033712</v>
      </c>
      <c r="AB8" s="242"/>
      <c r="AC8" s="242"/>
      <c r="AD8" s="184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</row>
    <row r="9" customFormat="false" ht="12.75" hidden="false" customHeight="true" outlineLevel="0" collapsed="false">
      <c r="A9" s="248" t="s">
        <v>319</v>
      </c>
      <c r="B9" s="242"/>
      <c r="C9" s="254" t="n">
        <f aca="false">IF('Project Assumptions'!$C$71="YES",C73,0)</f>
        <v>1064.74238287962</v>
      </c>
      <c r="D9" s="254" t="n">
        <f aca="false">IF('Project Assumptions'!$C$71="YES",D73,0)</f>
        <v>2323.07515750301</v>
      </c>
      <c r="E9" s="254" t="n">
        <f aca="false">IF('Project Assumptions'!$C$71="YES",E73,0)</f>
        <v>2416.72579775983</v>
      </c>
      <c r="F9" s="254" t="n">
        <f aca="false">IF('Project Assumptions'!$C$71="YES",F73,0)</f>
        <v>2503.82562337884</v>
      </c>
      <c r="G9" s="254" t="n">
        <f aca="false">IF('Project Assumptions'!$C$71="YES",G73,0)</f>
        <v>2546.42677898858</v>
      </c>
      <c r="H9" s="254" t="n">
        <f aca="false">IF('Project Assumptions'!$C$71="YES",H73,0)</f>
        <v>2586.11996606217</v>
      </c>
      <c r="I9" s="254" t="n">
        <f aca="false">IF('Project Assumptions'!$C$71="YES",I73,0)</f>
        <v>2622.91933276056</v>
      </c>
      <c r="J9" s="254" t="n">
        <f aca="false">IF('Project Assumptions'!$C$71="YES",J73,0)</f>
        <v>2624.30092094333</v>
      </c>
      <c r="K9" s="254" t="n">
        <f aca="false">IF('Project Assumptions'!$C$71="YES",K73,0)</f>
        <v>2626.43321620674</v>
      </c>
      <c r="L9" s="254" t="n">
        <f aca="false">IF('Project Assumptions'!$C$71="YES",L73,0)</f>
        <v>2629.33123269241</v>
      </c>
      <c r="M9" s="254" t="n">
        <f aca="false">IF('Project Assumptions'!$C$71="YES",M73,0)</f>
        <v>2633.01028482478</v>
      </c>
      <c r="N9" s="254" t="n">
        <f aca="false">IF('Project Assumptions'!$C$71="YES",N73,0)</f>
        <v>2637.4859933168</v>
      </c>
      <c r="O9" s="254" t="n">
        <f aca="false">IF('Project Assumptions'!$C$71="YES",O73,0)</f>
        <v>2642.77429129565</v>
      </c>
      <c r="P9" s="254" t="n">
        <f aca="false">IF('Project Assumptions'!$C$71="YES",P73,0)</f>
        <v>2648.89143055106</v>
      </c>
      <c r="Q9" s="254" t="n">
        <f aca="false">IF('Project Assumptions'!$C$71="YES",Q73,0)</f>
        <v>2655.85398790858</v>
      </c>
      <c r="R9" s="254" t="n">
        <f aca="false">IF('Project Assumptions'!$C$71="YES",R73,0)</f>
        <v>1481.46335105208</v>
      </c>
      <c r="T9" s="267"/>
      <c r="U9" s="267"/>
      <c r="AB9" s="242"/>
      <c r="AC9" s="242"/>
      <c r="AD9" s="184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  <c r="IW9" s="242"/>
    </row>
    <row r="10" customFormat="false" ht="12.75" hidden="false" customHeight="true" outlineLevel="0" collapsed="false">
      <c r="A10" s="248" t="s">
        <v>320</v>
      </c>
      <c r="B10" s="242"/>
      <c r="C10" s="254" t="n">
        <f aca="false">Operations!C17*'PPA Assumptions'!C16/1000</f>
        <v>13635.9538</v>
      </c>
      <c r="D10" s="254" t="n">
        <f aca="false">Operations!D17*'PPA Assumptions'!D16/1000</f>
        <v>13822.5325</v>
      </c>
      <c r="E10" s="254" t="n">
        <f aca="false">Operations!E17*'PPA Assumptions'!E16/1000</f>
        <v>14122.785096</v>
      </c>
      <c r="F10" s="254" t="n">
        <f aca="false">Operations!F17*'PPA Assumptions'!F16/1000</f>
        <v>14310.03301392</v>
      </c>
      <c r="G10" s="254" t="n">
        <f aca="false">Operations!G17*'PPA Assumptions'!G16/1000</f>
        <v>14610.9682121984</v>
      </c>
      <c r="H10" s="254" t="n">
        <f aca="false">Operations!H17*'PPA Assumptions'!H16/1000</f>
        <v>14798.9123844424</v>
      </c>
      <c r="I10" s="254" t="n">
        <f aca="false">Operations!I17*'PPA Assumptions'!I16/1000</f>
        <v>15213.9003621312</v>
      </c>
      <c r="J10" s="254" t="n">
        <f aca="false">Operations!J17*'PPA Assumptions'!J16/1000</f>
        <v>15685.9254173738</v>
      </c>
      <c r="K10" s="254" t="n">
        <f aca="false">Operations!K17*'PPA Assumptions'!K16/1000</f>
        <v>16044.9809657213</v>
      </c>
      <c r="L10" s="254" t="n">
        <f aca="false">Operations!L17*'PPA Assumptions'!L16/1000</f>
        <v>16517.7596690357</v>
      </c>
      <c r="M10" s="254" t="n">
        <f aca="false">Operations!M17*'PPA Assumptions'!M16/1000</f>
        <v>16990.9265384165</v>
      </c>
      <c r="N10" s="254" t="n">
        <f aca="false">Operations!N17*'PPA Assumptions'!N16/1000</f>
        <v>17521.1606371848</v>
      </c>
      <c r="O10" s="254" t="n">
        <f aca="false">Operations!O17*'PPA Assumptions'!O16/1000</f>
        <v>17995.1272839285</v>
      </c>
      <c r="P10" s="254" t="n">
        <f aca="false">Operations!P17*'PPA Assumptions'!P16/1000</f>
        <v>18469.505855607</v>
      </c>
      <c r="Q10" s="254" t="n">
        <f aca="false">Operations!Q17*'PPA Assumptions'!Q16/1000</f>
        <v>19000.9758907192</v>
      </c>
      <c r="R10" s="254" t="n">
        <f aca="false">Operations!R17*'PPA Assumptions'!R16/1000</f>
        <v>0</v>
      </c>
      <c r="AB10" s="242"/>
      <c r="AC10" s="242"/>
      <c r="AD10" s="184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  <c r="IW10" s="242"/>
    </row>
    <row r="11" customFormat="false" ht="15" hidden="false" customHeight="true" outlineLevel="0" collapsed="false">
      <c r="A11" s="248" t="s">
        <v>321</v>
      </c>
      <c r="B11" s="242"/>
      <c r="C11" s="257" t="n">
        <f aca="false">IF(AND($C$5&lt;&gt;12,C3='Project Assumptions'!$I$15+1),'Project Assumptions'!$I$34-'Project Assumptions'!$I$33,IF(AND($C$5=12,C3='Project Assumptions'!$I$15),'Project Assumptions'!$I$34-'Project Assumptions'!$I$33,0))</f>
        <v>0</v>
      </c>
      <c r="D11" s="257" t="n">
        <f aca="false">IF(AND($C$5&lt;&gt;12,D3='Project Assumptions'!$I$15+1),'Project Assumptions'!$I$34-'Project Assumptions'!$I$33,IF(AND($C$5=12,D3='Project Assumptions'!$I$15),'Project Assumptions'!$I$34-'Project Assumptions'!$I$33,0))</f>
        <v>0</v>
      </c>
      <c r="E11" s="257" t="n">
        <f aca="false">IF(AND($C$5&lt;&gt;12,E3='Project Assumptions'!$I$15+1),'Project Assumptions'!$I$34-'Project Assumptions'!$I$33,IF(AND($C$5=12,E3='Project Assumptions'!$I$15),'Project Assumptions'!$I$34-'Project Assumptions'!$I$33,0))</f>
        <v>0</v>
      </c>
      <c r="F11" s="257" t="n">
        <f aca="false">IF(AND($C$5&lt;&gt;12,F3='Project Assumptions'!$I$15+1),'Project Assumptions'!$I$34-'Project Assumptions'!$I$33,IF(AND($C$5=12,F3='Project Assumptions'!$I$15),'Project Assumptions'!$I$34-'Project Assumptions'!$I$33,0))</f>
        <v>0</v>
      </c>
      <c r="G11" s="257" t="n">
        <f aca="false">IF(AND($C$5&lt;&gt;12,G3='Project Assumptions'!$I$15+1),'Project Assumptions'!$I$34-'Project Assumptions'!$I$33,IF(AND($C$5=12,G3='Project Assumptions'!$I$15),'Project Assumptions'!$I$34-'Project Assumptions'!$I$33,0))</f>
        <v>0</v>
      </c>
      <c r="H11" s="257" t="n">
        <f aca="false">IF(AND($C$5&lt;&gt;12,H3='Project Assumptions'!$I$15+1),'Project Assumptions'!$I$34-'Project Assumptions'!$I$33,IF(AND($C$5=12,H3='Project Assumptions'!$I$15),'Project Assumptions'!$I$34-'Project Assumptions'!$I$33,0))</f>
        <v>0</v>
      </c>
      <c r="I11" s="257" t="n">
        <f aca="false">IF(AND($C$5&lt;&gt;12,I3='Project Assumptions'!$I$15+1),'Project Assumptions'!$I$34-'Project Assumptions'!$I$33,IF(AND($C$5=12,I3='Project Assumptions'!$I$15),'Project Assumptions'!$I$34-'Project Assumptions'!$I$33,0))</f>
        <v>0</v>
      </c>
      <c r="J11" s="257" t="n">
        <f aca="false">IF(AND($C$5&lt;&gt;12,J3='Project Assumptions'!$I$15+1),'Project Assumptions'!$I$34-'Project Assumptions'!$I$33,IF(AND($C$5=12,J3='Project Assumptions'!$I$15),'Project Assumptions'!$I$34-'Project Assumptions'!$I$33,0))</f>
        <v>0</v>
      </c>
      <c r="K11" s="257" t="n">
        <f aca="false">IF(AND($C$5&lt;&gt;12,K3='Project Assumptions'!$I$15+1),'Project Assumptions'!$I$34-'Project Assumptions'!$I$33,IF(AND($C$5=12,K3='Project Assumptions'!$I$15),'Project Assumptions'!$I$34-'Project Assumptions'!$I$33,0))</f>
        <v>0</v>
      </c>
      <c r="L11" s="257" t="n">
        <f aca="false">IF(AND($C$5&lt;&gt;12,L3='Project Assumptions'!$I$15+1),'Project Assumptions'!$I$34-'Project Assumptions'!$I$33,IF(AND($C$5=12,L3='Project Assumptions'!$I$15),'Project Assumptions'!$I$34-'Project Assumptions'!$I$33,0))</f>
        <v>0</v>
      </c>
      <c r="M11" s="257" t="n">
        <f aca="false">IF(AND($C$5&lt;&gt;12,M3='Project Assumptions'!$I$15+1),'Project Assumptions'!$I$34-'Project Assumptions'!$I$33,IF(AND($C$5=12,M3='Project Assumptions'!$I$15),'Project Assumptions'!$I$34-'Project Assumptions'!$I$33,0))</f>
        <v>0</v>
      </c>
      <c r="N11" s="257" t="n">
        <f aca="false">IF(AND($C$5&lt;&gt;12,N3='Project Assumptions'!$I$15+1),'Project Assumptions'!$I$34-'Project Assumptions'!$I$33,IF(AND($C$5=12,N3='Project Assumptions'!$I$15),'Project Assumptions'!$I$34-'Project Assumptions'!$I$33,0))</f>
        <v>0</v>
      </c>
      <c r="O11" s="257" t="n">
        <f aca="false">IF(AND($C$5&lt;&gt;12,O3='Project Assumptions'!$I$15+1),'Project Assumptions'!$I$34-'Project Assumptions'!$I$33,IF(AND($C$5=12,O3='Project Assumptions'!$I$15),'Project Assumptions'!$I$34-'Project Assumptions'!$I$33,0))</f>
        <v>0</v>
      </c>
      <c r="P11" s="257" t="n">
        <f aca="false">IF(AND($C$5&lt;&gt;12,P3='Project Assumptions'!$I$15+1),'Project Assumptions'!$I$34-'Project Assumptions'!$I$33,IF(AND($C$5=12,P3='Project Assumptions'!$I$15),'Project Assumptions'!$I$34-'Project Assumptions'!$I$33,0))</f>
        <v>0</v>
      </c>
      <c r="Q11" s="257" t="n">
        <f aca="false">IF(AND($C$5&lt;&gt;12,Q3='Project Assumptions'!$I$15+1),'Project Assumptions'!$I$34-'Project Assumptions'!$I$33,IF(AND($C$5=12,Q3='Project Assumptions'!$I$15),'Project Assumptions'!$I$34-'Project Assumptions'!$I$33,0))</f>
        <v>0</v>
      </c>
      <c r="R11" s="257" t="n">
        <f aca="false">IF(AND($C$5&lt;&gt;12,R3='Project Assumptions'!$I$15+1),'Project Assumptions'!$I$34-'Project Assumptions'!$I$33,IF(AND($C$5=12,R3='Project Assumptions'!$I$15),'Project Assumptions'!$I$34-'Project Assumptions'!$I$33,0))</f>
        <v>10000</v>
      </c>
      <c r="T11" s="267"/>
      <c r="U11" s="267"/>
      <c r="AB11" s="242"/>
      <c r="AC11" s="242"/>
      <c r="AD11" s="184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  <c r="IW11" s="242"/>
    </row>
    <row r="12" customFormat="false" ht="12.75" hidden="false" customHeight="true" outlineLevel="0" collapsed="false">
      <c r="A12" s="245" t="s">
        <v>322</v>
      </c>
      <c r="B12" s="242"/>
      <c r="C12" s="239" t="n">
        <f aca="false">SUM(C7:C11)</f>
        <v>21127.3009828796</v>
      </c>
      <c r="D12" s="239" t="n">
        <f aca="false">SUM(D7:D11)</f>
        <v>28345.310697503</v>
      </c>
      <c r="E12" s="239" t="n">
        <f aca="false">SUM(E7:E11)</f>
        <v>28746.2876745598</v>
      </c>
      <c r="F12" s="239" t="n">
        <f aca="false">SUM(F7:F11)</f>
        <v>29027.8506337148</v>
      </c>
      <c r="G12" s="239" t="n">
        <f aca="false">SUM(G7:G11)</f>
        <v>29378.7465075313</v>
      </c>
      <c r="H12" s="239" t="n">
        <f aca="false">SUM(H7:H11)</f>
        <v>29613.8905771757</v>
      </c>
      <c r="I12" s="239" t="n">
        <f aca="false">SUM(I7:I11)</f>
        <v>30073.3347660964</v>
      </c>
      <c r="J12" s="239" t="n">
        <f aca="false">SUM(J7:J11)</f>
        <v>30554.5513909459</v>
      </c>
      <c r="K12" s="239" t="n">
        <f aca="false">SUM(K7:K11)</f>
        <v>30923.7054156094</v>
      </c>
      <c r="L12" s="239" t="n">
        <f aca="false">SUM(L7:L11)</f>
        <v>31407.5076400831</v>
      </c>
      <c r="M12" s="239" t="n">
        <f aca="false">SUM(M7:M11)</f>
        <v>31892.6415763633</v>
      </c>
      <c r="N12" s="239" t="n">
        <f aca="false">SUM(N7:N11)</f>
        <v>32435.805158686</v>
      </c>
      <c r="O12" s="239" t="n">
        <f aca="false">SUM(O7:O11)</f>
        <v>32923.6829539723</v>
      </c>
      <c r="P12" s="239" t="n">
        <f aca="false">SUM(P7:P11)</f>
        <v>33412.9739724812</v>
      </c>
      <c r="Q12" s="239" t="n">
        <f aca="false">SUM(Q7:Q11)</f>
        <v>33960.3777786774</v>
      </c>
      <c r="R12" s="239" t="n">
        <f aca="false">SUM(R7:R11)</f>
        <v>19689.9290430858</v>
      </c>
      <c r="AB12" s="242"/>
      <c r="AC12" s="242"/>
      <c r="AD12" s="184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  <c r="IW12" s="242"/>
    </row>
    <row r="13" customFormat="false" ht="12.75" hidden="false" customHeight="true" outlineLevel="0" collapsed="false">
      <c r="A13" s="248"/>
      <c r="B13" s="242" t="s">
        <v>323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AB13" s="242"/>
      <c r="AC13" s="242"/>
      <c r="AD13" s="184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  <c r="IW13" s="242"/>
    </row>
    <row r="14" customFormat="false" ht="12.75" hidden="false" customHeight="true" outlineLevel="0" collapsed="false">
      <c r="A14" s="245" t="s">
        <v>324</v>
      </c>
      <c r="B14" s="242"/>
      <c r="C14" s="336"/>
      <c r="D14" s="24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AB14" s="242"/>
      <c r="AC14" s="242"/>
      <c r="AD14" s="184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  <c r="IQ14" s="242"/>
      <c r="IR14" s="242"/>
      <c r="IS14" s="242"/>
      <c r="IT14" s="242"/>
      <c r="IU14" s="242"/>
      <c r="IV14" s="242"/>
      <c r="IW14" s="242"/>
    </row>
    <row r="15" customFormat="false" ht="12.75" hidden="false" customHeight="true" outlineLevel="0" collapsed="false">
      <c r="A15" s="248" t="s">
        <v>325</v>
      </c>
      <c r="B15" s="242"/>
      <c r="C15" s="239" t="n">
        <f aca="false">IF(C3&gt;'Project Assumptions'!$I$15+1,0,Operations!C21)</f>
        <v>12807.7138</v>
      </c>
      <c r="D15" s="239" t="n">
        <f aca="false">IF(D3&gt;'Project Assumptions'!$I$15+1,0,Operations!D21)</f>
        <v>12977.7277</v>
      </c>
      <c r="E15" s="239" t="n">
        <f aca="false">IF(E3&gt;'Project Assumptions'!$I$15+1,0,Operations!E21)</f>
        <v>13261.0842</v>
      </c>
      <c r="F15" s="239" t="n">
        <f aca="false">IF(F3&gt;'Project Assumptions'!$I$15+1,0,Operations!F21)</f>
        <v>13431.0981</v>
      </c>
      <c r="G15" s="239" t="n">
        <f aca="false">IF(G3&gt;'Project Assumptions'!$I$15+1,0,Operations!G21)</f>
        <v>13714.4546</v>
      </c>
      <c r="H15" s="239" t="n">
        <f aca="false">IF(H3&gt;'Project Assumptions'!$I$15+1,0,Operations!H21)</f>
        <v>13884.4685</v>
      </c>
      <c r="I15" s="239" t="n">
        <f aca="false">IF(I3&gt;'Project Assumptions'!$I$15+1,0,Operations!I21)</f>
        <v>14281.1676</v>
      </c>
      <c r="J15" s="239" t="n">
        <f aca="false">IF(J3&gt;'Project Assumptions'!$I$15+1,0,Operations!J21)</f>
        <v>14734.538</v>
      </c>
      <c r="K15" s="239" t="n">
        <f aca="false">IF(K3&gt;'Project Assumptions'!$I$15+1,0,Operations!K21)</f>
        <v>15074.5658</v>
      </c>
      <c r="L15" s="239" t="n">
        <f aca="false">IF(L3&gt;'Project Assumptions'!$I$15+1,0,Operations!L21)</f>
        <v>15527.9362</v>
      </c>
      <c r="M15" s="239" t="n">
        <f aca="false">IF(M3&gt;'Project Assumptions'!$I$15+1,0,Operations!M21)</f>
        <v>15981.3066</v>
      </c>
      <c r="N15" s="239" t="n">
        <f aca="false">IF(N3&gt;'Project Assumptions'!$I$15+1,0,Operations!N21)</f>
        <v>16491.3483</v>
      </c>
      <c r="O15" s="239" t="n">
        <f aca="false">IF(O3&gt;'Project Assumptions'!$I$15+1,0,Operations!O21)</f>
        <v>16944.7187</v>
      </c>
      <c r="P15" s="239" t="n">
        <f aca="false">IF(P3&gt;'Project Assumptions'!$I$15+1,0,Operations!P21)</f>
        <v>17398.0891</v>
      </c>
      <c r="Q15" s="239" t="n">
        <f aca="false">IF(Q3&gt;'Project Assumptions'!$I$15+1,0,Operations!Q21)</f>
        <v>17908.1308</v>
      </c>
      <c r="R15" s="239" t="n">
        <f aca="false">IF(R3&gt;'Project Assumptions'!$I$15+1,0,Operations!R21)</f>
        <v>0</v>
      </c>
      <c r="AB15" s="242"/>
      <c r="AC15" s="242"/>
      <c r="AD15" s="184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  <c r="IQ15" s="242"/>
      <c r="IR15" s="242"/>
      <c r="IS15" s="242"/>
      <c r="IT15" s="242"/>
      <c r="IU15" s="242"/>
      <c r="IV15" s="242"/>
      <c r="IW15" s="242"/>
    </row>
    <row r="16" customFormat="false" ht="12.75" hidden="false" customHeight="true" outlineLevel="0" collapsed="false">
      <c r="A16" s="248"/>
      <c r="B16" s="242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AB16" s="242"/>
      <c r="AC16" s="242"/>
      <c r="AD16" s="184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  <c r="IW16" s="242"/>
    </row>
    <row r="17" customFormat="false" ht="12.75" hidden="false" customHeight="true" outlineLevel="0" collapsed="false">
      <c r="A17" s="248" t="s">
        <v>326</v>
      </c>
      <c r="B17" s="242"/>
      <c r="C17" s="239" t="n">
        <f aca="false">('Project Assumptions'!$F$24-'Project Assumptions'!$I$16)*1+('Project Assumptions'!$F$25-'Project Assumptions'!$I$16)*1</f>
        <v>169</v>
      </c>
      <c r="D17" s="239" t="n">
        <v>0</v>
      </c>
      <c r="E17" s="239" t="n">
        <v>0</v>
      </c>
      <c r="F17" s="239" t="n">
        <v>0</v>
      </c>
      <c r="G17" s="239" t="n">
        <v>0</v>
      </c>
      <c r="H17" s="239" t="n">
        <v>0</v>
      </c>
      <c r="I17" s="239" t="n">
        <v>0</v>
      </c>
      <c r="J17" s="239" t="n">
        <v>0</v>
      </c>
      <c r="K17" s="239" t="n">
        <v>0</v>
      </c>
      <c r="L17" s="239" t="n">
        <v>0</v>
      </c>
      <c r="M17" s="239" t="n">
        <v>0</v>
      </c>
      <c r="N17" s="239" t="n">
        <v>0</v>
      </c>
      <c r="O17" s="239" t="n">
        <v>0</v>
      </c>
      <c r="P17" s="239" t="n">
        <v>0</v>
      </c>
      <c r="Q17" s="239" t="n">
        <v>0</v>
      </c>
      <c r="R17" s="239" t="n">
        <v>0</v>
      </c>
      <c r="AB17" s="242"/>
      <c r="AC17" s="242"/>
      <c r="AD17" s="184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  <c r="IW17" s="242"/>
    </row>
    <row r="18" customFormat="false" ht="12.75" hidden="false" customHeight="true" outlineLevel="0" collapsed="false">
      <c r="A18" s="248"/>
      <c r="B18" s="242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AB18" s="242"/>
      <c r="AC18" s="242"/>
      <c r="AD18" s="184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</row>
    <row r="19" customFormat="false" ht="12.75" hidden="false" customHeight="true" outlineLevel="0" collapsed="false">
      <c r="A19" s="18" t="s">
        <v>327</v>
      </c>
      <c r="B19" s="242"/>
      <c r="C19" s="254" t="n">
        <f aca="false">Variable</f>
        <v>283.356</v>
      </c>
      <c r="D19" s="254" t="n">
        <f aca="false">IF(D$3&gt;'Project Assumptions'!$I$15+1,0,IF(AND($C$5&lt;12,D3='Project Assumptions'!$I$15+1),0,C19*(1+'Project Assumptions'!$N$19)))</f>
        <v>289.02312</v>
      </c>
      <c r="E19" s="254" t="n">
        <f aca="false">IF(E$3&gt;'Project Assumptions'!$I$15+1,0,IF(AND($C$5&lt;12,E3='Project Assumptions'!$I$15+1),0,D19*(1+'Project Assumptions'!$N$19)))</f>
        <v>294.8035824</v>
      </c>
      <c r="F19" s="254" t="n">
        <f aca="false">IF(F$3&gt;'Project Assumptions'!$I$15+1,0,IF(AND($C$5&lt;12,F3='Project Assumptions'!$I$15+1),0,E19*(1+'Project Assumptions'!$N$19)))</f>
        <v>300.699654048</v>
      </c>
      <c r="G19" s="254" t="n">
        <f aca="false">IF(G$3&gt;'Project Assumptions'!$I$15+1,0,IF(AND($C$5&lt;12,G3='Project Assumptions'!$I$15+1),0,F19*(1+'Project Assumptions'!$N$19)))</f>
        <v>306.71364712896</v>
      </c>
      <c r="H19" s="254" t="n">
        <f aca="false">IF(H$3&gt;'Project Assumptions'!$I$15+1,0,IF(AND($C$5&lt;12,H3='Project Assumptions'!$I$15+1),0,G19*(1+'Project Assumptions'!$N$19)))</f>
        <v>312.847920071539</v>
      </c>
      <c r="I19" s="254" t="n">
        <f aca="false">IF(I$3&gt;'Project Assumptions'!$I$15+1,0,IF(AND($C$5&lt;12,I3='Project Assumptions'!$I$15+1),0,H19*(1+'Project Assumptions'!$N$19)))</f>
        <v>319.10487847297</v>
      </c>
      <c r="J19" s="254" t="n">
        <f aca="false">IF(J$3&gt;'Project Assumptions'!$I$15+1,0,IF(AND($C$5&lt;12,J3='Project Assumptions'!$I$15+1),0,I19*(1+'Project Assumptions'!$N$19)))</f>
        <v>325.48697604243</v>
      </c>
      <c r="K19" s="254" t="n">
        <f aca="false">IF(K$3&gt;'Project Assumptions'!$I$15+1,0,IF(AND($C$5&lt;12,K3='Project Assumptions'!$I$15+1),0,J19*(1+'Project Assumptions'!$N$19)))</f>
        <v>331.996715563278</v>
      </c>
      <c r="L19" s="254" t="n">
        <f aca="false">IF(L$3&gt;'Project Assumptions'!$I$15+1,0,IF(AND($C$5&lt;12,L3='Project Assumptions'!$I$15+1),0,K19*(1+'Project Assumptions'!$N$19)))</f>
        <v>338.636649874544</v>
      </c>
      <c r="M19" s="254" t="n">
        <f aca="false">IF(M$3&gt;'Project Assumptions'!$I$15+1,0,IF(AND($C$5&lt;12,M3='Project Assumptions'!$I$15+1),0,L19*(1+'Project Assumptions'!$N$19)))</f>
        <v>345.409382872035</v>
      </c>
      <c r="N19" s="254" t="n">
        <f aca="false">IF(N$3&gt;'Project Assumptions'!$I$15+1,0,IF(AND($C$5&lt;12,N3='Project Assumptions'!$I$15+1),0,M19*(1+'Project Assumptions'!$N$19)))</f>
        <v>352.317570529475</v>
      </c>
      <c r="O19" s="254" t="n">
        <f aca="false">IF(O$3&gt;'Project Assumptions'!$I$15+1,0,IF(AND($C$5&lt;12,O3='Project Assumptions'!$I$15+1),0,N19*(1+'Project Assumptions'!$N$19)))</f>
        <v>359.363921940065</v>
      </c>
      <c r="P19" s="254" t="n">
        <f aca="false">IF(P$3&gt;'Project Assumptions'!$I$15+1,0,IF(AND($C$5&lt;12,P3='Project Assumptions'!$I$15+1),0,O19*(1+'Project Assumptions'!$N$19)))</f>
        <v>366.551200378866</v>
      </c>
      <c r="Q19" s="254" t="n">
        <f aca="false">IF(Q$3&gt;'Project Assumptions'!$I$15+1,0,IF(AND($C$5&lt;12,Q3='Project Assumptions'!$I$15+1),0,P19*(1+'Project Assumptions'!$N$19)))</f>
        <v>373.882224386443</v>
      </c>
      <c r="R19" s="254" t="n">
        <f aca="false">IF(R$3&gt;'Project Assumptions'!$I$15+1,0,IF(AND($C$5&lt;12,R3='Project Assumptions'!$I$15+1),0,Q19*(1+'Project Assumptions'!$N$19)))</f>
        <v>0</v>
      </c>
      <c r="AB19" s="242"/>
      <c r="AC19" s="242"/>
      <c r="AD19" s="184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  <c r="IW19" s="242"/>
    </row>
    <row r="20" customFormat="false" ht="12.75" hidden="false" customHeight="true" outlineLevel="0" collapsed="false">
      <c r="A20" s="248" t="s">
        <v>328</v>
      </c>
      <c r="B20" s="242"/>
      <c r="C20" s="254" t="n">
        <f aca="false">'Project Assumptions'!$N$15</f>
        <v>200</v>
      </c>
      <c r="D20" s="254" t="n">
        <f aca="false">IF(D$3&gt;'Project Assumptions'!$I$15+1,0,IF(AND($C$5&lt;12,D3='Project Assumptions'!$I$15+1),0,C20*(1+'Project Assumptions'!$N$19)))</f>
        <v>204</v>
      </c>
      <c r="E20" s="254" t="n">
        <f aca="false">IF(E$3&gt;'Project Assumptions'!$I$15+1,0,IF(AND($C$5&lt;12,E3='Project Assumptions'!$I$15+1),0,D20*(1+'Project Assumptions'!$N$19)))</f>
        <v>208.08</v>
      </c>
      <c r="F20" s="254" t="n">
        <f aca="false">IF(F$3&gt;'Project Assumptions'!$I$15+1,0,IF(AND($C$5&lt;12,F3='Project Assumptions'!$I$15+1),0,E20*(1+'Project Assumptions'!$N$19)))</f>
        <v>212.2416</v>
      </c>
      <c r="G20" s="254" t="n">
        <f aca="false">IF(G$3&gt;'Project Assumptions'!$I$15+1,0,IF(AND($C$5&lt;12,G3='Project Assumptions'!$I$15+1),0,F20*(1+'Project Assumptions'!$N$19)))</f>
        <v>216.486432</v>
      </c>
      <c r="H20" s="254" t="n">
        <f aca="false">IF(H$3&gt;'Project Assumptions'!$I$15+1,0,IF(AND($C$5&lt;12,H3='Project Assumptions'!$I$15+1),0,G20*(1+'Project Assumptions'!$N$19)))</f>
        <v>220.81616064</v>
      </c>
      <c r="I20" s="254" t="n">
        <f aca="false">IF(I$3&gt;'Project Assumptions'!$I$15+1,0,IF(AND($C$5&lt;12,I3='Project Assumptions'!$I$15+1),0,H20*(1+'Project Assumptions'!$N$19)))</f>
        <v>225.2324838528</v>
      </c>
      <c r="J20" s="254" t="n">
        <f aca="false">IF(J$3&gt;'Project Assumptions'!$I$15+1,0,IF(AND($C$5&lt;12,J3='Project Assumptions'!$I$15+1),0,I20*(1+'Project Assumptions'!$N$19)))</f>
        <v>229.737133529856</v>
      </c>
      <c r="K20" s="254" t="n">
        <f aca="false">IF(K$3&gt;'Project Assumptions'!$I$15+1,0,IF(AND($C$5&lt;12,K3='Project Assumptions'!$I$15+1),0,J20*(1+'Project Assumptions'!$N$19)))</f>
        <v>234.331876200453</v>
      </c>
      <c r="L20" s="254" t="n">
        <f aca="false">IF(L$3&gt;'Project Assumptions'!$I$15+1,0,IF(AND($C$5&lt;12,L3='Project Assumptions'!$I$15+1),0,K20*(1+'Project Assumptions'!$N$19)))</f>
        <v>239.018513724462</v>
      </c>
      <c r="M20" s="254" t="n">
        <f aca="false">IF(M$3&gt;'Project Assumptions'!$I$15+1,0,IF(AND($C$5&lt;12,M3='Project Assumptions'!$I$15+1),0,L20*(1+'Project Assumptions'!$N$19)))</f>
        <v>243.798883998951</v>
      </c>
      <c r="N20" s="254" t="n">
        <f aca="false">IF(N$3&gt;'Project Assumptions'!$I$15+1,0,IF(AND($C$5&lt;12,N3='Project Assumptions'!$I$15+1),0,M20*(1+'Project Assumptions'!$N$19)))</f>
        <v>248.67486167893</v>
      </c>
      <c r="O20" s="254" t="n">
        <f aca="false">IF(O$3&gt;'Project Assumptions'!$I$15+1,0,IF(AND($C$5&lt;12,O3='Project Assumptions'!$I$15+1),0,N20*(1+'Project Assumptions'!$N$19)))</f>
        <v>253.648358912509</v>
      </c>
      <c r="P20" s="254" t="n">
        <f aca="false">IF(P$3&gt;'Project Assumptions'!$I$15+1,0,IF(AND($C$5&lt;12,P3='Project Assumptions'!$I$15+1),0,O20*(1+'Project Assumptions'!$N$19)))</f>
        <v>258.721326090759</v>
      </c>
      <c r="Q20" s="254" t="n">
        <f aca="false">IF(Q$3&gt;'Project Assumptions'!$I$15+1,0,IF(AND($C$5&lt;12,Q3='Project Assumptions'!$I$15+1),0,P20*(1+'Project Assumptions'!$N$19)))</f>
        <v>263.895752612575</v>
      </c>
      <c r="R20" s="254" t="n">
        <f aca="false">IF(R$3&gt;'Project Assumptions'!$I$15+1,0,IF(AND($C$5&lt;12,R3='Project Assumptions'!$I$15+1),0,Q20*(1+'Project Assumptions'!$N$19)))</f>
        <v>0</v>
      </c>
      <c r="AB20" s="242"/>
      <c r="AC20" s="242"/>
      <c r="AD20" s="184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  <c r="BR20" s="242"/>
      <c r="BS20" s="242"/>
      <c r="BT20" s="242"/>
      <c r="BU20" s="242"/>
      <c r="BV20" s="242"/>
      <c r="BW20" s="242"/>
      <c r="BX20" s="242"/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42"/>
      <c r="CR20" s="242"/>
      <c r="CS20" s="242"/>
      <c r="CT20" s="242"/>
      <c r="CU20" s="242"/>
      <c r="CV20" s="242"/>
      <c r="CW20" s="242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242"/>
      <c r="EX20" s="242"/>
      <c r="EY20" s="242"/>
      <c r="EZ20" s="242"/>
      <c r="FA20" s="242"/>
      <c r="FB20" s="242"/>
      <c r="FC20" s="242"/>
      <c r="FD20" s="242"/>
      <c r="FE20" s="242"/>
      <c r="FF20" s="242"/>
      <c r="FG20" s="242"/>
      <c r="FH20" s="242"/>
      <c r="FI20" s="242"/>
      <c r="FJ20" s="242"/>
      <c r="FK20" s="242"/>
      <c r="FL20" s="242"/>
      <c r="FM20" s="242"/>
      <c r="FN20" s="242"/>
      <c r="FO20" s="242"/>
      <c r="FP20" s="242"/>
      <c r="FQ20" s="242"/>
      <c r="FR20" s="242"/>
      <c r="FS20" s="242"/>
      <c r="FT20" s="242"/>
      <c r="FU20" s="242"/>
      <c r="FV20" s="242"/>
      <c r="FW20" s="242"/>
      <c r="FX20" s="242"/>
      <c r="FY20" s="242"/>
      <c r="FZ20" s="242"/>
      <c r="GA20" s="242"/>
      <c r="GB20" s="242"/>
      <c r="GC20" s="242"/>
      <c r="GD20" s="242"/>
      <c r="GE20" s="242"/>
      <c r="GF20" s="242"/>
      <c r="GG20" s="242"/>
      <c r="GH20" s="242"/>
      <c r="GI20" s="242"/>
      <c r="GJ20" s="242"/>
      <c r="GK20" s="242"/>
      <c r="GL20" s="242"/>
      <c r="GM20" s="242"/>
      <c r="GN20" s="242"/>
      <c r="GO20" s="242"/>
      <c r="GP20" s="242"/>
      <c r="GQ20" s="242"/>
      <c r="GR20" s="242"/>
      <c r="GS20" s="242"/>
      <c r="GT20" s="242"/>
      <c r="GU20" s="242"/>
      <c r="GV20" s="242"/>
      <c r="GW20" s="242"/>
      <c r="GX20" s="242"/>
      <c r="GY20" s="242"/>
      <c r="GZ20" s="242"/>
      <c r="HA20" s="242"/>
      <c r="HB20" s="242"/>
      <c r="HC20" s="242"/>
      <c r="HD20" s="242"/>
      <c r="HE20" s="242"/>
      <c r="HF20" s="242"/>
      <c r="HG20" s="242"/>
      <c r="HH20" s="242"/>
      <c r="HI20" s="242"/>
      <c r="HJ20" s="242"/>
      <c r="HK20" s="242"/>
      <c r="HL20" s="242"/>
      <c r="HM20" s="242"/>
      <c r="HN20" s="242"/>
      <c r="HO20" s="242"/>
      <c r="HP20" s="242"/>
      <c r="HQ20" s="242"/>
      <c r="HR20" s="242"/>
      <c r="HS20" s="242"/>
      <c r="HT20" s="242"/>
      <c r="HU20" s="242"/>
      <c r="HV20" s="242"/>
      <c r="HW20" s="242"/>
      <c r="HX20" s="242"/>
      <c r="HY20" s="242"/>
      <c r="HZ20" s="242"/>
      <c r="IA20" s="242"/>
      <c r="IB20" s="242"/>
      <c r="IC20" s="242"/>
      <c r="ID20" s="242"/>
      <c r="IE20" s="242"/>
      <c r="IF20" s="242"/>
      <c r="IG20" s="242"/>
      <c r="IH20" s="242"/>
      <c r="II20" s="242"/>
      <c r="IJ20" s="242"/>
      <c r="IK20" s="242"/>
      <c r="IL20" s="242"/>
      <c r="IM20" s="242"/>
      <c r="IN20" s="242"/>
      <c r="IO20" s="242"/>
      <c r="IP20" s="242"/>
      <c r="IQ20" s="242"/>
      <c r="IR20" s="242"/>
      <c r="IS20" s="242"/>
      <c r="IT20" s="242"/>
      <c r="IU20" s="242"/>
      <c r="IV20" s="242"/>
      <c r="IW20" s="242"/>
    </row>
    <row r="21" customFormat="false" ht="12.75" hidden="false" customHeight="true" outlineLevel="0" collapsed="false">
      <c r="A21" s="248" t="s">
        <v>329</v>
      </c>
      <c r="B21" s="242"/>
      <c r="C21" s="254" t="n">
        <f aca="false">'Project Assumptions'!$N$16</f>
        <v>128.029</v>
      </c>
      <c r="D21" s="254" t="n">
        <f aca="false">IF(D$3&gt;'Project Assumptions'!$I$15+1,0,IF(AND($C$5&lt;12,D3='Project Assumptions'!$I$15+1),0,((108.8*'Project Assumptions'!$I$8)+(94.3*'Project Assumptions'!$G$8))*'PPA Assumptions'!D26*'Project Assumptions'!$N$34/1000))</f>
        <v>129.7285</v>
      </c>
      <c r="E21" s="254" t="n">
        <f aca="false">IF(E$3&gt;'Project Assumptions'!$I$15+1,0,IF(AND($C$5&lt;12,E3='Project Assumptions'!$I$15+1),0,((108.8*'Project Assumptions'!$I$8)+(94.3*'Project Assumptions'!$G$8))*'PPA Assumptions'!E26*'Project Assumptions'!$N$34/1000))</f>
        <v>132.561</v>
      </c>
      <c r="F21" s="254" t="n">
        <f aca="false">IF(F$3&gt;'Project Assumptions'!$I$15+1,0,IF(AND($C$5&lt;12,F3='Project Assumptions'!$I$15+1),0,((108.8*'Project Assumptions'!$I$8)+(94.3*'Project Assumptions'!$G$8))*'PPA Assumptions'!F26*'Project Assumptions'!$N$34/1000))</f>
        <v>134.2605</v>
      </c>
      <c r="G21" s="254" t="n">
        <f aca="false">IF(G$3&gt;'Project Assumptions'!$I$15+1,0,IF(AND($C$5&lt;12,G3='Project Assumptions'!$I$15+1),0,((108.8*'Project Assumptions'!$I$8)+(94.3*'Project Assumptions'!$G$8))*'PPA Assumptions'!G26*'Project Assumptions'!$N$34/1000))</f>
        <v>137.093</v>
      </c>
      <c r="H21" s="254" t="n">
        <f aca="false">IF(H$3&gt;'Project Assumptions'!$I$15+1,0,IF(AND($C$5&lt;12,H3='Project Assumptions'!$I$15+1),0,((108.8*'Project Assumptions'!$I$8)+(94.3*'Project Assumptions'!$G$8))*'PPA Assumptions'!H26*'Project Assumptions'!$N$34/1000))</f>
        <v>138.7925</v>
      </c>
      <c r="I21" s="254" t="n">
        <f aca="false">IF(I$3&gt;'Project Assumptions'!$I$15+1,0,IF(AND($C$5&lt;12,I3='Project Assumptions'!$I$15+1),0,((108.8*'Project Assumptions'!$I$8)+(94.3*'Project Assumptions'!$G$8))*'PPA Assumptions'!I26*'Project Assumptions'!$N$34/1000))</f>
        <v>142.758</v>
      </c>
      <c r="J21" s="254" t="n">
        <f aca="false">IF(J$3&gt;'Project Assumptions'!$I$15+1,0,IF(AND($C$5&lt;12,J3='Project Assumptions'!$I$15+1),0,((108.8*'Project Assumptions'!$I$8)+(94.3*'Project Assumptions'!$G$8))*'PPA Assumptions'!J26*'Project Assumptions'!$N$34/1000))</f>
        <v>147.29</v>
      </c>
      <c r="K21" s="254" t="n">
        <f aca="false">IF(K$3&gt;'Project Assumptions'!$I$15+1,0,IF(AND($C$5&lt;12,K3='Project Assumptions'!$I$15+1),0,((108.8*'Project Assumptions'!$I$8)+(94.3*'Project Assumptions'!$G$8))*'PPA Assumptions'!K26*'Project Assumptions'!$N$34/1000))</f>
        <v>150.689</v>
      </c>
      <c r="L21" s="254" t="n">
        <f aca="false">IF(L$3&gt;'Project Assumptions'!$I$15+1,0,IF(AND($C$5&lt;12,L3='Project Assumptions'!$I$15+1),0,((108.8*'Project Assumptions'!$I$8)+(94.3*'Project Assumptions'!$G$8))*'PPA Assumptions'!L26*'Project Assumptions'!$N$34/1000))</f>
        <v>155.221</v>
      </c>
      <c r="M21" s="254" t="n">
        <f aca="false">IF(M$3&gt;'Project Assumptions'!$I$15+1,0,IF(AND($C$5&lt;12,M3='Project Assumptions'!$I$15+1),0,((108.8*'Project Assumptions'!$I$8)+(94.3*'Project Assumptions'!$G$8))*'PPA Assumptions'!M26*'Project Assumptions'!$N$34/1000))</f>
        <v>159.753</v>
      </c>
      <c r="N21" s="254" t="n">
        <f aca="false">IF(N$3&gt;'Project Assumptions'!$I$15+1,0,IF(AND($C$5&lt;12,N3='Project Assumptions'!$I$15+1),0,((108.8*'Project Assumptions'!$I$8)+(94.3*'Project Assumptions'!$G$8))*'PPA Assumptions'!N26*'Project Assumptions'!$N$34/1000))</f>
        <v>164.8515</v>
      </c>
      <c r="O21" s="254" t="n">
        <f aca="false">IF(O$3&gt;'Project Assumptions'!$I$15+1,0,IF(AND($C$5&lt;12,O3='Project Assumptions'!$I$15+1),0,((108.8*'Project Assumptions'!$I$8)+(94.3*'Project Assumptions'!$G$8))*'PPA Assumptions'!O26*'Project Assumptions'!$N$34/1000))</f>
        <v>169.3835</v>
      </c>
      <c r="P21" s="254" t="n">
        <f aca="false">IF(P$3&gt;'Project Assumptions'!$I$15+1,0,IF(AND($C$5&lt;12,P3='Project Assumptions'!$I$15+1),0,((108.8*'Project Assumptions'!$I$8)+(94.3*'Project Assumptions'!$G$8))*'PPA Assumptions'!P26*'Project Assumptions'!$N$34/1000))</f>
        <v>173.9155</v>
      </c>
      <c r="Q21" s="254" t="n">
        <f aca="false">IF(Q$3&gt;'Project Assumptions'!$I$15+1,0,IF(AND($C$5&lt;12,Q3='Project Assumptions'!$I$15+1),0,((108.8*'Project Assumptions'!$I$8)+(94.3*'Project Assumptions'!$G$8))*'PPA Assumptions'!Q26*'Project Assumptions'!$N$34/1000))</f>
        <v>179.014</v>
      </c>
      <c r="R21" s="254" t="n">
        <f aca="false">IF(R$3&gt;'Project Assumptions'!$I$15+1,0,IF(AND($C$5&lt;12,R3='Project Assumptions'!$I$15+1),0,((108.8*'Project Assumptions'!$I$8)+(94.3*'Project Assumptions'!$G$8))*'PPA Assumptions'!R26*'Project Assumptions'!$N$34/1000))</f>
        <v>0</v>
      </c>
      <c r="AB21" s="242"/>
      <c r="AC21" s="242"/>
      <c r="AD21" s="184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42"/>
      <c r="CR21" s="242"/>
      <c r="CS21" s="242"/>
      <c r="CT21" s="242"/>
      <c r="CU21" s="242"/>
      <c r="CV21" s="242"/>
      <c r="CW21" s="242"/>
      <c r="CX21" s="242"/>
      <c r="CY21" s="242"/>
      <c r="CZ21" s="242"/>
      <c r="DA21" s="242"/>
      <c r="DB21" s="242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2"/>
      <c r="EQ21" s="242"/>
      <c r="ER21" s="242"/>
      <c r="ES21" s="242"/>
      <c r="ET21" s="242"/>
      <c r="EU21" s="242"/>
      <c r="EV21" s="242"/>
      <c r="EW21" s="242"/>
      <c r="EX21" s="242"/>
      <c r="EY21" s="242"/>
      <c r="EZ21" s="242"/>
      <c r="FA21" s="242"/>
      <c r="FB21" s="242"/>
      <c r="FC21" s="242"/>
      <c r="FD21" s="242"/>
      <c r="FE21" s="242"/>
      <c r="FF21" s="242"/>
      <c r="FG21" s="242"/>
      <c r="FH21" s="242"/>
      <c r="FI21" s="242"/>
      <c r="FJ21" s="242"/>
      <c r="FK21" s="242"/>
      <c r="FL21" s="242"/>
      <c r="FM21" s="242"/>
      <c r="FN21" s="242"/>
      <c r="FO21" s="242"/>
      <c r="FP21" s="242"/>
      <c r="FQ21" s="242"/>
      <c r="FR21" s="242"/>
      <c r="FS21" s="242"/>
      <c r="FT21" s="242"/>
      <c r="FU21" s="242"/>
      <c r="FV21" s="242"/>
      <c r="FW21" s="242"/>
      <c r="FX21" s="242"/>
      <c r="FY21" s="242"/>
      <c r="FZ21" s="242"/>
      <c r="GA21" s="242"/>
      <c r="GB21" s="242"/>
      <c r="GC21" s="242"/>
      <c r="GD21" s="242"/>
      <c r="GE21" s="242"/>
      <c r="GF21" s="242"/>
      <c r="GG21" s="242"/>
      <c r="GH21" s="242"/>
      <c r="GI21" s="242"/>
      <c r="GJ21" s="242"/>
      <c r="GK21" s="242"/>
      <c r="GL21" s="242"/>
      <c r="GM21" s="242"/>
      <c r="GN21" s="242"/>
      <c r="GO21" s="242"/>
      <c r="GP21" s="242"/>
      <c r="GQ21" s="242"/>
      <c r="GR21" s="242"/>
      <c r="GS21" s="242"/>
      <c r="GT21" s="242"/>
      <c r="GU21" s="242"/>
      <c r="GV21" s="242"/>
      <c r="GW21" s="242"/>
      <c r="GX21" s="242"/>
      <c r="GY21" s="242"/>
      <c r="GZ21" s="242"/>
      <c r="HA21" s="242"/>
      <c r="HB21" s="242"/>
      <c r="HC21" s="242"/>
      <c r="HD21" s="242"/>
      <c r="HE21" s="242"/>
      <c r="HF21" s="242"/>
      <c r="HG21" s="242"/>
      <c r="HH21" s="242"/>
      <c r="HI21" s="242"/>
      <c r="HJ21" s="242"/>
      <c r="HK21" s="242"/>
      <c r="HL21" s="242"/>
      <c r="HM21" s="242"/>
      <c r="HN21" s="242"/>
      <c r="HO21" s="242"/>
      <c r="HP21" s="242"/>
      <c r="HQ21" s="242"/>
      <c r="HR21" s="242"/>
      <c r="HS21" s="242"/>
      <c r="HT21" s="242"/>
      <c r="HU21" s="242"/>
      <c r="HV21" s="242"/>
      <c r="HW21" s="242"/>
      <c r="HX21" s="242"/>
      <c r="HY21" s="242"/>
      <c r="HZ21" s="242"/>
      <c r="IA21" s="242"/>
      <c r="IB21" s="242"/>
      <c r="IC21" s="242"/>
      <c r="ID21" s="242"/>
      <c r="IE21" s="242"/>
      <c r="IF21" s="242"/>
      <c r="IG21" s="242"/>
      <c r="IH21" s="242"/>
      <c r="II21" s="242"/>
      <c r="IJ21" s="242"/>
      <c r="IK21" s="242"/>
      <c r="IL21" s="242"/>
      <c r="IM21" s="242"/>
      <c r="IN21" s="242"/>
      <c r="IO21" s="242"/>
      <c r="IP21" s="242"/>
      <c r="IQ21" s="242"/>
      <c r="IR21" s="242"/>
      <c r="IS21" s="242"/>
      <c r="IT21" s="242"/>
      <c r="IU21" s="242"/>
      <c r="IV21" s="242"/>
      <c r="IW21" s="242"/>
    </row>
    <row r="22" customFormat="false" ht="15" hidden="false" customHeight="true" outlineLevel="0" collapsed="false">
      <c r="A22" s="248" t="s">
        <v>330</v>
      </c>
      <c r="B22" s="242"/>
      <c r="C22" s="257" t="n">
        <f aca="false">Maint_Accrual</f>
        <v>544.884</v>
      </c>
      <c r="D22" s="257" t="n">
        <f aca="false">IF(D$3&gt;'Project Assumptions'!$I$15+1,0,IF(AND($C$5&lt;12,D3='Project Assumptions'!$I$15+1),0,C22*(1+'Project Assumptions'!$N$19)))</f>
        <v>555.78168</v>
      </c>
      <c r="E22" s="257" t="n">
        <f aca="false">IF(E$3&gt;'Project Assumptions'!$I$15+1,0,IF(AND($C$5&lt;12,E3='Project Assumptions'!$I$15+1),0,D22*(1+'Project Assumptions'!$N$19)))</f>
        <v>566.8973136</v>
      </c>
      <c r="F22" s="257" t="n">
        <f aca="false">IF(F$3&gt;'Project Assumptions'!$I$15+1,0,IF(AND($C$5&lt;12,F3='Project Assumptions'!$I$15+1),0,E22*(1+'Project Assumptions'!$N$19)))</f>
        <v>578.235259872</v>
      </c>
      <c r="G22" s="257" t="n">
        <f aca="false">IF(G$3&gt;'Project Assumptions'!$I$15+1,0,IF(AND($C$5&lt;12,G3='Project Assumptions'!$I$15+1),0,F22*(1+'Project Assumptions'!$N$19)))</f>
        <v>589.79996506944</v>
      </c>
      <c r="H22" s="257" t="n">
        <f aca="false">IF(H$3&gt;'Project Assumptions'!$I$15+1,0,IF(AND($C$5&lt;12,H3='Project Assumptions'!$I$15+1),0,G22*(1+'Project Assumptions'!$N$19)))</f>
        <v>601.595964370829</v>
      </c>
      <c r="I22" s="257" t="n">
        <f aca="false">IF(I$3&gt;'Project Assumptions'!$I$15+1,0,IF(AND($C$5&lt;12,I3='Project Assumptions'!$I$15+1),0,H22*(1+'Project Assumptions'!$N$19)))</f>
        <v>613.627883658246</v>
      </c>
      <c r="J22" s="257" t="n">
        <f aca="false">IF(J$3&gt;'Project Assumptions'!$I$15+1,0,IF(AND($C$5&lt;12,J3='Project Assumptions'!$I$15+1),0,I22*(1+'Project Assumptions'!$N$19)))</f>
        <v>625.900441331411</v>
      </c>
      <c r="K22" s="257" t="n">
        <f aca="false">IF(K$3&gt;'Project Assumptions'!$I$15+1,0,IF(AND($C$5&lt;12,K3='Project Assumptions'!$I$15+1),0,J22*(1+'Project Assumptions'!$N$19)))</f>
        <v>638.418450158039</v>
      </c>
      <c r="L22" s="257" t="n">
        <f aca="false">IF(L$3&gt;'Project Assumptions'!$I$15+1,0,IF(AND($C$5&lt;12,L3='Project Assumptions'!$I$15+1),0,K22*(1+'Project Assumptions'!$N$19)))</f>
        <v>651.1868191612</v>
      </c>
      <c r="M22" s="257" t="n">
        <f aca="false">IF(M$3&gt;'Project Assumptions'!$I$15+1,0,IF(AND($C$5&lt;12,M3='Project Assumptions'!$I$15+1),0,L22*(1+'Project Assumptions'!$N$19)))</f>
        <v>664.210555544424</v>
      </c>
      <c r="N22" s="257" t="n">
        <f aca="false">IF(N$3&gt;'Project Assumptions'!$I$15+1,0,IF(AND($C$5&lt;12,N3='Project Assumptions'!$I$15+1),0,M22*(1+'Project Assumptions'!$N$19)))</f>
        <v>677.494766655312</v>
      </c>
      <c r="O22" s="257" t="n">
        <f aca="false">IF(O$3&gt;'Project Assumptions'!$I$15+1,0,IF(AND($C$5&lt;12,O3='Project Assumptions'!$I$15+1),0,N22*(1+'Project Assumptions'!$N$19)))</f>
        <v>691.044661988418</v>
      </c>
      <c r="P22" s="257" t="n">
        <f aca="false">IF(P$3&gt;'Project Assumptions'!$I$15+1,0,IF(AND($C$5&lt;12,P3='Project Assumptions'!$I$15+1),0,O22*(1+'Project Assumptions'!$N$19)))</f>
        <v>704.865555228187</v>
      </c>
      <c r="Q22" s="257" t="n">
        <f aca="false">IF(Q$3&gt;'Project Assumptions'!$I$15+1,0,IF(AND($C$5&lt;12,Q3='Project Assumptions'!$I$15+1),0,P22*(1+'Project Assumptions'!$N$19)))</f>
        <v>718.962866332751</v>
      </c>
      <c r="R22" s="257" t="n">
        <f aca="false">IF(R$3&gt;'Project Assumptions'!$I$15+1,0,IF(AND($C$5&lt;12,R3='Project Assumptions'!$I$15+1),0,Q22*(1+'Project Assumptions'!$N$19)))</f>
        <v>0</v>
      </c>
      <c r="AB22" s="242"/>
      <c r="AC22" s="242"/>
      <c r="AD22" s="184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2"/>
      <c r="GC22" s="242"/>
      <c r="GD22" s="242"/>
      <c r="GE22" s="242"/>
      <c r="GF22" s="242"/>
      <c r="GG22" s="242"/>
      <c r="GH22" s="242"/>
      <c r="GI22" s="242"/>
      <c r="GJ22" s="242"/>
      <c r="GK22" s="242"/>
      <c r="GL22" s="242"/>
      <c r="GM22" s="242"/>
      <c r="GN22" s="242"/>
      <c r="GO22" s="242"/>
      <c r="GP22" s="242"/>
      <c r="GQ22" s="242"/>
      <c r="GR22" s="242"/>
      <c r="GS22" s="242"/>
      <c r="GT22" s="242"/>
      <c r="GU22" s="242"/>
      <c r="GV22" s="242"/>
      <c r="GW22" s="242"/>
      <c r="GX22" s="242"/>
      <c r="GY22" s="242"/>
      <c r="GZ22" s="242"/>
      <c r="HA22" s="242"/>
      <c r="HB22" s="242"/>
      <c r="HC22" s="242"/>
      <c r="HD22" s="242"/>
      <c r="HE22" s="242"/>
      <c r="HF22" s="242"/>
      <c r="HG22" s="242"/>
      <c r="HH22" s="242"/>
      <c r="HI22" s="242"/>
      <c r="HJ22" s="242"/>
      <c r="HK22" s="242"/>
      <c r="HL22" s="242"/>
      <c r="HM22" s="242"/>
      <c r="HN22" s="242"/>
      <c r="HO22" s="242"/>
      <c r="HP22" s="242"/>
      <c r="HQ22" s="242"/>
      <c r="HR22" s="242"/>
      <c r="HS22" s="242"/>
      <c r="HT22" s="242"/>
      <c r="HU22" s="242"/>
      <c r="HV22" s="242"/>
      <c r="HW22" s="242"/>
      <c r="HX22" s="242"/>
      <c r="HY22" s="242"/>
      <c r="HZ22" s="242"/>
      <c r="IA22" s="242"/>
      <c r="IB22" s="242"/>
      <c r="IC22" s="242"/>
      <c r="ID22" s="242"/>
      <c r="IE22" s="242"/>
      <c r="IF22" s="242"/>
      <c r="IG22" s="242"/>
      <c r="IH22" s="242"/>
      <c r="II22" s="242"/>
      <c r="IJ22" s="242"/>
      <c r="IK22" s="242"/>
      <c r="IL22" s="242"/>
      <c r="IM22" s="242"/>
      <c r="IN22" s="242"/>
      <c r="IO22" s="242"/>
      <c r="IP22" s="242"/>
      <c r="IQ22" s="242"/>
      <c r="IR22" s="242"/>
      <c r="IS22" s="242"/>
      <c r="IT22" s="242"/>
      <c r="IU22" s="242"/>
      <c r="IV22" s="242"/>
      <c r="IW22" s="242"/>
    </row>
    <row r="23" customFormat="false" ht="12.75" hidden="false" customHeight="true" outlineLevel="0" collapsed="false">
      <c r="A23" s="18" t="s">
        <v>331</v>
      </c>
      <c r="B23" s="242"/>
      <c r="C23" s="254" t="n">
        <f aca="false">SUM(C19:C22)</f>
        <v>1156.269</v>
      </c>
      <c r="D23" s="254" t="n">
        <f aca="false">SUM(D19:D22)</f>
        <v>1178.5333</v>
      </c>
      <c r="E23" s="254" t="n">
        <f aca="false">SUM(E19:E22)</f>
        <v>1202.341896</v>
      </c>
      <c r="F23" s="254" t="n">
        <f aca="false">SUM(F19:F22)</f>
        <v>1225.43701392</v>
      </c>
      <c r="G23" s="254" t="n">
        <f aca="false">SUM(G19:G22)</f>
        <v>1250.0930441984</v>
      </c>
      <c r="H23" s="254" t="n">
        <f aca="false">SUM(H19:H22)</f>
        <v>1274.05254508237</v>
      </c>
      <c r="I23" s="254" t="n">
        <f aca="false">SUM(I19:I22)</f>
        <v>1300.72324598402</v>
      </c>
      <c r="J23" s="254" t="n">
        <f aca="false">SUM(J19:J22)</f>
        <v>1328.4145509037</v>
      </c>
      <c r="K23" s="254" t="n">
        <f aca="false">SUM(K19:K22)</f>
        <v>1355.43604192177</v>
      </c>
      <c r="L23" s="254" t="n">
        <f aca="false">SUM(L19:L22)</f>
        <v>1384.06298276021</v>
      </c>
      <c r="M23" s="254" t="n">
        <f aca="false">SUM(M19:M22)</f>
        <v>1413.17182241541</v>
      </c>
      <c r="N23" s="254" t="n">
        <f aca="false">SUM(N19:N22)</f>
        <v>1443.33869886372</v>
      </c>
      <c r="O23" s="254" t="n">
        <f aca="false">SUM(O19:O22)</f>
        <v>1473.44044284099</v>
      </c>
      <c r="P23" s="254" t="n">
        <f aca="false">SUM(P19:P22)</f>
        <v>1504.05358169781</v>
      </c>
      <c r="Q23" s="254" t="n">
        <f aca="false">SUM(Q19:Q22)</f>
        <v>1535.75484333177</v>
      </c>
      <c r="R23" s="254" t="n">
        <f aca="false">SUM(R19:R22)</f>
        <v>0</v>
      </c>
      <c r="AB23" s="242"/>
      <c r="AC23" s="242"/>
      <c r="AD23" s="184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2"/>
      <c r="CK23" s="242"/>
      <c r="CL23" s="242"/>
      <c r="CM23" s="242"/>
      <c r="CN23" s="242"/>
      <c r="CO23" s="242"/>
      <c r="CP23" s="242"/>
      <c r="CQ23" s="242"/>
      <c r="CR23" s="242"/>
      <c r="CS23" s="242"/>
      <c r="CT23" s="242"/>
      <c r="CU23" s="242"/>
      <c r="CV23" s="242"/>
      <c r="CW23" s="242"/>
      <c r="CX23" s="242"/>
      <c r="CY23" s="242"/>
      <c r="CZ23" s="242"/>
      <c r="DA23" s="242"/>
      <c r="DB23" s="242"/>
      <c r="DC23" s="242"/>
      <c r="DD23" s="242"/>
      <c r="DE23" s="242"/>
      <c r="DF23" s="242"/>
      <c r="DG23" s="242"/>
      <c r="DH23" s="242"/>
      <c r="DI23" s="242"/>
      <c r="DJ23" s="242"/>
      <c r="DK23" s="242"/>
      <c r="DL23" s="242"/>
      <c r="DM23" s="242"/>
      <c r="DN23" s="242"/>
      <c r="DO23" s="242"/>
      <c r="DP23" s="242"/>
      <c r="DQ23" s="242"/>
      <c r="DR23" s="242"/>
      <c r="DS23" s="242"/>
      <c r="DT23" s="242"/>
      <c r="DU23" s="242"/>
      <c r="DV23" s="242"/>
      <c r="DW23" s="242"/>
      <c r="DX23" s="242"/>
      <c r="DY23" s="242"/>
      <c r="DZ23" s="242"/>
      <c r="EA23" s="242"/>
      <c r="EB23" s="242"/>
      <c r="EC23" s="242"/>
      <c r="ED23" s="242"/>
      <c r="EE23" s="242"/>
      <c r="EF23" s="242"/>
      <c r="EG23" s="242"/>
      <c r="EH23" s="242"/>
      <c r="EI23" s="242"/>
      <c r="EJ23" s="242"/>
      <c r="EK23" s="242"/>
      <c r="EL23" s="242"/>
      <c r="EM23" s="242"/>
      <c r="EN23" s="242"/>
      <c r="EO23" s="242"/>
      <c r="EP23" s="242"/>
      <c r="EQ23" s="242"/>
      <c r="ER23" s="242"/>
      <c r="ES23" s="242"/>
      <c r="ET23" s="242"/>
      <c r="EU23" s="242"/>
      <c r="EV23" s="242"/>
      <c r="EW23" s="242"/>
      <c r="EX23" s="242"/>
      <c r="EY23" s="242"/>
      <c r="EZ23" s="242"/>
      <c r="FA23" s="242"/>
      <c r="FB23" s="242"/>
      <c r="FC23" s="242"/>
      <c r="FD23" s="242"/>
      <c r="FE23" s="242"/>
      <c r="FF23" s="242"/>
      <c r="FG23" s="242"/>
      <c r="FH23" s="242"/>
      <c r="FI23" s="242"/>
      <c r="FJ23" s="242"/>
      <c r="FK23" s="242"/>
      <c r="FL23" s="242"/>
      <c r="FM23" s="242"/>
      <c r="FN23" s="242"/>
      <c r="FO23" s="242"/>
      <c r="FP23" s="242"/>
      <c r="FQ23" s="242"/>
      <c r="FR23" s="242"/>
      <c r="FS23" s="242"/>
      <c r="FT23" s="242"/>
      <c r="FU23" s="242"/>
      <c r="FV23" s="242"/>
      <c r="FW23" s="242"/>
      <c r="FX23" s="242"/>
      <c r="FY23" s="242"/>
      <c r="FZ23" s="242"/>
      <c r="GA23" s="242"/>
      <c r="GB23" s="242"/>
      <c r="GC23" s="242"/>
      <c r="GD23" s="242"/>
      <c r="GE23" s="242"/>
      <c r="GF23" s="242"/>
      <c r="GG23" s="242"/>
      <c r="GH23" s="242"/>
      <c r="GI23" s="242"/>
      <c r="GJ23" s="242"/>
      <c r="GK23" s="242"/>
      <c r="GL23" s="242"/>
      <c r="GM23" s="242"/>
      <c r="GN23" s="242"/>
      <c r="GO23" s="242"/>
      <c r="GP23" s="242"/>
      <c r="GQ23" s="242"/>
      <c r="GR23" s="242"/>
      <c r="GS23" s="242"/>
      <c r="GT23" s="242"/>
      <c r="GU23" s="242"/>
      <c r="GV23" s="242"/>
      <c r="GW23" s="242"/>
      <c r="GX23" s="242"/>
      <c r="GY23" s="242"/>
      <c r="GZ23" s="242"/>
      <c r="HA23" s="242"/>
      <c r="HB23" s="242"/>
      <c r="HC23" s="242"/>
      <c r="HD23" s="242"/>
      <c r="HE23" s="242"/>
      <c r="HF23" s="242"/>
      <c r="HG23" s="242"/>
      <c r="HH23" s="242"/>
      <c r="HI23" s="242"/>
      <c r="HJ23" s="242"/>
      <c r="HK23" s="242"/>
      <c r="HL23" s="242"/>
      <c r="HM23" s="242"/>
      <c r="HN23" s="242"/>
      <c r="HO23" s="242"/>
      <c r="HP23" s="242"/>
      <c r="HQ23" s="242"/>
      <c r="HR23" s="242"/>
      <c r="HS23" s="242"/>
      <c r="HT23" s="242"/>
      <c r="HU23" s="242"/>
      <c r="HV23" s="242"/>
      <c r="HW23" s="242"/>
      <c r="HX23" s="242"/>
      <c r="HY23" s="242"/>
      <c r="HZ23" s="242"/>
      <c r="IA23" s="242"/>
      <c r="IB23" s="242"/>
      <c r="IC23" s="242"/>
      <c r="ID23" s="242"/>
      <c r="IE23" s="242"/>
      <c r="IF23" s="242"/>
      <c r="IG23" s="242"/>
      <c r="IH23" s="242"/>
      <c r="II23" s="242"/>
      <c r="IJ23" s="242"/>
      <c r="IK23" s="242"/>
      <c r="IL23" s="242"/>
      <c r="IM23" s="242"/>
      <c r="IN23" s="242"/>
      <c r="IO23" s="242"/>
      <c r="IP23" s="242"/>
      <c r="IQ23" s="242"/>
      <c r="IR23" s="242"/>
      <c r="IS23" s="242"/>
      <c r="IT23" s="242"/>
      <c r="IU23" s="242"/>
      <c r="IV23" s="242"/>
      <c r="IW23" s="242"/>
    </row>
    <row r="24" customFormat="false" ht="12.75" hidden="false" customHeight="true" outlineLevel="0" collapsed="false">
      <c r="A24" s="248"/>
      <c r="B24" s="242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AB24" s="242"/>
      <c r="AC24" s="242"/>
      <c r="AD24" s="184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2"/>
      <c r="BR24" s="242"/>
      <c r="BS24" s="242"/>
      <c r="BT24" s="242"/>
      <c r="BU24" s="242"/>
      <c r="BV24" s="242"/>
      <c r="BW24" s="242"/>
      <c r="BX24" s="242"/>
      <c r="BY24" s="242"/>
      <c r="BZ24" s="242"/>
      <c r="CA24" s="242"/>
      <c r="CB24" s="242"/>
      <c r="CC24" s="242"/>
      <c r="CD24" s="242"/>
      <c r="CE24" s="242"/>
      <c r="CF24" s="242"/>
      <c r="CG24" s="242"/>
      <c r="CH24" s="242"/>
      <c r="CI24" s="242"/>
      <c r="CJ24" s="242"/>
      <c r="CK24" s="242"/>
      <c r="CL24" s="242"/>
      <c r="CM24" s="242"/>
      <c r="CN24" s="242"/>
      <c r="CO24" s="242"/>
      <c r="CP24" s="242"/>
      <c r="CQ24" s="242"/>
      <c r="CR24" s="242"/>
      <c r="CS24" s="242"/>
      <c r="CT24" s="242"/>
      <c r="CU24" s="242"/>
      <c r="CV24" s="242"/>
      <c r="CW24" s="242"/>
      <c r="CX24" s="242"/>
      <c r="CY24" s="242"/>
      <c r="CZ24" s="242"/>
      <c r="DA24" s="242"/>
      <c r="DB24" s="242"/>
      <c r="DC24" s="242"/>
      <c r="DD24" s="242"/>
      <c r="DE24" s="242"/>
      <c r="DF24" s="242"/>
      <c r="DG24" s="242"/>
      <c r="DH24" s="242"/>
      <c r="DI24" s="242"/>
      <c r="DJ24" s="242"/>
      <c r="DK24" s="242"/>
      <c r="DL24" s="242"/>
      <c r="DM24" s="242"/>
      <c r="DN24" s="242"/>
      <c r="DO24" s="242"/>
      <c r="DP24" s="242"/>
      <c r="DQ24" s="242"/>
      <c r="DR24" s="242"/>
      <c r="DS24" s="242"/>
      <c r="DT24" s="242"/>
      <c r="DU24" s="242"/>
      <c r="DV24" s="242"/>
      <c r="DW24" s="242"/>
      <c r="DX24" s="242"/>
      <c r="DY24" s="242"/>
      <c r="DZ24" s="242"/>
      <c r="EA24" s="242"/>
      <c r="EB24" s="242"/>
      <c r="EC24" s="242"/>
      <c r="ED24" s="242"/>
      <c r="EE24" s="242"/>
      <c r="EF24" s="242"/>
      <c r="EG24" s="242"/>
      <c r="EH24" s="242"/>
      <c r="EI24" s="242"/>
      <c r="EJ24" s="242"/>
      <c r="EK24" s="242"/>
      <c r="EL24" s="242"/>
      <c r="EM24" s="242"/>
      <c r="EN24" s="242"/>
      <c r="EO24" s="242"/>
      <c r="EP24" s="242"/>
      <c r="EQ24" s="242"/>
      <c r="ER24" s="242"/>
      <c r="ES24" s="242"/>
      <c r="ET24" s="242"/>
      <c r="EU24" s="242"/>
      <c r="EV24" s="242"/>
      <c r="EW24" s="242"/>
      <c r="EX24" s="242"/>
      <c r="EY24" s="242"/>
      <c r="EZ24" s="242"/>
      <c r="FA24" s="242"/>
      <c r="FB24" s="242"/>
      <c r="FC24" s="242"/>
      <c r="FD24" s="242"/>
      <c r="FE24" s="242"/>
      <c r="FF24" s="242"/>
      <c r="FG24" s="242"/>
      <c r="FH24" s="242"/>
      <c r="FI24" s="242"/>
      <c r="FJ24" s="242"/>
      <c r="FK24" s="242"/>
      <c r="FL24" s="242"/>
      <c r="FM24" s="242"/>
      <c r="FN24" s="242"/>
      <c r="FO24" s="242"/>
      <c r="FP24" s="242"/>
      <c r="FQ24" s="242"/>
      <c r="FR24" s="242"/>
      <c r="FS24" s="242"/>
      <c r="FT24" s="242"/>
      <c r="FU24" s="242"/>
      <c r="FV24" s="242"/>
      <c r="FW24" s="242"/>
      <c r="FX24" s="242"/>
      <c r="FY24" s="242"/>
      <c r="FZ24" s="242"/>
      <c r="GA24" s="242"/>
      <c r="GB24" s="242"/>
      <c r="GC24" s="242"/>
      <c r="GD24" s="242"/>
      <c r="GE24" s="242"/>
      <c r="GF24" s="242"/>
      <c r="GG24" s="242"/>
      <c r="GH24" s="242"/>
      <c r="GI24" s="242"/>
      <c r="GJ24" s="242"/>
      <c r="GK24" s="242"/>
      <c r="GL24" s="242"/>
      <c r="GM24" s="242"/>
      <c r="GN24" s="242"/>
      <c r="GO24" s="242"/>
      <c r="GP24" s="242"/>
      <c r="GQ24" s="242"/>
      <c r="GR24" s="242"/>
      <c r="GS24" s="242"/>
      <c r="GT24" s="242"/>
      <c r="GU24" s="242"/>
      <c r="GV24" s="242"/>
      <c r="GW24" s="242"/>
      <c r="GX24" s="242"/>
      <c r="GY24" s="242"/>
      <c r="GZ24" s="242"/>
      <c r="HA24" s="242"/>
      <c r="HB24" s="242"/>
      <c r="HC24" s="242"/>
      <c r="HD24" s="242"/>
      <c r="HE24" s="242"/>
      <c r="HF24" s="242"/>
      <c r="HG24" s="242"/>
      <c r="HH24" s="242"/>
      <c r="HI24" s="242"/>
      <c r="HJ24" s="242"/>
      <c r="HK24" s="242"/>
      <c r="HL24" s="242"/>
      <c r="HM24" s="242"/>
      <c r="HN24" s="242"/>
      <c r="HO24" s="242"/>
      <c r="HP24" s="242"/>
      <c r="HQ24" s="242"/>
      <c r="HR24" s="242"/>
      <c r="HS24" s="242"/>
      <c r="HT24" s="242"/>
      <c r="HU24" s="242"/>
      <c r="HV24" s="242"/>
      <c r="HW24" s="242"/>
      <c r="HX24" s="242"/>
      <c r="HY24" s="242"/>
      <c r="HZ24" s="242"/>
      <c r="IA24" s="242"/>
      <c r="IB24" s="242"/>
      <c r="IC24" s="242"/>
      <c r="ID24" s="242"/>
      <c r="IE24" s="242"/>
      <c r="IF24" s="242"/>
      <c r="IG24" s="242"/>
      <c r="IH24" s="242"/>
      <c r="II24" s="242"/>
      <c r="IJ24" s="242"/>
      <c r="IK24" s="242"/>
      <c r="IL24" s="242"/>
      <c r="IM24" s="242"/>
      <c r="IN24" s="242"/>
      <c r="IO24" s="242"/>
      <c r="IP24" s="242"/>
      <c r="IQ24" s="242"/>
      <c r="IR24" s="242"/>
      <c r="IS24" s="242"/>
      <c r="IT24" s="242"/>
      <c r="IU24" s="242"/>
      <c r="IV24" s="242"/>
      <c r="IW24" s="242"/>
    </row>
    <row r="25" customFormat="false" ht="12.75" hidden="false" customHeight="true" outlineLevel="0" collapsed="false">
      <c r="A25" s="18" t="s">
        <v>332</v>
      </c>
      <c r="B25" s="242"/>
      <c r="C25" s="254" t="n">
        <f aca="false">Fixed*C5/12</f>
        <v>222.22729375</v>
      </c>
      <c r="D25" s="254" t="n">
        <f aca="false">IF(D$3&lt;='Project Assumptions'!$I$15,C25*12/C$5*(1+'Project Assumptions'!$N$19),C25*D$5/12*(1+'Project Assumptions'!$N$19))</f>
        <v>430.04934</v>
      </c>
      <c r="E25" s="254" t="n">
        <f aca="false">IF(E$3&lt;='Project Assumptions'!$I$15,D25*12/D$5*(1+'Project Assumptions'!$N$19),D25*E$5/12*(1+'Project Assumptions'!$N$19))</f>
        <v>438.6503268</v>
      </c>
      <c r="F25" s="254" t="n">
        <f aca="false">IF(F$3&lt;='Project Assumptions'!$I$15,E25*12/E$5*(1+'Project Assumptions'!$N$19),E25*F$5/12*(1+'Project Assumptions'!$N$19))</f>
        <v>447.423333336</v>
      </c>
      <c r="G25" s="254" t="n">
        <f aca="false">IF(G$3&lt;='Project Assumptions'!$I$15,F25*12/F$5*(1+'Project Assumptions'!$N$19),F25*G$5/12*(1+'Project Assumptions'!$N$19))</f>
        <v>456.37180000272</v>
      </c>
      <c r="H25" s="254" t="n">
        <f aca="false">IF(H$3&lt;='Project Assumptions'!$I$15,G25*12/G$5*(1+'Project Assumptions'!$N$19),G25*H$5/12*(1+'Project Assumptions'!$N$19))</f>
        <v>465.499236002774</v>
      </c>
      <c r="I25" s="254" t="n">
        <f aca="false">IF(I$3&lt;='Project Assumptions'!$I$15,H25*12/H$5*(1+'Project Assumptions'!$N$19),H25*I$5/12*(1+'Project Assumptions'!$N$19))</f>
        <v>474.80922072283</v>
      </c>
      <c r="J25" s="254" t="n">
        <f aca="false">IF(J$3&lt;='Project Assumptions'!$I$15,I25*12/I$5*(1+'Project Assumptions'!$N$19),I25*J$5/12*(1+'Project Assumptions'!$N$19))</f>
        <v>484.305405137286</v>
      </c>
      <c r="K25" s="254" t="n">
        <f aca="false">IF(K$3&lt;='Project Assumptions'!$I$15,J25*12/J$5*(1+'Project Assumptions'!$N$19),J25*K$5/12*(1+'Project Assumptions'!$N$19))</f>
        <v>493.991513240032</v>
      </c>
      <c r="L25" s="254" t="n">
        <f aca="false">IF(L$3&lt;='Project Assumptions'!$I$15,K25*12/K$5*(1+'Project Assumptions'!$N$19),K25*L$5/12*(1+'Project Assumptions'!$N$19))</f>
        <v>503.871343504833</v>
      </c>
      <c r="M25" s="254" t="n">
        <f aca="false">IF(M$3&lt;='Project Assumptions'!$I$15,L25*12/L$5*(1+'Project Assumptions'!$N$19),L25*M$5/12*(1+'Project Assumptions'!$N$19))</f>
        <v>513.94877037493</v>
      </c>
      <c r="N25" s="254" t="n">
        <f aca="false">IF(N$3&lt;='Project Assumptions'!$I$15,M25*12/M$5*(1+'Project Assumptions'!$N$19),M25*N$5/12*(1+'Project Assumptions'!$N$19))</f>
        <v>524.227745782428</v>
      </c>
      <c r="O25" s="254" t="n">
        <f aca="false">IF(O$3&lt;='Project Assumptions'!$I$15,N25*12/N$5*(1+'Project Assumptions'!$N$19),N25*O$5/12*(1+'Project Assumptions'!$N$19))</f>
        <v>534.712300698077</v>
      </c>
      <c r="P25" s="254" t="n">
        <f aca="false">IF(P$3&lt;='Project Assumptions'!$I$15,O25*12/O$5*(1+'Project Assumptions'!$N$19),O25*P$5/12*(1+'Project Assumptions'!$N$19))</f>
        <v>545.406546712038</v>
      </c>
      <c r="Q25" s="254" t="n">
        <f aca="false">IF(Q$3&lt;='Project Assumptions'!$I$15,P25*12/P$5*(1+'Project Assumptions'!$N$19),P25*Q$5/12*(1+'Project Assumptions'!$N$19))</f>
        <v>556.314677646279</v>
      </c>
      <c r="R25" s="254" t="n">
        <f aca="false">IF(R$3&lt;='Project Assumptions'!$I$15,Q25*12/Q$5*(1+'Project Assumptions'!$N$19),Q25*R$5/12*(1+'Project Assumptions'!$N$19))</f>
        <v>378.29398079947</v>
      </c>
      <c r="AB25" s="242"/>
      <c r="AC25" s="242"/>
      <c r="AD25" s="184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  <c r="BK25" s="242"/>
      <c r="BL25" s="242"/>
      <c r="BM25" s="242"/>
      <c r="BN25" s="242"/>
      <c r="BO25" s="242"/>
      <c r="BP25" s="242"/>
      <c r="BQ25" s="242"/>
      <c r="BR25" s="242"/>
      <c r="BS25" s="242"/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42"/>
      <c r="CR25" s="242"/>
      <c r="CS25" s="242"/>
      <c r="CT25" s="242"/>
      <c r="CU25" s="242"/>
      <c r="CV25" s="242"/>
      <c r="CW25" s="242"/>
      <c r="CX25" s="242"/>
      <c r="CY25" s="242"/>
      <c r="CZ25" s="242"/>
      <c r="DA25" s="242"/>
      <c r="DB25" s="242"/>
      <c r="DC25" s="242"/>
      <c r="DD25" s="242"/>
      <c r="DE25" s="242"/>
      <c r="DF25" s="242"/>
      <c r="DG25" s="242"/>
      <c r="DH25" s="242"/>
      <c r="DI25" s="242"/>
      <c r="DJ25" s="242"/>
      <c r="DK25" s="242"/>
      <c r="DL25" s="242"/>
      <c r="DM25" s="242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242"/>
      <c r="EG25" s="242"/>
      <c r="EH25" s="242"/>
      <c r="EI25" s="242"/>
      <c r="EJ25" s="242"/>
      <c r="EK25" s="242"/>
      <c r="EL25" s="242"/>
      <c r="EM25" s="242"/>
      <c r="EN25" s="242"/>
      <c r="EO25" s="242"/>
      <c r="EP25" s="242"/>
      <c r="EQ25" s="242"/>
      <c r="ER25" s="242"/>
      <c r="ES25" s="242"/>
      <c r="ET25" s="242"/>
      <c r="EU25" s="242"/>
      <c r="EV25" s="242"/>
      <c r="EW25" s="242"/>
      <c r="EX25" s="242"/>
      <c r="EY25" s="242"/>
      <c r="EZ25" s="242"/>
      <c r="FA25" s="242"/>
      <c r="FB25" s="242"/>
      <c r="FC25" s="242"/>
      <c r="FD25" s="242"/>
      <c r="FE25" s="242"/>
      <c r="FF25" s="242"/>
      <c r="FG25" s="242"/>
      <c r="FH25" s="242"/>
      <c r="FI25" s="242"/>
      <c r="FJ25" s="242"/>
      <c r="FK25" s="242"/>
      <c r="FL25" s="242"/>
      <c r="FM25" s="242"/>
      <c r="FN25" s="242"/>
      <c r="FO25" s="242"/>
      <c r="FP25" s="242"/>
      <c r="FQ25" s="242"/>
      <c r="FR25" s="242"/>
      <c r="FS25" s="242"/>
      <c r="FT25" s="242"/>
      <c r="FU25" s="242"/>
      <c r="FV25" s="242"/>
      <c r="FW25" s="242"/>
      <c r="FX25" s="242"/>
      <c r="FY25" s="242"/>
      <c r="FZ25" s="242"/>
      <c r="GA25" s="242"/>
      <c r="GB25" s="242"/>
      <c r="GC25" s="242"/>
      <c r="GD25" s="242"/>
      <c r="GE25" s="242"/>
      <c r="GF25" s="242"/>
      <c r="GG25" s="242"/>
      <c r="GH25" s="242"/>
      <c r="GI25" s="242"/>
      <c r="GJ25" s="242"/>
      <c r="GK25" s="242"/>
      <c r="GL25" s="242"/>
      <c r="GM25" s="242"/>
      <c r="GN25" s="242"/>
      <c r="GO25" s="242"/>
      <c r="GP25" s="242"/>
      <c r="GQ25" s="242"/>
      <c r="GR25" s="242"/>
      <c r="GS25" s="242"/>
      <c r="GT25" s="242"/>
      <c r="GU25" s="242"/>
      <c r="GV25" s="242"/>
      <c r="GW25" s="242"/>
      <c r="GX25" s="242"/>
      <c r="GY25" s="242"/>
      <c r="GZ25" s="242"/>
      <c r="HA25" s="242"/>
      <c r="HB25" s="242"/>
      <c r="HC25" s="242"/>
      <c r="HD25" s="242"/>
      <c r="HE25" s="242"/>
      <c r="HF25" s="242"/>
      <c r="HG25" s="242"/>
      <c r="HH25" s="242"/>
      <c r="HI25" s="242"/>
      <c r="HJ25" s="242"/>
      <c r="HK25" s="242"/>
      <c r="HL25" s="242"/>
      <c r="HM25" s="242"/>
      <c r="HN25" s="242"/>
      <c r="HO25" s="242"/>
      <c r="HP25" s="242"/>
      <c r="HQ25" s="242"/>
      <c r="HR25" s="242"/>
      <c r="HS25" s="242"/>
      <c r="HT25" s="242"/>
      <c r="HU25" s="242"/>
      <c r="HV25" s="242"/>
      <c r="HW25" s="242"/>
      <c r="HX25" s="242"/>
      <c r="HY25" s="242"/>
      <c r="HZ25" s="242"/>
      <c r="IA25" s="242"/>
      <c r="IB25" s="242"/>
      <c r="IC25" s="242"/>
      <c r="ID25" s="242"/>
      <c r="IE25" s="242"/>
      <c r="IF25" s="242"/>
      <c r="IG25" s="242"/>
      <c r="IH25" s="242"/>
      <c r="II25" s="242"/>
      <c r="IJ25" s="242"/>
      <c r="IK25" s="242"/>
      <c r="IL25" s="242"/>
      <c r="IM25" s="242"/>
      <c r="IN25" s="242"/>
      <c r="IO25" s="242"/>
      <c r="IP25" s="242"/>
      <c r="IQ25" s="242"/>
      <c r="IR25" s="242"/>
      <c r="IS25" s="242"/>
      <c r="IT25" s="242"/>
      <c r="IU25" s="242"/>
      <c r="IV25" s="242"/>
      <c r="IW25" s="242"/>
    </row>
    <row r="26" customFormat="false" ht="12.75" hidden="false" customHeight="true" outlineLevel="0" collapsed="false">
      <c r="A26" s="248" t="s">
        <v>333</v>
      </c>
      <c r="B26" s="242"/>
      <c r="C26" s="254" t="n">
        <f aca="false">Labor*C5/12</f>
        <v>388.27815125</v>
      </c>
      <c r="D26" s="254" t="n">
        <f aca="false">IF(D$3&lt;='Project Assumptions'!$I$15,C26*12/C$5*(1+'Project Assumptions'!$N$19),C26*D$5/12*(1+'Project Assumptions'!$N$19))</f>
        <v>751.387284</v>
      </c>
      <c r="E26" s="254" t="n">
        <f aca="false">IF(E$3&lt;='Project Assumptions'!$I$15,D26*12/D$5*(1+'Project Assumptions'!$N$19),D26*E$5/12*(1+'Project Assumptions'!$N$19))</f>
        <v>766.41502968</v>
      </c>
      <c r="F26" s="254" t="n">
        <f aca="false">IF(F$3&lt;='Project Assumptions'!$I$15,E26*12/E$5*(1+'Project Assumptions'!$N$19),E26*F$5/12*(1+'Project Assumptions'!$N$19))</f>
        <v>781.7433302736</v>
      </c>
      <c r="G26" s="254" t="n">
        <f aca="false">IF(G$3&lt;='Project Assumptions'!$I$15,F26*12/F$5*(1+'Project Assumptions'!$N$19),F26*G$5/12*(1+'Project Assumptions'!$N$19))</f>
        <v>797.378196879072</v>
      </c>
      <c r="H26" s="254" t="n">
        <f aca="false">IF(H$3&lt;='Project Assumptions'!$I$15,G26*12/G$5*(1+'Project Assumptions'!$N$19),G26*H$5/12*(1+'Project Assumptions'!$N$19))</f>
        <v>813.325760816654</v>
      </c>
      <c r="I26" s="254" t="n">
        <f aca="false">IF(I$3&lt;='Project Assumptions'!$I$15,H26*12/H$5*(1+'Project Assumptions'!$N$19),H26*I$5/12*(1+'Project Assumptions'!$N$19))</f>
        <v>829.592276032987</v>
      </c>
      <c r="J26" s="254" t="n">
        <f aca="false">IF(J$3&lt;='Project Assumptions'!$I$15,I26*12/I$5*(1+'Project Assumptions'!$N$19),I26*J$5/12*(1+'Project Assumptions'!$N$19))</f>
        <v>846.184121553647</v>
      </c>
      <c r="K26" s="254" t="n">
        <f aca="false">IF(K$3&lt;='Project Assumptions'!$I$15,J26*12/J$5*(1+'Project Assumptions'!$N$19),J26*K$5/12*(1+'Project Assumptions'!$N$19))</f>
        <v>863.10780398472</v>
      </c>
      <c r="L26" s="254" t="n">
        <f aca="false">IF(L$3&lt;='Project Assumptions'!$I$15,K26*12/K$5*(1+'Project Assumptions'!$N$19),K26*L$5/12*(1+'Project Assumptions'!$N$19))</f>
        <v>880.369960064414</v>
      </c>
      <c r="M26" s="254" t="n">
        <f aca="false">IF(M$3&lt;='Project Assumptions'!$I$15,L26*12/L$5*(1+'Project Assumptions'!$N$19),L26*M$5/12*(1+'Project Assumptions'!$N$19))</f>
        <v>897.977359265702</v>
      </c>
      <c r="N26" s="254" t="n">
        <f aca="false">IF(N$3&lt;='Project Assumptions'!$I$15,M26*12/M$5*(1+'Project Assumptions'!$N$19),M26*N$5/12*(1+'Project Assumptions'!$N$19))</f>
        <v>915.936906451016</v>
      </c>
      <c r="O26" s="254" t="n">
        <f aca="false">IF(O$3&lt;='Project Assumptions'!$I$15,N26*12/N$5*(1+'Project Assumptions'!$N$19),N26*O$5/12*(1+'Project Assumptions'!$N$19))</f>
        <v>934.255644580036</v>
      </c>
      <c r="P26" s="254" t="n">
        <f aca="false">IF(P$3&lt;='Project Assumptions'!$I$15,O26*12/O$5*(1+'Project Assumptions'!$N$19),O26*P$5/12*(1+'Project Assumptions'!$N$19))</f>
        <v>952.940757471637</v>
      </c>
      <c r="Q26" s="254" t="n">
        <f aca="false">IF(Q$3&lt;='Project Assumptions'!$I$15,P26*12/P$5*(1+'Project Assumptions'!$N$19),P26*Q$5/12*(1+'Project Assumptions'!$N$19))</f>
        <v>971.99957262107</v>
      </c>
      <c r="R26" s="254" t="n">
        <f aca="false">IF(R$3&lt;='Project Assumptions'!$I$15,Q26*12/Q$5*(1+'Project Assumptions'!$N$19),Q26*R$5/12*(1+'Project Assumptions'!$N$19))</f>
        <v>660.959709382328</v>
      </c>
      <c r="AB26" s="242"/>
      <c r="AC26" s="242"/>
      <c r="AD26" s="184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  <c r="BK26" s="242"/>
      <c r="BL26" s="242"/>
      <c r="BM26" s="242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2"/>
      <c r="BZ26" s="242"/>
      <c r="CA26" s="242"/>
      <c r="CB26" s="242"/>
      <c r="CC26" s="242"/>
      <c r="CD26" s="242"/>
      <c r="CE26" s="242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2"/>
      <c r="DH26" s="242"/>
      <c r="DI26" s="242"/>
      <c r="DJ26" s="242"/>
      <c r="DK26" s="242"/>
      <c r="DL26" s="242"/>
      <c r="DM26" s="242"/>
      <c r="DN26" s="242"/>
      <c r="DO26" s="242"/>
      <c r="DP26" s="242"/>
      <c r="DQ26" s="242"/>
      <c r="DR26" s="242"/>
      <c r="DS26" s="242"/>
      <c r="DT26" s="242"/>
      <c r="DU26" s="242"/>
      <c r="DV26" s="242"/>
      <c r="DW26" s="242"/>
      <c r="DX26" s="242"/>
      <c r="DY26" s="242"/>
      <c r="DZ26" s="242"/>
      <c r="EA26" s="242"/>
      <c r="EB26" s="242"/>
      <c r="EC26" s="242"/>
      <c r="ED26" s="242"/>
      <c r="EE26" s="242"/>
      <c r="EF26" s="242"/>
      <c r="EG26" s="242"/>
      <c r="EH26" s="242"/>
      <c r="EI26" s="242"/>
      <c r="EJ26" s="242"/>
      <c r="EK26" s="242"/>
      <c r="EL26" s="242"/>
      <c r="EM26" s="242"/>
      <c r="EN26" s="242"/>
      <c r="EO26" s="242"/>
      <c r="EP26" s="242"/>
      <c r="EQ26" s="242"/>
      <c r="ER26" s="242"/>
      <c r="ES26" s="242"/>
      <c r="ET26" s="242"/>
      <c r="EU26" s="242"/>
      <c r="EV26" s="242"/>
      <c r="EW26" s="242"/>
      <c r="EX26" s="242"/>
      <c r="EY26" s="242"/>
      <c r="EZ26" s="242"/>
      <c r="FA26" s="242"/>
      <c r="FB26" s="242"/>
      <c r="FC26" s="242"/>
      <c r="FD26" s="242"/>
      <c r="FE26" s="242"/>
      <c r="FF26" s="242"/>
      <c r="FG26" s="242"/>
      <c r="FH26" s="242"/>
      <c r="FI26" s="242"/>
      <c r="FJ26" s="242"/>
      <c r="FK26" s="242"/>
      <c r="FL26" s="242"/>
      <c r="FM26" s="242"/>
      <c r="FN26" s="242"/>
      <c r="FO26" s="242"/>
      <c r="FP26" s="242"/>
      <c r="FQ26" s="242"/>
      <c r="FR26" s="242"/>
      <c r="FS26" s="242"/>
      <c r="FT26" s="242"/>
      <c r="FU26" s="242"/>
      <c r="FV26" s="242"/>
      <c r="FW26" s="242"/>
      <c r="FX26" s="242"/>
      <c r="FY26" s="242"/>
      <c r="FZ26" s="242"/>
      <c r="GA26" s="242"/>
      <c r="GB26" s="242"/>
      <c r="GC26" s="242"/>
      <c r="GD26" s="242"/>
      <c r="GE26" s="242"/>
      <c r="GF26" s="242"/>
      <c r="GG26" s="242"/>
      <c r="GH26" s="242"/>
      <c r="GI26" s="242"/>
      <c r="GJ26" s="242"/>
      <c r="GK26" s="242"/>
      <c r="GL26" s="242"/>
      <c r="GM26" s="242"/>
      <c r="GN26" s="242"/>
      <c r="GO26" s="242"/>
      <c r="GP26" s="242"/>
      <c r="GQ26" s="242"/>
      <c r="GR26" s="242"/>
      <c r="GS26" s="242"/>
      <c r="GT26" s="242"/>
      <c r="GU26" s="242"/>
      <c r="GV26" s="242"/>
      <c r="GW26" s="242"/>
      <c r="GX26" s="242"/>
      <c r="GY26" s="242"/>
      <c r="GZ26" s="242"/>
      <c r="HA26" s="242"/>
      <c r="HB26" s="242"/>
      <c r="HC26" s="242"/>
      <c r="HD26" s="242"/>
      <c r="HE26" s="242"/>
      <c r="HF26" s="242"/>
      <c r="HG26" s="242"/>
      <c r="HH26" s="242"/>
      <c r="HI26" s="242"/>
      <c r="HJ26" s="242"/>
      <c r="HK26" s="242"/>
      <c r="HL26" s="242"/>
      <c r="HM26" s="242"/>
      <c r="HN26" s="242"/>
      <c r="HO26" s="242"/>
      <c r="HP26" s="242"/>
      <c r="HQ26" s="242"/>
      <c r="HR26" s="242"/>
      <c r="HS26" s="242"/>
      <c r="HT26" s="242"/>
      <c r="HU26" s="242"/>
      <c r="HV26" s="242"/>
      <c r="HW26" s="242"/>
      <c r="HX26" s="242"/>
      <c r="HY26" s="242"/>
      <c r="HZ26" s="242"/>
      <c r="IA26" s="242"/>
      <c r="IB26" s="242"/>
      <c r="IC26" s="242"/>
      <c r="ID26" s="242"/>
      <c r="IE26" s="242"/>
      <c r="IF26" s="242"/>
      <c r="IG26" s="242"/>
      <c r="IH26" s="242"/>
      <c r="II26" s="242"/>
      <c r="IJ26" s="242"/>
      <c r="IK26" s="242"/>
      <c r="IL26" s="242"/>
      <c r="IM26" s="242"/>
      <c r="IN26" s="242"/>
      <c r="IO26" s="242"/>
      <c r="IP26" s="242"/>
      <c r="IQ26" s="242"/>
      <c r="IR26" s="242"/>
      <c r="IS26" s="242"/>
      <c r="IT26" s="242"/>
      <c r="IU26" s="242"/>
      <c r="IV26" s="242"/>
      <c r="IW26" s="242"/>
    </row>
    <row r="27" customFormat="false" ht="12.75" hidden="false" customHeight="true" outlineLevel="0" collapsed="false">
      <c r="A27" s="248" t="s">
        <v>334</v>
      </c>
      <c r="B27" s="242"/>
      <c r="C27" s="254" t="n">
        <v>0</v>
      </c>
      <c r="D27" s="254" t="n">
        <f aca="false">IF(D3&gt;'Project Assumptions'!$I$15+1,0,IF(D3&lt;='Project Assumptions'!$I$15,Depreciation!E48,Depreciation!E48))*(1+Opcostescalation)*D$5/12</f>
        <v>563.99874725376</v>
      </c>
      <c r="E27" s="254" t="n">
        <f aca="false">IF(E3&gt;'Project Assumptions'!$I$15+1,0,IF(E3&lt;='Project Assumptions'!$I$15,Depreciation!F48,Depreciation!F48))*(1+Opcostescalation)*E$5/12</f>
        <v>623.6524609056</v>
      </c>
      <c r="F27" s="254" t="n">
        <f aca="false">IF(F3&gt;'Project Assumptions'!$I$15+1,0,IF(F3&lt;='Project Assumptions'!$I$15,Depreciation!G48,Depreciation!G48))*(1+Opcostescalation)*F$5/12</f>
        <v>676.07542138752</v>
      </c>
      <c r="G27" s="254" t="n">
        <f aca="false">IF(G3&gt;'Project Assumptions'!$I$15+1,0,IF(G3&lt;='Project Assumptions'!$I$15,Depreciation!H48,Depreciation!H48))*(1+Opcostescalation)*G$5/12</f>
        <v>683.30617455744</v>
      </c>
      <c r="H27" s="254" t="n">
        <f aca="false">IF(H3&gt;'Project Assumptions'!$I$15+1,0,IF(H3&lt;='Project Assumptions'!$I$15,Depreciation!I48,Depreciation!I48))*(1+Opcostescalation)*H$5/12</f>
        <v>686.9215511424</v>
      </c>
      <c r="I27" s="254" t="n">
        <f aca="false">IF(I3&gt;'Project Assumptions'!$I$15+1,0,IF(I3&lt;='Project Assumptions'!$I$15,Depreciation!J48,Depreciation!J48))*(1+Opcostescalation)*I$5/12</f>
        <v>686.9215511424</v>
      </c>
      <c r="J27" s="254" t="n">
        <f aca="false">IF(J3&gt;'Project Assumptions'!$I$15+1,0,IF(J3&lt;='Project Assumptions'!$I$15,Depreciation!K48,Depreciation!K48))*(1+Opcostescalation)*J$5/12</f>
        <v>650.7677852928</v>
      </c>
      <c r="K27" s="254" t="n">
        <f aca="false">IF(K3&gt;'Project Assumptions'!$I$15+1,0,IF(K3&lt;='Project Assumptions'!$I$15,Depreciation!L48,Depreciation!L48))*(1+Opcostescalation)*K$5/12</f>
        <v>614.6140194432</v>
      </c>
      <c r="L27" s="254" t="n">
        <f aca="false">IF(L3&gt;'Project Assumptions'!$I$15+1,0,IF(L3&lt;='Project Assumptions'!$I$15,Depreciation!M48,Depreciation!M48))*(1+Opcostescalation)*L$5/12</f>
        <v>578.4602535936</v>
      </c>
      <c r="M27" s="254" t="n">
        <f aca="false">IF(M3&gt;'Project Assumptions'!$I$15+1,0,IF(M3&lt;='Project Assumptions'!$I$15,Depreciation!N48,Depreciation!N48))*(1+Opcostescalation)*M$5/12</f>
        <v>542.306487744</v>
      </c>
      <c r="N27" s="254" t="n">
        <f aca="false">IF(N3&gt;'Project Assumptions'!$I$15+1,0,IF(N3&lt;='Project Assumptions'!$I$15,Depreciation!O48,Depreciation!O48))*(1+Opcostescalation)*N$5/12</f>
        <v>506.1527218944</v>
      </c>
      <c r="O27" s="254" t="n">
        <f aca="false">IF(O3&gt;'Project Assumptions'!$I$15+1,0,IF(O3&lt;='Project Assumptions'!$I$15,Depreciation!P48,Depreciation!P48))*(1+Opcostescalation)*O$5/12</f>
        <v>469.9989560448</v>
      </c>
      <c r="P27" s="254" t="n">
        <f aca="false">IF(P3&gt;'Project Assumptions'!$I$15+1,0,IF(P3&lt;='Project Assumptions'!$I$15,Depreciation!Q48,Depreciation!Q48))*(1+Opcostescalation)*P$5/12</f>
        <v>433.8451901952</v>
      </c>
      <c r="Q27" s="254" t="n">
        <f aca="false">IF(Q3&gt;'Project Assumptions'!$I$15+1,0,IF(Q3&lt;='Project Assumptions'!$I$15,Depreciation!R48,Depreciation!R48))*(1+Opcostescalation)*Q$5/12</f>
        <v>397.6914243456</v>
      </c>
      <c r="R27" s="254" t="n">
        <f aca="false">IF(R3&gt;'Project Assumptions'!$I$15+1,0,IF(R3&lt;='Project Assumptions'!$I$15,Depreciation!S48,Depreciation!S48))*(1+Opcostescalation)*R$5/12</f>
        <v>241.025105664</v>
      </c>
      <c r="AB27" s="242"/>
      <c r="AC27" s="242"/>
      <c r="AD27" s="184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/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/>
      <c r="CR27" s="242"/>
      <c r="CS27" s="242"/>
      <c r="CT27" s="242"/>
      <c r="CU27" s="242"/>
      <c r="CV27" s="242"/>
      <c r="CW27" s="242"/>
      <c r="CX27" s="242"/>
      <c r="CY27" s="242"/>
      <c r="CZ27" s="242"/>
      <c r="DA27" s="242"/>
      <c r="DB27" s="242"/>
      <c r="DC27" s="242"/>
      <c r="DD27" s="242"/>
      <c r="DE27" s="242"/>
      <c r="DF27" s="242"/>
      <c r="DG27" s="242"/>
      <c r="DH27" s="242"/>
      <c r="DI27" s="242"/>
      <c r="DJ27" s="242"/>
      <c r="DK27" s="242"/>
      <c r="DL27" s="242"/>
      <c r="DM27" s="242"/>
      <c r="DN27" s="242"/>
      <c r="DO27" s="242"/>
      <c r="DP27" s="242"/>
      <c r="DQ27" s="242"/>
      <c r="DR27" s="242"/>
      <c r="DS27" s="242"/>
      <c r="DT27" s="242"/>
      <c r="DU27" s="242"/>
      <c r="DV27" s="242"/>
      <c r="DW27" s="242"/>
      <c r="DX27" s="242"/>
      <c r="DY27" s="242"/>
      <c r="DZ27" s="242"/>
      <c r="EA27" s="242"/>
      <c r="EB27" s="242"/>
      <c r="EC27" s="242"/>
      <c r="ED27" s="242"/>
      <c r="EE27" s="242"/>
      <c r="EF27" s="242"/>
      <c r="EG27" s="242"/>
      <c r="EH27" s="242"/>
      <c r="EI27" s="242"/>
      <c r="EJ27" s="242"/>
      <c r="EK27" s="242"/>
      <c r="EL27" s="242"/>
      <c r="EM27" s="242"/>
      <c r="EN27" s="242"/>
      <c r="EO27" s="242"/>
      <c r="EP27" s="242"/>
      <c r="EQ27" s="242"/>
      <c r="ER27" s="242"/>
      <c r="ES27" s="242"/>
      <c r="ET27" s="242"/>
      <c r="EU27" s="242"/>
      <c r="EV27" s="242"/>
      <c r="EW27" s="242"/>
      <c r="EX27" s="242"/>
      <c r="EY27" s="242"/>
      <c r="EZ27" s="242"/>
      <c r="FA27" s="242"/>
      <c r="FB27" s="242"/>
      <c r="FC27" s="242"/>
      <c r="FD27" s="242"/>
      <c r="FE27" s="242"/>
      <c r="FF27" s="242"/>
      <c r="FG27" s="242"/>
      <c r="FH27" s="242"/>
      <c r="FI27" s="242"/>
      <c r="FJ27" s="242"/>
      <c r="FK27" s="242"/>
      <c r="FL27" s="242"/>
      <c r="FM27" s="242"/>
      <c r="FN27" s="242"/>
      <c r="FO27" s="242"/>
      <c r="FP27" s="242"/>
      <c r="FQ27" s="242"/>
      <c r="FR27" s="242"/>
      <c r="FS27" s="242"/>
      <c r="FT27" s="242"/>
      <c r="FU27" s="242"/>
      <c r="FV27" s="242"/>
      <c r="FW27" s="242"/>
      <c r="FX27" s="242"/>
      <c r="FY27" s="242"/>
      <c r="FZ27" s="242"/>
      <c r="GA27" s="242"/>
      <c r="GB27" s="242"/>
      <c r="GC27" s="242"/>
      <c r="GD27" s="242"/>
      <c r="GE27" s="242"/>
      <c r="GF27" s="242"/>
      <c r="GG27" s="242"/>
      <c r="GH27" s="242"/>
      <c r="GI27" s="242"/>
      <c r="GJ27" s="242"/>
      <c r="GK27" s="242"/>
      <c r="GL27" s="242"/>
      <c r="GM27" s="242"/>
      <c r="GN27" s="242"/>
      <c r="GO27" s="242"/>
      <c r="GP27" s="242"/>
      <c r="GQ27" s="242"/>
      <c r="GR27" s="242"/>
      <c r="GS27" s="242"/>
      <c r="GT27" s="242"/>
      <c r="GU27" s="242"/>
      <c r="GV27" s="242"/>
      <c r="GW27" s="242"/>
      <c r="GX27" s="242"/>
      <c r="GY27" s="242"/>
      <c r="GZ27" s="242"/>
      <c r="HA27" s="242"/>
      <c r="HB27" s="242"/>
      <c r="HC27" s="242"/>
      <c r="HD27" s="242"/>
      <c r="HE27" s="242"/>
      <c r="HF27" s="242"/>
      <c r="HG27" s="242"/>
      <c r="HH27" s="242"/>
      <c r="HI27" s="242"/>
      <c r="HJ27" s="242"/>
      <c r="HK27" s="242"/>
      <c r="HL27" s="242"/>
      <c r="HM27" s="242"/>
      <c r="HN27" s="242"/>
      <c r="HO27" s="242"/>
      <c r="HP27" s="242"/>
      <c r="HQ27" s="242"/>
      <c r="HR27" s="242"/>
      <c r="HS27" s="242"/>
      <c r="HT27" s="242"/>
      <c r="HU27" s="242"/>
      <c r="HV27" s="242"/>
      <c r="HW27" s="242"/>
      <c r="HX27" s="242"/>
      <c r="HY27" s="242"/>
      <c r="HZ27" s="242"/>
      <c r="IA27" s="242"/>
      <c r="IB27" s="242"/>
      <c r="IC27" s="242"/>
      <c r="ID27" s="242"/>
      <c r="IE27" s="242"/>
      <c r="IF27" s="242"/>
      <c r="IG27" s="242"/>
      <c r="IH27" s="242"/>
      <c r="II27" s="242"/>
      <c r="IJ27" s="242"/>
      <c r="IK27" s="242"/>
      <c r="IL27" s="242"/>
      <c r="IM27" s="242"/>
      <c r="IN27" s="242"/>
      <c r="IO27" s="242"/>
      <c r="IP27" s="242"/>
      <c r="IQ27" s="242"/>
      <c r="IR27" s="242"/>
      <c r="IS27" s="242"/>
      <c r="IT27" s="242"/>
      <c r="IU27" s="242"/>
      <c r="IV27" s="242"/>
      <c r="IW27" s="242"/>
    </row>
    <row r="28" customFormat="false" ht="12.75" hidden="false" customHeight="true" outlineLevel="0" collapsed="false">
      <c r="A28" s="248" t="s">
        <v>335</v>
      </c>
      <c r="B28" s="242"/>
      <c r="C28" s="254" t="n">
        <f aca="false">C7*'Project Assumptions'!$M$12</f>
        <v>31.219188</v>
      </c>
      <c r="D28" s="254" t="n">
        <f aca="false">IF(D3&gt;'Project Assumptions'!$I$15+1,0,D7*'Project Assumptions'!$M$12)</f>
        <v>59.23008</v>
      </c>
      <c r="E28" s="254" t="n">
        <f aca="false">IF(E3&gt;'Project Assumptions'!$I$15+1,0,E7*'Project Assumptions'!$M$12)</f>
        <v>59.23008</v>
      </c>
      <c r="F28" s="254" t="n">
        <f aca="false">IF(F3&gt;'Project Assumptions'!$I$15+1,0,F7*'Project Assumptions'!$M$12)</f>
        <v>59.23008</v>
      </c>
      <c r="G28" s="254" t="n">
        <f aca="false">IF(G3&gt;'Project Assumptions'!$I$15+1,0,G7*'Project Assumptions'!$M$12)</f>
        <v>59.23008</v>
      </c>
      <c r="H28" s="254" t="n">
        <f aca="false">IF(H3&gt;'Project Assumptions'!$I$15+1,0,H7*'Project Assumptions'!$M$12)</f>
        <v>59.23008</v>
      </c>
      <c r="I28" s="254" t="n">
        <f aca="false">IF(I3&gt;'Project Assumptions'!$I$15+1,0,I7*'Project Assumptions'!$M$12)</f>
        <v>59.23008</v>
      </c>
      <c r="J28" s="254" t="n">
        <f aca="false">IF(J3&gt;'Project Assumptions'!$I$15+1,0,J7*'Project Assumptions'!$M$12)</f>
        <v>59.23008</v>
      </c>
      <c r="K28" s="254" t="n">
        <f aca="false">IF(K3&gt;'Project Assumptions'!$I$15+1,0,K7*'Project Assumptions'!$M$12)</f>
        <v>59.23008</v>
      </c>
      <c r="L28" s="254" t="n">
        <f aca="false">IF(L3&gt;'Project Assumptions'!$I$15+1,0,L7*'Project Assumptions'!$M$12)</f>
        <v>59.23008</v>
      </c>
      <c r="M28" s="254" t="n">
        <f aca="false">IF(M3&gt;'Project Assumptions'!$I$15+1,0,M7*'Project Assumptions'!$M$12)</f>
        <v>59.23008</v>
      </c>
      <c r="N28" s="254" t="n">
        <f aca="false">IF(N3&gt;'Project Assumptions'!$I$15+1,0,N7*'Project Assumptions'!$M$12)</f>
        <v>59.23008</v>
      </c>
      <c r="O28" s="254" t="n">
        <f aca="false">IF(O3&gt;'Project Assumptions'!$I$15+1,0,O7*'Project Assumptions'!$M$12)</f>
        <v>59.23008</v>
      </c>
      <c r="P28" s="254" t="n">
        <f aca="false">IF(P3&gt;'Project Assumptions'!$I$15+1,0,P7*'Project Assumptions'!$M$12)</f>
        <v>59.23008</v>
      </c>
      <c r="Q28" s="254" t="n">
        <f aca="false">IF(Q3&gt;'Project Assumptions'!$I$15+1,0,Q7*'Project Assumptions'!$M$12)</f>
        <v>59.23008</v>
      </c>
      <c r="R28" s="254" t="n">
        <f aca="false">IF(R3&gt;'Project Assumptions'!$I$15+1,0,R7*'Project Assumptions'!$M$12)</f>
        <v>39.48672</v>
      </c>
      <c r="AB28" s="242"/>
      <c r="AC28" s="242"/>
      <c r="AD28" s="184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2"/>
      <c r="DB28" s="242"/>
      <c r="DC28" s="242"/>
      <c r="DD28" s="242"/>
      <c r="DE28" s="242"/>
      <c r="DF28" s="242"/>
      <c r="DG28" s="242"/>
      <c r="DH28" s="242"/>
      <c r="DI28" s="242"/>
      <c r="DJ28" s="242"/>
      <c r="DK28" s="242"/>
      <c r="DL28" s="242"/>
      <c r="DM28" s="242"/>
      <c r="DN28" s="242"/>
      <c r="DO28" s="242"/>
      <c r="DP28" s="242"/>
      <c r="DQ28" s="242"/>
      <c r="DR28" s="242"/>
      <c r="DS28" s="242"/>
      <c r="DT28" s="242"/>
      <c r="DU28" s="242"/>
      <c r="DV28" s="242"/>
      <c r="DW28" s="242"/>
      <c r="DX28" s="242"/>
      <c r="DY28" s="242"/>
      <c r="DZ28" s="242"/>
      <c r="EA28" s="242"/>
      <c r="EB28" s="242"/>
      <c r="EC28" s="242"/>
      <c r="ED28" s="242"/>
      <c r="EE28" s="242"/>
      <c r="EF28" s="242"/>
      <c r="EG28" s="242"/>
      <c r="EH28" s="242"/>
      <c r="EI28" s="242"/>
      <c r="EJ28" s="242"/>
      <c r="EK28" s="242"/>
      <c r="EL28" s="242"/>
      <c r="EM28" s="242"/>
      <c r="EN28" s="242"/>
      <c r="EO28" s="242"/>
      <c r="EP28" s="242"/>
      <c r="EQ28" s="242"/>
      <c r="ER28" s="242"/>
      <c r="ES28" s="242"/>
      <c r="ET28" s="242"/>
      <c r="EU28" s="242"/>
      <c r="EV28" s="242"/>
      <c r="EW28" s="242"/>
      <c r="EX28" s="242"/>
      <c r="EY28" s="242"/>
      <c r="EZ28" s="242"/>
      <c r="FA28" s="242"/>
      <c r="FB28" s="242"/>
      <c r="FC28" s="242"/>
      <c r="FD28" s="242"/>
      <c r="FE28" s="242"/>
      <c r="FF28" s="242"/>
      <c r="FG28" s="242"/>
      <c r="FH28" s="242"/>
      <c r="FI28" s="242"/>
      <c r="FJ28" s="242"/>
      <c r="FK28" s="242"/>
      <c r="FL28" s="242"/>
      <c r="FM28" s="242"/>
      <c r="FN28" s="242"/>
      <c r="FO28" s="242"/>
      <c r="FP28" s="242"/>
      <c r="FQ28" s="242"/>
      <c r="FR28" s="242"/>
      <c r="FS28" s="242"/>
      <c r="FT28" s="242"/>
      <c r="FU28" s="242"/>
      <c r="FV28" s="242"/>
      <c r="FW28" s="242"/>
      <c r="FX28" s="242"/>
      <c r="FY28" s="242"/>
      <c r="FZ28" s="242"/>
      <c r="GA28" s="242"/>
      <c r="GB28" s="242"/>
      <c r="GC28" s="242"/>
      <c r="GD28" s="242"/>
      <c r="GE28" s="242"/>
      <c r="GF28" s="242"/>
      <c r="GG28" s="242"/>
      <c r="GH28" s="242"/>
      <c r="GI28" s="242"/>
      <c r="GJ28" s="242"/>
      <c r="GK28" s="242"/>
      <c r="GL28" s="242"/>
      <c r="GM28" s="242"/>
      <c r="GN28" s="242"/>
      <c r="GO28" s="242"/>
      <c r="GP28" s="242"/>
      <c r="GQ28" s="242"/>
      <c r="GR28" s="242"/>
      <c r="GS28" s="242"/>
      <c r="GT28" s="242"/>
      <c r="GU28" s="242"/>
      <c r="GV28" s="242"/>
      <c r="GW28" s="242"/>
      <c r="GX28" s="242"/>
      <c r="GY28" s="242"/>
      <c r="GZ28" s="242"/>
      <c r="HA28" s="242"/>
      <c r="HB28" s="242"/>
      <c r="HC28" s="242"/>
      <c r="HD28" s="242"/>
      <c r="HE28" s="242"/>
      <c r="HF28" s="242"/>
      <c r="HG28" s="242"/>
      <c r="HH28" s="242"/>
      <c r="HI28" s="242"/>
      <c r="HJ28" s="242"/>
      <c r="HK28" s="242"/>
      <c r="HL28" s="242"/>
      <c r="HM28" s="242"/>
      <c r="HN28" s="242"/>
      <c r="HO28" s="242"/>
      <c r="HP28" s="242"/>
      <c r="HQ28" s="242"/>
      <c r="HR28" s="242"/>
      <c r="HS28" s="242"/>
      <c r="HT28" s="242"/>
      <c r="HU28" s="242"/>
      <c r="HV28" s="242"/>
      <c r="HW28" s="242"/>
      <c r="HX28" s="242"/>
      <c r="HY28" s="242"/>
      <c r="HZ28" s="242"/>
      <c r="IA28" s="242"/>
      <c r="IB28" s="242"/>
      <c r="IC28" s="242"/>
      <c r="ID28" s="242"/>
      <c r="IE28" s="242"/>
      <c r="IF28" s="242"/>
      <c r="IG28" s="242"/>
      <c r="IH28" s="242"/>
      <c r="II28" s="242"/>
      <c r="IJ28" s="242"/>
      <c r="IK28" s="242"/>
      <c r="IL28" s="242"/>
      <c r="IM28" s="242"/>
      <c r="IN28" s="242"/>
      <c r="IO28" s="242"/>
      <c r="IP28" s="242"/>
      <c r="IQ28" s="242"/>
      <c r="IR28" s="242"/>
      <c r="IS28" s="242"/>
      <c r="IT28" s="242"/>
      <c r="IU28" s="242"/>
      <c r="IV28" s="242"/>
      <c r="IW28" s="242"/>
    </row>
    <row r="29" customFormat="false" ht="15" hidden="false" customHeight="true" outlineLevel="0" collapsed="false">
      <c r="A29" s="248" t="s">
        <v>336</v>
      </c>
      <c r="B29" s="242"/>
      <c r="C29" s="257" t="n">
        <f aca="false">Depreciation!D39*'Project Assumptions'!$M$13*C5/12</f>
        <v>94.9887498796157</v>
      </c>
      <c r="D29" s="257" t="n">
        <f aca="false">IF(D$3&lt;='Project Assumptions'!$I$15,C29*12/C$5*(1+Opcostescalation),C29*D$5/12*(1+Opcostescalation))</f>
        <v>183.820126249248</v>
      </c>
      <c r="E29" s="257" t="n">
        <f aca="false">IF(E3&lt;='Project Assumptions'!$I$15,D29*12/D5*(1+Opcostescalation),D29*E5/12*(1+Opcostescalation))</f>
        <v>187.496528774233</v>
      </c>
      <c r="F29" s="257" t="n">
        <f aca="false">IF(F3&lt;='Project Assumptions'!$I$15,E29*12/E5*(1+Opcostescalation),E29*F5/12*(1+Opcostescalation))</f>
        <v>191.246459349718</v>
      </c>
      <c r="G29" s="257" t="n">
        <f aca="false">IF(G3&lt;='Project Assumptions'!$I$15,F29*12/F5*(1+Opcostescalation),F29*G5/12*(1+Opcostescalation))</f>
        <v>195.071388536712</v>
      </c>
      <c r="H29" s="257" t="n">
        <f aca="false">IF(H3&lt;='Project Assumptions'!$I$15,G29*12/G5*(1+Opcostescalation),G29*H5/12*(1+Opcostescalation))</f>
        <v>198.972816307447</v>
      </c>
      <c r="I29" s="257" t="n">
        <f aca="false">IF(I3&lt;='Project Assumptions'!$I$15,H29*12/H5*(1+Opcostescalation),H29*I5/12*(1+Opcostescalation))</f>
        <v>202.952272633596</v>
      </c>
      <c r="J29" s="257" t="n">
        <f aca="false">IF(J3&lt;='Project Assumptions'!$I$15,I29*12/I5*(1+Opcostescalation),I29*J5/12*(1+Opcostescalation))</f>
        <v>207.011318086267</v>
      </c>
      <c r="K29" s="257" t="n">
        <f aca="false">IF(K3&lt;='Project Assumptions'!$I$15,J29*12/J5*(1+Opcostescalation),J29*K5/12*(1+Opcostescalation))</f>
        <v>211.151544447993</v>
      </c>
      <c r="L29" s="257" t="n">
        <f aca="false">IF(L3&lt;='Project Assumptions'!$I$15,K29*12/K5*(1+Opcostescalation),K29*L5/12*(1+Opcostescalation))</f>
        <v>215.374575336953</v>
      </c>
      <c r="M29" s="257" t="n">
        <f aca="false">IF(M3&lt;='Project Assumptions'!$I$15,L29*12/L5*(1+Opcostescalation),L29*M5/12*(1+Opcostescalation))</f>
        <v>219.682066843692</v>
      </c>
      <c r="N29" s="257" t="n">
        <f aca="false">IF(N3&lt;='Project Assumptions'!$I$15,M29*12/M5*(1+Opcostescalation),M29*N5/12*(1+Opcostescalation))</f>
        <v>224.075708180566</v>
      </c>
      <c r="O29" s="257" t="n">
        <f aca="false">IF(O3&lt;='Project Assumptions'!$I$15,N29*12/N5*(1+Opcostescalation),N29*O5/12*(1+Opcostescalation))</f>
        <v>228.557222344177</v>
      </c>
      <c r="P29" s="257" t="n">
        <f aca="false">IF(P3&lt;='Project Assumptions'!$I$15,O29*12/O5*(1+Opcostescalation),O29*P5/12*(1+Opcostescalation))</f>
        <v>233.12836679106</v>
      </c>
      <c r="Q29" s="257" t="n">
        <f aca="false">IF(Q3&lt;='Project Assumptions'!$I$15,P29*12/P5*(1+Opcostescalation),P29*Q5/12*(1+Opcostescalation))</f>
        <v>237.790934126882</v>
      </c>
      <c r="R29" s="257" t="n">
        <f aca="false">IF(R3&lt;='Project Assumptions'!$I$15,Q29*12/Q5*(1+Opcostescalation),Q29*R5/12*(1+Opcostescalation))</f>
        <v>161.69783520628</v>
      </c>
      <c r="AB29" s="242"/>
      <c r="AC29" s="242"/>
      <c r="AD29" s="184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2"/>
      <c r="BJ29" s="242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  <c r="CS29" s="242"/>
      <c r="CT29" s="242"/>
      <c r="CU29" s="242"/>
      <c r="CV29" s="242"/>
      <c r="CW29" s="242"/>
      <c r="CX29" s="242"/>
      <c r="CY29" s="242"/>
      <c r="CZ29" s="242"/>
      <c r="DA29" s="242"/>
      <c r="DB29" s="242"/>
      <c r="DC29" s="242"/>
      <c r="DD29" s="242"/>
      <c r="DE29" s="242"/>
      <c r="DF29" s="242"/>
      <c r="DG29" s="242"/>
      <c r="DH29" s="242"/>
      <c r="DI29" s="242"/>
      <c r="DJ29" s="242"/>
      <c r="DK29" s="242"/>
      <c r="DL29" s="242"/>
      <c r="DM29" s="242"/>
      <c r="DN29" s="242"/>
      <c r="DO29" s="242"/>
      <c r="DP29" s="242"/>
      <c r="DQ29" s="242"/>
      <c r="DR29" s="242"/>
      <c r="DS29" s="242"/>
      <c r="DT29" s="242"/>
      <c r="DU29" s="242"/>
      <c r="DV29" s="242"/>
      <c r="DW29" s="242"/>
      <c r="DX29" s="242"/>
      <c r="DY29" s="242"/>
      <c r="DZ29" s="242"/>
      <c r="EA29" s="242"/>
      <c r="EB29" s="242"/>
      <c r="EC29" s="242"/>
      <c r="ED29" s="242"/>
      <c r="EE29" s="242"/>
      <c r="EF29" s="242"/>
      <c r="EG29" s="242"/>
      <c r="EH29" s="242"/>
      <c r="EI29" s="242"/>
      <c r="EJ29" s="242"/>
      <c r="EK29" s="242"/>
      <c r="EL29" s="242"/>
      <c r="EM29" s="242"/>
      <c r="EN29" s="242"/>
      <c r="EO29" s="242"/>
      <c r="EP29" s="242"/>
      <c r="EQ29" s="242"/>
      <c r="ER29" s="242"/>
      <c r="ES29" s="242"/>
      <c r="ET29" s="242"/>
      <c r="EU29" s="242"/>
      <c r="EV29" s="242"/>
      <c r="EW29" s="242"/>
      <c r="EX29" s="242"/>
      <c r="EY29" s="242"/>
      <c r="EZ29" s="242"/>
      <c r="FA29" s="242"/>
      <c r="FB29" s="242"/>
      <c r="FC29" s="242"/>
      <c r="FD29" s="242"/>
      <c r="FE29" s="242"/>
      <c r="FF29" s="242"/>
      <c r="FG29" s="242"/>
      <c r="FH29" s="242"/>
      <c r="FI29" s="242"/>
      <c r="FJ29" s="242"/>
      <c r="FK29" s="242"/>
      <c r="FL29" s="242"/>
      <c r="FM29" s="242"/>
      <c r="FN29" s="242"/>
      <c r="FO29" s="242"/>
      <c r="FP29" s="242"/>
      <c r="FQ29" s="242"/>
      <c r="FR29" s="242"/>
      <c r="FS29" s="242"/>
      <c r="FT29" s="242"/>
      <c r="FU29" s="242"/>
      <c r="FV29" s="242"/>
      <c r="FW29" s="242"/>
      <c r="FX29" s="242"/>
      <c r="FY29" s="242"/>
      <c r="FZ29" s="242"/>
      <c r="GA29" s="242"/>
      <c r="GB29" s="242"/>
      <c r="GC29" s="242"/>
      <c r="GD29" s="242"/>
      <c r="GE29" s="242"/>
      <c r="GF29" s="242"/>
      <c r="GG29" s="242"/>
      <c r="GH29" s="242"/>
      <c r="GI29" s="242"/>
      <c r="GJ29" s="242"/>
      <c r="GK29" s="242"/>
      <c r="GL29" s="242"/>
      <c r="GM29" s="242"/>
      <c r="GN29" s="242"/>
      <c r="GO29" s="242"/>
      <c r="GP29" s="242"/>
      <c r="GQ29" s="242"/>
      <c r="GR29" s="242"/>
      <c r="GS29" s="242"/>
      <c r="GT29" s="242"/>
      <c r="GU29" s="242"/>
      <c r="GV29" s="242"/>
      <c r="GW29" s="242"/>
      <c r="GX29" s="242"/>
      <c r="GY29" s="242"/>
      <c r="GZ29" s="242"/>
      <c r="HA29" s="242"/>
      <c r="HB29" s="242"/>
      <c r="HC29" s="242"/>
      <c r="HD29" s="242"/>
      <c r="HE29" s="242"/>
      <c r="HF29" s="242"/>
      <c r="HG29" s="242"/>
      <c r="HH29" s="242"/>
      <c r="HI29" s="242"/>
      <c r="HJ29" s="242"/>
      <c r="HK29" s="242"/>
      <c r="HL29" s="242"/>
      <c r="HM29" s="242"/>
      <c r="HN29" s="242"/>
      <c r="HO29" s="242"/>
      <c r="HP29" s="242"/>
      <c r="HQ29" s="242"/>
      <c r="HR29" s="242"/>
      <c r="HS29" s="242"/>
      <c r="HT29" s="242"/>
      <c r="HU29" s="242"/>
      <c r="HV29" s="242"/>
      <c r="HW29" s="242"/>
      <c r="HX29" s="242"/>
      <c r="HY29" s="242"/>
      <c r="HZ29" s="242"/>
      <c r="IA29" s="242"/>
      <c r="IB29" s="242"/>
      <c r="IC29" s="242"/>
      <c r="ID29" s="242"/>
      <c r="IE29" s="242"/>
      <c r="IF29" s="242"/>
      <c r="IG29" s="242"/>
      <c r="IH29" s="242"/>
      <c r="II29" s="242"/>
      <c r="IJ29" s="242"/>
      <c r="IK29" s="242"/>
      <c r="IL29" s="242"/>
      <c r="IM29" s="242"/>
      <c r="IN29" s="242"/>
      <c r="IO29" s="242"/>
      <c r="IP29" s="242"/>
      <c r="IQ29" s="242"/>
      <c r="IR29" s="242"/>
      <c r="IS29" s="242"/>
      <c r="IT29" s="242"/>
      <c r="IU29" s="242"/>
      <c r="IV29" s="242"/>
      <c r="IW29" s="242"/>
    </row>
    <row r="30" customFormat="false" ht="12.75" hidden="false" customHeight="true" outlineLevel="0" collapsed="false">
      <c r="A30" s="18" t="s">
        <v>337</v>
      </c>
      <c r="B30" s="242"/>
      <c r="C30" s="239" t="n">
        <f aca="false">SUM(C25:C29)</f>
        <v>736.713382879616</v>
      </c>
      <c r="D30" s="239" t="n">
        <f aca="false">SUM(D25:D29)</f>
        <v>1988.48557750301</v>
      </c>
      <c r="E30" s="239" t="n">
        <f aca="false">SUM(E25:E29)</f>
        <v>2075.44442615983</v>
      </c>
      <c r="F30" s="239" t="n">
        <f aca="false">SUM(F25:F29)</f>
        <v>2155.71862434684</v>
      </c>
      <c r="G30" s="239" t="n">
        <f aca="false">SUM(G25:G29)</f>
        <v>2191.35763997594</v>
      </c>
      <c r="H30" s="239" t="n">
        <f aca="false">SUM(H25:H29)</f>
        <v>2223.94944426928</v>
      </c>
      <c r="I30" s="239" t="n">
        <f aca="false">SUM(I25:I29)</f>
        <v>2253.50540053181</v>
      </c>
      <c r="J30" s="239" t="n">
        <f aca="false">SUM(J25:J29)</f>
        <v>2247.49871007</v>
      </c>
      <c r="K30" s="239" t="n">
        <f aca="false">SUM(K25:K29)</f>
        <v>2242.09496111594</v>
      </c>
      <c r="L30" s="239" t="n">
        <f aca="false">SUM(L25:L29)</f>
        <v>2237.3062124998</v>
      </c>
      <c r="M30" s="239" t="n">
        <f aca="false">SUM(M25:M29)</f>
        <v>2233.14476422832</v>
      </c>
      <c r="N30" s="239" t="n">
        <f aca="false">SUM(N25:N29)</f>
        <v>2229.62316230841</v>
      </c>
      <c r="O30" s="239" t="n">
        <f aca="false">SUM(O25:O29)</f>
        <v>2226.75420366709</v>
      </c>
      <c r="P30" s="239" t="n">
        <f aca="false">SUM(P25:P29)</f>
        <v>2224.55094116994</v>
      </c>
      <c r="Q30" s="239" t="n">
        <f aca="false">SUM(Q25:Q29)</f>
        <v>2223.02668873983</v>
      </c>
      <c r="R30" s="239" t="n">
        <f aca="false">SUM(R25:R29)</f>
        <v>1481.46335105208</v>
      </c>
      <c r="AB30" s="242"/>
      <c r="AC30" s="242"/>
      <c r="AD30" s="184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2"/>
      <c r="CE30" s="242"/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42"/>
      <c r="DA30" s="242"/>
      <c r="DB30" s="242"/>
      <c r="DC30" s="242"/>
      <c r="DD30" s="242"/>
      <c r="DE30" s="242"/>
      <c r="DF30" s="242"/>
      <c r="DG30" s="242"/>
      <c r="DH30" s="242"/>
      <c r="DI30" s="242"/>
      <c r="DJ30" s="242"/>
      <c r="DK30" s="242"/>
      <c r="DL30" s="242"/>
      <c r="DM30" s="242"/>
      <c r="DN30" s="242"/>
      <c r="DO30" s="242"/>
      <c r="DP30" s="242"/>
      <c r="DQ30" s="242"/>
      <c r="DR30" s="242"/>
      <c r="DS30" s="242"/>
      <c r="DT30" s="242"/>
      <c r="DU30" s="242"/>
      <c r="DV30" s="242"/>
      <c r="DW30" s="242"/>
      <c r="DX30" s="242"/>
      <c r="DY30" s="242"/>
      <c r="DZ30" s="242"/>
      <c r="EA30" s="242"/>
      <c r="EB30" s="242"/>
      <c r="EC30" s="242"/>
      <c r="ED30" s="242"/>
      <c r="EE30" s="242"/>
      <c r="EF30" s="242"/>
      <c r="EG30" s="242"/>
      <c r="EH30" s="242"/>
      <c r="EI30" s="242"/>
      <c r="EJ30" s="242"/>
      <c r="EK30" s="242"/>
      <c r="EL30" s="242"/>
      <c r="EM30" s="242"/>
      <c r="EN30" s="242"/>
      <c r="EO30" s="242"/>
      <c r="EP30" s="242"/>
      <c r="EQ30" s="242"/>
      <c r="ER30" s="242"/>
      <c r="ES30" s="242"/>
      <c r="ET30" s="242"/>
      <c r="EU30" s="242"/>
      <c r="EV30" s="242"/>
      <c r="EW30" s="242"/>
      <c r="EX30" s="242"/>
      <c r="EY30" s="242"/>
      <c r="EZ30" s="242"/>
      <c r="FA30" s="242"/>
      <c r="FB30" s="242"/>
      <c r="FC30" s="242"/>
      <c r="FD30" s="242"/>
      <c r="FE30" s="242"/>
      <c r="FF30" s="242"/>
      <c r="FG30" s="242"/>
      <c r="FH30" s="242"/>
      <c r="FI30" s="242"/>
      <c r="FJ30" s="242"/>
      <c r="FK30" s="242"/>
      <c r="FL30" s="242"/>
      <c r="FM30" s="242"/>
      <c r="FN30" s="242"/>
      <c r="FO30" s="242"/>
      <c r="FP30" s="242"/>
      <c r="FQ30" s="242"/>
      <c r="FR30" s="242"/>
      <c r="FS30" s="242"/>
      <c r="FT30" s="242"/>
      <c r="FU30" s="242"/>
      <c r="FV30" s="242"/>
      <c r="FW30" s="242"/>
      <c r="FX30" s="242"/>
      <c r="FY30" s="242"/>
      <c r="FZ30" s="242"/>
      <c r="GA30" s="242"/>
      <c r="GB30" s="242"/>
      <c r="GC30" s="242"/>
      <c r="GD30" s="242"/>
      <c r="GE30" s="242"/>
      <c r="GF30" s="242"/>
      <c r="GG30" s="242"/>
      <c r="GH30" s="242"/>
      <c r="GI30" s="242"/>
      <c r="GJ30" s="242"/>
      <c r="GK30" s="242"/>
      <c r="GL30" s="242"/>
      <c r="GM30" s="242"/>
      <c r="GN30" s="242"/>
      <c r="GO30" s="242"/>
      <c r="GP30" s="242"/>
      <c r="GQ30" s="242"/>
      <c r="GR30" s="242"/>
      <c r="GS30" s="242"/>
      <c r="GT30" s="242"/>
      <c r="GU30" s="242"/>
      <c r="GV30" s="242"/>
      <c r="GW30" s="242"/>
      <c r="GX30" s="242"/>
      <c r="GY30" s="242"/>
      <c r="GZ30" s="242"/>
      <c r="HA30" s="242"/>
      <c r="HB30" s="242"/>
      <c r="HC30" s="242"/>
      <c r="HD30" s="242"/>
      <c r="HE30" s="242"/>
      <c r="HF30" s="242"/>
      <c r="HG30" s="242"/>
      <c r="HH30" s="242"/>
      <c r="HI30" s="242"/>
      <c r="HJ30" s="242"/>
      <c r="HK30" s="242"/>
      <c r="HL30" s="242"/>
      <c r="HM30" s="242"/>
      <c r="HN30" s="242"/>
      <c r="HO30" s="242"/>
      <c r="HP30" s="242"/>
      <c r="HQ30" s="242"/>
      <c r="HR30" s="242"/>
      <c r="HS30" s="242"/>
      <c r="HT30" s="242"/>
      <c r="HU30" s="242"/>
      <c r="HV30" s="242"/>
      <c r="HW30" s="242"/>
      <c r="HX30" s="242"/>
      <c r="HY30" s="242"/>
      <c r="HZ30" s="242"/>
      <c r="IA30" s="242"/>
      <c r="IB30" s="242"/>
      <c r="IC30" s="242"/>
      <c r="ID30" s="242"/>
      <c r="IE30" s="242"/>
      <c r="IF30" s="242"/>
      <c r="IG30" s="242"/>
      <c r="IH30" s="242"/>
      <c r="II30" s="242"/>
      <c r="IJ30" s="242"/>
      <c r="IK30" s="242"/>
      <c r="IL30" s="242"/>
      <c r="IM30" s="242"/>
      <c r="IN30" s="242"/>
      <c r="IO30" s="242"/>
      <c r="IP30" s="242"/>
      <c r="IQ30" s="242"/>
      <c r="IR30" s="242"/>
      <c r="IS30" s="242"/>
      <c r="IT30" s="242"/>
      <c r="IU30" s="242"/>
      <c r="IV30" s="242"/>
      <c r="IW30" s="242"/>
    </row>
    <row r="31" customFormat="false" ht="12.75" hidden="false" customHeight="true" outlineLevel="0" collapsed="false">
      <c r="A31" s="248"/>
      <c r="B31" s="242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AB31" s="242"/>
      <c r="AC31" s="242"/>
      <c r="AD31" s="184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2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2"/>
      <c r="CL31" s="242"/>
      <c r="CM31" s="242"/>
      <c r="CN31" s="242"/>
      <c r="CO31" s="242"/>
      <c r="CP31" s="242"/>
      <c r="CQ31" s="242"/>
      <c r="CR31" s="242"/>
      <c r="CS31" s="242"/>
      <c r="CT31" s="242"/>
      <c r="CU31" s="242"/>
      <c r="CV31" s="242"/>
      <c r="CW31" s="242"/>
      <c r="CX31" s="242"/>
      <c r="CY31" s="242"/>
      <c r="CZ31" s="242"/>
      <c r="DA31" s="242"/>
      <c r="DB31" s="242"/>
      <c r="DC31" s="242"/>
      <c r="DD31" s="242"/>
      <c r="DE31" s="242"/>
      <c r="DF31" s="242"/>
      <c r="DG31" s="242"/>
      <c r="DH31" s="242"/>
      <c r="DI31" s="242"/>
      <c r="DJ31" s="242"/>
      <c r="DK31" s="242"/>
      <c r="DL31" s="242"/>
      <c r="DM31" s="242"/>
      <c r="DN31" s="242"/>
      <c r="DO31" s="242"/>
      <c r="DP31" s="242"/>
      <c r="DQ31" s="242"/>
      <c r="DR31" s="242"/>
      <c r="DS31" s="242"/>
      <c r="DT31" s="242"/>
      <c r="DU31" s="242"/>
      <c r="DV31" s="242"/>
      <c r="DW31" s="242"/>
      <c r="DX31" s="242"/>
      <c r="DY31" s="242"/>
      <c r="DZ31" s="242"/>
      <c r="EA31" s="242"/>
      <c r="EB31" s="242"/>
      <c r="EC31" s="242"/>
      <c r="ED31" s="242"/>
      <c r="EE31" s="242"/>
      <c r="EF31" s="242"/>
      <c r="EG31" s="242"/>
      <c r="EH31" s="242"/>
      <c r="EI31" s="242"/>
      <c r="EJ31" s="242"/>
      <c r="EK31" s="242"/>
      <c r="EL31" s="242"/>
      <c r="EM31" s="242"/>
      <c r="EN31" s="242"/>
      <c r="EO31" s="242"/>
      <c r="EP31" s="242"/>
      <c r="EQ31" s="242"/>
      <c r="ER31" s="242"/>
      <c r="ES31" s="242"/>
      <c r="ET31" s="242"/>
      <c r="EU31" s="242"/>
      <c r="EV31" s="242"/>
      <c r="EW31" s="242"/>
      <c r="EX31" s="242"/>
      <c r="EY31" s="242"/>
      <c r="EZ31" s="242"/>
      <c r="FA31" s="242"/>
      <c r="FB31" s="242"/>
      <c r="FC31" s="242"/>
      <c r="FD31" s="242"/>
      <c r="FE31" s="242"/>
      <c r="FF31" s="242"/>
      <c r="FG31" s="242"/>
      <c r="FH31" s="242"/>
      <c r="FI31" s="242"/>
      <c r="FJ31" s="242"/>
      <c r="FK31" s="242"/>
      <c r="FL31" s="242"/>
      <c r="FM31" s="242"/>
      <c r="FN31" s="242"/>
      <c r="FO31" s="242"/>
      <c r="FP31" s="242"/>
      <c r="FQ31" s="242"/>
      <c r="FR31" s="242"/>
      <c r="FS31" s="242"/>
      <c r="FT31" s="242"/>
      <c r="FU31" s="242"/>
      <c r="FV31" s="242"/>
      <c r="FW31" s="242"/>
      <c r="FX31" s="242"/>
      <c r="FY31" s="242"/>
      <c r="FZ31" s="242"/>
      <c r="GA31" s="242"/>
      <c r="GB31" s="242"/>
      <c r="GC31" s="242"/>
      <c r="GD31" s="242"/>
      <c r="GE31" s="242"/>
      <c r="GF31" s="242"/>
      <c r="GG31" s="242"/>
      <c r="GH31" s="242"/>
      <c r="GI31" s="242"/>
      <c r="GJ31" s="242"/>
      <c r="GK31" s="242"/>
      <c r="GL31" s="242"/>
      <c r="GM31" s="242"/>
      <c r="GN31" s="242"/>
      <c r="GO31" s="242"/>
      <c r="GP31" s="242"/>
      <c r="GQ31" s="242"/>
      <c r="GR31" s="242"/>
      <c r="GS31" s="242"/>
      <c r="GT31" s="242"/>
      <c r="GU31" s="242"/>
      <c r="GV31" s="242"/>
      <c r="GW31" s="242"/>
      <c r="GX31" s="242"/>
      <c r="GY31" s="242"/>
      <c r="GZ31" s="242"/>
      <c r="HA31" s="242"/>
      <c r="HB31" s="242"/>
      <c r="HC31" s="242"/>
      <c r="HD31" s="242"/>
      <c r="HE31" s="242"/>
      <c r="HF31" s="242"/>
      <c r="HG31" s="242"/>
      <c r="HH31" s="242"/>
      <c r="HI31" s="242"/>
      <c r="HJ31" s="242"/>
      <c r="HK31" s="242"/>
      <c r="HL31" s="242"/>
      <c r="HM31" s="242"/>
      <c r="HN31" s="242"/>
      <c r="HO31" s="242"/>
      <c r="HP31" s="242"/>
      <c r="HQ31" s="242"/>
      <c r="HR31" s="242"/>
      <c r="HS31" s="242"/>
      <c r="HT31" s="242"/>
      <c r="HU31" s="242"/>
      <c r="HV31" s="242"/>
      <c r="HW31" s="242"/>
      <c r="HX31" s="242"/>
      <c r="HY31" s="242"/>
      <c r="HZ31" s="242"/>
      <c r="IA31" s="242"/>
      <c r="IB31" s="242"/>
      <c r="IC31" s="242"/>
      <c r="ID31" s="242"/>
      <c r="IE31" s="242"/>
      <c r="IF31" s="242"/>
      <c r="IG31" s="242"/>
      <c r="IH31" s="242"/>
      <c r="II31" s="242"/>
      <c r="IJ31" s="242"/>
      <c r="IK31" s="242"/>
      <c r="IL31" s="242"/>
      <c r="IM31" s="242"/>
      <c r="IN31" s="242"/>
      <c r="IO31" s="242"/>
      <c r="IP31" s="242"/>
      <c r="IQ31" s="242"/>
      <c r="IR31" s="242"/>
      <c r="IS31" s="242"/>
      <c r="IT31" s="242"/>
      <c r="IU31" s="242"/>
      <c r="IV31" s="242"/>
      <c r="IW31" s="242"/>
    </row>
    <row r="32" customFormat="false" ht="12.75" hidden="false" customHeight="true" outlineLevel="0" collapsed="false">
      <c r="A32" s="245" t="s">
        <v>338</v>
      </c>
      <c r="B32" s="268"/>
      <c r="C32" s="256"/>
      <c r="D32" s="338" t="n">
        <v>1</v>
      </c>
      <c r="E32" s="338" t="n">
        <v>2</v>
      </c>
      <c r="F32" s="338" t="n">
        <v>3</v>
      </c>
      <c r="G32" s="338" t="n">
        <v>4</v>
      </c>
      <c r="H32" s="338" t="n">
        <v>5</v>
      </c>
      <c r="I32" s="338" t="n">
        <v>6</v>
      </c>
      <c r="J32" s="338" t="n">
        <v>7</v>
      </c>
      <c r="K32" s="338" t="n">
        <v>8</v>
      </c>
      <c r="L32" s="338" t="n">
        <v>9</v>
      </c>
      <c r="M32" s="338" t="n">
        <v>10</v>
      </c>
      <c r="N32" s="338" t="n">
        <v>11</v>
      </c>
      <c r="O32" s="338" t="n">
        <v>12</v>
      </c>
      <c r="P32" s="338" t="n">
        <v>13</v>
      </c>
      <c r="Q32" s="338" t="n">
        <v>14</v>
      </c>
      <c r="R32" s="338" t="n">
        <v>15</v>
      </c>
      <c r="AB32" s="242"/>
      <c r="AC32" s="242"/>
      <c r="AD32" s="184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  <c r="BK32" s="242"/>
      <c r="BL32" s="242"/>
      <c r="BM32" s="242"/>
      <c r="BN32" s="242"/>
      <c r="BO32" s="242"/>
      <c r="BP32" s="242"/>
      <c r="BQ32" s="242"/>
      <c r="BR32" s="242"/>
      <c r="BS32" s="242"/>
      <c r="BT32" s="242"/>
      <c r="BU32" s="242"/>
      <c r="BV32" s="242"/>
      <c r="BW32" s="242"/>
      <c r="BX32" s="242"/>
      <c r="BY32" s="242"/>
      <c r="BZ32" s="242"/>
      <c r="CA32" s="242"/>
      <c r="CB32" s="242"/>
      <c r="CC32" s="242"/>
      <c r="CD32" s="242"/>
      <c r="CE32" s="242"/>
      <c r="CF32" s="242"/>
      <c r="CG32" s="242"/>
      <c r="CH32" s="242"/>
      <c r="CI32" s="242"/>
      <c r="CJ32" s="242"/>
      <c r="CK32" s="242"/>
      <c r="CL32" s="242"/>
      <c r="CM32" s="242"/>
      <c r="CN32" s="242"/>
      <c r="CO32" s="242"/>
      <c r="CP32" s="242"/>
      <c r="CQ32" s="242"/>
      <c r="CR32" s="242"/>
      <c r="CS32" s="242"/>
      <c r="CT32" s="242"/>
      <c r="CU32" s="242"/>
      <c r="CV32" s="242"/>
      <c r="CW32" s="242"/>
      <c r="CX32" s="242"/>
      <c r="CY32" s="242"/>
      <c r="CZ32" s="242"/>
      <c r="DA32" s="242"/>
      <c r="DB32" s="242"/>
      <c r="DC32" s="242"/>
      <c r="DD32" s="242"/>
      <c r="DE32" s="242"/>
      <c r="DF32" s="242"/>
      <c r="DG32" s="242"/>
      <c r="DH32" s="242"/>
      <c r="DI32" s="242"/>
      <c r="DJ32" s="242"/>
      <c r="DK32" s="242"/>
      <c r="DL32" s="242"/>
      <c r="DM32" s="242"/>
      <c r="DN32" s="242"/>
      <c r="DO32" s="242"/>
      <c r="DP32" s="242"/>
      <c r="DQ32" s="242"/>
      <c r="DR32" s="242"/>
      <c r="DS32" s="242"/>
      <c r="DT32" s="242"/>
      <c r="DU32" s="242"/>
      <c r="DV32" s="242"/>
      <c r="DW32" s="242"/>
      <c r="DX32" s="242"/>
      <c r="DY32" s="242"/>
      <c r="DZ32" s="242"/>
      <c r="EA32" s="242"/>
      <c r="EB32" s="242"/>
      <c r="EC32" s="242"/>
      <c r="ED32" s="242"/>
      <c r="EE32" s="242"/>
      <c r="EF32" s="242"/>
      <c r="EG32" s="242"/>
      <c r="EH32" s="242"/>
      <c r="EI32" s="242"/>
      <c r="EJ32" s="242"/>
      <c r="EK32" s="242"/>
      <c r="EL32" s="242"/>
      <c r="EM32" s="242"/>
      <c r="EN32" s="242"/>
      <c r="EO32" s="242"/>
      <c r="EP32" s="242"/>
      <c r="EQ32" s="242"/>
      <c r="ER32" s="242"/>
      <c r="ES32" s="242"/>
      <c r="ET32" s="242"/>
      <c r="EU32" s="242"/>
      <c r="EV32" s="242"/>
      <c r="EW32" s="242"/>
      <c r="EX32" s="242"/>
      <c r="EY32" s="242"/>
      <c r="EZ32" s="242"/>
      <c r="FA32" s="242"/>
      <c r="FB32" s="242"/>
      <c r="FC32" s="242"/>
      <c r="FD32" s="242"/>
      <c r="FE32" s="242"/>
      <c r="FF32" s="242"/>
      <c r="FG32" s="242"/>
      <c r="FH32" s="242"/>
      <c r="FI32" s="242"/>
      <c r="FJ32" s="242"/>
      <c r="FK32" s="242"/>
      <c r="FL32" s="242"/>
      <c r="FM32" s="242"/>
      <c r="FN32" s="242"/>
      <c r="FO32" s="242"/>
      <c r="FP32" s="242"/>
      <c r="FQ32" s="242"/>
      <c r="FR32" s="242"/>
      <c r="FS32" s="242"/>
      <c r="FT32" s="242"/>
      <c r="FU32" s="242"/>
      <c r="FV32" s="242"/>
      <c r="FW32" s="242"/>
      <c r="FX32" s="242"/>
      <c r="FY32" s="242"/>
      <c r="FZ32" s="242"/>
      <c r="GA32" s="242"/>
      <c r="GB32" s="242"/>
      <c r="GC32" s="242"/>
      <c r="GD32" s="242"/>
      <c r="GE32" s="242"/>
      <c r="GF32" s="242"/>
      <c r="GG32" s="242"/>
      <c r="GH32" s="242"/>
      <c r="GI32" s="242"/>
      <c r="GJ32" s="242"/>
      <c r="GK32" s="242"/>
      <c r="GL32" s="242"/>
      <c r="GM32" s="242"/>
      <c r="GN32" s="242"/>
      <c r="GO32" s="242"/>
      <c r="GP32" s="242"/>
      <c r="GQ32" s="242"/>
      <c r="GR32" s="242"/>
      <c r="GS32" s="242"/>
      <c r="GT32" s="242"/>
      <c r="GU32" s="242"/>
      <c r="GV32" s="242"/>
      <c r="GW32" s="242"/>
      <c r="GX32" s="242"/>
      <c r="GY32" s="242"/>
      <c r="GZ32" s="242"/>
      <c r="HA32" s="242"/>
      <c r="HB32" s="242"/>
      <c r="HC32" s="242"/>
      <c r="HD32" s="242"/>
      <c r="HE32" s="242"/>
      <c r="HF32" s="242"/>
      <c r="HG32" s="242"/>
      <c r="HH32" s="242"/>
      <c r="HI32" s="242"/>
      <c r="HJ32" s="242"/>
      <c r="HK32" s="242"/>
      <c r="HL32" s="242"/>
      <c r="HM32" s="242"/>
      <c r="HN32" s="242"/>
      <c r="HO32" s="242"/>
      <c r="HP32" s="242"/>
      <c r="HQ32" s="242"/>
      <c r="HR32" s="242"/>
      <c r="HS32" s="242"/>
      <c r="HT32" s="242"/>
      <c r="HU32" s="242"/>
      <c r="HV32" s="242"/>
      <c r="HW32" s="242"/>
      <c r="HX32" s="242"/>
      <c r="HY32" s="242"/>
      <c r="HZ32" s="242"/>
      <c r="IA32" s="242"/>
      <c r="IB32" s="242"/>
      <c r="IC32" s="242"/>
      <c r="ID32" s="242"/>
      <c r="IE32" s="242"/>
      <c r="IF32" s="242"/>
      <c r="IG32" s="242"/>
      <c r="IH32" s="242"/>
      <c r="II32" s="242"/>
      <c r="IJ32" s="242"/>
      <c r="IK32" s="242"/>
      <c r="IL32" s="242"/>
      <c r="IM32" s="242"/>
      <c r="IN32" s="242"/>
      <c r="IO32" s="242"/>
      <c r="IP32" s="242"/>
      <c r="IQ32" s="242"/>
      <c r="IR32" s="242"/>
      <c r="IS32" s="242"/>
      <c r="IT32" s="242"/>
      <c r="IU32" s="242"/>
      <c r="IV32" s="242"/>
      <c r="IW32" s="242"/>
    </row>
    <row r="33" customFormat="false" ht="12.75" hidden="false" customHeight="true" outlineLevel="0" collapsed="false">
      <c r="A33" s="248" t="s">
        <v>339</v>
      </c>
      <c r="B33" s="242"/>
      <c r="C33" s="256" t="n">
        <f aca="false">Asset_Mgt*C5/12</f>
        <v>65.8854166666667</v>
      </c>
      <c r="D33" s="254" t="n">
        <f aca="false">IF(D$3&lt;='Project Assumptions'!$I$15,Asset_Mgt*(1+'Project Assumptions'!$N$19),C33*D$5/12*(1+'Project Assumptions'!$N$19))</f>
        <v>127.5</v>
      </c>
      <c r="E33" s="254" t="n">
        <f aca="false">IF(E$3&lt;='Project Assumptions'!$I$15,D33*12/D$5*(1+'Project Assumptions'!$N$19),D33*E$5/12*(1+'Project Assumptions'!$N$19))</f>
        <v>130.05</v>
      </c>
      <c r="F33" s="254" t="n">
        <f aca="false">IF(F$3&lt;='Project Assumptions'!$I$15,E33*12/E$5*(1+'Project Assumptions'!$N$19),E33*F$5/12*(1+'Project Assumptions'!$N$19))</f>
        <v>132.651</v>
      </c>
      <c r="G33" s="254" t="n">
        <f aca="false">IF(G$3&lt;='Project Assumptions'!$I$15,F33*12/F$5*(1+'Project Assumptions'!$N$19),F33*G$5/12*(1+'Project Assumptions'!$N$19))</f>
        <v>135.30402</v>
      </c>
      <c r="H33" s="254" t="n">
        <f aca="false">IF(H$3&lt;='Project Assumptions'!$I$15,G33*12/G$5*(1+'Project Assumptions'!$N$19),G33*H$5/12*(1+'Project Assumptions'!$N$19))</f>
        <v>138.0101004</v>
      </c>
      <c r="I33" s="254" t="n">
        <f aca="false">IF(I$3&lt;='Project Assumptions'!$I$15,H33*12/H$5*(1+'Project Assumptions'!$N$19),H33*I$5/12*(1+'Project Assumptions'!$N$19))</f>
        <v>140.770302408</v>
      </c>
      <c r="J33" s="254" t="n">
        <f aca="false">IF(J$3&lt;='Project Assumptions'!$I$15,I33*12/I$5*(1+'Project Assumptions'!$N$19),I33*J$5/12*(1+'Project Assumptions'!$N$19))</f>
        <v>143.58570845616</v>
      </c>
      <c r="K33" s="254" t="n">
        <f aca="false">IF(K$3&lt;='Project Assumptions'!$I$15,J33*12/J$5*(1+'Project Assumptions'!$N$19),J33*K$5/12*(1+'Project Assumptions'!$N$19))</f>
        <v>146.457422625283</v>
      </c>
      <c r="L33" s="254" t="n">
        <f aca="false">IF(L$3&lt;='Project Assumptions'!$I$15,K33*12/K$5*(1+'Project Assumptions'!$N$19),K33*L$5/12*(1+'Project Assumptions'!$N$19))</f>
        <v>149.386571077789</v>
      </c>
      <c r="M33" s="254" t="n">
        <f aca="false">IF(M$3&lt;='Project Assumptions'!$I$15,L33*12/L$5*(1+'Project Assumptions'!$N$19),L33*M$5/12*(1+'Project Assumptions'!$N$19))</f>
        <v>152.374302499345</v>
      </c>
      <c r="N33" s="254" t="n">
        <f aca="false">IF(N$3&lt;='Project Assumptions'!$I$15,M33*12/M$5*(1+'Project Assumptions'!$N$19),M33*N$5/12*(1+'Project Assumptions'!$N$19))</f>
        <v>155.421788549332</v>
      </c>
      <c r="O33" s="254" t="n">
        <f aca="false">IF(O$3&lt;='Project Assumptions'!$I$15,N33*12/N$5*(1+'Project Assumptions'!$N$19),N33*O$5/12*(1+'Project Assumptions'!$N$19))</f>
        <v>158.530224320318</v>
      </c>
      <c r="P33" s="254" t="n">
        <f aca="false">IF(P$3&lt;='Project Assumptions'!$I$15,O33*12/O$5*(1+'Project Assumptions'!$N$19),O33*P$5/12*(1+'Project Assumptions'!$N$19))</f>
        <v>161.700828806725</v>
      </c>
      <c r="Q33" s="254" t="n">
        <f aca="false">IF(Q$3&lt;='Project Assumptions'!$I$15,P33*12/P$5*(1+'Project Assumptions'!$N$19),P33*Q$5/12*(1+'Project Assumptions'!$N$19))</f>
        <v>164.934845382859</v>
      </c>
      <c r="R33" s="254" t="n">
        <f aca="false">IF(R$3&lt;='Project Assumptions'!$I$15,Q33*12/Q$5*(1+'Project Assumptions'!$N$19),Q33*R$5/12*(1+'Project Assumptions'!$N$19))</f>
        <v>112.155694860344</v>
      </c>
      <c r="AB33" s="242"/>
      <c r="AC33" s="242"/>
      <c r="AD33" s="184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2"/>
      <c r="BR33" s="242"/>
      <c r="BS33" s="242"/>
      <c r="BT33" s="242"/>
      <c r="BU33" s="242"/>
      <c r="BV33" s="242"/>
      <c r="BW33" s="242"/>
      <c r="BX33" s="242"/>
      <c r="BY33" s="242"/>
      <c r="BZ33" s="242"/>
      <c r="CA33" s="242"/>
      <c r="CB33" s="242"/>
      <c r="CC33" s="242"/>
      <c r="CD33" s="242"/>
      <c r="CE33" s="242"/>
      <c r="CF33" s="242"/>
      <c r="CG33" s="242"/>
      <c r="CH33" s="242"/>
      <c r="CI33" s="242"/>
      <c r="CJ33" s="242"/>
      <c r="CK33" s="242"/>
      <c r="CL33" s="242"/>
      <c r="CM33" s="242"/>
      <c r="CN33" s="242"/>
      <c r="CO33" s="242"/>
      <c r="CP33" s="242"/>
      <c r="CQ33" s="242"/>
      <c r="CR33" s="242"/>
      <c r="CS33" s="242"/>
      <c r="CT33" s="242"/>
      <c r="CU33" s="242"/>
      <c r="CV33" s="242"/>
      <c r="CW33" s="242"/>
      <c r="CX33" s="242"/>
      <c r="CY33" s="242"/>
      <c r="CZ33" s="242"/>
      <c r="DA33" s="242"/>
      <c r="DB33" s="242"/>
      <c r="DC33" s="242"/>
      <c r="DD33" s="242"/>
      <c r="DE33" s="242"/>
      <c r="DF33" s="242"/>
      <c r="DG33" s="242"/>
      <c r="DH33" s="242"/>
      <c r="DI33" s="242"/>
      <c r="DJ33" s="242"/>
      <c r="DK33" s="242"/>
      <c r="DL33" s="242"/>
      <c r="DM33" s="242"/>
      <c r="DN33" s="242"/>
      <c r="DO33" s="242"/>
      <c r="DP33" s="242"/>
      <c r="DQ33" s="242"/>
      <c r="DR33" s="242"/>
      <c r="DS33" s="242"/>
      <c r="DT33" s="242"/>
      <c r="DU33" s="242"/>
      <c r="DV33" s="242"/>
      <c r="DW33" s="242"/>
      <c r="DX33" s="242"/>
      <c r="DY33" s="242"/>
      <c r="DZ33" s="242"/>
      <c r="EA33" s="242"/>
      <c r="EB33" s="242"/>
      <c r="EC33" s="242"/>
      <c r="ED33" s="242"/>
      <c r="EE33" s="242"/>
      <c r="EF33" s="242"/>
      <c r="EG33" s="242"/>
      <c r="EH33" s="242"/>
      <c r="EI33" s="242"/>
      <c r="EJ33" s="242"/>
      <c r="EK33" s="242"/>
      <c r="EL33" s="242"/>
      <c r="EM33" s="242"/>
      <c r="EN33" s="242"/>
      <c r="EO33" s="242"/>
      <c r="EP33" s="242"/>
      <c r="EQ33" s="242"/>
      <c r="ER33" s="242"/>
      <c r="ES33" s="242"/>
      <c r="ET33" s="242"/>
      <c r="EU33" s="242"/>
      <c r="EV33" s="242"/>
      <c r="EW33" s="242"/>
      <c r="EX33" s="242"/>
      <c r="EY33" s="242"/>
      <c r="EZ33" s="242"/>
      <c r="FA33" s="242"/>
      <c r="FB33" s="242"/>
      <c r="FC33" s="242"/>
      <c r="FD33" s="242"/>
      <c r="FE33" s="242"/>
      <c r="FF33" s="242"/>
      <c r="FG33" s="242"/>
      <c r="FH33" s="242"/>
      <c r="FI33" s="242"/>
      <c r="FJ33" s="242"/>
      <c r="FK33" s="242"/>
      <c r="FL33" s="242"/>
      <c r="FM33" s="242"/>
      <c r="FN33" s="242"/>
      <c r="FO33" s="242"/>
      <c r="FP33" s="242"/>
      <c r="FQ33" s="242"/>
      <c r="FR33" s="242"/>
      <c r="FS33" s="242"/>
      <c r="FT33" s="242"/>
      <c r="FU33" s="242"/>
      <c r="FV33" s="242"/>
      <c r="FW33" s="242"/>
      <c r="FX33" s="242"/>
      <c r="FY33" s="242"/>
      <c r="FZ33" s="242"/>
      <c r="GA33" s="242"/>
      <c r="GB33" s="242"/>
      <c r="GC33" s="242"/>
      <c r="GD33" s="242"/>
      <c r="GE33" s="242"/>
      <c r="GF33" s="242"/>
      <c r="GG33" s="242"/>
      <c r="GH33" s="242"/>
      <c r="GI33" s="242"/>
      <c r="GJ33" s="242"/>
      <c r="GK33" s="242"/>
      <c r="GL33" s="242"/>
      <c r="GM33" s="242"/>
      <c r="GN33" s="242"/>
      <c r="GO33" s="242"/>
      <c r="GP33" s="242"/>
      <c r="GQ33" s="242"/>
      <c r="GR33" s="242"/>
      <c r="GS33" s="242"/>
      <c r="GT33" s="242"/>
      <c r="GU33" s="242"/>
      <c r="GV33" s="242"/>
      <c r="GW33" s="242"/>
      <c r="GX33" s="242"/>
      <c r="GY33" s="242"/>
      <c r="GZ33" s="242"/>
      <c r="HA33" s="242"/>
      <c r="HB33" s="242"/>
      <c r="HC33" s="242"/>
      <c r="HD33" s="242"/>
      <c r="HE33" s="242"/>
      <c r="HF33" s="242"/>
      <c r="HG33" s="242"/>
      <c r="HH33" s="242"/>
      <c r="HI33" s="242"/>
      <c r="HJ33" s="242"/>
      <c r="HK33" s="242"/>
      <c r="HL33" s="242"/>
      <c r="HM33" s="242"/>
      <c r="HN33" s="242"/>
      <c r="HO33" s="242"/>
      <c r="HP33" s="242"/>
      <c r="HQ33" s="242"/>
      <c r="HR33" s="242"/>
      <c r="HS33" s="242"/>
      <c r="HT33" s="242"/>
      <c r="HU33" s="242"/>
      <c r="HV33" s="242"/>
      <c r="HW33" s="242"/>
      <c r="HX33" s="242"/>
      <c r="HY33" s="242"/>
      <c r="HZ33" s="242"/>
      <c r="IA33" s="242"/>
      <c r="IB33" s="242"/>
      <c r="IC33" s="242"/>
      <c r="ID33" s="242"/>
      <c r="IE33" s="242"/>
      <c r="IF33" s="242"/>
      <c r="IG33" s="242"/>
      <c r="IH33" s="242"/>
      <c r="II33" s="242"/>
      <c r="IJ33" s="242"/>
      <c r="IK33" s="242"/>
      <c r="IL33" s="242"/>
      <c r="IM33" s="242"/>
      <c r="IN33" s="242"/>
      <c r="IO33" s="242"/>
      <c r="IP33" s="242"/>
      <c r="IQ33" s="242"/>
      <c r="IR33" s="242"/>
      <c r="IS33" s="242"/>
      <c r="IT33" s="242"/>
      <c r="IU33" s="242"/>
      <c r="IV33" s="242"/>
      <c r="IW33" s="242"/>
    </row>
    <row r="34" customFormat="false" ht="12.75" hidden="false" customHeight="true" outlineLevel="0" collapsed="false">
      <c r="A34" s="248" t="s">
        <v>340</v>
      </c>
      <c r="B34" s="242"/>
      <c r="C34" s="256" t="n">
        <f aca="false">OM_Fee*C5/12</f>
        <v>80.64375</v>
      </c>
      <c r="D34" s="254" t="n">
        <f aca="false">IF(D$3&lt;='Project Assumptions'!$I$15,OM_Fee*(1+'Project Assumptions'!$N$19),C34*D$5/12*(1+'Project Assumptions'!$N$19))</f>
        <v>156.06</v>
      </c>
      <c r="E34" s="254" t="n">
        <f aca="false">IF(E$3&lt;='Project Assumptions'!$I$15,D34*12/D$5*(1+'Project Assumptions'!$N$19),D34*E$5/12*(1+'Project Assumptions'!$N$19))</f>
        <v>159.1812</v>
      </c>
      <c r="F34" s="254" t="n">
        <f aca="false">IF(F$3&lt;='Project Assumptions'!$I$15,E34*12/E$5*(1+'Project Assumptions'!$N$19),E34*F$5/12*(1+'Project Assumptions'!$N$19))</f>
        <v>162.364824</v>
      </c>
      <c r="G34" s="254" t="n">
        <f aca="false">IF(G$3&lt;='Project Assumptions'!$I$15,F34*12/F$5*(1+'Project Assumptions'!$N$19),F34*G$5/12*(1+'Project Assumptions'!$N$19))</f>
        <v>165.61212048</v>
      </c>
      <c r="H34" s="254" t="n">
        <f aca="false">IF(H$3&lt;='Project Assumptions'!$I$15,G34*12/G$5*(1+'Project Assumptions'!$N$19),G34*H$5/12*(1+'Project Assumptions'!$N$19))</f>
        <v>168.9243628896</v>
      </c>
      <c r="I34" s="254" t="n">
        <f aca="false">IF(I$3&lt;='Project Assumptions'!$I$15,H34*12/H$5*(1+'Project Assumptions'!$N$19),H34*I$5/12*(1+'Project Assumptions'!$N$19))</f>
        <v>172.302850147392</v>
      </c>
      <c r="J34" s="254" t="n">
        <f aca="false">IF(J$3&lt;='Project Assumptions'!$I$15,I34*12/I$5*(1+'Project Assumptions'!$N$19),I34*J$5/12*(1+'Project Assumptions'!$N$19))</f>
        <v>175.74890715034</v>
      </c>
      <c r="K34" s="254" t="n">
        <f aca="false">IF(K$3&lt;='Project Assumptions'!$I$15,J34*12/J$5*(1+'Project Assumptions'!$N$19),J34*K$5/12*(1+'Project Assumptions'!$N$19))</f>
        <v>179.263885293347</v>
      </c>
      <c r="L34" s="254" t="n">
        <f aca="false">IF(L$3&lt;='Project Assumptions'!$I$15,K34*12/K$5*(1+'Project Assumptions'!$N$19),K34*L$5/12*(1+'Project Assumptions'!$N$19))</f>
        <v>182.849162999214</v>
      </c>
      <c r="M34" s="254" t="n">
        <f aca="false">IF(M$3&lt;='Project Assumptions'!$I$15,L34*12/L$5*(1+'Project Assumptions'!$N$19),L34*M$5/12*(1+'Project Assumptions'!$N$19))</f>
        <v>186.506146259198</v>
      </c>
      <c r="N34" s="254" t="n">
        <f aca="false">IF(N$3&lt;='Project Assumptions'!$I$15,M34*12/M$5*(1+'Project Assumptions'!$N$19),M34*N$5/12*(1+'Project Assumptions'!$N$19))</f>
        <v>190.236269184382</v>
      </c>
      <c r="O34" s="254" t="n">
        <f aca="false">IF(O$3&lt;='Project Assumptions'!$I$15,N34*12/N$5*(1+'Project Assumptions'!$N$19),N34*O$5/12*(1+'Project Assumptions'!$N$19))</f>
        <v>194.04099456807</v>
      </c>
      <c r="P34" s="254" t="n">
        <f aca="false">IF(P$3&lt;='Project Assumptions'!$I$15,O34*12/O$5*(1+'Project Assumptions'!$N$19),O34*P$5/12*(1+'Project Assumptions'!$N$19))</f>
        <v>197.921814459431</v>
      </c>
      <c r="Q34" s="254" t="n">
        <f aca="false">IF(Q$3&lt;='Project Assumptions'!$I$15,P34*12/P$5*(1+'Project Assumptions'!$N$19),P34*Q$5/12*(1+'Project Assumptions'!$N$19))</f>
        <v>201.88025074862</v>
      </c>
      <c r="R34" s="254" t="n">
        <f aca="false">IF(R$3&lt;='Project Assumptions'!$I$15,Q34*12/Q$5*(1+'Project Assumptions'!$N$19),Q34*R$5/12*(1+'Project Assumptions'!$N$19))</f>
        <v>137.278570509061</v>
      </c>
      <c r="AB34" s="242"/>
      <c r="AC34" s="242"/>
      <c r="AD34" s="184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15" hidden="false" customHeight="true" outlineLevel="0" collapsed="false">
      <c r="A35" s="248" t="s">
        <v>341</v>
      </c>
      <c r="B35" s="242"/>
      <c r="C35" s="257" t="n">
        <f aca="false">'Project Assumptions'!$N$24</f>
        <v>0</v>
      </c>
      <c r="D35" s="257" t="n">
        <f aca="false">IF(D$3&lt;='Project Assumptions'!$I$15,C35*(1+'Project Assumptions'!$N$19),C35*(1+'Project Assumptions'!$N$19))</f>
        <v>0</v>
      </c>
      <c r="E35" s="257" t="n">
        <f aca="false">IF(E$3&lt;='Project Assumptions'!$I$15,D35*(1+'Project Assumptions'!$N$19),D35*(1+'Project Assumptions'!$N$19))</f>
        <v>0</v>
      </c>
      <c r="F35" s="257" t="n">
        <f aca="false">IF(F$3&lt;='Project Assumptions'!$I$15,E35*(1+'Project Assumptions'!$N$19),E35*(1+'Project Assumptions'!$N$19))</f>
        <v>0</v>
      </c>
      <c r="G35" s="257" t="n">
        <f aca="false">IF(G$3&lt;='Project Assumptions'!$I$15,F35*(1+'Project Assumptions'!$N$19),F35*(1+'Project Assumptions'!$N$19))</f>
        <v>0</v>
      </c>
      <c r="H35" s="257" t="n">
        <f aca="false">IF(H$3&lt;='Project Assumptions'!$I$15,G35*(1+'Project Assumptions'!$N$19),G35*(1+'Project Assumptions'!$N$19))</f>
        <v>0</v>
      </c>
      <c r="I35" s="257" t="n">
        <f aca="false">IF(I$3&lt;='Project Assumptions'!$I$15,H35*(1+'Project Assumptions'!$N$19),H35*(1+'Project Assumptions'!$N$19))</f>
        <v>0</v>
      </c>
      <c r="J35" s="257" t="n">
        <f aca="false">IF(J$3&lt;='Project Assumptions'!$I$15,I35*(1+'Project Assumptions'!$N$19),I35*(1+'Project Assumptions'!$N$19))</f>
        <v>0</v>
      </c>
      <c r="K35" s="257" t="n">
        <f aca="false">IF(K$3&lt;='Project Assumptions'!$I$15,J35*(1+'Project Assumptions'!$N$19),J35*(1+'Project Assumptions'!$N$19))</f>
        <v>0</v>
      </c>
      <c r="L35" s="257" t="n">
        <f aca="false">IF(L$3&lt;='Project Assumptions'!$I$15,K35*(1+'Project Assumptions'!$N$19),K35*(1+'Project Assumptions'!$N$19))</f>
        <v>0</v>
      </c>
      <c r="M35" s="257" t="n">
        <f aca="false">IF(M$3&lt;='Project Assumptions'!$I$15,L35*(1+'Project Assumptions'!$N$19),L35*(1+'Project Assumptions'!$N$19))</f>
        <v>0</v>
      </c>
      <c r="N35" s="257" t="n">
        <f aca="false">IF(N$3&lt;='Project Assumptions'!$I$15,M35*(1+'Project Assumptions'!$N$19),M35*(1+'Project Assumptions'!$N$19))</f>
        <v>0</v>
      </c>
      <c r="O35" s="257" t="n">
        <f aca="false">IF(O$3&lt;='Project Assumptions'!$I$15,N35*(1+'Project Assumptions'!$N$19),N35*(1+'Project Assumptions'!$N$19))</f>
        <v>0</v>
      </c>
      <c r="P35" s="257" t="n">
        <f aca="false">IF(P$3&lt;='Project Assumptions'!$I$15,O35*(1+'Project Assumptions'!$N$19),O35*(1+'Project Assumptions'!$N$19))</f>
        <v>0</v>
      </c>
      <c r="Q35" s="257" t="n">
        <f aca="false">IF(Q$3&lt;='Project Assumptions'!$I$15,P35*(1+'Project Assumptions'!$N$19),P35*(1+'Project Assumptions'!$N$19))</f>
        <v>0</v>
      </c>
      <c r="R35" s="257" t="n">
        <f aca="false">IF(R$3&lt;='Project Assumptions'!$I$15,Q35*(1+'Project Assumptions'!$N$19),Q35*(1+'Project Assumptions'!$N$19))</f>
        <v>0</v>
      </c>
      <c r="AB35" s="242"/>
      <c r="AC35" s="242"/>
      <c r="AD35" s="184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12.75" hidden="false" customHeight="true" outlineLevel="0" collapsed="false">
      <c r="A36" s="248" t="s">
        <v>342</v>
      </c>
      <c r="B36" s="268"/>
      <c r="C36" s="239" t="n">
        <f aca="false">SUM(C33:C35)</f>
        <v>146.529166666667</v>
      </c>
      <c r="D36" s="239" t="n">
        <f aca="false">SUM(D33:D35)</f>
        <v>283.56</v>
      </c>
      <c r="E36" s="250" t="n">
        <f aca="false">SUM(E33:E35)</f>
        <v>289.2312</v>
      </c>
      <c r="F36" s="250" t="n">
        <f aca="false">SUM(F33:F35)</f>
        <v>295.015824</v>
      </c>
      <c r="G36" s="250" t="n">
        <f aca="false">SUM(G33:G35)</f>
        <v>300.91614048</v>
      </c>
      <c r="H36" s="250" t="n">
        <f aca="false">SUM(H33:H35)</f>
        <v>306.9344632896</v>
      </c>
      <c r="I36" s="250" t="n">
        <f aca="false">SUM(I33:I35)</f>
        <v>313.073152555392</v>
      </c>
      <c r="J36" s="250" t="n">
        <f aca="false">SUM(J33:J35)</f>
        <v>319.3346156065</v>
      </c>
      <c r="K36" s="250" t="n">
        <f aca="false">SUM(K33:K35)</f>
        <v>325.72130791863</v>
      </c>
      <c r="L36" s="250" t="n">
        <f aca="false">SUM(L33:L35)</f>
        <v>332.235734077003</v>
      </c>
      <c r="M36" s="250" t="n">
        <f aca="false">SUM(M33:M35)</f>
        <v>338.880448758543</v>
      </c>
      <c r="N36" s="250" t="n">
        <f aca="false">SUM(N33:N35)</f>
        <v>345.658057733714</v>
      </c>
      <c r="O36" s="250" t="n">
        <f aca="false">SUM(O33:O35)</f>
        <v>352.571218888388</v>
      </c>
      <c r="P36" s="250" t="n">
        <f aca="false">SUM(P33:P35)</f>
        <v>359.622643266156</v>
      </c>
      <c r="Q36" s="250" t="n">
        <f aca="false">SUM(Q33:Q35)</f>
        <v>366.815096131479</v>
      </c>
      <c r="R36" s="250" t="n">
        <f aca="false">SUM(R33:R35)</f>
        <v>249.434265369406</v>
      </c>
      <c r="AB36" s="242"/>
      <c r="AC36" s="242"/>
      <c r="AD36" s="184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15" hidden="false" customHeight="true" outlineLevel="0" collapsed="false">
      <c r="A37" s="248"/>
      <c r="B37" s="242"/>
      <c r="C37" s="257"/>
      <c r="D37" s="257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AB37" s="242"/>
      <c r="AC37" s="242"/>
      <c r="AD37" s="184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15" hidden="false" customHeight="true" outlineLevel="0" collapsed="false">
      <c r="A38" s="245" t="s">
        <v>343</v>
      </c>
      <c r="B38" s="242"/>
      <c r="C38" s="339" t="n">
        <f aca="false">C15+C17+C23+C30+C36</f>
        <v>15016.2253495463</v>
      </c>
      <c r="D38" s="339" t="n">
        <f aca="false">D15+D17+D23+D30+D36</f>
        <v>16428.306577503</v>
      </c>
      <c r="E38" s="339" t="n">
        <f aca="false">E15+E17+E23+E30+E36</f>
        <v>16828.1017221598</v>
      </c>
      <c r="F38" s="339" t="n">
        <f aca="false">F15+F17+F23+F30+F36</f>
        <v>17107.2695622668</v>
      </c>
      <c r="G38" s="339" t="n">
        <f aca="false">G15+G17+G23+G30+G36</f>
        <v>17456.8214246543</v>
      </c>
      <c r="H38" s="339" t="n">
        <f aca="false">H15+H17+H23+H30+H36</f>
        <v>17689.4049526412</v>
      </c>
      <c r="I38" s="339" t="n">
        <f aca="false">I15+I17+I23+I30+I36</f>
        <v>18148.4693990712</v>
      </c>
      <c r="J38" s="339" t="n">
        <f aca="false">J15+J17+J23+J30+J36</f>
        <v>18629.7858765802</v>
      </c>
      <c r="K38" s="339" t="n">
        <f aca="false">K15+K17+K23+K30+K36</f>
        <v>18997.8181109563</v>
      </c>
      <c r="L38" s="339" t="n">
        <f aca="false">L15+L17+L23+L30+L36</f>
        <v>19481.541129337</v>
      </c>
      <c r="M38" s="339" t="n">
        <f aca="false">M15+M17+M23+M30+M36</f>
        <v>19966.5036354023</v>
      </c>
      <c r="N38" s="339" t="n">
        <f aca="false">N15+N17+N23+N30+N36</f>
        <v>20509.9682189058</v>
      </c>
      <c r="O38" s="339" t="n">
        <f aca="false">O15+O17+O23+O30+O36</f>
        <v>20997.4845653965</v>
      </c>
      <c r="P38" s="339" t="n">
        <f aca="false">P15+P17+P23+P30+P36</f>
        <v>21486.3162661339</v>
      </c>
      <c r="Q38" s="339" t="n">
        <f aca="false">Q15+Q17+Q23+Q30+Q36</f>
        <v>22033.7274282031</v>
      </c>
      <c r="R38" s="339" t="n">
        <f aca="false">R15+R17+R23+R30+R36</f>
        <v>1730.89761642148</v>
      </c>
      <c r="AB38" s="242"/>
      <c r="AC38" s="242"/>
      <c r="AD38" s="184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12.75" hidden="false" customHeight="true" outlineLevel="0" collapsed="false">
      <c r="A39" s="245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7"/>
      <c r="AB39" s="242"/>
      <c r="AC39" s="242"/>
      <c r="AD39" s="184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12.75" hidden="false" customHeight="true" outlineLevel="0" collapsed="false">
      <c r="A40" s="245" t="s">
        <v>290</v>
      </c>
      <c r="B40" s="242"/>
      <c r="C40" s="239" t="n">
        <f aca="false">C12-C38</f>
        <v>6111.07563333333</v>
      </c>
      <c r="D40" s="239" t="n">
        <f aca="false">IF(D3&gt;'Project Assumptions'!$I$15+1,0,D12-D38)</f>
        <v>11917.00412</v>
      </c>
      <c r="E40" s="239" t="n">
        <f aca="false">IF(E3&gt;'Project Assumptions'!$I$15+1,0,E12-E38)</f>
        <v>11918.1859524</v>
      </c>
      <c r="F40" s="239" t="n">
        <f aca="false">IF(F3&gt;'Project Assumptions'!$I$15+1,0,F12-F38)</f>
        <v>11920.581071448</v>
      </c>
      <c r="G40" s="239" t="n">
        <f aca="false">IF(G3&gt;'Project Assumptions'!$I$15+1,0,G12-G38)</f>
        <v>11921.925082877</v>
      </c>
      <c r="H40" s="239" t="n">
        <f aca="false">IF(H3&gt;'Project Assumptions'!$I$15+1,0,H12-H38)</f>
        <v>11924.4856245345</v>
      </c>
      <c r="I40" s="239" t="n">
        <f aca="false">IF(I3&gt;'Project Assumptions'!$I$15+1,0,I12-I38)</f>
        <v>11924.8653670252</v>
      </c>
      <c r="J40" s="239" t="n">
        <f aca="false">IF(J3&gt;'Project Assumptions'!$I$15+1,0,J12-J38)</f>
        <v>11924.7655143657</v>
      </c>
      <c r="K40" s="239" t="n">
        <f aca="false">IF(K3&gt;'Project Assumptions'!$I$15+1,0,K12-K38)</f>
        <v>11925.887304653</v>
      </c>
      <c r="L40" s="239" t="n">
        <f aca="false">IF(L3&gt;'Project Assumptions'!$I$15+1,0,L12-L38)</f>
        <v>11925.9665107461</v>
      </c>
      <c r="M40" s="239" t="n">
        <f aca="false">IF(M3&gt;'Project Assumptions'!$I$15+1,0,M12-M38)</f>
        <v>11926.137940961</v>
      </c>
      <c r="N40" s="239" t="n">
        <f aca="false">IF(N3&gt;'Project Assumptions'!$I$15+1,0,N12-N38)</f>
        <v>11925.8369397802</v>
      </c>
      <c r="O40" s="239" t="n">
        <f aca="false">IF(O3&gt;'Project Assumptions'!$I$15+1,0,O12-O38)</f>
        <v>11926.1983885758</v>
      </c>
      <c r="P40" s="239" t="n">
        <f aca="false">IF(P3&gt;'Project Assumptions'!$I$15+1,0,P12-P38)</f>
        <v>11926.6577063473</v>
      </c>
      <c r="Q40" s="239" t="n">
        <f aca="false">IF(Q3&gt;'Project Assumptions'!$I$15+1,0,Q12-Q38)</f>
        <v>11926.6503504743</v>
      </c>
      <c r="R40" s="239" t="n">
        <f aca="false">IF(R3&gt;'Project Assumptions'!$I$15+1,0,R12-R38)</f>
        <v>17959.0314266643</v>
      </c>
      <c r="AB40" s="242"/>
      <c r="AC40" s="242"/>
      <c r="AD40" s="184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42"/>
      <c r="DO40" s="242"/>
      <c r="DP40" s="242"/>
      <c r="DQ40" s="242"/>
      <c r="DR40" s="242"/>
      <c r="DS40" s="242"/>
      <c r="DT40" s="242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2"/>
      <c r="EL40" s="242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242"/>
      <c r="EX40" s="242"/>
      <c r="EY40" s="242"/>
      <c r="EZ40" s="242"/>
      <c r="FA40" s="242"/>
      <c r="FB40" s="242"/>
      <c r="FC40" s="242"/>
      <c r="FD40" s="242"/>
      <c r="FE40" s="242"/>
      <c r="FF40" s="242"/>
      <c r="FG40" s="242"/>
      <c r="FH40" s="242"/>
      <c r="FI40" s="242"/>
      <c r="FJ40" s="242"/>
      <c r="FK40" s="242"/>
      <c r="FL40" s="242"/>
      <c r="FM40" s="242"/>
      <c r="FN40" s="242"/>
      <c r="FO40" s="242"/>
      <c r="FP40" s="242"/>
      <c r="FQ40" s="242"/>
      <c r="FR40" s="242"/>
      <c r="FS40" s="242"/>
      <c r="FT40" s="242"/>
      <c r="FU40" s="242"/>
      <c r="FV40" s="242"/>
      <c r="FW40" s="242"/>
      <c r="FX40" s="242"/>
      <c r="FY40" s="242"/>
      <c r="FZ40" s="242"/>
      <c r="GA40" s="242"/>
      <c r="GB40" s="242"/>
      <c r="GC40" s="242"/>
      <c r="GD40" s="242"/>
      <c r="GE40" s="242"/>
      <c r="GF40" s="242"/>
      <c r="GG40" s="242"/>
      <c r="GH40" s="242"/>
      <c r="GI40" s="242"/>
      <c r="GJ40" s="242"/>
      <c r="GK40" s="242"/>
      <c r="GL40" s="242"/>
      <c r="GM40" s="242"/>
      <c r="GN40" s="242"/>
      <c r="GO40" s="242"/>
      <c r="GP40" s="242"/>
      <c r="GQ40" s="242"/>
      <c r="GR40" s="242"/>
      <c r="GS40" s="242"/>
      <c r="GT40" s="242"/>
      <c r="GU40" s="242"/>
      <c r="GV40" s="242"/>
      <c r="GW40" s="242"/>
      <c r="GX40" s="242"/>
      <c r="GY40" s="242"/>
      <c r="GZ40" s="242"/>
      <c r="HA40" s="242"/>
      <c r="HB40" s="242"/>
      <c r="HC40" s="242"/>
      <c r="HD40" s="242"/>
      <c r="HE40" s="242"/>
      <c r="HF40" s="242"/>
      <c r="HG40" s="242"/>
      <c r="HH40" s="242"/>
      <c r="HI40" s="242"/>
      <c r="HJ40" s="242"/>
      <c r="HK40" s="242"/>
      <c r="HL40" s="242"/>
      <c r="HM40" s="242"/>
      <c r="HN40" s="242"/>
      <c r="HO40" s="242"/>
      <c r="HP40" s="242"/>
      <c r="HQ40" s="242"/>
      <c r="HR40" s="242"/>
      <c r="HS40" s="242"/>
      <c r="HT40" s="242"/>
      <c r="HU40" s="242"/>
      <c r="HV40" s="242"/>
      <c r="HW40" s="242"/>
      <c r="HX40" s="242"/>
      <c r="HY40" s="242"/>
      <c r="HZ40" s="242"/>
      <c r="IA40" s="242"/>
      <c r="IB40" s="242"/>
      <c r="IC40" s="242"/>
      <c r="ID40" s="242"/>
      <c r="IE40" s="242"/>
      <c r="IF40" s="242"/>
      <c r="IG40" s="242"/>
      <c r="IH40" s="242"/>
      <c r="II40" s="242"/>
      <c r="IJ40" s="242"/>
      <c r="IK40" s="242"/>
      <c r="IL40" s="242"/>
      <c r="IM40" s="242"/>
      <c r="IN40" s="242"/>
      <c r="IO40" s="242"/>
      <c r="IP40" s="242"/>
      <c r="IQ40" s="242"/>
      <c r="IR40" s="242"/>
      <c r="IS40" s="242"/>
      <c r="IT40" s="242"/>
      <c r="IU40" s="242"/>
      <c r="IV40" s="242"/>
      <c r="IW40" s="242"/>
    </row>
    <row r="41" customFormat="false" ht="12.75" hidden="false" customHeight="true" outlineLevel="0" collapsed="false">
      <c r="A41" s="248"/>
      <c r="B41" s="24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AB41" s="242"/>
      <c r="AC41" s="242"/>
      <c r="AD41" s="184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  <c r="DC41" s="242"/>
      <c r="DD41" s="242"/>
      <c r="DE41" s="242"/>
      <c r="DF41" s="242"/>
      <c r="DG41" s="242"/>
      <c r="DH41" s="242"/>
      <c r="DI41" s="242"/>
      <c r="DJ41" s="242"/>
      <c r="DK41" s="242"/>
      <c r="DL41" s="242"/>
      <c r="DM41" s="242"/>
      <c r="DN41" s="242"/>
      <c r="DO41" s="242"/>
      <c r="DP41" s="242"/>
      <c r="DQ41" s="242"/>
      <c r="DR41" s="242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242"/>
      <c r="EE41" s="242"/>
      <c r="EF41" s="242"/>
      <c r="EG41" s="242"/>
      <c r="EH41" s="242"/>
      <c r="EI41" s="242"/>
      <c r="EJ41" s="242"/>
      <c r="EK41" s="242"/>
      <c r="EL41" s="242"/>
      <c r="EM41" s="242"/>
      <c r="EN41" s="242"/>
      <c r="EO41" s="242"/>
      <c r="EP41" s="242"/>
      <c r="EQ41" s="242"/>
      <c r="ER41" s="242"/>
      <c r="ES41" s="242"/>
      <c r="ET41" s="242"/>
      <c r="EU41" s="242"/>
      <c r="EV41" s="242"/>
      <c r="EW41" s="242"/>
      <c r="EX41" s="242"/>
      <c r="EY41" s="242"/>
      <c r="EZ41" s="242"/>
      <c r="FA41" s="242"/>
      <c r="FB41" s="242"/>
      <c r="FC41" s="242"/>
      <c r="FD41" s="242"/>
      <c r="FE41" s="242"/>
      <c r="FF41" s="242"/>
      <c r="FG41" s="242"/>
      <c r="FH41" s="242"/>
      <c r="FI41" s="242"/>
      <c r="FJ41" s="242"/>
      <c r="FK41" s="242"/>
      <c r="FL41" s="242"/>
      <c r="FM41" s="242"/>
      <c r="FN41" s="242"/>
      <c r="FO41" s="242"/>
      <c r="FP41" s="242"/>
      <c r="FQ41" s="242"/>
      <c r="FR41" s="242"/>
      <c r="FS41" s="242"/>
      <c r="FT41" s="242"/>
      <c r="FU41" s="242"/>
      <c r="FV41" s="242"/>
      <c r="FW41" s="242"/>
      <c r="FX41" s="242"/>
      <c r="FY41" s="242"/>
      <c r="FZ41" s="242"/>
      <c r="GA41" s="242"/>
      <c r="GB41" s="242"/>
      <c r="GC41" s="242"/>
      <c r="GD41" s="242"/>
      <c r="GE41" s="242"/>
      <c r="GF41" s="242"/>
      <c r="GG41" s="242"/>
      <c r="GH41" s="242"/>
      <c r="GI41" s="242"/>
      <c r="GJ41" s="242"/>
      <c r="GK41" s="242"/>
      <c r="GL41" s="242"/>
      <c r="GM41" s="242"/>
      <c r="GN41" s="242"/>
      <c r="GO41" s="242"/>
      <c r="GP41" s="242"/>
      <c r="GQ41" s="242"/>
      <c r="GR41" s="242"/>
      <c r="GS41" s="242"/>
      <c r="GT41" s="242"/>
      <c r="GU41" s="242"/>
      <c r="GV41" s="242"/>
      <c r="GW41" s="242"/>
      <c r="GX41" s="242"/>
      <c r="GY41" s="242"/>
      <c r="GZ41" s="242"/>
      <c r="HA41" s="242"/>
      <c r="HB41" s="242"/>
      <c r="HC41" s="242"/>
      <c r="HD41" s="242"/>
      <c r="HE41" s="242"/>
      <c r="HF41" s="242"/>
      <c r="HG41" s="242"/>
      <c r="HH41" s="242"/>
      <c r="HI41" s="242"/>
      <c r="HJ41" s="242"/>
      <c r="HK41" s="242"/>
      <c r="HL41" s="242"/>
      <c r="HM41" s="242"/>
      <c r="HN41" s="242"/>
      <c r="HO41" s="242"/>
      <c r="HP41" s="242"/>
      <c r="HQ41" s="242"/>
      <c r="HR41" s="242"/>
      <c r="HS41" s="242"/>
      <c r="HT41" s="242"/>
      <c r="HU41" s="242"/>
      <c r="HV41" s="242"/>
      <c r="HW41" s="242"/>
      <c r="HX41" s="242"/>
      <c r="HY41" s="242"/>
      <c r="HZ41" s="242"/>
      <c r="IA41" s="242"/>
      <c r="IB41" s="242"/>
      <c r="IC41" s="242"/>
      <c r="ID41" s="242"/>
      <c r="IE41" s="242"/>
      <c r="IF41" s="242"/>
      <c r="IG41" s="242"/>
      <c r="IH41" s="242"/>
      <c r="II41" s="242"/>
      <c r="IJ41" s="242"/>
      <c r="IK41" s="242"/>
      <c r="IL41" s="242"/>
      <c r="IM41" s="242"/>
      <c r="IN41" s="242"/>
      <c r="IO41" s="242"/>
      <c r="IP41" s="242"/>
      <c r="IQ41" s="242"/>
      <c r="IR41" s="242"/>
      <c r="IS41" s="242"/>
      <c r="IT41" s="242"/>
      <c r="IU41" s="242"/>
      <c r="IV41" s="242"/>
      <c r="IW41" s="242"/>
    </row>
    <row r="42" customFormat="false" ht="15" hidden="false" customHeight="true" outlineLevel="0" collapsed="false">
      <c r="A42" s="248" t="s">
        <v>344</v>
      </c>
      <c r="B42" s="242"/>
      <c r="C42" s="339" t="n">
        <f aca="false">Depreciation!D37</f>
        <v>3730.45835053844</v>
      </c>
      <c r="D42" s="339" t="n">
        <f aca="false">IF(D3&gt;'Project Assumptions'!$I$15+1,0,Depreciation!E37)</f>
        <v>7460.91670107687</v>
      </c>
      <c r="E42" s="339" t="n">
        <f aca="false">IF(E3&gt;'Project Assumptions'!$I$15+1,0,Depreciation!F37)</f>
        <v>7460.91670107687</v>
      </c>
      <c r="F42" s="339" t="n">
        <f aca="false">IF(F3&gt;'Project Assumptions'!$I$15+1,0,Depreciation!G37)</f>
        <v>7460.91670107687</v>
      </c>
      <c r="G42" s="339" t="n">
        <f aca="false">IF(G3&gt;'Project Assumptions'!$I$15+1,0,Depreciation!H37)</f>
        <v>7460.91670107687</v>
      </c>
      <c r="H42" s="339" t="n">
        <f aca="false">IF(H3&gt;'Project Assumptions'!$I$15+1,0,Depreciation!I37)</f>
        <v>7183.49615680498</v>
      </c>
      <c r="I42" s="339" t="n">
        <f aca="false">IF(I3&gt;'Project Assumptions'!$I$15+1,0,Depreciation!J37)</f>
        <v>6906.07561253308</v>
      </c>
      <c r="J42" s="339" t="n">
        <f aca="false">IF(J3&gt;'Project Assumptions'!$I$15+1,0,Depreciation!K37)</f>
        <v>6906.07561253308</v>
      </c>
      <c r="K42" s="339" t="n">
        <f aca="false">IF(K3&gt;'Project Assumptions'!$I$15+1,0,Depreciation!L37)</f>
        <v>6906.07561253308</v>
      </c>
      <c r="L42" s="339" t="n">
        <f aca="false">IF(L3&gt;'Project Assumptions'!$I$15+1,0,Depreciation!M37)</f>
        <v>6906.07561253308</v>
      </c>
      <c r="M42" s="339" t="n">
        <f aca="false">IF(M3&gt;'Project Assumptions'!$I$15+1,0,Depreciation!N37)</f>
        <v>6906.07561253308</v>
      </c>
      <c r="N42" s="339" t="n">
        <f aca="false">IF(N3&gt;'Project Assumptions'!$I$15+1,0,Depreciation!O37)</f>
        <v>6906.07561253308</v>
      </c>
      <c r="O42" s="339" t="n">
        <f aca="false">IF(O3&gt;'Project Assumptions'!$I$15+1,0,Depreciation!P37)</f>
        <v>6906.07561253308</v>
      </c>
      <c r="P42" s="339" t="n">
        <f aca="false">IF(P3&gt;'Project Assumptions'!$I$15+1,0,Depreciation!Q37)</f>
        <v>6906.07561253308</v>
      </c>
      <c r="Q42" s="339" t="n">
        <f aca="false">IF(Q3&gt;'Project Assumptions'!$I$15+1,0,Depreciation!R37)</f>
        <v>6906.07561253308</v>
      </c>
      <c r="R42" s="339" t="n">
        <f aca="false">IF(R3&gt;'Project Assumptions'!$I$15+1,0,Depreciation!S37)</f>
        <v>3453.03780626654</v>
      </c>
      <c r="AB42" s="242"/>
      <c r="AC42" s="242"/>
      <c r="AD42" s="184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12.75" hidden="false" customHeight="true" outlineLevel="0" collapsed="false">
      <c r="A43" s="245" t="s">
        <v>345</v>
      </c>
      <c r="B43" s="242"/>
      <c r="C43" s="239" t="n">
        <f aca="false">C40-C42</f>
        <v>2380.61728279489</v>
      </c>
      <c r="D43" s="239" t="n">
        <f aca="false">IF(D3&gt;'Project Assumptions'!$I$15+1,0,D40-D42)</f>
        <v>4456.08741892312</v>
      </c>
      <c r="E43" s="239" t="n">
        <f aca="false">IF(E3&gt;'Project Assumptions'!$I$15+1,0,E40-E42)</f>
        <v>4457.26925132313</v>
      </c>
      <c r="F43" s="239" t="n">
        <f aca="false">IF(F3&gt;'Project Assumptions'!$I$15+1,0,F40-F42)</f>
        <v>4459.66437037112</v>
      </c>
      <c r="G43" s="239" t="n">
        <f aca="false">IF(G3&gt;'Project Assumptions'!$I$15+1,0,G40-G42)</f>
        <v>4461.00838180009</v>
      </c>
      <c r="H43" s="239" t="n">
        <f aca="false">IF(H3&gt;'Project Assumptions'!$I$15+1,0,H40-H42)</f>
        <v>4740.98946772952</v>
      </c>
      <c r="I43" s="239" t="n">
        <f aca="false">IF(I3&gt;'Project Assumptions'!$I$15+1,0,I40-I42)</f>
        <v>5018.78975449211</v>
      </c>
      <c r="J43" s="239" t="n">
        <f aca="false">IF(J3&gt;'Project Assumptions'!$I$15+1,0,J40-J42)</f>
        <v>5018.68990183261</v>
      </c>
      <c r="K43" s="239" t="n">
        <f aca="false">IF(K3&gt;'Project Assumptions'!$I$15+1,0,K40-K42)</f>
        <v>5019.81169211993</v>
      </c>
      <c r="L43" s="239" t="n">
        <f aca="false">IF(L3&gt;'Project Assumptions'!$I$15+1,0,L40-L42)</f>
        <v>5019.89089821299</v>
      </c>
      <c r="M43" s="239" t="n">
        <f aca="false">IF(M3&gt;'Project Assumptions'!$I$15+1,0,M40-M42)</f>
        <v>5020.06232842791</v>
      </c>
      <c r="N43" s="239" t="n">
        <f aca="false">IF(N3&gt;'Project Assumptions'!$I$15+1,0,N40-N42)</f>
        <v>5019.76132724713</v>
      </c>
      <c r="O43" s="239" t="n">
        <f aca="false">IF(O3&gt;'Project Assumptions'!$I$15+1,0,O40-O42)</f>
        <v>5020.12277604274</v>
      </c>
      <c r="P43" s="239" t="n">
        <f aca="false">IF(P3&gt;'Project Assumptions'!$I$15+1,0,P40-P42)</f>
        <v>5020.58209381424</v>
      </c>
      <c r="Q43" s="239" t="n">
        <f aca="false">IF(Q3&gt;'Project Assumptions'!$I$15+1,0,Q40-Q42)</f>
        <v>5020.57473794119</v>
      </c>
      <c r="R43" s="239" t="n">
        <f aca="false">IF(R3&gt;'Project Assumptions'!$I$15+1,0,R40-R42)</f>
        <v>14505.9936203978</v>
      </c>
      <c r="AB43" s="242"/>
      <c r="AC43" s="242"/>
      <c r="AD43" s="184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  <c r="DB43" s="242"/>
      <c r="DC43" s="242"/>
      <c r="DD43" s="242"/>
      <c r="DE43" s="242"/>
      <c r="DF43" s="242"/>
      <c r="DG43" s="242"/>
      <c r="DH43" s="242"/>
      <c r="DI43" s="242"/>
      <c r="DJ43" s="242"/>
      <c r="DK43" s="242"/>
      <c r="DL43" s="242"/>
      <c r="DM43" s="242"/>
      <c r="DN43" s="242"/>
      <c r="DO43" s="242"/>
      <c r="DP43" s="242"/>
      <c r="DQ43" s="242"/>
      <c r="DR43" s="242"/>
      <c r="DS43" s="242"/>
      <c r="DT43" s="242"/>
      <c r="DU43" s="242"/>
      <c r="DV43" s="242"/>
      <c r="DW43" s="242"/>
      <c r="DX43" s="242"/>
      <c r="DY43" s="242"/>
      <c r="DZ43" s="242"/>
      <c r="EA43" s="242"/>
      <c r="EB43" s="242"/>
      <c r="EC43" s="242"/>
      <c r="ED43" s="242"/>
      <c r="EE43" s="242"/>
      <c r="EF43" s="242"/>
      <c r="EG43" s="242"/>
      <c r="EH43" s="242"/>
      <c r="EI43" s="242"/>
      <c r="EJ43" s="242"/>
      <c r="EK43" s="242"/>
      <c r="EL43" s="242"/>
      <c r="EM43" s="242"/>
      <c r="EN43" s="242"/>
      <c r="EO43" s="242"/>
      <c r="EP43" s="242"/>
      <c r="EQ43" s="242"/>
      <c r="ER43" s="242"/>
      <c r="ES43" s="242"/>
      <c r="ET43" s="242"/>
      <c r="EU43" s="242"/>
      <c r="EV43" s="242"/>
      <c r="EW43" s="242"/>
      <c r="EX43" s="242"/>
      <c r="EY43" s="242"/>
      <c r="EZ43" s="242"/>
      <c r="FA43" s="242"/>
      <c r="FB43" s="242"/>
      <c r="FC43" s="242"/>
      <c r="FD43" s="242"/>
      <c r="FE43" s="242"/>
      <c r="FF43" s="242"/>
      <c r="FG43" s="242"/>
      <c r="FH43" s="242"/>
      <c r="FI43" s="242"/>
      <c r="FJ43" s="242"/>
      <c r="FK43" s="242"/>
      <c r="FL43" s="242"/>
      <c r="FM43" s="242"/>
      <c r="FN43" s="242"/>
      <c r="FO43" s="242"/>
      <c r="FP43" s="242"/>
      <c r="FQ43" s="242"/>
      <c r="FR43" s="242"/>
      <c r="FS43" s="242"/>
      <c r="FT43" s="242"/>
      <c r="FU43" s="242"/>
      <c r="FV43" s="242"/>
      <c r="FW43" s="242"/>
      <c r="FX43" s="242"/>
      <c r="FY43" s="242"/>
      <c r="FZ43" s="242"/>
      <c r="GA43" s="242"/>
      <c r="GB43" s="242"/>
      <c r="GC43" s="242"/>
      <c r="GD43" s="242"/>
      <c r="GE43" s="242"/>
      <c r="GF43" s="242"/>
      <c r="GG43" s="242"/>
      <c r="GH43" s="242"/>
      <c r="GI43" s="242"/>
      <c r="GJ43" s="242"/>
      <c r="GK43" s="242"/>
      <c r="GL43" s="242"/>
      <c r="GM43" s="242"/>
      <c r="GN43" s="242"/>
      <c r="GO43" s="242"/>
      <c r="GP43" s="242"/>
      <c r="GQ43" s="242"/>
      <c r="GR43" s="242"/>
      <c r="GS43" s="242"/>
      <c r="GT43" s="242"/>
      <c r="GU43" s="242"/>
      <c r="GV43" s="242"/>
      <c r="GW43" s="242"/>
      <c r="GX43" s="242"/>
      <c r="GY43" s="242"/>
      <c r="GZ43" s="242"/>
      <c r="HA43" s="242"/>
      <c r="HB43" s="242"/>
      <c r="HC43" s="242"/>
      <c r="HD43" s="242"/>
      <c r="HE43" s="242"/>
      <c r="HF43" s="242"/>
      <c r="HG43" s="242"/>
      <c r="HH43" s="242"/>
      <c r="HI43" s="242"/>
      <c r="HJ43" s="242"/>
      <c r="HK43" s="242"/>
      <c r="HL43" s="242"/>
      <c r="HM43" s="242"/>
      <c r="HN43" s="242"/>
      <c r="HO43" s="242"/>
      <c r="HP43" s="242"/>
      <c r="HQ43" s="242"/>
      <c r="HR43" s="242"/>
      <c r="HS43" s="242"/>
      <c r="HT43" s="242"/>
      <c r="HU43" s="242"/>
      <c r="HV43" s="242"/>
      <c r="HW43" s="242"/>
      <c r="HX43" s="242"/>
      <c r="HY43" s="242"/>
      <c r="HZ43" s="242"/>
      <c r="IA43" s="242"/>
      <c r="IB43" s="242"/>
      <c r="IC43" s="242"/>
      <c r="ID43" s="242"/>
      <c r="IE43" s="242"/>
      <c r="IF43" s="242"/>
      <c r="IG43" s="242"/>
      <c r="IH43" s="242"/>
      <c r="II43" s="242"/>
      <c r="IJ43" s="242"/>
      <c r="IK43" s="242"/>
      <c r="IL43" s="242"/>
      <c r="IM43" s="242"/>
      <c r="IN43" s="242"/>
      <c r="IO43" s="242"/>
      <c r="IP43" s="242"/>
      <c r="IQ43" s="242"/>
      <c r="IR43" s="242"/>
      <c r="IS43" s="242"/>
      <c r="IT43" s="242"/>
      <c r="IU43" s="242"/>
      <c r="IV43" s="242"/>
      <c r="IW43" s="242"/>
    </row>
    <row r="44" customFormat="false" ht="12.75" hidden="false" customHeight="true" outlineLevel="0" collapsed="false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AB44" s="242"/>
      <c r="AC44" s="242"/>
      <c r="AD44" s="184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242"/>
      <c r="BZ44" s="242"/>
      <c r="CA44" s="242"/>
      <c r="CB44" s="242"/>
      <c r="CC44" s="242"/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42"/>
      <c r="DA44" s="242"/>
      <c r="DB44" s="242"/>
      <c r="DC44" s="242"/>
      <c r="DD44" s="242"/>
      <c r="DE44" s="242"/>
      <c r="DF44" s="242"/>
      <c r="DG44" s="242"/>
      <c r="DH44" s="242"/>
      <c r="DI44" s="242"/>
      <c r="DJ44" s="242"/>
      <c r="DK44" s="242"/>
      <c r="DL44" s="242"/>
      <c r="DM44" s="242"/>
      <c r="DN44" s="242"/>
      <c r="DO44" s="242"/>
      <c r="DP44" s="242"/>
      <c r="DQ44" s="242"/>
      <c r="DR44" s="242"/>
      <c r="DS44" s="242"/>
      <c r="DT44" s="242"/>
      <c r="DU44" s="242"/>
      <c r="DV44" s="242"/>
      <c r="DW44" s="242"/>
      <c r="DX44" s="242"/>
      <c r="DY44" s="242"/>
      <c r="DZ44" s="242"/>
      <c r="EA44" s="242"/>
      <c r="EB44" s="242"/>
      <c r="EC44" s="242"/>
      <c r="ED44" s="242"/>
      <c r="EE44" s="242"/>
      <c r="EF44" s="242"/>
      <c r="EG44" s="242"/>
      <c r="EH44" s="242"/>
      <c r="EI44" s="242"/>
      <c r="EJ44" s="242"/>
      <c r="EK44" s="242"/>
      <c r="EL44" s="242"/>
      <c r="EM44" s="242"/>
      <c r="EN44" s="242"/>
      <c r="EO44" s="242"/>
      <c r="EP44" s="242"/>
      <c r="EQ44" s="242"/>
      <c r="ER44" s="242"/>
      <c r="ES44" s="242"/>
      <c r="ET44" s="242"/>
      <c r="EU44" s="242"/>
      <c r="EV44" s="242"/>
      <c r="EW44" s="242"/>
      <c r="EX44" s="242"/>
      <c r="EY44" s="242"/>
      <c r="EZ44" s="242"/>
      <c r="FA44" s="242"/>
      <c r="FB44" s="242"/>
      <c r="FC44" s="242"/>
      <c r="FD44" s="242"/>
      <c r="FE44" s="242"/>
      <c r="FF44" s="242"/>
      <c r="FG44" s="242"/>
      <c r="FH44" s="242"/>
      <c r="FI44" s="242"/>
      <c r="FJ44" s="242"/>
      <c r="FK44" s="242"/>
      <c r="FL44" s="242"/>
      <c r="FM44" s="242"/>
      <c r="FN44" s="242"/>
      <c r="FO44" s="242"/>
      <c r="FP44" s="242"/>
      <c r="FQ44" s="242"/>
      <c r="FR44" s="242"/>
      <c r="FS44" s="242"/>
      <c r="FT44" s="242"/>
      <c r="FU44" s="242"/>
      <c r="FV44" s="242"/>
      <c r="FW44" s="242"/>
      <c r="FX44" s="242"/>
      <c r="FY44" s="242"/>
      <c r="FZ44" s="242"/>
      <c r="GA44" s="242"/>
      <c r="GB44" s="242"/>
      <c r="GC44" s="242"/>
      <c r="GD44" s="242"/>
      <c r="GE44" s="242"/>
      <c r="GF44" s="242"/>
      <c r="GG44" s="242"/>
      <c r="GH44" s="242"/>
      <c r="GI44" s="242"/>
      <c r="GJ44" s="242"/>
      <c r="GK44" s="242"/>
      <c r="GL44" s="242"/>
      <c r="GM44" s="242"/>
      <c r="GN44" s="242"/>
      <c r="GO44" s="242"/>
      <c r="GP44" s="242"/>
      <c r="GQ44" s="242"/>
      <c r="GR44" s="242"/>
      <c r="GS44" s="242"/>
      <c r="GT44" s="242"/>
      <c r="GU44" s="242"/>
      <c r="GV44" s="242"/>
      <c r="GW44" s="242"/>
      <c r="GX44" s="242"/>
      <c r="GY44" s="242"/>
      <c r="GZ44" s="242"/>
      <c r="HA44" s="242"/>
      <c r="HB44" s="242"/>
      <c r="HC44" s="242"/>
      <c r="HD44" s="242"/>
      <c r="HE44" s="242"/>
      <c r="HF44" s="242"/>
      <c r="HG44" s="242"/>
      <c r="HH44" s="242"/>
      <c r="HI44" s="242"/>
      <c r="HJ44" s="242"/>
      <c r="HK44" s="242"/>
      <c r="HL44" s="242"/>
      <c r="HM44" s="242"/>
      <c r="HN44" s="242"/>
      <c r="HO44" s="242"/>
      <c r="HP44" s="242"/>
      <c r="HQ44" s="242"/>
      <c r="HR44" s="242"/>
      <c r="HS44" s="242"/>
      <c r="HT44" s="242"/>
      <c r="HU44" s="242"/>
      <c r="HV44" s="242"/>
      <c r="HW44" s="242"/>
      <c r="HX44" s="242"/>
      <c r="HY44" s="242"/>
      <c r="HZ44" s="242"/>
      <c r="IA44" s="242"/>
      <c r="IB44" s="242"/>
      <c r="IC44" s="242"/>
      <c r="ID44" s="242"/>
      <c r="IE44" s="242"/>
      <c r="IF44" s="242"/>
      <c r="IG44" s="242"/>
      <c r="IH44" s="242"/>
      <c r="II44" s="242"/>
      <c r="IJ44" s="242"/>
      <c r="IK44" s="242"/>
      <c r="IL44" s="242"/>
      <c r="IM44" s="242"/>
      <c r="IN44" s="242"/>
      <c r="IO44" s="242"/>
      <c r="IP44" s="242"/>
      <c r="IQ44" s="242"/>
      <c r="IR44" s="242"/>
      <c r="IS44" s="242"/>
      <c r="IT44" s="242"/>
      <c r="IU44" s="242"/>
      <c r="IV44" s="242"/>
      <c r="IW44" s="242"/>
    </row>
    <row r="45" customFormat="false" ht="12.75" hidden="false" customHeight="true" outlineLevel="0" collapsed="false">
      <c r="A45" s="248" t="s">
        <v>346</v>
      </c>
      <c r="B45" s="242"/>
      <c r="C45" s="239" t="n">
        <f aca="false">'Debt Amortization'!D$83+IDC!Y32+IDC!Z32</f>
        <v>2831.07972818198</v>
      </c>
      <c r="D45" s="239" t="n">
        <f aca="false">'Debt Amortization'!E$83</f>
        <v>6632.49635859812</v>
      </c>
      <c r="E45" s="239" t="n">
        <f aca="false">'Debt Amortization'!F$83</f>
        <v>6332.07348183905</v>
      </c>
      <c r="F45" s="239" t="n">
        <f aca="false">'Debt Amortization'!G$83</f>
        <v>6013.35485188537</v>
      </c>
      <c r="G45" s="239" t="n">
        <f aca="false">'Debt Amortization'!H$83</f>
        <v>5675.2262573675</v>
      </c>
      <c r="H45" s="239" t="n">
        <f aca="false">'Debt Amortization'!I$83</f>
        <v>5316.50563144349</v>
      </c>
      <c r="I45" s="239" t="n">
        <f aca="false">'Debt Amortization'!J$83</f>
        <v>4935.93891940072</v>
      </c>
      <c r="J45" s="239" t="n">
        <f aca="false">'Debt Amortization'!K$83</f>
        <v>4532.19569459453</v>
      </c>
      <c r="K45" s="239" t="n">
        <f aca="false">'Debt Amortization'!L$83</f>
        <v>4103.86450739766</v>
      </c>
      <c r="L45" s="239" t="n">
        <f aca="false">'Debt Amortization'!M$83</f>
        <v>3649.44795090049</v>
      </c>
      <c r="M45" s="239" t="n">
        <f aca="false">'Debt Amortization'!N$83</f>
        <v>3167.35742611264</v>
      </c>
      <c r="N45" s="239" t="n">
        <f aca="false">'Debt Amortization'!O$83</f>
        <v>2655.90758836521</v>
      </c>
      <c r="O45" s="239" t="n">
        <f aca="false">'Debt Amortization'!P$83</f>
        <v>2113.31045549897</v>
      </c>
      <c r="P45" s="239" t="n">
        <f aca="false">'Debt Amortization'!Q$83</f>
        <v>1537.66915724117</v>
      </c>
      <c r="Q45" s="239" t="n">
        <f aca="false">'Debt Amortization'!R$83</f>
        <v>926.971303919468</v>
      </c>
      <c r="R45" s="239" t="n">
        <f aca="false">'Debt Amortization'!S$83</f>
        <v>279.081951330481</v>
      </c>
      <c r="AB45" s="292"/>
      <c r="AC45" s="242"/>
      <c r="AD45" s="184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42"/>
      <c r="BS45" s="242"/>
      <c r="BT45" s="242"/>
      <c r="BU45" s="242"/>
      <c r="BV45" s="242"/>
      <c r="BW45" s="242"/>
      <c r="BX45" s="242"/>
      <c r="BY45" s="242"/>
      <c r="BZ45" s="242"/>
      <c r="CA45" s="242"/>
      <c r="CB45" s="242"/>
      <c r="CC45" s="242"/>
      <c r="CD45" s="242"/>
      <c r="CE45" s="242"/>
      <c r="CF45" s="242"/>
      <c r="CG45" s="242"/>
      <c r="CH45" s="242"/>
      <c r="CI45" s="242"/>
      <c r="CJ45" s="242"/>
      <c r="CK45" s="242"/>
      <c r="CL45" s="242"/>
      <c r="CM45" s="242"/>
      <c r="CN45" s="242"/>
      <c r="CO45" s="242"/>
      <c r="CP45" s="242"/>
      <c r="CQ45" s="242"/>
      <c r="CR45" s="242"/>
      <c r="CS45" s="242"/>
      <c r="CT45" s="242"/>
      <c r="CU45" s="242"/>
      <c r="CV45" s="242"/>
      <c r="CW45" s="242"/>
      <c r="CX45" s="242"/>
      <c r="CY45" s="242"/>
      <c r="CZ45" s="242"/>
      <c r="DA45" s="242"/>
      <c r="DB45" s="242"/>
      <c r="DC45" s="242"/>
      <c r="DD45" s="242"/>
      <c r="DE45" s="242"/>
      <c r="DF45" s="242"/>
      <c r="DG45" s="242"/>
      <c r="DH45" s="242"/>
      <c r="DI45" s="242"/>
      <c r="DJ45" s="242"/>
      <c r="DK45" s="242"/>
      <c r="DL45" s="242"/>
      <c r="DM45" s="242"/>
      <c r="DN45" s="242"/>
      <c r="DO45" s="242"/>
      <c r="DP45" s="242"/>
      <c r="DQ45" s="242"/>
      <c r="DR45" s="242"/>
      <c r="DS45" s="242"/>
      <c r="DT45" s="242"/>
      <c r="DU45" s="242"/>
      <c r="DV45" s="242"/>
      <c r="DW45" s="242"/>
      <c r="DX45" s="242"/>
      <c r="DY45" s="242"/>
      <c r="DZ45" s="242"/>
      <c r="EA45" s="242"/>
      <c r="EB45" s="242"/>
      <c r="EC45" s="242"/>
      <c r="ED45" s="242"/>
      <c r="EE45" s="242"/>
      <c r="EF45" s="242"/>
      <c r="EG45" s="242"/>
      <c r="EH45" s="242"/>
      <c r="EI45" s="242"/>
      <c r="EJ45" s="242"/>
      <c r="EK45" s="242"/>
      <c r="EL45" s="242"/>
      <c r="EM45" s="242"/>
      <c r="EN45" s="242"/>
      <c r="EO45" s="242"/>
      <c r="EP45" s="242"/>
      <c r="EQ45" s="242"/>
      <c r="ER45" s="242"/>
      <c r="ES45" s="242"/>
      <c r="ET45" s="242"/>
      <c r="EU45" s="242"/>
      <c r="EV45" s="242"/>
      <c r="EW45" s="242"/>
      <c r="EX45" s="242"/>
      <c r="EY45" s="242"/>
      <c r="EZ45" s="242"/>
      <c r="FA45" s="242"/>
      <c r="FB45" s="242"/>
      <c r="FC45" s="242"/>
      <c r="FD45" s="242"/>
      <c r="FE45" s="242"/>
      <c r="FF45" s="242"/>
      <c r="FG45" s="242"/>
      <c r="FH45" s="242"/>
      <c r="FI45" s="242"/>
      <c r="FJ45" s="242"/>
      <c r="FK45" s="242"/>
      <c r="FL45" s="242"/>
      <c r="FM45" s="242"/>
      <c r="FN45" s="242"/>
      <c r="FO45" s="242"/>
      <c r="FP45" s="242"/>
      <c r="FQ45" s="242"/>
      <c r="FR45" s="242"/>
      <c r="FS45" s="242"/>
      <c r="FT45" s="242"/>
      <c r="FU45" s="242"/>
      <c r="FV45" s="242"/>
      <c r="FW45" s="242"/>
      <c r="FX45" s="242"/>
      <c r="FY45" s="242"/>
      <c r="FZ45" s="242"/>
      <c r="GA45" s="242"/>
      <c r="GB45" s="242"/>
      <c r="GC45" s="242"/>
      <c r="GD45" s="242"/>
      <c r="GE45" s="242"/>
      <c r="GF45" s="242"/>
      <c r="GG45" s="242"/>
      <c r="GH45" s="242"/>
      <c r="GI45" s="242"/>
      <c r="GJ45" s="242"/>
      <c r="GK45" s="242"/>
      <c r="GL45" s="242"/>
      <c r="GM45" s="242"/>
      <c r="GN45" s="242"/>
      <c r="GO45" s="242"/>
      <c r="GP45" s="242"/>
      <c r="GQ45" s="242"/>
      <c r="GR45" s="242"/>
      <c r="GS45" s="242"/>
      <c r="GT45" s="242"/>
      <c r="GU45" s="242"/>
      <c r="GV45" s="242"/>
      <c r="GW45" s="242"/>
      <c r="GX45" s="242"/>
      <c r="GY45" s="242"/>
      <c r="GZ45" s="242"/>
      <c r="HA45" s="242"/>
      <c r="HB45" s="242"/>
      <c r="HC45" s="242"/>
      <c r="HD45" s="242"/>
      <c r="HE45" s="242"/>
      <c r="HF45" s="242"/>
      <c r="HG45" s="242"/>
      <c r="HH45" s="242"/>
      <c r="HI45" s="242"/>
      <c r="HJ45" s="242"/>
      <c r="HK45" s="242"/>
      <c r="HL45" s="242"/>
      <c r="HM45" s="242"/>
      <c r="HN45" s="242"/>
      <c r="HO45" s="242"/>
      <c r="HP45" s="242"/>
      <c r="HQ45" s="242"/>
      <c r="HR45" s="242"/>
      <c r="HS45" s="242"/>
      <c r="HT45" s="242"/>
      <c r="HU45" s="242"/>
      <c r="HV45" s="242"/>
      <c r="HW45" s="242"/>
      <c r="HX45" s="242"/>
      <c r="HY45" s="242"/>
      <c r="HZ45" s="242"/>
      <c r="IA45" s="242"/>
      <c r="IB45" s="242"/>
      <c r="IC45" s="242"/>
      <c r="ID45" s="242"/>
      <c r="IE45" s="242"/>
      <c r="IF45" s="242"/>
      <c r="IG45" s="242"/>
      <c r="IH45" s="242"/>
      <c r="II45" s="242"/>
      <c r="IJ45" s="242"/>
      <c r="IK45" s="242"/>
      <c r="IL45" s="242"/>
      <c r="IM45" s="242"/>
      <c r="IN45" s="242"/>
      <c r="IO45" s="242"/>
      <c r="IP45" s="242"/>
      <c r="IQ45" s="242"/>
      <c r="IR45" s="242"/>
      <c r="IS45" s="242"/>
      <c r="IT45" s="242"/>
      <c r="IU45" s="242"/>
      <c r="IV45" s="242"/>
      <c r="IW45" s="242"/>
    </row>
    <row r="46" customFormat="false" ht="12.75" hidden="false" customHeight="true" outlineLevel="0" collapsed="false">
      <c r="A46" s="248" t="s">
        <v>347</v>
      </c>
      <c r="B46" s="242"/>
      <c r="C46" s="254" t="n">
        <f aca="false">'Project Assumptions'!$N$58*C40</f>
        <v>91.6661345</v>
      </c>
      <c r="D46" s="254" t="n">
        <f aca="false">IF(D3&gt;'Project Assumptions'!$I$15+1,0,'Project Assumptions'!$N$58*D40)</f>
        <v>178.7550618</v>
      </c>
      <c r="E46" s="254" t="n">
        <f aca="false">IF(E3&gt;'Project Assumptions'!$I$15+1,0,'Project Assumptions'!$N$58*E40)</f>
        <v>178.772789286</v>
      </c>
      <c r="F46" s="254" t="n">
        <f aca="false">IF(F3&gt;'Project Assumptions'!$I$15+1,0,'Project Assumptions'!$N$58*F40)</f>
        <v>178.80871607172</v>
      </c>
      <c r="G46" s="254" t="n">
        <f aca="false">IF(G3&gt;'Project Assumptions'!$I$15+1,0,'Project Assumptions'!$N$58*G40)</f>
        <v>178.828876243154</v>
      </c>
      <c r="H46" s="254" t="n">
        <f aca="false">IF(H3&gt;'Project Assumptions'!$I$15+1,0,'Project Assumptions'!$N$58*H40)</f>
        <v>178.867284368018</v>
      </c>
      <c r="I46" s="254" t="n">
        <f aca="false">IF(I3&gt;'Project Assumptions'!$I$15+1,0,'Project Assumptions'!$N$58*I40)</f>
        <v>178.872980505378</v>
      </c>
      <c r="J46" s="254" t="n">
        <f aca="false">IF(J3&gt;'Project Assumptions'!$I$15+1,0,'Project Assumptions'!$N$58*J40)</f>
        <v>178.871482715485</v>
      </c>
      <c r="K46" s="254" t="n">
        <f aca="false">IF(K3&gt;'Project Assumptions'!$I$15+1,0,'Project Assumptions'!$N$58*K40)</f>
        <v>178.888309569795</v>
      </c>
      <c r="L46" s="254" t="n">
        <f aca="false">IF(L3&gt;'Project Assumptions'!$I$15+1,0,'Project Assumptions'!$N$58*L40)</f>
        <v>178.889497661191</v>
      </c>
      <c r="M46" s="254" t="n">
        <f aca="false">IF(M3&gt;'Project Assumptions'!$I$15+1,0,'Project Assumptions'!$N$58*M40)</f>
        <v>178.892069114415</v>
      </c>
      <c r="N46" s="254" t="n">
        <f aca="false">IF(N3&gt;'Project Assumptions'!$I$15+1,0,'Project Assumptions'!$N$58*N40)</f>
        <v>178.887554096703</v>
      </c>
      <c r="O46" s="254" t="n">
        <f aca="false">IF(O3&gt;'Project Assumptions'!$I$15+1,0,'Project Assumptions'!$N$58*O40)</f>
        <v>178.892975828637</v>
      </c>
      <c r="P46" s="254" t="n">
        <f aca="false">IF(P3&gt;'Project Assumptions'!$I$15+1,0,'Project Assumptions'!$N$58*P40)</f>
        <v>178.89986559521</v>
      </c>
      <c r="Q46" s="254" t="n">
        <f aca="false">IF(Q3&gt;'Project Assumptions'!$I$15+1,0,'Project Assumptions'!$N$58*Q40)</f>
        <v>178.899755257114</v>
      </c>
      <c r="R46" s="254" t="n">
        <f aca="false">IF(R3&gt;'Project Assumptions'!$I$15+1,0,'Project Assumptions'!$N$58*R40)</f>
        <v>269.385471399965</v>
      </c>
      <c r="AB46" s="242"/>
      <c r="AC46" s="242"/>
      <c r="AD46" s="184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2"/>
      <c r="BY46" s="242"/>
      <c r="BZ46" s="242"/>
      <c r="CA46" s="242"/>
      <c r="CB46" s="242"/>
      <c r="CC46" s="242"/>
      <c r="CD46" s="242"/>
      <c r="CE46" s="242"/>
      <c r="CF46" s="242"/>
      <c r="CG46" s="242"/>
      <c r="CH46" s="242"/>
      <c r="CI46" s="242"/>
      <c r="CJ46" s="242"/>
      <c r="CK46" s="242"/>
      <c r="CL46" s="242"/>
      <c r="CM46" s="242"/>
      <c r="CN46" s="242"/>
      <c r="CO46" s="242"/>
      <c r="CP46" s="242"/>
      <c r="CQ46" s="242"/>
      <c r="CR46" s="242"/>
      <c r="CS46" s="242"/>
      <c r="CT46" s="242"/>
      <c r="CU46" s="242"/>
      <c r="CV46" s="242"/>
      <c r="CW46" s="242"/>
      <c r="CX46" s="242"/>
      <c r="CY46" s="242"/>
      <c r="CZ46" s="242"/>
      <c r="DA46" s="242"/>
      <c r="DB46" s="242"/>
      <c r="DC46" s="242"/>
      <c r="DD46" s="242"/>
      <c r="DE46" s="242"/>
      <c r="DF46" s="242"/>
      <c r="DG46" s="242"/>
      <c r="DH46" s="242"/>
      <c r="DI46" s="242"/>
      <c r="DJ46" s="242"/>
      <c r="DK46" s="242"/>
      <c r="DL46" s="242"/>
      <c r="DM46" s="242"/>
      <c r="DN46" s="242"/>
      <c r="DO46" s="242"/>
      <c r="DP46" s="242"/>
      <c r="DQ46" s="242"/>
      <c r="DR46" s="242"/>
      <c r="DS46" s="242"/>
      <c r="DT46" s="242"/>
      <c r="DU46" s="242"/>
      <c r="DV46" s="242"/>
      <c r="DW46" s="242"/>
      <c r="DX46" s="242"/>
      <c r="DY46" s="242"/>
      <c r="DZ46" s="242"/>
      <c r="EA46" s="242"/>
      <c r="EB46" s="242"/>
      <c r="EC46" s="242"/>
      <c r="ED46" s="242"/>
      <c r="EE46" s="242"/>
      <c r="EF46" s="242"/>
      <c r="EG46" s="242"/>
      <c r="EH46" s="242"/>
      <c r="EI46" s="242"/>
      <c r="EJ46" s="242"/>
      <c r="EK46" s="242"/>
      <c r="EL46" s="242"/>
      <c r="EM46" s="242"/>
      <c r="EN46" s="242"/>
      <c r="EO46" s="242"/>
      <c r="EP46" s="242"/>
      <c r="EQ46" s="242"/>
      <c r="ER46" s="242"/>
      <c r="ES46" s="242"/>
      <c r="ET46" s="242"/>
      <c r="EU46" s="242"/>
      <c r="EV46" s="242"/>
      <c r="EW46" s="242"/>
      <c r="EX46" s="242"/>
      <c r="EY46" s="242"/>
      <c r="EZ46" s="242"/>
      <c r="FA46" s="242"/>
      <c r="FB46" s="242"/>
      <c r="FC46" s="242"/>
      <c r="FD46" s="242"/>
      <c r="FE46" s="242"/>
      <c r="FF46" s="242"/>
      <c r="FG46" s="242"/>
      <c r="FH46" s="242"/>
      <c r="FI46" s="242"/>
      <c r="FJ46" s="242"/>
      <c r="FK46" s="242"/>
      <c r="FL46" s="242"/>
      <c r="FM46" s="242"/>
      <c r="FN46" s="242"/>
      <c r="FO46" s="242"/>
      <c r="FP46" s="242"/>
      <c r="FQ46" s="242"/>
      <c r="FR46" s="242"/>
      <c r="FS46" s="242"/>
      <c r="FT46" s="242"/>
      <c r="FU46" s="242"/>
      <c r="FV46" s="242"/>
      <c r="FW46" s="242"/>
      <c r="FX46" s="242"/>
      <c r="FY46" s="242"/>
      <c r="FZ46" s="242"/>
      <c r="GA46" s="242"/>
      <c r="GB46" s="242"/>
      <c r="GC46" s="242"/>
      <c r="GD46" s="242"/>
      <c r="GE46" s="242"/>
      <c r="GF46" s="242"/>
      <c r="GG46" s="242"/>
      <c r="GH46" s="242"/>
      <c r="GI46" s="242"/>
      <c r="GJ46" s="242"/>
      <c r="GK46" s="242"/>
      <c r="GL46" s="242"/>
      <c r="GM46" s="242"/>
      <c r="GN46" s="242"/>
      <c r="GO46" s="242"/>
      <c r="GP46" s="242"/>
      <c r="GQ46" s="242"/>
      <c r="GR46" s="242"/>
      <c r="GS46" s="242"/>
      <c r="GT46" s="242"/>
      <c r="GU46" s="242"/>
      <c r="GV46" s="242"/>
      <c r="GW46" s="242"/>
      <c r="GX46" s="242"/>
      <c r="GY46" s="242"/>
      <c r="GZ46" s="242"/>
      <c r="HA46" s="242"/>
      <c r="HB46" s="242"/>
      <c r="HC46" s="242"/>
      <c r="HD46" s="242"/>
      <c r="HE46" s="242"/>
      <c r="HF46" s="242"/>
      <c r="HG46" s="242"/>
      <c r="HH46" s="242"/>
      <c r="HI46" s="242"/>
      <c r="HJ46" s="242"/>
      <c r="HK46" s="242"/>
      <c r="HL46" s="242"/>
      <c r="HM46" s="242"/>
      <c r="HN46" s="242"/>
      <c r="HO46" s="242"/>
      <c r="HP46" s="242"/>
      <c r="HQ46" s="242"/>
      <c r="HR46" s="242"/>
      <c r="HS46" s="242"/>
      <c r="HT46" s="242"/>
      <c r="HU46" s="242"/>
      <c r="HV46" s="242"/>
      <c r="HW46" s="242"/>
      <c r="HX46" s="242"/>
      <c r="HY46" s="242"/>
      <c r="HZ46" s="242"/>
      <c r="IA46" s="242"/>
      <c r="IB46" s="242"/>
      <c r="IC46" s="242"/>
      <c r="ID46" s="242"/>
      <c r="IE46" s="242"/>
      <c r="IF46" s="242"/>
      <c r="IG46" s="242"/>
      <c r="IH46" s="242"/>
      <c r="II46" s="242"/>
      <c r="IJ46" s="242"/>
      <c r="IK46" s="242"/>
      <c r="IL46" s="242"/>
      <c r="IM46" s="242"/>
      <c r="IN46" s="242"/>
      <c r="IO46" s="242"/>
      <c r="IP46" s="242"/>
      <c r="IQ46" s="242"/>
      <c r="IR46" s="242"/>
      <c r="IS46" s="242"/>
      <c r="IT46" s="242"/>
      <c r="IU46" s="242"/>
      <c r="IV46" s="242"/>
      <c r="IW46" s="242"/>
    </row>
    <row r="47" customFormat="false" ht="15" hidden="false" customHeight="true" outlineLevel="0" collapsed="false">
      <c r="A47" s="248" t="s">
        <v>348</v>
      </c>
      <c r="B47" s="242"/>
      <c r="C47" s="257" t="n">
        <f aca="false">C45-C46</f>
        <v>2739.41359368198</v>
      </c>
      <c r="D47" s="257" t="n">
        <f aca="false">D45-D46</f>
        <v>6453.74129679812</v>
      </c>
      <c r="E47" s="257" t="n">
        <f aca="false">E45-E46</f>
        <v>6153.30069255305</v>
      </c>
      <c r="F47" s="257" t="n">
        <f aca="false">F45-F46</f>
        <v>5834.54613581365</v>
      </c>
      <c r="G47" s="257" t="n">
        <f aca="false">G45-G46</f>
        <v>5496.39738112435</v>
      </c>
      <c r="H47" s="257" t="n">
        <f aca="false">H45-H46</f>
        <v>5137.63834707548</v>
      </c>
      <c r="I47" s="257" t="n">
        <f aca="false">I45-I46</f>
        <v>4757.06593889534</v>
      </c>
      <c r="J47" s="257" t="n">
        <f aca="false">J45-J46</f>
        <v>4353.32421187905</v>
      </c>
      <c r="K47" s="257" t="n">
        <f aca="false">K45-K46</f>
        <v>3924.97619782786</v>
      </c>
      <c r="L47" s="257" t="n">
        <f aca="false">L45-L46</f>
        <v>3470.55845323929</v>
      </c>
      <c r="M47" s="257" t="n">
        <f aca="false">M45-M46</f>
        <v>2988.46535699822</v>
      </c>
      <c r="N47" s="257" t="n">
        <f aca="false">N45-N46</f>
        <v>2477.02003426851</v>
      </c>
      <c r="O47" s="257" t="n">
        <f aca="false">O45-O46</f>
        <v>1934.41747967033</v>
      </c>
      <c r="P47" s="257" t="n">
        <f aca="false">P45-P46</f>
        <v>1358.76929164596</v>
      </c>
      <c r="Q47" s="257" t="n">
        <f aca="false">Q45-Q46</f>
        <v>748.071548662354</v>
      </c>
      <c r="R47" s="257" t="n">
        <f aca="false">R45-R46</f>
        <v>9.69647993051598</v>
      </c>
      <c r="AB47" s="242"/>
      <c r="AC47" s="242"/>
      <c r="AD47" s="184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  <c r="CL47" s="242"/>
      <c r="CM47" s="242"/>
      <c r="CN47" s="242"/>
      <c r="CO47" s="242"/>
      <c r="CP47" s="242"/>
      <c r="CQ47" s="242"/>
      <c r="CR47" s="242"/>
      <c r="CS47" s="242"/>
      <c r="CT47" s="242"/>
      <c r="CU47" s="242"/>
      <c r="CV47" s="242"/>
      <c r="CW47" s="242"/>
      <c r="CX47" s="242"/>
      <c r="CY47" s="242"/>
      <c r="CZ47" s="242"/>
      <c r="DA47" s="242"/>
      <c r="DB47" s="242"/>
      <c r="DC47" s="242"/>
      <c r="DD47" s="242"/>
      <c r="DE47" s="242"/>
      <c r="DF47" s="242"/>
      <c r="DG47" s="242"/>
      <c r="DH47" s="242"/>
      <c r="DI47" s="242"/>
      <c r="DJ47" s="242"/>
      <c r="DK47" s="242"/>
      <c r="DL47" s="242"/>
      <c r="DM47" s="242"/>
      <c r="DN47" s="242"/>
      <c r="DO47" s="242"/>
      <c r="DP47" s="242"/>
      <c r="DQ47" s="242"/>
      <c r="DR47" s="242"/>
      <c r="DS47" s="242"/>
      <c r="DT47" s="242"/>
      <c r="DU47" s="242"/>
      <c r="DV47" s="242"/>
      <c r="DW47" s="242"/>
      <c r="DX47" s="242"/>
      <c r="DY47" s="242"/>
      <c r="DZ47" s="242"/>
      <c r="EA47" s="242"/>
      <c r="EB47" s="242"/>
      <c r="EC47" s="242"/>
      <c r="ED47" s="242"/>
      <c r="EE47" s="242"/>
      <c r="EF47" s="242"/>
      <c r="EG47" s="242"/>
      <c r="EH47" s="242"/>
      <c r="EI47" s="242"/>
      <c r="EJ47" s="242"/>
      <c r="EK47" s="242"/>
      <c r="EL47" s="242"/>
      <c r="EM47" s="242"/>
      <c r="EN47" s="242"/>
      <c r="EO47" s="242"/>
      <c r="EP47" s="242"/>
      <c r="EQ47" s="242"/>
      <c r="ER47" s="242"/>
      <c r="ES47" s="242"/>
      <c r="ET47" s="242"/>
      <c r="EU47" s="242"/>
      <c r="EV47" s="242"/>
      <c r="EW47" s="242"/>
      <c r="EX47" s="242"/>
      <c r="EY47" s="242"/>
      <c r="EZ47" s="242"/>
      <c r="FA47" s="242"/>
      <c r="FB47" s="242"/>
      <c r="FC47" s="242"/>
      <c r="FD47" s="242"/>
      <c r="FE47" s="242"/>
      <c r="FF47" s="242"/>
      <c r="FG47" s="242"/>
      <c r="FH47" s="242"/>
      <c r="FI47" s="242"/>
      <c r="FJ47" s="242"/>
      <c r="FK47" s="242"/>
      <c r="FL47" s="242"/>
      <c r="FM47" s="242"/>
      <c r="FN47" s="242"/>
      <c r="FO47" s="242"/>
      <c r="FP47" s="242"/>
      <c r="FQ47" s="242"/>
      <c r="FR47" s="242"/>
      <c r="FS47" s="242"/>
      <c r="FT47" s="242"/>
      <c r="FU47" s="242"/>
      <c r="FV47" s="242"/>
      <c r="FW47" s="242"/>
      <c r="FX47" s="242"/>
      <c r="FY47" s="242"/>
      <c r="FZ47" s="242"/>
      <c r="GA47" s="242"/>
      <c r="GB47" s="242"/>
      <c r="GC47" s="242"/>
      <c r="GD47" s="242"/>
      <c r="GE47" s="242"/>
      <c r="GF47" s="242"/>
      <c r="GG47" s="242"/>
      <c r="GH47" s="242"/>
      <c r="GI47" s="242"/>
      <c r="GJ47" s="242"/>
      <c r="GK47" s="242"/>
      <c r="GL47" s="242"/>
      <c r="GM47" s="242"/>
      <c r="GN47" s="242"/>
      <c r="GO47" s="242"/>
      <c r="GP47" s="242"/>
      <c r="GQ47" s="242"/>
      <c r="GR47" s="242"/>
      <c r="GS47" s="242"/>
      <c r="GT47" s="242"/>
      <c r="GU47" s="242"/>
      <c r="GV47" s="242"/>
      <c r="GW47" s="242"/>
      <c r="GX47" s="242"/>
      <c r="GY47" s="242"/>
      <c r="GZ47" s="242"/>
      <c r="HA47" s="242"/>
      <c r="HB47" s="242"/>
      <c r="HC47" s="242"/>
      <c r="HD47" s="242"/>
      <c r="HE47" s="242"/>
      <c r="HF47" s="242"/>
      <c r="HG47" s="242"/>
      <c r="HH47" s="242"/>
      <c r="HI47" s="242"/>
      <c r="HJ47" s="242"/>
      <c r="HK47" s="242"/>
      <c r="HL47" s="242"/>
      <c r="HM47" s="242"/>
      <c r="HN47" s="242"/>
      <c r="HO47" s="242"/>
      <c r="HP47" s="242"/>
      <c r="HQ47" s="242"/>
      <c r="HR47" s="242"/>
      <c r="HS47" s="242"/>
      <c r="HT47" s="242"/>
      <c r="HU47" s="242"/>
      <c r="HV47" s="242"/>
      <c r="HW47" s="242"/>
      <c r="HX47" s="242"/>
      <c r="HY47" s="242"/>
      <c r="HZ47" s="242"/>
      <c r="IA47" s="242"/>
      <c r="IB47" s="242"/>
      <c r="IC47" s="242"/>
      <c r="ID47" s="242"/>
      <c r="IE47" s="242"/>
      <c r="IF47" s="242"/>
      <c r="IG47" s="242"/>
      <c r="IH47" s="242"/>
      <c r="II47" s="242"/>
      <c r="IJ47" s="242"/>
      <c r="IK47" s="242"/>
      <c r="IL47" s="242"/>
      <c r="IM47" s="242"/>
      <c r="IN47" s="242"/>
      <c r="IO47" s="242"/>
      <c r="IP47" s="242"/>
      <c r="IQ47" s="242"/>
      <c r="IR47" s="242"/>
      <c r="IS47" s="242"/>
      <c r="IT47" s="242"/>
      <c r="IU47" s="242"/>
      <c r="IV47" s="242"/>
      <c r="IW47" s="242"/>
    </row>
    <row r="48" customFormat="false" ht="12.75" hidden="false" customHeight="true" outlineLevel="0" collapsed="false">
      <c r="A48" s="245" t="s">
        <v>349</v>
      </c>
      <c r="B48" s="242"/>
      <c r="C48" s="239" t="n">
        <f aca="false">C43-C47</f>
        <v>-358.796310887085</v>
      </c>
      <c r="D48" s="239" t="n">
        <f aca="false">IF(D3&gt;'Project Assumptions'!$I$15+1,0,D43-D47)</f>
        <v>-1997.65387787499</v>
      </c>
      <c r="E48" s="239" t="n">
        <f aca="false">IF(E3&gt;'Project Assumptions'!$I$15+1,0,E43-E47)</f>
        <v>-1696.03144122992</v>
      </c>
      <c r="F48" s="239" t="n">
        <f aca="false">IF(F3&gt;'Project Assumptions'!$I$15+1,0,F43-F47)</f>
        <v>-1374.88176544252</v>
      </c>
      <c r="G48" s="239" t="n">
        <f aca="false">IF(G3&gt;'Project Assumptions'!$I$15+1,0,G43-G47)</f>
        <v>-1035.38899932426</v>
      </c>
      <c r="H48" s="239" t="n">
        <f aca="false">IF(H3&gt;'Project Assumptions'!$I$15+1,0,H43-H47)</f>
        <v>-396.648879345952</v>
      </c>
      <c r="I48" s="239" t="n">
        <f aca="false">IF(I3&gt;'Project Assumptions'!$I$15+1,0,I43-I47)</f>
        <v>261.723815596771</v>
      </c>
      <c r="J48" s="239" t="n">
        <f aca="false">IF(J3&gt;'Project Assumptions'!$I$15+1,0,J43-J47)</f>
        <v>665.365689953565</v>
      </c>
      <c r="K48" s="239" t="n">
        <f aca="false">IF(K3&gt;'Project Assumptions'!$I$15+1,0,K43-K47)</f>
        <v>1094.83549429207</v>
      </c>
      <c r="L48" s="239" t="n">
        <f aca="false">IF(L3&gt;'Project Assumptions'!$I$15+1,0,L43-L47)</f>
        <v>1549.33244497369</v>
      </c>
      <c r="M48" s="239" t="n">
        <f aca="false">IF(M3&gt;'Project Assumptions'!$I$15+1,0,M43-M47)</f>
        <v>2031.59697142969</v>
      </c>
      <c r="N48" s="239" t="n">
        <f aca="false">IF(N3&gt;'Project Assumptions'!$I$15+1,0,N43-N47)</f>
        <v>2542.74129297862</v>
      </c>
      <c r="O48" s="239" t="n">
        <f aca="false">IF(O3&gt;'Project Assumptions'!$I$15+1,0,O43-O47)</f>
        <v>3085.70529637241</v>
      </c>
      <c r="P48" s="239" t="n">
        <f aca="false">IF(P3&gt;'Project Assumptions'!$I$15+1,0,P43-P47)</f>
        <v>3661.81280216829</v>
      </c>
      <c r="Q48" s="239" t="n">
        <f aca="false">IF(Q3&gt;'Project Assumptions'!$I$15+1,0,Q43-Q47)</f>
        <v>4272.50318927884</v>
      </c>
      <c r="R48" s="239" t="n">
        <f aca="false">IF(R3&gt;'Project Assumptions'!$I$15+1,0,R43-R47)</f>
        <v>14496.2971404672</v>
      </c>
      <c r="AB48" s="242"/>
      <c r="AC48" s="242"/>
      <c r="AD48" s="184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  <c r="BE48" s="242"/>
      <c r="BF48" s="242"/>
      <c r="BG48" s="242"/>
      <c r="BH48" s="242"/>
      <c r="BI48" s="242"/>
      <c r="BJ48" s="242"/>
      <c r="BK48" s="242"/>
      <c r="BL48" s="242"/>
      <c r="BM48" s="242"/>
      <c r="BN48" s="242"/>
      <c r="BO48" s="242"/>
      <c r="BP48" s="242"/>
      <c r="BQ48" s="242"/>
      <c r="BR48" s="242"/>
      <c r="BS48" s="242"/>
      <c r="BT48" s="242"/>
      <c r="BU48" s="242"/>
      <c r="BV48" s="242"/>
      <c r="BW48" s="242"/>
      <c r="BX48" s="242"/>
      <c r="BY48" s="242"/>
      <c r="BZ48" s="242"/>
      <c r="CA48" s="242"/>
      <c r="CB48" s="242"/>
      <c r="CC48" s="242"/>
      <c r="CD48" s="242"/>
      <c r="CE48" s="242"/>
      <c r="CF48" s="242"/>
      <c r="CG48" s="242"/>
      <c r="CH48" s="242"/>
      <c r="CI48" s="242"/>
      <c r="CJ48" s="242"/>
      <c r="CK48" s="242"/>
      <c r="CL48" s="242"/>
      <c r="CM48" s="242"/>
      <c r="CN48" s="242"/>
      <c r="CO48" s="242"/>
      <c r="CP48" s="242"/>
      <c r="CQ48" s="242"/>
      <c r="CR48" s="242"/>
      <c r="CS48" s="242"/>
      <c r="CT48" s="242"/>
      <c r="CU48" s="242"/>
      <c r="CV48" s="242"/>
      <c r="CW48" s="242"/>
      <c r="CX48" s="242"/>
      <c r="CY48" s="242"/>
      <c r="CZ48" s="242"/>
      <c r="DA48" s="242"/>
      <c r="DB48" s="242"/>
      <c r="DC48" s="242"/>
      <c r="DD48" s="242"/>
      <c r="DE48" s="242"/>
      <c r="DF48" s="242"/>
      <c r="DG48" s="242"/>
      <c r="DH48" s="242"/>
      <c r="DI48" s="242"/>
      <c r="DJ48" s="242"/>
      <c r="DK48" s="242"/>
      <c r="DL48" s="242"/>
      <c r="DM48" s="242"/>
      <c r="DN48" s="242"/>
      <c r="DO48" s="242"/>
      <c r="DP48" s="242"/>
      <c r="DQ48" s="242"/>
      <c r="DR48" s="242"/>
      <c r="DS48" s="242"/>
      <c r="DT48" s="242"/>
      <c r="DU48" s="242"/>
      <c r="DV48" s="242"/>
      <c r="DW48" s="242"/>
      <c r="DX48" s="242"/>
      <c r="DY48" s="242"/>
      <c r="DZ48" s="242"/>
      <c r="EA48" s="242"/>
      <c r="EB48" s="242"/>
      <c r="EC48" s="242"/>
      <c r="ED48" s="242"/>
      <c r="EE48" s="242"/>
      <c r="EF48" s="242"/>
      <c r="EG48" s="242"/>
      <c r="EH48" s="242"/>
      <c r="EI48" s="242"/>
      <c r="EJ48" s="242"/>
      <c r="EK48" s="242"/>
      <c r="EL48" s="242"/>
      <c r="EM48" s="242"/>
      <c r="EN48" s="242"/>
      <c r="EO48" s="242"/>
      <c r="EP48" s="242"/>
      <c r="EQ48" s="242"/>
      <c r="ER48" s="242"/>
      <c r="ES48" s="242"/>
      <c r="ET48" s="242"/>
      <c r="EU48" s="242"/>
      <c r="EV48" s="242"/>
      <c r="EW48" s="242"/>
      <c r="EX48" s="242"/>
      <c r="EY48" s="242"/>
      <c r="EZ48" s="242"/>
      <c r="FA48" s="242"/>
      <c r="FB48" s="242"/>
      <c r="FC48" s="242"/>
      <c r="FD48" s="242"/>
      <c r="FE48" s="242"/>
      <c r="FF48" s="242"/>
      <c r="FG48" s="242"/>
      <c r="FH48" s="242"/>
      <c r="FI48" s="242"/>
      <c r="FJ48" s="242"/>
      <c r="FK48" s="242"/>
      <c r="FL48" s="242"/>
      <c r="FM48" s="242"/>
      <c r="FN48" s="242"/>
      <c r="FO48" s="242"/>
      <c r="FP48" s="242"/>
      <c r="FQ48" s="242"/>
      <c r="FR48" s="242"/>
      <c r="FS48" s="242"/>
      <c r="FT48" s="242"/>
      <c r="FU48" s="242"/>
      <c r="FV48" s="242"/>
      <c r="FW48" s="242"/>
      <c r="FX48" s="242"/>
      <c r="FY48" s="242"/>
      <c r="FZ48" s="242"/>
      <c r="GA48" s="242"/>
      <c r="GB48" s="242"/>
      <c r="GC48" s="242"/>
      <c r="GD48" s="242"/>
      <c r="GE48" s="242"/>
      <c r="GF48" s="242"/>
      <c r="GG48" s="242"/>
      <c r="GH48" s="242"/>
      <c r="GI48" s="242"/>
      <c r="GJ48" s="242"/>
      <c r="GK48" s="242"/>
      <c r="GL48" s="242"/>
      <c r="GM48" s="242"/>
      <c r="GN48" s="242"/>
      <c r="GO48" s="242"/>
      <c r="GP48" s="242"/>
      <c r="GQ48" s="242"/>
      <c r="GR48" s="242"/>
      <c r="GS48" s="242"/>
      <c r="GT48" s="242"/>
      <c r="GU48" s="242"/>
      <c r="GV48" s="242"/>
      <c r="GW48" s="242"/>
      <c r="GX48" s="242"/>
      <c r="GY48" s="242"/>
      <c r="GZ48" s="242"/>
      <c r="HA48" s="242"/>
      <c r="HB48" s="242"/>
      <c r="HC48" s="242"/>
      <c r="HD48" s="242"/>
      <c r="HE48" s="242"/>
      <c r="HF48" s="242"/>
      <c r="HG48" s="242"/>
      <c r="HH48" s="242"/>
      <c r="HI48" s="242"/>
      <c r="HJ48" s="242"/>
      <c r="HK48" s="242"/>
      <c r="HL48" s="242"/>
      <c r="HM48" s="242"/>
      <c r="HN48" s="242"/>
      <c r="HO48" s="242"/>
      <c r="HP48" s="242"/>
      <c r="HQ48" s="242"/>
      <c r="HR48" s="242"/>
      <c r="HS48" s="242"/>
      <c r="HT48" s="242"/>
      <c r="HU48" s="242"/>
      <c r="HV48" s="242"/>
      <c r="HW48" s="242"/>
      <c r="HX48" s="242"/>
      <c r="HY48" s="242"/>
      <c r="HZ48" s="242"/>
      <c r="IA48" s="242"/>
      <c r="IB48" s="242"/>
      <c r="IC48" s="242"/>
      <c r="ID48" s="242"/>
      <c r="IE48" s="242"/>
      <c r="IF48" s="242"/>
      <c r="IG48" s="242"/>
      <c r="IH48" s="242"/>
      <c r="II48" s="242"/>
      <c r="IJ48" s="242"/>
      <c r="IK48" s="242"/>
      <c r="IL48" s="242"/>
      <c r="IM48" s="242"/>
      <c r="IN48" s="242"/>
      <c r="IO48" s="242"/>
      <c r="IP48" s="242"/>
      <c r="IQ48" s="242"/>
      <c r="IR48" s="242"/>
      <c r="IS48" s="242"/>
      <c r="IT48" s="242"/>
      <c r="IU48" s="242"/>
      <c r="IV48" s="242"/>
      <c r="IW48" s="242"/>
    </row>
    <row r="49" customFormat="false" ht="12.75" hidden="false" customHeight="true" outlineLevel="0" collapsed="false">
      <c r="A49" s="245"/>
      <c r="B49" s="242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AB49" s="242"/>
      <c r="AC49" s="242"/>
      <c r="AD49" s="184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2"/>
      <c r="BR49" s="242"/>
      <c r="BS49" s="242"/>
      <c r="BT49" s="242"/>
      <c r="BU49" s="242"/>
      <c r="BV49" s="242"/>
      <c r="BW49" s="242"/>
      <c r="BX49" s="242"/>
      <c r="BY49" s="242"/>
      <c r="BZ49" s="242"/>
      <c r="CA49" s="242"/>
      <c r="CB49" s="242"/>
      <c r="CC49" s="242"/>
      <c r="CD49" s="242"/>
      <c r="CE49" s="242"/>
      <c r="CF49" s="242"/>
      <c r="CG49" s="242"/>
      <c r="CH49" s="242"/>
      <c r="CI49" s="242"/>
      <c r="CJ49" s="242"/>
      <c r="CK49" s="242"/>
      <c r="CL49" s="242"/>
      <c r="CM49" s="242"/>
      <c r="CN49" s="242"/>
      <c r="CO49" s="242"/>
      <c r="CP49" s="242"/>
      <c r="CQ49" s="242"/>
      <c r="CR49" s="242"/>
      <c r="CS49" s="242"/>
      <c r="CT49" s="242"/>
      <c r="CU49" s="242"/>
      <c r="CV49" s="242"/>
      <c r="CW49" s="242"/>
      <c r="CX49" s="242"/>
      <c r="CY49" s="242"/>
      <c r="CZ49" s="242"/>
      <c r="DA49" s="242"/>
      <c r="DB49" s="242"/>
      <c r="DC49" s="242"/>
      <c r="DD49" s="242"/>
      <c r="DE49" s="242"/>
      <c r="DF49" s="242"/>
      <c r="DG49" s="242"/>
      <c r="DH49" s="242"/>
      <c r="DI49" s="242"/>
      <c r="DJ49" s="242"/>
      <c r="DK49" s="242"/>
      <c r="DL49" s="242"/>
      <c r="DM49" s="242"/>
      <c r="DN49" s="242"/>
      <c r="DO49" s="242"/>
      <c r="DP49" s="242"/>
      <c r="DQ49" s="242"/>
      <c r="DR49" s="242"/>
      <c r="DS49" s="242"/>
      <c r="DT49" s="242"/>
      <c r="DU49" s="242"/>
      <c r="DV49" s="242"/>
      <c r="DW49" s="242"/>
      <c r="DX49" s="242"/>
      <c r="DY49" s="242"/>
      <c r="DZ49" s="242"/>
      <c r="EA49" s="242"/>
      <c r="EB49" s="242"/>
      <c r="EC49" s="242"/>
      <c r="ED49" s="242"/>
      <c r="EE49" s="242"/>
      <c r="EF49" s="242"/>
      <c r="EG49" s="242"/>
      <c r="EH49" s="242"/>
      <c r="EI49" s="242"/>
      <c r="EJ49" s="242"/>
      <c r="EK49" s="242"/>
      <c r="EL49" s="242"/>
      <c r="EM49" s="242"/>
      <c r="EN49" s="242"/>
      <c r="EO49" s="242"/>
      <c r="EP49" s="242"/>
      <c r="EQ49" s="242"/>
      <c r="ER49" s="242"/>
      <c r="ES49" s="242"/>
      <c r="ET49" s="242"/>
      <c r="EU49" s="242"/>
      <c r="EV49" s="242"/>
      <c r="EW49" s="242"/>
      <c r="EX49" s="242"/>
      <c r="EY49" s="242"/>
      <c r="EZ49" s="242"/>
      <c r="FA49" s="242"/>
      <c r="FB49" s="242"/>
      <c r="FC49" s="242"/>
      <c r="FD49" s="242"/>
      <c r="FE49" s="242"/>
      <c r="FF49" s="242"/>
      <c r="FG49" s="242"/>
      <c r="FH49" s="242"/>
      <c r="FI49" s="242"/>
      <c r="FJ49" s="242"/>
      <c r="FK49" s="242"/>
      <c r="FL49" s="242"/>
      <c r="FM49" s="242"/>
      <c r="FN49" s="242"/>
      <c r="FO49" s="242"/>
      <c r="FP49" s="242"/>
      <c r="FQ49" s="242"/>
      <c r="FR49" s="242"/>
      <c r="FS49" s="242"/>
      <c r="FT49" s="242"/>
      <c r="FU49" s="242"/>
      <c r="FV49" s="242"/>
      <c r="FW49" s="242"/>
      <c r="FX49" s="242"/>
      <c r="FY49" s="242"/>
      <c r="FZ49" s="242"/>
      <c r="GA49" s="242"/>
      <c r="GB49" s="242"/>
      <c r="GC49" s="242"/>
      <c r="GD49" s="242"/>
      <c r="GE49" s="242"/>
      <c r="GF49" s="242"/>
      <c r="GG49" s="242"/>
      <c r="GH49" s="242"/>
      <c r="GI49" s="242"/>
      <c r="GJ49" s="242"/>
      <c r="GK49" s="242"/>
      <c r="GL49" s="242"/>
      <c r="GM49" s="242"/>
      <c r="GN49" s="242"/>
      <c r="GO49" s="242"/>
      <c r="GP49" s="242"/>
      <c r="GQ49" s="242"/>
      <c r="GR49" s="242"/>
      <c r="GS49" s="242"/>
      <c r="GT49" s="242"/>
      <c r="GU49" s="242"/>
      <c r="GV49" s="242"/>
      <c r="GW49" s="242"/>
      <c r="GX49" s="242"/>
      <c r="GY49" s="242"/>
      <c r="GZ49" s="242"/>
      <c r="HA49" s="242"/>
      <c r="HB49" s="242"/>
      <c r="HC49" s="242"/>
      <c r="HD49" s="242"/>
      <c r="HE49" s="242"/>
      <c r="HF49" s="242"/>
      <c r="HG49" s="242"/>
      <c r="HH49" s="242"/>
      <c r="HI49" s="242"/>
      <c r="HJ49" s="242"/>
      <c r="HK49" s="242"/>
      <c r="HL49" s="242"/>
      <c r="HM49" s="242"/>
      <c r="HN49" s="242"/>
      <c r="HO49" s="242"/>
      <c r="HP49" s="242"/>
      <c r="HQ49" s="242"/>
      <c r="HR49" s="242"/>
      <c r="HS49" s="242"/>
      <c r="HT49" s="242"/>
      <c r="HU49" s="242"/>
      <c r="HV49" s="242"/>
      <c r="HW49" s="242"/>
      <c r="HX49" s="242"/>
      <c r="HY49" s="242"/>
      <c r="HZ49" s="242"/>
      <c r="IA49" s="242"/>
      <c r="IB49" s="242"/>
      <c r="IC49" s="242"/>
      <c r="ID49" s="242"/>
      <c r="IE49" s="242"/>
      <c r="IF49" s="242"/>
      <c r="IG49" s="242"/>
      <c r="IH49" s="242"/>
      <c r="II49" s="242"/>
      <c r="IJ49" s="242"/>
      <c r="IK49" s="242"/>
      <c r="IL49" s="242"/>
      <c r="IM49" s="242"/>
      <c r="IN49" s="242"/>
      <c r="IO49" s="242"/>
      <c r="IP49" s="242"/>
      <c r="IQ49" s="242"/>
      <c r="IR49" s="242"/>
      <c r="IS49" s="242"/>
      <c r="IT49" s="242"/>
      <c r="IU49" s="242"/>
      <c r="IV49" s="242"/>
      <c r="IW49" s="242"/>
    </row>
    <row r="50" customFormat="false" ht="15" hidden="false" customHeight="true" outlineLevel="0" collapsed="false">
      <c r="A50" s="248" t="s">
        <v>350</v>
      </c>
      <c r="B50" s="242"/>
      <c r="C50" s="257" t="n">
        <f aca="false">C48*'Project Assumptions'!$N$40</f>
        <v>-139.571764935076</v>
      </c>
      <c r="D50" s="257" t="n">
        <f aca="false">D48*'Project Assumptions'!$N$40</f>
        <v>-777.087358493371</v>
      </c>
      <c r="E50" s="257" t="n">
        <f aca="false">E48*'Project Assumptions'!$N$40</f>
        <v>-659.75623063844</v>
      </c>
      <c r="F50" s="257" t="n">
        <f aca="false">F48*'Project Assumptions'!$N$40</f>
        <v>-534.829006757142</v>
      </c>
      <c r="G50" s="257" t="n">
        <f aca="false">G48*'Project Assumptions'!$N$40</f>
        <v>-402.766320737137</v>
      </c>
      <c r="H50" s="257" t="n">
        <f aca="false">H48*'Project Assumptions'!$N$40</f>
        <v>-154.296414065575</v>
      </c>
      <c r="I50" s="257" t="n">
        <f aca="false">I48*'Project Assumptions'!$N$40</f>
        <v>101.810564267144</v>
      </c>
      <c r="J50" s="257" t="n">
        <f aca="false">J48*'Project Assumptions'!$N$40</f>
        <v>258.827253391937</v>
      </c>
      <c r="K50" s="257" t="n">
        <f aca="false">K48*'Project Assumptions'!$N$40</f>
        <v>425.891007279616</v>
      </c>
      <c r="L50" s="257" t="n">
        <f aca="false">L48*'Project Assumptions'!$N$40</f>
        <v>602.690321094766</v>
      </c>
      <c r="M50" s="257" t="n">
        <f aca="false">M48*'Project Assumptions'!$N$40</f>
        <v>790.291221886148</v>
      </c>
      <c r="N50" s="257" t="n">
        <f aca="false">N48*'Project Assumptions'!$N$40</f>
        <v>989.126362968684</v>
      </c>
      <c r="O50" s="257" t="n">
        <f aca="false">O48*'Project Assumptions'!$N$40</f>
        <v>1200.33936028887</v>
      </c>
      <c r="P50" s="257" t="n">
        <f aca="false">P48*'Project Assumptions'!$N$40</f>
        <v>1424.44518004346</v>
      </c>
      <c r="Q50" s="257" t="n">
        <f aca="false">Q48*'Project Assumptions'!$N$40</f>
        <v>1662.00374062947</v>
      </c>
      <c r="R50" s="257" t="n">
        <f aca="false">R48*'Project Assumptions'!$N$40</f>
        <v>5639.05958764176</v>
      </c>
      <c r="AB50" s="242"/>
      <c r="AC50" s="242"/>
      <c r="AD50" s="184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2"/>
      <c r="BL50" s="242"/>
      <c r="BM50" s="242"/>
      <c r="BN50" s="242"/>
      <c r="BO50" s="242"/>
      <c r="BP50" s="242"/>
      <c r="BQ50" s="242"/>
      <c r="BR50" s="242"/>
      <c r="BS50" s="242"/>
      <c r="BT50" s="242"/>
      <c r="BU50" s="242"/>
      <c r="BV50" s="242"/>
      <c r="BW50" s="242"/>
      <c r="BX50" s="242"/>
      <c r="BY50" s="242"/>
      <c r="BZ50" s="242"/>
      <c r="CA50" s="242"/>
      <c r="CB50" s="242"/>
      <c r="CC50" s="242"/>
      <c r="CD50" s="242"/>
      <c r="CE50" s="242"/>
      <c r="CF50" s="242"/>
      <c r="CG50" s="242"/>
      <c r="CH50" s="242"/>
      <c r="CI50" s="242"/>
      <c r="CJ50" s="242"/>
      <c r="CK50" s="242"/>
      <c r="CL50" s="242"/>
      <c r="CM50" s="242"/>
      <c r="CN50" s="242"/>
      <c r="CO50" s="242"/>
      <c r="CP50" s="242"/>
      <c r="CQ50" s="242"/>
      <c r="CR50" s="242"/>
      <c r="CS50" s="242"/>
      <c r="CT50" s="242"/>
      <c r="CU50" s="242"/>
      <c r="CV50" s="242"/>
      <c r="CW50" s="242"/>
      <c r="CX50" s="242"/>
      <c r="CY50" s="242"/>
      <c r="CZ50" s="242"/>
      <c r="DA50" s="242"/>
      <c r="DB50" s="242"/>
      <c r="DC50" s="242"/>
      <c r="DD50" s="242"/>
      <c r="DE50" s="242"/>
      <c r="DF50" s="242"/>
      <c r="DG50" s="242"/>
      <c r="DH50" s="242"/>
      <c r="DI50" s="242"/>
      <c r="DJ50" s="242"/>
      <c r="DK50" s="242"/>
      <c r="DL50" s="242"/>
      <c r="DM50" s="242"/>
      <c r="DN50" s="242"/>
      <c r="DO50" s="242"/>
      <c r="DP50" s="242"/>
      <c r="DQ50" s="242"/>
      <c r="DR50" s="242"/>
      <c r="DS50" s="242"/>
      <c r="DT50" s="242"/>
      <c r="DU50" s="242"/>
      <c r="DV50" s="242"/>
      <c r="DW50" s="242"/>
      <c r="DX50" s="242"/>
      <c r="DY50" s="242"/>
      <c r="DZ50" s="242"/>
      <c r="EA50" s="242"/>
      <c r="EB50" s="242"/>
      <c r="EC50" s="242"/>
      <c r="ED50" s="242"/>
      <c r="EE50" s="242"/>
      <c r="EF50" s="242"/>
      <c r="EG50" s="242"/>
      <c r="EH50" s="242"/>
      <c r="EI50" s="242"/>
      <c r="EJ50" s="242"/>
      <c r="EK50" s="242"/>
      <c r="EL50" s="242"/>
      <c r="EM50" s="242"/>
      <c r="EN50" s="242"/>
      <c r="EO50" s="242"/>
      <c r="EP50" s="242"/>
      <c r="EQ50" s="242"/>
      <c r="ER50" s="242"/>
      <c r="ES50" s="242"/>
      <c r="ET50" s="242"/>
      <c r="EU50" s="242"/>
      <c r="EV50" s="242"/>
      <c r="EW50" s="242"/>
      <c r="EX50" s="242"/>
      <c r="EY50" s="242"/>
      <c r="EZ50" s="242"/>
      <c r="FA50" s="242"/>
      <c r="FB50" s="242"/>
      <c r="FC50" s="242"/>
      <c r="FD50" s="242"/>
      <c r="FE50" s="242"/>
      <c r="FF50" s="242"/>
      <c r="FG50" s="242"/>
      <c r="FH50" s="242"/>
      <c r="FI50" s="242"/>
      <c r="FJ50" s="242"/>
      <c r="FK50" s="242"/>
      <c r="FL50" s="242"/>
      <c r="FM50" s="242"/>
      <c r="FN50" s="242"/>
      <c r="FO50" s="242"/>
      <c r="FP50" s="242"/>
      <c r="FQ50" s="242"/>
      <c r="FR50" s="242"/>
      <c r="FS50" s="242"/>
      <c r="FT50" s="242"/>
      <c r="FU50" s="242"/>
      <c r="FV50" s="242"/>
      <c r="FW50" s="242"/>
      <c r="FX50" s="242"/>
      <c r="FY50" s="242"/>
      <c r="FZ50" s="242"/>
      <c r="GA50" s="242"/>
      <c r="GB50" s="242"/>
      <c r="GC50" s="242"/>
      <c r="GD50" s="242"/>
      <c r="GE50" s="242"/>
      <c r="GF50" s="242"/>
      <c r="GG50" s="242"/>
      <c r="GH50" s="242"/>
      <c r="GI50" s="242"/>
      <c r="GJ50" s="242"/>
      <c r="GK50" s="242"/>
      <c r="GL50" s="242"/>
      <c r="GM50" s="242"/>
      <c r="GN50" s="242"/>
      <c r="GO50" s="242"/>
      <c r="GP50" s="242"/>
      <c r="GQ50" s="242"/>
      <c r="GR50" s="242"/>
      <c r="GS50" s="242"/>
      <c r="GT50" s="242"/>
      <c r="GU50" s="242"/>
      <c r="GV50" s="242"/>
      <c r="GW50" s="242"/>
      <c r="GX50" s="242"/>
      <c r="GY50" s="242"/>
      <c r="GZ50" s="242"/>
      <c r="HA50" s="242"/>
      <c r="HB50" s="242"/>
      <c r="HC50" s="242"/>
      <c r="HD50" s="242"/>
      <c r="HE50" s="242"/>
      <c r="HF50" s="242"/>
      <c r="HG50" s="242"/>
      <c r="HH50" s="242"/>
      <c r="HI50" s="242"/>
      <c r="HJ50" s="242"/>
      <c r="HK50" s="242"/>
      <c r="HL50" s="242"/>
      <c r="HM50" s="242"/>
      <c r="HN50" s="242"/>
      <c r="HO50" s="242"/>
      <c r="HP50" s="242"/>
      <c r="HQ50" s="242"/>
      <c r="HR50" s="242"/>
      <c r="HS50" s="242"/>
      <c r="HT50" s="242"/>
      <c r="HU50" s="242"/>
      <c r="HV50" s="242"/>
      <c r="HW50" s="242"/>
      <c r="HX50" s="242"/>
      <c r="HY50" s="242"/>
      <c r="HZ50" s="242"/>
      <c r="IA50" s="242"/>
      <c r="IB50" s="242"/>
      <c r="IC50" s="242"/>
      <c r="ID50" s="242"/>
      <c r="IE50" s="242"/>
      <c r="IF50" s="242"/>
      <c r="IG50" s="242"/>
      <c r="IH50" s="242"/>
      <c r="II50" s="242"/>
      <c r="IJ50" s="242"/>
      <c r="IK50" s="242"/>
      <c r="IL50" s="242"/>
      <c r="IM50" s="242"/>
      <c r="IN50" s="242"/>
      <c r="IO50" s="242"/>
      <c r="IP50" s="242"/>
      <c r="IQ50" s="242"/>
      <c r="IR50" s="242"/>
      <c r="IS50" s="242"/>
      <c r="IT50" s="242"/>
      <c r="IU50" s="242"/>
      <c r="IV50" s="242"/>
      <c r="IW50" s="242"/>
    </row>
    <row r="51" customFormat="false" ht="15" hidden="false" customHeight="true" outlineLevel="0" collapsed="false">
      <c r="A51" s="245" t="s">
        <v>351</v>
      </c>
      <c r="B51" s="242"/>
      <c r="C51" s="340" t="n">
        <f aca="false">C48-C50</f>
        <v>-219.224545952009</v>
      </c>
      <c r="D51" s="340" t="n">
        <f aca="false">IF(D3&gt;'Project Assumptions'!$I$15+1,0,D48-D50)</f>
        <v>-1220.56651938162</v>
      </c>
      <c r="E51" s="340" t="n">
        <f aca="false">IF(E3&gt;'Project Assumptions'!$I$15+1,0,E48-E50)</f>
        <v>-1036.27521059148</v>
      </c>
      <c r="F51" s="340" t="n">
        <f aca="false">IF(F3&gt;'Project Assumptions'!$I$15+1,0,F48-F50)</f>
        <v>-840.052758685383</v>
      </c>
      <c r="G51" s="340" t="n">
        <f aca="false">IF(G3&gt;'Project Assumptions'!$I$15+1,0,G48-G50)</f>
        <v>-632.622678587123</v>
      </c>
      <c r="H51" s="340" t="n">
        <f aca="false">IF(H3&gt;'Project Assumptions'!$I$15+1,0,H48-H50)</f>
        <v>-242.352465280377</v>
      </c>
      <c r="I51" s="340" t="n">
        <f aca="false">IF(I3&gt;'Project Assumptions'!$I$15+1,0,I48-I50)</f>
        <v>159.913251329627</v>
      </c>
      <c r="J51" s="340" t="n">
        <f aca="false">IF(J3&gt;'Project Assumptions'!$I$15+1,0,J48-J50)</f>
        <v>406.538436561628</v>
      </c>
      <c r="K51" s="340" t="n">
        <f aca="false">IF(K3&gt;'Project Assumptions'!$I$15+1,0,K48-K50)</f>
        <v>668.944487012455</v>
      </c>
      <c r="L51" s="340" t="n">
        <f aca="false">IF(L3&gt;'Project Assumptions'!$I$15+1,0,L48-L50)</f>
        <v>946.642123878925</v>
      </c>
      <c r="M51" s="340" t="n">
        <f aca="false">IF(M3&gt;'Project Assumptions'!$I$15+1,0,M48-M50)</f>
        <v>1241.30574954354</v>
      </c>
      <c r="N51" s="340" t="n">
        <f aca="false">IF(N3&gt;'Project Assumptions'!$I$15+1,0,N48-N50)</f>
        <v>1553.61493000994</v>
      </c>
      <c r="O51" s="340" t="n">
        <f aca="false">IF(O3&gt;'Project Assumptions'!$I$15+1,0,O48-O50)</f>
        <v>1885.36593608354</v>
      </c>
      <c r="P51" s="340" t="n">
        <f aca="false">IF(P3&gt;'Project Assumptions'!$I$15+1,0,P48-P50)</f>
        <v>2237.36762212482</v>
      </c>
      <c r="Q51" s="340" t="n">
        <f aca="false">IF(Q3&gt;'Project Assumptions'!$I$15+1,0,Q48-Q50)</f>
        <v>2610.49944864937</v>
      </c>
      <c r="R51" s="340" t="n">
        <f aca="false">IF(R3&gt;'Project Assumptions'!$I$15+1,0,R48-R50)</f>
        <v>8857.23755282549</v>
      </c>
      <c r="AB51" s="242"/>
      <c r="AC51" s="242"/>
      <c r="AD51" s="184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  <c r="BE51" s="242"/>
      <c r="BF51" s="242"/>
      <c r="BG51" s="242"/>
      <c r="BH51" s="242"/>
      <c r="BI51" s="242"/>
      <c r="BJ51" s="242"/>
      <c r="BK51" s="242"/>
      <c r="BL51" s="242"/>
      <c r="BM51" s="242"/>
      <c r="BN51" s="242"/>
      <c r="BO51" s="242"/>
      <c r="BP51" s="242"/>
      <c r="BQ51" s="242"/>
      <c r="BR51" s="242"/>
      <c r="BS51" s="242"/>
      <c r="BT51" s="242"/>
      <c r="BU51" s="242"/>
      <c r="BV51" s="242"/>
      <c r="BW51" s="242"/>
      <c r="BX51" s="242"/>
      <c r="BY51" s="242"/>
      <c r="BZ51" s="242"/>
      <c r="CA51" s="242"/>
      <c r="CB51" s="242"/>
      <c r="CC51" s="242"/>
      <c r="CD51" s="242"/>
      <c r="CE51" s="242"/>
      <c r="CF51" s="242"/>
      <c r="CG51" s="242"/>
      <c r="CH51" s="242"/>
      <c r="CI51" s="242"/>
      <c r="CJ51" s="242"/>
      <c r="CK51" s="242"/>
      <c r="CL51" s="242"/>
      <c r="CM51" s="242"/>
      <c r="CN51" s="242"/>
      <c r="CO51" s="242"/>
      <c r="CP51" s="242"/>
      <c r="CQ51" s="242"/>
      <c r="CR51" s="242"/>
      <c r="CS51" s="242"/>
      <c r="CT51" s="242"/>
      <c r="CU51" s="242"/>
      <c r="CV51" s="242"/>
      <c r="CW51" s="242"/>
      <c r="CX51" s="242"/>
      <c r="CY51" s="242"/>
      <c r="CZ51" s="242"/>
      <c r="DA51" s="242"/>
      <c r="DB51" s="242"/>
      <c r="DC51" s="242"/>
      <c r="DD51" s="242"/>
      <c r="DE51" s="242"/>
      <c r="DF51" s="242"/>
      <c r="DG51" s="242"/>
      <c r="DH51" s="242"/>
      <c r="DI51" s="242"/>
      <c r="DJ51" s="242"/>
      <c r="DK51" s="242"/>
      <c r="DL51" s="242"/>
      <c r="DM51" s="242"/>
      <c r="DN51" s="242"/>
      <c r="DO51" s="242"/>
      <c r="DP51" s="242"/>
      <c r="DQ51" s="242"/>
      <c r="DR51" s="242"/>
      <c r="DS51" s="242"/>
      <c r="DT51" s="242"/>
      <c r="DU51" s="242"/>
      <c r="DV51" s="242"/>
      <c r="DW51" s="242"/>
      <c r="DX51" s="242"/>
      <c r="DY51" s="242"/>
      <c r="DZ51" s="242"/>
      <c r="EA51" s="242"/>
      <c r="EB51" s="242"/>
      <c r="EC51" s="242"/>
      <c r="ED51" s="242"/>
      <c r="EE51" s="242"/>
      <c r="EF51" s="242"/>
      <c r="EG51" s="242"/>
      <c r="EH51" s="242"/>
      <c r="EI51" s="242"/>
      <c r="EJ51" s="242"/>
      <c r="EK51" s="242"/>
      <c r="EL51" s="242"/>
      <c r="EM51" s="242"/>
      <c r="EN51" s="242"/>
      <c r="EO51" s="242"/>
      <c r="EP51" s="242"/>
      <c r="EQ51" s="242"/>
      <c r="ER51" s="242"/>
      <c r="ES51" s="242"/>
      <c r="ET51" s="242"/>
      <c r="EU51" s="242"/>
      <c r="EV51" s="242"/>
      <c r="EW51" s="242"/>
      <c r="EX51" s="242"/>
      <c r="EY51" s="242"/>
      <c r="EZ51" s="242"/>
      <c r="FA51" s="242"/>
      <c r="FB51" s="242"/>
      <c r="FC51" s="242"/>
      <c r="FD51" s="242"/>
      <c r="FE51" s="242"/>
      <c r="FF51" s="242"/>
      <c r="FG51" s="242"/>
      <c r="FH51" s="242"/>
      <c r="FI51" s="242"/>
      <c r="FJ51" s="242"/>
      <c r="FK51" s="242"/>
      <c r="FL51" s="242"/>
      <c r="FM51" s="242"/>
      <c r="FN51" s="242"/>
      <c r="FO51" s="242"/>
      <c r="FP51" s="242"/>
      <c r="FQ51" s="242"/>
      <c r="FR51" s="242"/>
      <c r="FS51" s="242"/>
      <c r="FT51" s="242"/>
      <c r="FU51" s="242"/>
      <c r="FV51" s="242"/>
      <c r="FW51" s="242"/>
      <c r="FX51" s="242"/>
      <c r="FY51" s="242"/>
      <c r="FZ51" s="242"/>
      <c r="GA51" s="242"/>
      <c r="GB51" s="242"/>
      <c r="GC51" s="242"/>
      <c r="GD51" s="242"/>
      <c r="GE51" s="242"/>
      <c r="GF51" s="242"/>
      <c r="GG51" s="242"/>
      <c r="GH51" s="242"/>
      <c r="GI51" s="242"/>
      <c r="GJ51" s="242"/>
      <c r="GK51" s="242"/>
      <c r="GL51" s="242"/>
      <c r="GM51" s="242"/>
      <c r="GN51" s="242"/>
      <c r="GO51" s="242"/>
      <c r="GP51" s="242"/>
      <c r="GQ51" s="242"/>
      <c r="GR51" s="242"/>
      <c r="GS51" s="242"/>
      <c r="GT51" s="242"/>
      <c r="GU51" s="242"/>
      <c r="GV51" s="242"/>
      <c r="GW51" s="242"/>
      <c r="GX51" s="242"/>
      <c r="GY51" s="242"/>
      <c r="GZ51" s="242"/>
      <c r="HA51" s="242"/>
      <c r="HB51" s="242"/>
      <c r="HC51" s="242"/>
      <c r="HD51" s="242"/>
      <c r="HE51" s="242"/>
      <c r="HF51" s="242"/>
      <c r="HG51" s="242"/>
      <c r="HH51" s="242"/>
      <c r="HI51" s="242"/>
      <c r="HJ51" s="242"/>
      <c r="HK51" s="242"/>
      <c r="HL51" s="242"/>
      <c r="HM51" s="242"/>
      <c r="HN51" s="242"/>
      <c r="HO51" s="242"/>
      <c r="HP51" s="242"/>
      <c r="HQ51" s="242"/>
      <c r="HR51" s="242"/>
      <c r="HS51" s="242"/>
      <c r="HT51" s="242"/>
      <c r="HU51" s="242"/>
      <c r="HV51" s="242"/>
      <c r="HW51" s="242"/>
      <c r="HX51" s="242"/>
      <c r="HY51" s="242"/>
      <c r="HZ51" s="242"/>
      <c r="IA51" s="242"/>
      <c r="IB51" s="242"/>
      <c r="IC51" s="242"/>
      <c r="ID51" s="242"/>
      <c r="IE51" s="242"/>
      <c r="IF51" s="242"/>
      <c r="IG51" s="242"/>
      <c r="IH51" s="242"/>
      <c r="II51" s="242"/>
      <c r="IJ51" s="242"/>
      <c r="IK51" s="242"/>
      <c r="IL51" s="242"/>
      <c r="IM51" s="242"/>
      <c r="IN51" s="242"/>
      <c r="IO51" s="242"/>
      <c r="IP51" s="242"/>
      <c r="IQ51" s="242"/>
      <c r="IR51" s="242"/>
      <c r="IS51" s="242"/>
      <c r="IT51" s="242"/>
      <c r="IU51" s="242"/>
      <c r="IV51" s="242"/>
      <c r="IW51" s="242"/>
    </row>
    <row r="52" customFormat="false" ht="12.75" hidden="false" customHeight="true" outlineLevel="0" collapsed="false">
      <c r="A52" s="246"/>
      <c r="B52" s="268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AB52" s="242"/>
      <c r="AC52" s="242"/>
      <c r="AD52" s="184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  <c r="BS52" s="242"/>
      <c r="BT52" s="242"/>
      <c r="BU52" s="242"/>
      <c r="BV52" s="242"/>
      <c r="BW52" s="242"/>
      <c r="BX52" s="242"/>
      <c r="BY52" s="242"/>
      <c r="BZ52" s="242"/>
      <c r="CA52" s="242"/>
      <c r="CB52" s="242"/>
      <c r="CC52" s="242"/>
      <c r="CD52" s="242"/>
      <c r="CE52" s="242"/>
      <c r="CF52" s="242"/>
      <c r="CG52" s="242"/>
      <c r="CH52" s="242"/>
      <c r="CI52" s="242"/>
      <c r="CJ52" s="242"/>
      <c r="CK52" s="242"/>
      <c r="CL52" s="242"/>
      <c r="CM52" s="242"/>
      <c r="CN52" s="242"/>
      <c r="CO52" s="242"/>
      <c r="CP52" s="242"/>
      <c r="CQ52" s="242"/>
      <c r="CR52" s="242"/>
      <c r="CS52" s="242"/>
      <c r="CT52" s="242"/>
      <c r="CU52" s="242"/>
      <c r="CV52" s="242"/>
      <c r="CW52" s="242"/>
      <c r="CX52" s="242"/>
      <c r="CY52" s="242"/>
      <c r="CZ52" s="242"/>
      <c r="DA52" s="242"/>
      <c r="DB52" s="242"/>
      <c r="DC52" s="242"/>
      <c r="DD52" s="242"/>
      <c r="DE52" s="242"/>
      <c r="DF52" s="242"/>
      <c r="DG52" s="242"/>
      <c r="DH52" s="242"/>
      <c r="DI52" s="242"/>
      <c r="DJ52" s="242"/>
      <c r="DK52" s="242"/>
      <c r="DL52" s="242"/>
      <c r="DM52" s="242"/>
      <c r="DN52" s="242"/>
      <c r="DO52" s="242"/>
      <c r="DP52" s="242"/>
      <c r="DQ52" s="242"/>
      <c r="DR52" s="242"/>
      <c r="DS52" s="242"/>
      <c r="DT52" s="242"/>
      <c r="DU52" s="242"/>
      <c r="DV52" s="242"/>
      <c r="DW52" s="242"/>
      <c r="DX52" s="242"/>
      <c r="DY52" s="242"/>
      <c r="DZ52" s="242"/>
      <c r="EA52" s="242"/>
      <c r="EB52" s="242"/>
      <c r="EC52" s="242"/>
      <c r="ED52" s="242"/>
      <c r="EE52" s="242"/>
      <c r="EF52" s="242"/>
      <c r="EG52" s="242"/>
      <c r="EH52" s="242"/>
      <c r="EI52" s="242"/>
      <c r="EJ52" s="242"/>
      <c r="EK52" s="242"/>
      <c r="EL52" s="242"/>
      <c r="EM52" s="242"/>
      <c r="EN52" s="242"/>
      <c r="EO52" s="242"/>
      <c r="EP52" s="242"/>
      <c r="EQ52" s="242"/>
      <c r="ER52" s="242"/>
      <c r="ES52" s="242"/>
      <c r="ET52" s="242"/>
      <c r="EU52" s="242"/>
      <c r="EV52" s="242"/>
      <c r="EW52" s="242"/>
      <c r="EX52" s="242"/>
      <c r="EY52" s="242"/>
      <c r="EZ52" s="242"/>
      <c r="FA52" s="242"/>
      <c r="FB52" s="242"/>
      <c r="FC52" s="242"/>
      <c r="FD52" s="242"/>
      <c r="FE52" s="242"/>
      <c r="FF52" s="242"/>
      <c r="FG52" s="242"/>
      <c r="FH52" s="242"/>
      <c r="FI52" s="242"/>
      <c r="FJ52" s="242"/>
      <c r="FK52" s="242"/>
      <c r="FL52" s="242"/>
      <c r="FM52" s="242"/>
      <c r="FN52" s="242"/>
      <c r="FO52" s="242"/>
      <c r="FP52" s="242"/>
      <c r="FQ52" s="242"/>
      <c r="FR52" s="242"/>
      <c r="FS52" s="242"/>
      <c r="FT52" s="242"/>
      <c r="FU52" s="242"/>
      <c r="FV52" s="242"/>
      <c r="FW52" s="242"/>
      <c r="FX52" s="242"/>
      <c r="FY52" s="242"/>
      <c r="FZ52" s="242"/>
      <c r="GA52" s="242"/>
      <c r="GB52" s="242"/>
      <c r="GC52" s="242"/>
      <c r="GD52" s="242"/>
      <c r="GE52" s="242"/>
      <c r="GF52" s="242"/>
      <c r="GG52" s="242"/>
      <c r="GH52" s="242"/>
      <c r="GI52" s="242"/>
      <c r="GJ52" s="242"/>
      <c r="GK52" s="242"/>
      <c r="GL52" s="242"/>
      <c r="GM52" s="242"/>
      <c r="GN52" s="242"/>
      <c r="GO52" s="242"/>
      <c r="GP52" s="242"/>
      <c r="GQ52" s="242"/>
      <c r="GR52" s="242"/>
      <c r="GS52" s="242"/>
      <c r="GT52" s="242"/>
      <c r="GU52" s="242"/>
      <c r="GV52" s="242"/>
      <c r="GW52" s="242"/>
      <c r="GX52" s="242"/>
      <c r="GY52" s="242"/>
      <c r="GZ52" s="242"/>
      <c r="HA52" s="242"/>
      <c r="HB52" s="242"/>
      <c r="HC52" s="242"/>
      <c r="HD52" s="242"/>
      <c r="HE52" s="242"/>
      <c r="HF52" s="242"/>
      <c r="HG52" s="242"/>
      <c r="HH52" s="242"/>
      <c r="HI52" s="242"/>
      <c r="HJ52" s="242"/>
      <c r="HK52" s="242"/>
      <c r="HL52" s="242"/>
      <c r="HM52" s="242"/>
      <c r="HN52" s="242"/>
      <c r="HO52" s="242"/>
      <c r="HP52" s="242"/>
      <c r="HQ52" s="242"/>
      <c r="HR52" s="242"/>
      <c r="HS52" s="242"/>
      <c r="HT52" s="242"/>
      <c r="HU52" s="242"/>
      <c r="HV52" s="242"/>
      <c r="HW52" s="242"/>
      <c r="HX52" s="242"/>
      <c r="HY52" s="242"/>
      <c r="HZ52" s="242"/>
      <c r="IA52" s="242"/>
      <c r="IB52" s="242"/>
      <c r="IC52" s="242"/>
      <c r="ID52" s="242"/>
      <c r="IE52" s="242"/>
      <c r="IF52" s="242"/>
      <c r="IG52" s="242"/>
      <c r="IH52" s="242"/>
      <c r="II52" s="242"/>
      <c r="IJ52" s="242"/>
      <c r="IK52" s="242"/>
      <c r="IL52" s="242"/>
      <c r="IM52" s="242"/>
      <c r="IN52" s="242"/>
      <c r="IO52" s="242"/>
      <c r="IP52" s="242"/>
      <c r="IQ52" s="242"/>
      <c r="IR52" s="242"/>
      <c r="IS52" s="242"/>
      <c r="IT52" s="242"/>
      <c r="IU52" s="242"/>
      <c r="IV52" s="242"/>
      <c r="IW52" s="242"/>
    </row>
    <row r="53" customFormat="false" ht="15" hidden="false" customHeight="true" outlineLevel="0" collapsed="false">
      <c r="A53" s="248" t="s">
        <v>352</v>
      </c>
      <c r="B53" s="335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AB53" s="242"/>
      <c r="AC53" s="242"/>
      <c r="AD53" s="184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  <c r="DB53" s="242"/>
      <c r="DC53" s="242"/>
      <c r="DD53" s="242"/>
      <c r="DE53" s="242"/>
      <c r="DF53" s="242"/>
      <c r="DG53" s="242"/>
      <c r="DH53" s="242"/>
      <c r="DI53" s="242"/>
      <c r="DJ53" s="242"/>
      <c r="DK53" s="242"/>
      <c r="DL53" s="242"/>
      <c r="DM53" s="242"/>
      <c r="DN53" s="242"/>
      <c r="DO53" s="242"/>
      <c r="DP53" s="242"/>
      <c r="DQ53" s="242"/>
      <c r="DR53" s="242"/>
      <c r="DS53" s="242"/>
      <c r="DT53" s="242"/>
      <c r="DU53" s="242"/>
      <c r="DV53" s="242"/>
      <c r="DW53" s="242"/>
      <c r="DX53" s="242"/>
      <c r="DY53" s="242"/>
      <c r="DZ53" s="242"/>
      <c r="EA53" s="242"/>
      <c r="EB53" s="242"/>
      <c r="EC53" s="242"/>
      <c r="ED53" s="242"/>
      <c r="EE53" s="242"/>
      <c r="EF53" s="242"/>
      <c r="EG53" s="242"/>
      <c r="EH53" s="242"/>
      <c r="EI53" s="242"/>
      <c r="EJ53" s="242"/>
      <c r="EK53" s="242"/>
      <c r="EL53" s="242"/>
      <c r="EM53" s="242"/>
      <c r="EN53" s="242"/>
      <c r="EO53" s="242"/>
      <c r="EP53" s="242"/>
      <c r="EQ53" s="242"/>
      <c r="ER53" s="242"/>
      <c r="ES53" s="242"/>
      <c r="ET53" s="242"/>
      <c r="EU53" s="242"/>
      <c r="EV53" s="242"/>
      <c r="EW53" s="242"/>
      <c r="EX53" s="242"/>
      <c r="EY53" s="242"/>
      <c r="EZ53" s="242"/>
      <c r="FA53" s="242"/>
      <c r="FB53" s="242"/>
      <c r="FC53" s="242"/>
      <c r="FD53" s="242"/>
      <c r="FE53" s="242"/>
      <c r="FF53" s="242"/>
      <c r="FG53" s="242"/>
      <c r="FH53" s="242"/>
      <c r="FI53" s="242"/>
      <c r="FJ53" s="242"/>
      <c r="FK53" s="242"/>
      <c r="FL53" s="242"/>
      <c r="FM53" s="242"/>
      <c r="FN53" s="242"/>
      <c r="FO53" s="242"/>
      <c r="FP53" s="242"/>
      <c r="FQ53" s="242"/>
      <c r="FR53" s="242"/>
      <c r="FS53" s="242"/>
      <c r="FT53" s="242"/>
      <c r="FU53" s="242"/>
      <c r="FV53" s="242"/>
      <c r="FW53" s="242"/>
      <c r="FX53" s="242"/>
      <c r="FY53" s="242"/>
      <c r="FZ53" s="242"/>
      <c r="GA53" s="242"/>
      <c r="GB53" s="242"/>
      <c r="GC53" s="242"/>
      <c r="GD53" s="242"/>
      <c r="GE53" s="242"/>
      <c r="GF53" s="242"/>
      <c r="GG53" s="242"/>
      <c r="GH53" s="242"/>
      <c r="GI53" s="242"/>
      <c r="GJ53" s="242"/>
      <c r="GK53" s="242"/>
      <c r="GL53" s="242"/>
      <c r="GM53" s="242"/>
      <c r="GN53" s="242"/>
      <c r="GO53" s="242"/>
      <c r="GP53" s="242"/>
      <c r="GQ53" s="242"/>
      <c r="GR53" s="242"/>
      <c r="GS53" s="242"/>
      <c r="GT53" s="242"/>
      <c r="GU53" s="242"/>
      <c r="GV53" s="242"/>
      <c r="GW53" s="242"/>
      <c r="GX53" s="242"/>
      <c r="GY53" s="242"/>
      <c r="GZ53" s="242"/>
      <c r="HA53" s="242"/>
      <c r="HB53" s="242"/>
      <c r="HC53" s="242"/>
      <c r="HD53" s="242"/>
      <c r="HE53" s="242"/>
      <c r="HF53" s="242"/>
      <c r="HG53" s="242"/>
      <c r="HH53" s="242"/>
      <c r="HI53" s="242"/>
      <c r="HJ53" s="242"/>
      <c r="HK53" s="242"/>
      <c r="HL53" s="242"/>
      <c r="HM53" s="242"/>
      <c r="HN53" s="242"/>
      <c r="HO53" s="242"/>
      <c r="HP53" s="242"/>
      <c r="HQ53" s="242"/>
      <c r="HR53" s="242"/>
      <c r="HS53" s="242"/>
      <c r="HT53" s="242"/>
      <c r="HU53" s="242"/>
      <c r="HV53" s="242"/>
      <c r="HW53" s="242"/>
      <c r="HX53" s="242"/>
      <c r="HY53" s="242"/>
      <c r="HZ53" s="242"/>
      <c r="IA53" s="242"/>
      <c r="IB53" s="242"/>
      <c r="IC53" s="242"/>
      <c r="ID53" s="242"/>
      <c r="IE53" s="242"/>
      <c r="IF53" s="242"/>
      <c r="IG53" s="242"/>
      <c r="IH53" s="242"/>
      <c r="II53" s="242"/>
      <c r="IJ53" s="242"/>
      <c r="IK53" s="242"/>
      <c r="IL53" s="242"/>
      <c r="IM53" s="242"/>
      <c r="IN53" s="242"/>
      <c r="IO53" s="242"/>
      <c r="IP53" s="242"/>
      <c r="IQ53" s="242"/>
      <c r="IR53" s="242"/>
      <c r="IS53" s="242"/>
      <c r="IT53" s="242"/>
      <c r="IU53" s="242"/>
      <c r="IV53" s="242"/>
      <c r="IW53" s="242"/>
    </row>
    <row r="54" customFormat="false" ht="12.75" hidden="false" customHeight="true" outlineLevel="0" collapsed="false">
      <c r="A54" s="248" t="s">
        <v>353</v>
      </c>
      <c r="B54" s="254" t="n">
        <v>0</v>
      </c>
      <c r="C54" s="254" t="n">
        <f aca="false">B57</f>
        <v>0</v>
      </c>
      <c r="D54" s="254" t="n">
        <f aca="false">C57</f>
        <v>-389.381908827835</v>
      </c>
      <c r="E54" s="254" t="n">
        <f aca="false">D57</f>
        <v>-1935.31355122746</v>
      </c>
      <c r="F54" s="254" t="n">
        <f aca="false">E57</f>
        <v>-3078.8612384466</v>
      </c>
      <c r="G54" s="254" t="n">
        <f aca="false">F57</f>
        <v>-4059.43423410394</v>
      </c>
      <c r="H54" s="254" t="n">
        <f aca="false">G57</f>
        <v>-4848.34682884634</v>
      </c>
      <c r="I54" s="254" t="n">
        <f aca="false">H57</f>
        <v>-5317.38115019831</v>
      </c>
      <c r="J54" s="254" t="n">
        <f aca="false">I57</f>
        <v>-5455.61415510046</v>
      </c>
      <c r="K54" s="254" t="n">
        <f aca="false">J57</f>
        <v>-5373.89866467472</v>
      </c>
      <c r="L54" s="254" t="n">
        <f aca="false">K57</f>
        <v>-5078.01758065055</v>
      </c>
      <c r="M54" s="254" t="n">
        <f aca="false">L57</f>
        <v>-4554.92821837778</v>
      </c>
      <c r="N54" s="254" t="n">
        <f aca="false">M57</f>
        <v>-3790.7935937111</v>
      </c>
      <c r="O54" s="254" t="n">
        <f aca="false">N57</f>
        <v>-2770.9340501707</v>
      </c>
      <c r="P54" s="254" t="n">
        <f aca="false">O57</f>
        <v>-1479.77594019718</v>
      </c>
      <c r="Q54" s="254" t="n">
        <f aca="false">P57</f>
        <v>99.2028189052467</v>
      </c>
      <c r="R54" s="254" t="n">
        <f aca="false">Q57</f>
        <v>1983.53050466852</v>
      </c>
      <c r="AB54" s="242"/>
      <c r="AC54" s="242"/>
      <c r="AD54" s="184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2"/>
      <c r="BR54" s="242"/>
      <c r="BS54" s="242"/>
      <c r="BT54" s="242"/>
      <c r="BU54" s="242"/>
      <c r="BV54" s="242"/>
      <c r="BW54" s="242"/>
      <c r="BX54" s="242"/>
      <c r="BY54" s="242"/>
      <c r="BZ54" s="242"/>
      <c r="CA54" s="242"/>
      <c r="CB54" s="242"/>
      <c r="CC54" s="242"/>
      <c r="CD54" s="242"/>
      <c r="CE54" s="242"/>
      <c r="CF54" s="242"/>
      <c r="CG54" s="242"/>
      <c r="CH54" s="242"/>
      <c r="CI54" s="242"/>
      <c r="CJ54" s="242"/>
      <c r="CK54" s="242"/>
      <c r="CL54" s="242"/>
      <c r="CM54" s="242"/>
      <c r="CN54" s="242"/>
      <c r="CO54" s="242"/>
      <c r="CP54" s="242"/>
      <c r="CQ54" s="242"/>
      <c r="CR54" s="242"/>
      <c r="CS54" s="242"/>
      <c r="CT54" s="242"/>
      <c r="CU54" s="242"/>
      <c r="CV54" s="242"/>
      <c r="CW54" s="242"/>
      <c r="CX54" s="242"/>
      <c r="CY54" s="242"/>
      <c r="CZ54" s="242"/>
      <c r="DA54" s="242"/>
      <c r="DB54" s="242"/>
      <c r="DC54" s="242"/>
      <c r="DD54" s="242"/>
      <c r="DE54" s="242"/>
      <c r="DF54" s="242"/>
      <c r="DG54" s="242"/>
      <c r="DH54" s="242"/>
      <c r="DI54" s="242"/>
      <c r="DJ54" s="242"/>
      <c r="DK54" s="242"/>
      <c r="DL54" s="242"/>
      <c r="DM54" s="242"/>
      <c r="DN54" s="242"/>
      <c r="DO54" s="242"/>
      <c r="DP54" s="242"/>
      <c r="DQ54" s="242"/>
      <c r="DR54" s="242"/>
      <c r="DS54" s="242"/>
      <c r="DT54" s="242"/>
      <c r="DU54" s="242"/>
      <c r="DV54" s="242"/>
      <c r="DW54" s="242"/>
      <c r="DX54" s="242"/>
      <c r="DY54" s="242"/>
      <c r="DZ54" s="242"/>
      <c r="EA54" s="242"/>
      <c r="EB54" s="242"/>
      <c r="EC54" s="242"/>
      <c r="ED54" s="242"/>
      <c r="EE54" s="242"/>
      <c r="EF54" s="242"/>
      <c r="EG54" s="242"/>
      <c r="EH54" s="242"/>
      <c r="EI54" s="242"/>
      <c r="EJ54" s="242"/>
      <c r="EK54" s="242"/>
      <c r="EL54" s="242"/>
      <c r="EM54" s="242"/>
      <c r="EN54" s="242"/>
      <c r="EO54" s="242"/>
      <c r="EP54" s="242"/>
      <c r="EQ54" s="242"/>
      <c r="ER54" s="242"/>
      <c r="ES54" s="242"/>
      <c r="ET54" s="242"/>
      <c r="EU54" s="242"/>
      <c r="EV54" s="242"/>
      <c r="EW54" s="242"/>
      <c r="EX54" s="242"/>
      <c r="EY54" s="242"/>
      <c r="EZ54" s="242"/>
      <c r="FA54" s="242"/>
      <c r="FB54" s="242"/>
      <c r="FC54" s="242"/>
      <c r="FD54" s="242"/>
      <c r="FE54" s="242"/>
      <c r="FF54" s="242"/>
      <c r="FG54" s="242"/>
      <c r="FH54" s="242"/>
      <c r="FI54" s="242"/>
      <c r="FJ54" s="242"/>
      <c r="FK54" s="242"/>
      <c r="FL54" s="242"/>
      <c r="FM54" s="242"/>
      <c r="FN54" s="242"/>
      <c r="FO54" s="242"/>
      <c r="FP54" s="242"/>
      <c r="FQ54" s="242"/>
      <c r="FR54" s="242"/>
      <c r="FS54" s="242"/>
      <c r="FT54" s="242"/>
      <c r="FU54" s="242"/>
      <c r="FV54" s="242"/>
      <c r="FW54" s="242"/>
      <c r="FX54" s="242"/>
      <c r="FY54" s="242"/>
      <c r="FZ54" s="242"/>
      <c r="GA54" s="242"/>
      <c r="GB54" s="242"/>
      <c r="GC54" s="242"/>
      <c r="GD54" s="242"/>
      <c r="GE54" s="242"/>
      <c r="GF54" s="242"/>
      <c r="GG54" s="242"/>
      <c r="GH54" s="242"/>
      <c r="GI54" s="242"/>
      <c r="GJ54" s="242"/>
      <c r="GK54" s="242"/>
      <c r="GL54" s="242"/>
      <c r="GM54" s="242"/>
      <c r="GN54" s="242"/>
      <c r="GO54" s="242"/>
      <c r="GP54" s="242"/>
      <c r="GQ54" s="242"/>
      <c r="GR54" s="242"/>
      <c r="GS54" s="242"/>
      <c r="GT54" s="242"/>
      <c r="GU54" s="242"/>
      <c r="GV54" s="242"/>
      <c r="GW54" s="242"/>
      <c r="GX54" s="242"/>
      <c r="GY54" s="242"/>
      <c r="GZ54" s="242"/>
      <c r="HA54" s="242"/>
      <c r="HB54" s="242"/>
      <c r="HC54" s="242"/>
      <c r="HD54" s="242"/>
      <c r="HE54" s="242"/>
      <c r="HF54" s="242"/>
      <c r="HG54" s="242"/>
      <c r="HH54" s="242"/>
      <c r="HI54" s="242"/>
      <c r="HJ54" s="242"/>
      <c r="HK54" s="242"/>
      <c r="HL54" s="242"/>
      <c r="HM54" s="242"/>
      <c r="HN54" s="242"/>
      <c r="HO54" s="242"/>
      <c r="HP54" s="242"/>
      <c r="HQ54" s="242"/>
      <c r="HR54" s="242"/>
      <c r="HS54" s="242"/>
      <c r="HT54" s="242"/>
      <c r="HU54" s="242"/>
      <c r="HV54" s="242"/>
      <c r="HW54" s="242"/>
      <c r="HX54" s="242"/>
      <c r="HY54" s="242"/>
      <c r="HZ54" s="242"/>
      <c r="IA54" s="242"/>
      <c r="IB54" s="242"/>
      <c r="IC54" s="242"/>
      <c r="ID54" s="242"/>
      <c r="IE54" s="242"/>
      <c r="IF54" s="242"/>
      <c r="IG54" s="242"/>
      <c r="IH54" s="242"/>
      <c r="II54" s="242"/>
      <c r="IJ54" s="242"/>
      <c r="IK54" s="242"/>
      <c r="IL54" s="242"/>
      <c r="IM54" s="242"/>
      <c r="IN54" s="242"/>
      <c r="IO54" s="242"/>
      <c r="IP54" s="242"/>
      <c r="IQ54" s="242"/>
      <c r="IR54" s="242"/>
      <c r="IS54" s="242"/>
      <c r="IT54" s="242"/>
      <c r="IU54" s="242"/>
      <c r="IV54" s="242"/>
      <c r="IW54" s="242"/>
    </row>
    <row r="55" customFormat="false" ht="12.75" hidden="false" customHeight="true" outlineLevel="0" collapsed="false">
      <c r="A55" s="248" t="s">
        <v>354</v>
      </c>
      <c r="B55" s="254" t="n">
        <v>0</v>
      </c>
      <c r="C55" s="254" t="n">
        <f aca="false">C48*'Project Assumptions'!$N$59</f>
        <v>-179.398155443542</v>
      </c>
      <c r="D55" s="254" t="n">
        <f aca="false">D48*'Project Assumptions'!$N$59</f>
        <v>-998.826938937496</v>
      </c>
      <c r="E55" s="254" t="n">
        <f aca="false">E48*'Project Assumptions'!$N$59</f>
        <v>-848.015720614962</v>
      </c>
      <c r="F55" s="254" t="n">
        <f aca="false">F48*'Project Assumptions'!$N$59</f>
        <v>-687.440882721262</v>
      </c>
      <c r="G55" s="254" t="n">
        <f aca="false">G48*'Project Assumptions'!$N$59</f>
        <v>-517.69449966213</v>
      </c>
      <c r="H55" s="254" t="n">
        <f aca="false">H48*'Project Assumptions'!$N$59</f>
        <v>-198.324439672976</v>
      </c>
      <c r="I55" s="254" t="n">
        <f aca="false">I48*'Project Assumptions'!$N$59</f>
        <v>130.861907798385</v>
      </c>
      <c r="J55" s="254" t="n">
        <f aca="false">J48*'Project Assumptions'!$N$59</f>
        <v>332.682844976782</v>
      </c>
      <c r="K55" s="254" t="n">
        <f aca="false">K48*'Project Assumptions'!$N$59</f>
        <v>547.417747146036</v>
      </c>
      <c r="L55" s="254" t="n">
        <f aca="false">L48*'Project Assumptions'!$N$59</f>
        <v>774.666222486846</v>
      </c>
      <c r="M55" s="254" t="n">
        <f aca="false">M48*'Project Assumptions'!$N$59</f>
        <v>1015.79848571484</v>
      </c>
      <c r="N55" s="254" t="n">
        <f aca="false">N48*'Project Assumptions'!$N$59</f>
        <v>1271.37064648931</v>
      </c>
      <c r="O55" s="254" t="n">
        <f aca="false">O48*'Project Assumptions'!$N$59</f>
        <v>1542.8526481862</v>
      </c>
      <c r="P55" s="254" t="n">
        <f aca="false">P48*'Project Assumptions'!$N$59</f>
        <v>1830.90640108414</v>
      </c>
      <c r="Q55" s="254" t="n">
        <f aca="false">Q48*'Project Assumptions'!$N$59</f>
        <v>2136.25159463942</v>
      </c>
      <c r="R55" s="254" t="n">
        <f aca="false">R48*'Project Assumptions'!$N$59</f>
        <v>7248.14857023362</v>
      </c>
      <c r="AB55" s="242"/>
      <c r="AC55" s="242"/>
      <c r="AD55" s="184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2"/>
      <c r="BR55" s="242"/>
      <c r="BS55" s="242"/>
      <c r="BT55" s="242"/>
      <c r="BU55" s="242"/>
      <c r="BV55" s="242"/>
      <c r="BW55" s="242"/>
      <c r="BX55" s="242"/>
      <c r="BY55" s="242"/>
      <c r="BZ55" s="242"/>
      <c r="CA55" s="242"/>
      <c r="CB55" s="242"/>
      <c r="CC55" s="242"/>
      <c r="CD55" s="242"/>
      <c r="CE55" s="242"/>
      <c r="CF55" s="242"/>
      <c r="CG55" s="242"/>
      <c r="CH55" s="242"/>
      <c r="CI55" s="242"/>
      <c r="CJ55" s="242"/>
      <c r="CK55" s="242"/>
      <c r="CL55" s="242"/>
      <c r="CM55" s="242"/>
      <c r="CN55" s="242"/>
      <c r="CO55" s="242"/>
      <c r="CP55" s="242"/>
      <c r="CQ55" s="242"/>
      <c r="CR55" s="242"/>
      <c r="CS55" s="242"/>
      <c r="CT55" s="242"/>
      <c r="CU55" s="242"/>
      <c r="CV55" s="242"/>
      <c r="CW55" s="242"/>
      <c r="CX55" s="242"/>
      <c r="CY55" s="242"/>
      <c r="CZ55" s="242"/>
      <c r="DA55" s="242"/>
      <c r="DB55" s="242"/>
      <c r="DC55" s="242"/>
      <c r="DD55" s="242"/>
      <c r="DE55" s="242"/>
      <c r="DF55" s="242"/>
      <c r="DG55" s="242"/>
      <c r="DH55" s="242"/>
      <c r="DI55" s="242"/>
      <c r="DJ55" s="242"/>
      <c r="DK55" s="242"/>
      <c r="DL55" s="242"/>
      <c r="DM55" s="242"/>
      <c r="DN55" s="242"/>
      <c r="DO55" s="242"/>
      <c r="DP55" s="242"/>
      <c r="DQ55" s="242"/>
      <c r="DR55" s="242"/>
      <c r="DS55" s="242"/>
      <c r="DT55" s="242"/>
      <c r="DU55" s="242"/>
      <c r="DV55" s="242"/>
      <c r="DW55" s="242"/>
      <c r="DX55" s="242"/>
      <c r="DY55" s="242"/>
      <c r="DZ55" s="242"/>
      <c r="EA55" s="242"/>
      <c r="EB55" s="242"/>
      <c r="EC55" s="242"/>
      <c r="ED55" s="242"/>
      <c r="EE55" s="242"/>
      <c r="EF55" s="242"/>
      <c r="EG55" s="242"/>
      <c r="EH55" s="242"/>
      <c r="EI55" s="242"/>
      <c r="EJ55" s="242"/>
      <c r="EK55" s="242"/>
      <c r="EL55" s="242"/>
      <c r="EM55" s="242"/>
      <c r="EN55" s="242"/>
      <c r="EO55" s="242"/>
      <c r="EP55" s="242"/>
      <c r="EQ55" s="242"/>
      <c r="ER55" s="242"/>
      <c r="ES55" s="242"/>
      <c r="ET55" s="242"/>
      <c r="EU55" s="242"/>
      <c r="EV55" s="242"/>
      <c r="EW55" s="242"/>
      <c r="EX55" s="242"/>
      <c r="EY55" s="242"/>
      <c r="EZ55" s="242"/>
      <c r="FA55" s="242"/>
      <c r="FB55" s="242"/>
      <c r="FC55" s="242"/>
      <c r="FD55" s="242"/>
      <c r="FE55" s="242"/>
      <c r="FF55" s="242"/>
      <c r="FG55" s="242"/>
      <c r="FH55" s="242"/>
      <c r="FI55" s="242"/>
      <c r="FJ55" s="242"/>
      <c r="FK55" s="242"/>
      <c r="FL55" s="242"/>
      <c r="FM55" s="242"/>
      <c r="FN55" s="242"/>
      <c r="FO55" s="242"/>
      <c r="FP55" s="242"/>
      <c r="FQ55" s="242"/>
      <c r="FR55" s="242"/>
      <c r="FS55" s="242"/>
      <c r="FT55" s="242"/>
      <c r="FU55" s="242"/>
      <c r="FV55" s="242"/>
      <c r="FW55" s="242"/>
      <c r="FX55" s="242"/>
      <c r="FY55" s="242"/>
      <c r="FZ55" s="242"/>
      <c r="GA55" s="242"/>
      <c r="GB55" s="242"/>
      <c r="GC55" s="242"/>
      <c r="GD55" s="242"/>
      <c r="GE55" s="242"/>
      <c r="GF55" s="242"/>
      <c r="GG55" s="242"/>
      <c r="GH55" s="242"/>
      <c r="GI55" s="242"/>
      <c r="GJ55" s="242"/>
      <c r="GK55" s="242"/>
      <c r="GL55" s="242"/>
      <c r="GM55" s="242"/>
      <c r="GN55" s="242"/>
      <c r="GO55" s="242"/>
      <c r="GP55" s="242"/>
      <c r="GQ55" s="242"/>
      <c r="GR55" s="242"/>
      <c r="GS55" s="242"/>
      <c r="GT55" s="242"/>
      <c r="GU55" s="242"/>
      <c r="GV55" s="242"/>
      <c r="GW55" s="242"/>
      <c r="GX55" s="242"/>
      <c r="GY55" s="242"/>
      <c r="GZ55" s="242"/>
      <c r="HA55" s="242"/>
      <c r="HB55" s="242"/>
      <c r="HC55" s="242"/>
      <c r="HD55" s="242"/>
      <c r="HE55" s="242"/>
      <c r="HF55" s="242"/>
      <c r="HG55" s="242"/>
      <c r="HH55" s="242"/>
      <c r="HI55" s="242"/>
      <c r="HJ55" s="242"/>
      <c r="HK55" s="242"/>
      <c r="HL55" s="242"/>
      <c r="HM55" s="242"/>
      <c r="HN55" s="242"/>
      <c r="HO55" s="242"/>
      <c r="HP55" s="242"/>
      <c r="HQ55" s="242"/>
      <c r="HR55" s="242"/>
      <c r="HS55" s="242"/>
      <c r="HT55" s="242"/>
      <c r="HU55" s="242"/>
      <c r="HV55" s="242"/>
      <c r="HW55" s="242"/>
      <c r="HX55" s="242"/>
      <c r="HY55" s="242"/>
      <c r="HZ55" s="242"/>
      <c r="IA55" s="242"/>
      <c r="IB55" s="242"/>
      <c r="IC55" s="242"/>
      <c r="ID55" s="242"/>
      <c r="IE55" s="242"/>
      <c r="IF55" s="242"/>
      <c r="IG55" s="242"/>
      <c r="IH55" s="242"/>
      <c r="II55" s="242"/>
      <c r="IJ55" s="242"/>
      <c r="IK55" s="242"/>
      <c r="IL55" s="242"/>
      <c r="IM55" s="242"/>
      <c r="IN55" s="242"/>
      <c r="IO55" s="242"/>
      <c r="IP55" s="242"/>
      <c r="IQ55" s="242"/>
      <c r="IR55" s="242"/>
      <c r="IS55" s="242"/>
      <c r="IT55" s="242"/>
      <c r="IU55" s="242"/>
      <c r="IV55" s="242"/>
      <c r="IW55" s="242"/>
    </row>
    <row r="56" customFormat="false" ht="15" hidden="false" customHeight="true" outlineLevel="0" collapsed="false">
      <c r="A56" s="248" t="s">
        <v>355</v>
      </c>
      <c r="B56" s="257" t="n">
        <v>0</v>
      </c>
      <c r="C56" s="257" t="n">
        <f aca="false">'Cash Flow Statement'!D19*'Project Assumptions'!$N$59</f>
        <v>209.983753384292</v>
      </c>
      <c r="D56" s="257" t="n">
        <f aca="false">'Cash Flow Statement'!E19*'Project Assumptions'!$N$59</f>
        <v>547.104703462134</v>
      </c>
      <c r="E56" s="257" t="n">
        <f aca="false">'Cash Flow Statement'!F19*'Project Assumptions'!$N$59</f>
        <v>295.531966604177</v>
      </c>
      <c r="F56" s="257" t="n">
        <f aca="false">'Cash Flow Statement'!G19*'Project Assumptions'!$N$59</f>
        <v>293.132112936072</v>
      </c>
      <c r="G56" s="257" t="n">
        <f aca="false">'Cash Flow Statement'!H19*'Project Assumptions'!$N$59</f>
        <v>271.218095080271</v>
      </c>
      <c r="H56" s="257" t="n">
        <f aca="false">'Cash Flow Statement'!I19*'Project Assumptions'!$N$59</f>
        <v>270.709881678994</v>
      </c>
      <c r="I56" s="257" t="n">
        <f aca="false">'Cash Flow Statement'!J19*'Project Assumptions'!$N$59</f>
        <v>269.094912700538</v>
      </c>
      <c r="J56" s="257" t="n">
        <f aca="false">'Cash Flow Statement'!K19*'Project Assumptions'!$N$59</f>
        <v>250.967354551044</v>
      </c>
      <c r="K56" s="257" t="n">
        <f aca="false">'Cash Flow Statement'!L19*'Project Assumptions'!$N$59</f>
        <v>251.536663121858</v>
      </c>
      <c r="L56" s="257" t="n">
        <f aca="false">'Cash Flow Statement'!M19*'Project Assumptions'!$N$59</f>
        <v>251.576860214082</v>
      </c>
      <c r="M56" s="257" t="n">
        <f aca="false">'Cash Flow Statement'!N19*'Project Assumptions'!$N$59</f>
        <v>251.663861048157</v>
      </c>
      <c r="N56" s="257" t="n">
        <f aca="false">'Cash Flow Statement'!O19*'Project Assumptions'!$N$59</f>
        <v>251.511102948911</v>
      </c>
      <c r="O56" s="257" t="n">
        <f aca="false">'Cash Flow Statement'!P19*'Project Assumptions'!$N$59</f>
        <v>251.694538212682</v>
      </c>
      <c r="P56" s="257" t="n">
        <f aca="false">'Cash Flow Statement'!Q19*'Project Assumptions'!$N$59</f>
        <v>251.927641981722</v>
      </c>
      <c r="Q56" s="257" t="n">
        <f aca="false">'Cash Flow Statement'!R19*'Project Assumptions'!$N$59</f>
        <v>251.923908876149</v>
      </c>
      <c r="R56" s="257" t="n">
        <f aca="false">'Cash Flow Statement'!S19*'Project Assumptions'!$N$59</f>
        <v>6144.48815915896</v>
      </c>
      <c r="AB56" s="242"/>
      <c r="AC56" s="242"/>
      <c r="AD56" s="184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2"/>
      <c r="BY56" s="242"/>
      <c r="BZ56" s="242"/>
      <c r="CA56" s="242"/>
      <c r="CB56" s="242"/>
      <c r="CC56" s="242"/>
      <c r="CD56" s="242"/>
      <c r="CE56" s="242"/>
      <c r="CF56" s="242"/>
      <c r="CG56" s="242"/>
      <c r="CH56" s="242"/>
      <c r="CI56" s="242"/>
      <c r="CJ56" s="242"/>
      <c r="CK56" s="242"/>
      <c r="CL56" s="242"/>
      <c r="CM56" s="242"/>
      <c r="CN56" s="242"/>
      <c r="CO56" s="242"/>
      <c r="CP56" s="242"/>
      <c r="CQ56" s="242"/>
      <c r="CR56" s="242"/>
      <c r="CS56" s="242"/>
      <c r="CT56" s="242"/>
      <c r="CU56" s="242"/>
      <c r="CV56" s="242"/>
      <c r="CW56" s="242"/>
      <c r="CX56" s="242"/>
      <c r="CY56" s="242"/>
      <c r="CZ56" s="242"/>
      <c r="DA56" s="242"/>
      <c r="DB56" s="242"/>
      <c r="DC56" s="242"/>
      <c r="DD56" s="242"/>
      <c r="DE56" s="242"/>
      <c r="DF56" s="242"/>
      <c r="DG56" s="242"/>
      <c r="DH56" s="242"/>
      <c r="DI56" s="242"/>
      <c r="DJ56" s="242"/>
      <c r="DK56" s="242"/>
      <c r="DL56" s="242"/>
      <c r="DM56" s="242"/>
      <c r="DN56" s="242"/>
      <c r="DO56" s="242"/>
      <c r="DP56" s="242"/>
      <c r="DQ56" s="242"/>
      <c r="DR56" s="242"/>
      <c r="DS56" s="242"/>
      <c r="DT56" s="242"/>
      <c r="DU56" s="242"/>
      <c r="DV56" s="242"/>
      <c r="DW56" s="242"/>
      <c r="DX56" s="242"/>
      <c r="DY56" s="242"/>
      <c r="DZ56" s="242"/>
      <c r="EA56" s="242"/>
      <c r="EB56" s="242"/>
      <c r="EC56" s="242"/>
      <c r="ED56" s="242"/>
      <c r="EE56" s="242"/>
      <c r="EF56" s="242"/>
      <c r="EG56" s="242"/>
      <c r="EH56" s="242"/>
      <c r="EI56" s="242"/>
      <c r="EJ56" s="242"/>
      <c r="EK56" s="242"/>
      <c r="EL56" s="242"/>
      <c r="EM56" s="242"/>
      <c r="EN56" s="242"/>
      <c r="EO56" s="242"/>
      <c r="EP56" s="242"/>
      <c r="EQ56" s="242"/>
      <c r="ER56" s="242"/>
      <c r="ES56" s="242"/>
      <c r="ET56" s="242"/>
      <c r="EU56" s="242"/>
      <c r="EV56" s="242"/>
      <c r="EW56" s="242"/>
      <c r="EX56" s="242"/>
      <c r="EY56" s="242"/>
      <c r="EZ56" s="242"/>
      <c r="FA56" s="242"/>
      <c r="FB56" s="242"/>
      <c r="FC56" s="242"/>
      <c r="FD56" s="242"/>
      <c r="FE56" s="242"/>
      <c r="FF56" s="242"/>
      <c r="FG56" s="242"/>
      <c r="FH56" s="242"/>
      <c r="FI56" s="242"/>
      <c r="FJ56" s="242"/>
      <c r="FK56" s="242"/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242"/>
      <c r="GK56" s="242"/>
      <c r="GL56" s="242"/>
      <c r="GM56" s="242"/>
      <c r="GN56" s="242"/>
      <c r="GO56" s="242"/>
      <c r="GP56" s="242"/>
      <c r="GQ56" s="242"/>
      <c r="GR56" s="242"/>
      <c r="GS56" s="242"/>
      <c r="GT56" s="242"/>
      <c r="GU56" s="242"/>
      <c r="GV56" s="242"/>
      <c r="GW56" s="242"/>
      <c r="GX56" s="242"/>
      <c r="GY56" s="242"/>
      <c r="GZ56" s="242"/>
      <c r="HA56" s="242"/>
      <c r="HB56" s="242"/>
      <c r="HC56" s="242"/>
      <c r="HD56" s="242"/>
      <c r="HE56" s="242"/>
      <c r="HF56" s="242"/>
      <c r="HG56" s="242"/>
      <c r="HH56" s="242"/>
      <c r="HI56" s="242"/>
      <c r="HJ56" s="242"/>
      <c r="HK56" s="242"/>
      <c r="HL56" s="242"/>
      <c r="HM56" s="242"/>
      <c r="HN56" s="242"/>
      <c r="HO56" s="242"/>
      <c r="HP56" s="242"/>
      <c r="HQ56" s="242"/>
      <c r="HR56" s="242"/>
      <c r="HS56" s="242"/>
      <c r="HT56" s="242"/>
      <c r="HU56" s="242"/>
      <c r="HV56" s="242"/>
      <c r="HW56" s="242"/>
      <c r="HX56" s="242"/>
      <c r="HY56" s="242"/>
      <c r="HZ56" s="242"/>
      <c r="IA56" s="242"/>
      <c r="IB56" s="242"/>
      <c r="IC56" s="242"/>
      <c r="ID56" s="242"/>
      <c r="IE56" s="242"/>
      <c r="IF56" s="242"/>
      <c r="IG56" s="242"/>
      <c r="IH56" s="242"/>
      <c r="II56" s="242"/>
      <c r="IJ56" s="242"/>
      <c r="IK56" s="242"/>
      <c r="IL56" s="242"/>
      <c r="IM56" s="242"/>
      <c r="IN56" s="242"/>
      <c r="IO56" s="242"/>
      <c r="IP56" s="242"/>
      <c r="IQ56" s="242"/>
      <c r="IR56" s="242"/>
      <c r="IS56" s="242"/>
      <c r="IT56" s="242"/>
      <c r="IU56" s="242"/>
      <c r="IV56" s="242"/>
      <c r="IW56" s="242"/>
    </row>
    <row r="57" customFormat="false" ht="12.75" hidden="false" customHeight="true" outlineLevel="0" collapsed="false">
      <c r="A57" s="248" t="s">
        <v>356</v>
      </c>
      <c r="B57" s="254" t="n">
        <f aca="false">SUM(B54:B56)</f>
        <v>0</v>
      </c>
      <c r="C57" s="254" t="n">
        <f aca="false">C54+C55-C56</f>
        <v>-389.381908827835</v>
      </c>
      <c r="D57" s="254" t="n">
        <f aca="false">D54+D55-D56</f>
        <v>-1935.31355122746</v>
      </c>
      <c r="E57" s="254" t="n">
        <f aca="false">E54+E55-E56</f>
        <v>-3078.8612384466</v>
      </c>
      <c r="F57" s="254" t="n">
        <f aca="false">F54+F55-F56</f>
        <v>-4059.43423410394</v>
      </c>
      <c r="G57" s="254" t="n">
        <f aca="false">G54+G55-G56</f>
        <v>-4848.34682884634</v>
      </c>
      <c r="H57" s="254" t="n">
        <f aca="false">H54+H55-H56</f>
        <v>-5317.38115019831</v>
      </c>
      <c r="I57" s="254" t="n">
        <f aca="false">I54+I55-I56</f>
        <v>-5455.61415510046</v>
      </c>
      <c r="J57" s="254" t="n">
        <f aca="false">J54+J55-J56</f>
        <v>-5373.89866467472</v>
      </c>
      <c r="K57" s="254" t="n">
        <f aca="false">K54+K55-K56</f>
        <v>-5078.01758065055</v>
      </c>
      <c r="L57" s="254" t="n">
        <f aca="false">L54+L55-L56</f>
        <v>-4554.92821837778</v>
      </c>
      <c r="M57" s="254" t="n">
        <f aca="false">M54+M55-M56</f>
        <v>-3790.7935937111</v>
      </c>
      <c r="N57" s="254" t="n">
        <f aca="false">N54+N55-N56</f>
        <v>-2770.9340501707</v>
      </c>
      <c r="O57" s="254" t="n">
        <f aca="false">O54+O55-O56</f>
        <v>-1479.77594019718</v>
      </c>
      <c r="P57" s="254" t="n">
        <f aca="false">P54+P55-P56</f>
        <v>99.2028189052467</v>
      </c>
      <c r="Q57" s="254" t="n">
        <f aca="false">Q54+Q55-Q56</f>
        <v>1983.53050466852</v>
      </c>
      <c r="R57" s="254" t="n">
        <f aca="false">R54+R55-R56</f>
        <v>3087.19091574318</v>
      </c>
      <c r="AB57" s="242"/>
      <c r="AC57" s="242"/>
      <c r="AD57" s="184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  <c r="BE57" s="242"/>
      <c r="BF57" s="242"/>
      <c r="BG57" s="242"/>
      <c r="BH57" s="242"/>
      <c r="BI57" s="242"/>
      <c r="BJ57" s="242"/>
      <c r="BK57" s="242"/>
      <c r="BL57" s="242"/>
      <c r="BM57" s="242"/>
      <c r="BN57" s="242"/>
      <c r="BO57" s="242"/>
      <c r="BP57" s="242"/>
      <c r="BQ57" s="242"/>
      <c r="BR57" s="242"/>
      <c r="BS57" s="242"/>
      <c r="BT57" s="242"/>
      <c r="BU57" s="242"/>
      <c r="BV57" s="242"/>
      <c r="BW57" s="242"/>
      <c r="BX57" s="242"/>
      <c r="BY57" s="242"/>
      <c r="BZ57" s="242"/>
      <c r="CA57" s="242"/>
      <c r="CB57" s="242"/>
      <c r="CC57" s="242"/>
      <c r="CD57" s="242"/>
      <c r="CE57" s="242"/>
      <c r="CF57" s="242"/>
      <c r="CG57" s="242"/>
      <c r="CH57" s="242"/>
      <c r="CI57" s="242"/>
      <c r="CJ57" s="242"/>
      <c r="CK57" s="242"/>
      <c r="CL57" s="242"/>
      <c r="CM57" s="242"/>
      <c r="CN57" s="242"/>
      <c r="CO57" s="242"/>
      <c r="CP57" s="242"/>
      <c r="CQ57" s="242"/>
      <c r="CR57" s="242"/>
      <c r="CS57" s="242"/>
      <c r="CT57" s="242"/>
      <c r="CU57" s="242"/>
      <c r="CV57" s="242"/>
      <c r="CW57" s="242"/>
      <c r="CX57" s="242"/>
      <c r="CY57" s="242"/>
      <c r="CZ57" s="242"/>
      <c r="DA57" s="242"/>
      <c r="DB57" s="242"/>
      <c r="DC57" s="242"/>
      <c r="DD57" s="242"/>
      <c r="DE57" s="242"/>
      <c r="DF57" s="242"/>
      <c r="DG57" s="242"/>
      <c r="DH57" s="242"/>
      <c r="DI57" s="242"/>
      <c r="DJ57" s="242"/>
      <c r="DK57" s="242"/>
      <c r="DL57" s="242"/>
      <c r="DM57" s="242"/>
      <c r="DN57" s="242"/>
      <c r="DO57" s="242"/>
      <c r="DP57" s="242"/>
      <c r="DQ57" s="242"/>
      <c r="DR57" s="242"/>
      <c r="DS57" s="242"/>
      <c r="DT57" s="242"/>
      <c r="DU57" s="242"/>
      <c r="DV57" s="242"/>
      <c r="DW57" s="242"/>
      <c r="DX57" s="242"/>
      <c r="DY57" s="242"/>
      <c r="DZ57" s="242"/>
      <c r="EA57" s="242"/>
      <c r="EB57" s="242"/>
      <c r="EC57" s="242"/>
      <c r="ED57" s="242"/>
      <c r="EE57" s="242"/>
      <c r="EF57" s="242"/>
      <c r="EG57" s="242"/>
      <c r="EH57" s="242"/>
      <c r="EI57" s="242"/>
      <c r="EJ57" s="242"/>
      <c r="EK57" s="242"/>
      <c r="EL57" s="242"/>
      <c r="EM57" s="242"/>
      <c r="EN57" s="242"/>
      <c r="EO57" s="242"/>
      <c r="EP57" s="242"/>
      <c r="EQ57" s="242"/>
      <c r="ER57" s="242"/>
      <c r="ES57" s="242"/>
      <c r="ET57" s="242"/>
      <c r="EU57" s="242"/>
      <c r="EV57" s="242"/>
      <c r="EW57" s="242"/>
      <c r="EX57" s="242"/>
      <c r="EY57" s="242"/>
      <c r="EZ57" s="242"/>
      <c r="FA57" s="242"/>
      <c r="FB57" s="242"/>
      <c r="FC57" s="242"/>
      <c r="FD57" s="242"/>
      <c r="FE57" s="242"/>
      <c r="FF57" s="242"/>
      <c r="FG57" s="242"/>
      <c r="FH57" s="242"/>
      <c r="FI57" s="242"/>
      <c r="FJ57" s="242"/>
      <c r="FK57" s="242"/>
      <c r="FL57" s="242"/>
      <c r="FM57" s="242"/>
      <c r="FN57" s="242"/>
      <c r="FO57" s="242"/>
      <c r="FP57" s="242"/>
      <c r="FQ57" s="242"/>
      <c r="FR57" s="242"/>
      <c r="FS57" s="242"/>
      <c r="FT57" s="242"/>
      <c r="FU57" s="242"/>
      <c r="FV57" s="242"/>
      <c r="FW57" s="242"/>
      <c r="FX57" s="242"/>
      <c r="FY57" s="242"/>
      <c r="FZ57" s="242"/>
      <c r="GA57" s="242"/>
      <c r="GB57" s="242"/>
      <c r="GC57" s="242"/>
      <c r="GD57" s="242"/>
      <c r="GE57" s="242"/>
      <c r="GF57" s="242"/>
      <c r="GG57" s="242"/>
      <c r="GH57" s="242"/>
      <c r="GI57" s="242"/>
      <c r="GJ57" s="242"/>
      <c r="GK57" s="242"/>
      <c r="GL57" s="242"/>
      <c r="GM57" s="242"/>
      <c r="GN57" s="242"/>
      <c r="GO57" s="242"/>
      <c r="GP57" s="242"/>
      <c r="GQ57" s="242"/>
      <c r="GR57" s="242"/>
      <c r="GS57" s="242"/>
      <c r="GT57" s="242"/>
      <c r="GU57" s="242"/>
      <c r="GV57" s="242"/>
      <c r="GW57" s="242"/>
      <c r="GX57" s="242"/>
      <c r="GY57" s="242"/>
      <c r="GZ57" s="242"/>
      <c r="HA57" s="242"/>
      <c r="HB57" s="242"/>
      <c r="HC57" s="242"/>
      <c r="HD57" s="242"/>
      <c r="HE57" s="242"/>
      <c r="HF57" s="242"/>
      <c r="HG57" s="242"/>
      <c r="HH57" s="242"/>
      <c r="HI57" s="242"/>
      <c r="HJ57" s="242"/>
      <c r="HK57" s="242"/>
      <c r="HL57" s="242"/>
      <c r="HM57" s="242"/>
      <c r="HN57" s="242"/>
      <c r="HO57" s="242"/>
      <c r="HP57" s="242"/>
      <c r="HQ57" s="242"/>
      <c r="HR57" s="242"/>
      <c r="HS57" s="242"/>
      <c r="HT57" s="242"/>
      <c r="HU57" s="242"/>
      <c r="HV57" s="242"/>
      <c r="HW57" s="242"/>
      <c r="HX57" s="242"/>
      <c r="HY57" s="242"/>
      <c r="HZ57" s="242"/>
      <c r="IA57" s="242"/>
      <c r="IB57" s="242"/>
      <c r="IC57" s="242"/>
      <c r="ID57" s="242"/>
      <c r="IE57" s="242"/>
      <c r="IF57" s="242"/>
      <c r="IG57" s="242"/>
      <c r="IH57" s="242"/>
      <c r="II57" s="242"/>
      <c r="IJ57" s="242"/>
      <c r="IK57" s="242"/>
      <c r="IL57" s="242"/>
      <c r="IM57" s="242"/>
      <c r="IN57" s="242"/>
      <c r="IO57" s="242"/>
      <c r="IP57" s="242"/>
      <c r="IQ57" s="242"/>
      <c r="IR57" s="242"/>
      <c r="IS57" s="242"/>
      <c r="IT57" s="242"/>
      <c r="IU57" s="242"/>
      <c r="IV57" s="242"/>
      <c r="IW57" s="242"/>
    </row>
    <row r="58" customFormat="false" ht="12.75" hidden="false" customHeight="true" outlineLevel="0" collapsed="false">
      <c r="A58" s="245"/>
      <c r="B58" s="247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AB58" s="242"/>
      <c r="AC58" s="242"/>
      <c r="AD58" s="184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  <c r="BB58" s="242"/>
      <c r="BC58" s="242"/>
      <c r="BD58" s="242"/>
      <c r="BE58" s="242"/>
      <c r="BF58" s="242"/>
      <c r="BG58" s="242"/>
      <c r="BH58" s="242"/>
      <c r="BI58" s="242"/>
      <c r="BJ58" s="242"/>
      <c r="BK58" s="242"/>
      <c r="BL58" s="242"/>
      <c r="BM58" s="242"/>
      <c r="BN58" s="242"/>
      <c r="BO58" s="242"/>
      <c r="BP58" s="242"/>
      <c r="BQ58" s="242"/>
      <c r="BR58" s="242"/>
      <c r="BS58" s="242"/>
      <c r="BT58" s="242"/>
      <c r="BU58" s="242"/>
      <c r="BV58" s="242"/>
      <c r="BW58" s="242"/>
      <c r="BX58" s="242"/>
      <c r="BY58" s="242"/>
      <c r="BZ58" s="242"/>
      <c r="CA58" s="242"/>
      <c r="CB58" s="242"/>
      <c r="CC58" s="242"/>
      <c r="CD58" s="242"/>
      <c r="CE58" s="242"/>
      <c r="CF58" s="242"/>
      <c r="CG58" s="242"/>
      <c r="CH58" s="242"/>
      <c r="CI58" s="242"/>
      <c r="CJ58" s="242"/>
      <c r="CK58" s="242"/>
      <c r="CL58" s="242"/>
      <c r="CM58" s="242"/>
      <c r="CN58" s="242"/>
      <c r="CO58" s="242"/>
      <c r="CP58" s="242"/>
      <c r="CQ58" s="242"/>
      <c r="CR58" s="242"/>
      <c r="CS58" s="242"/>
      <c r="CT58" s="242"/>
      <c r="CU58" s="242"/>
      <c r="CV58" s="242"/>
      <c r="CW58" s="242"/>
      <c r="CX58" s="242"/>
      <c r="CY58" s="242"/>
      <c r="CZ58" s="242"/>
      <c r="DA58" s="242"/>
      <c r="DB58" s="242"/>
      <c r="DC58" s="242"/>
      <c r="DD58" s="242"/>
      <c r="DE58" s="242"/>
      <c r="DF58" s="242"/>
      <c r="DG58" s="242"/>
      <c r="DH58" s="242"/>
      <c r="DI58" s="242"/>
      <c r="DJ58" s="242"/>
      <c r="DK58" s="242"/>
      <c r="DL58" s="242"/>
      <c r="DM58" s="242"/>
      <c r="DN58" s="242"/>
      <c r="DO58" s="242"/>
      <c r="DP58" s="242"/>
      <c r="DQ58" s="242"/>
      <c r="DR58" s="242"/>
      <c r="DS58" s="242"/>
      <c r="DT58" s="242"/>
      <c r="DU58" s="242"/>
      <c r="DV58" s="242"/>
      <c r="DW58" s="242"/>
      <c r="DX58" s="242"/>
      <c r="DY58" s="242"/>
      <c r="DZ58" s="242"/>
      <c r="EA58" s="242"/>
      <c r="EB58" s="242"/>
      <c r="EC58" s="242"/>
      <c r="ED58" s="242"/>
      <c r="EE58" s="242"/>
      <c r="EF58" s="242"/>
      <c r="EG58" s="242"/>
      <c r="EH58" s="242"/>
      <c r="EI58" s="242"/>
      <c r="EJ58" s="242"/>
      <c r="EK58" s="242"/>
      <c r="EL58" s="242"/>
      <c r="EM58" s="242"/>
      <c r="EN58" s="242"/>
      <c r="EO58" s="242"/>
      <c r="EP58" s="242"/>
      <c r="EQ58" s="242"/>
      <c r="ER58" s="242"/>
      <c r="ES58" s="242"/>
      <c r="ET58" s="242"/>
      <c r="EU58" s="242"/>
      <c r="EV58" s="242"/>
      <c r="EW58" s="242"/>
      <c r="EX58" s="242"/>
      <c r="EY58" s="242"/>
      <c r="EZ58" s="242"/>
      <c r="FA58" s="242"/>
      <c r="FB58" s="242"/>
      <c r="FC58" s="242"/>
      <c r="FD58" s="242"/>
      <c r="FE58" s="242"/>
      <c r="FF58" s="242"/>
      <c r="FG58" s="242"/>
      <c r="FH58" s="242"/>
      <c r="FI58" s="242"/>
      <c r="FJ58" s="242"/>
      <c r="FK58" s="242"/>
      <c r="FL58" s="242"/>
      <c r="FM58" s="242"/>
      <c r="FN58" s="242"/>
      <c r="FO58" s="242"/>
      <c r="FP58" s="242"/>
      <c r="FQ58" s="242"/>
      <c r="FR58" s="242"/>
      <c r="FS58" s="242"/>
      <c r="FT58" s="242"/>
      <c r="FU58" s="242"/>
      <c r="FV58" s="242"/>
      <c r="FW58" s="242"/>
      <c r="FX58" s="242"/>
      <c r="FY58" s="242"/>
      <c r="FZ58" s="242"/>
      <c r="GA58" s="242"/>
      <c r="GB58" s="242"/>
      <c r="GC58" s="242"/>
      <c r="GD58" s="242"/>
      <c r="GE58" s="242"/>
      <c r="GF58" s="242"/>
      <c r="GG58" s="242"/>
      <c r="GH58" s="242"/>
      <c r="GI58" s="242"/>
      <c r="GJ58" s="242"/>
      <c r="GK58" s="242"/>
      <c r="GL58" s="242"/>
      <c r="GM58" s="242"/>
      <c r="GN58" s="242"/>
      <c r="GO58" s="242"/>
      <c r="GP58" s="242"/>
      <c r="GQ58" s="242"/>
      <c r="GR58" s="242"/>
      <c r="GS58" s="242"/>
      <c r="GT58" s="242"/>
      <c r="GU58" s="242"/>
      <c r="GV58" s="242"/>
      <c r="GW58" s="242"/>
      <c r="GX58" s="242"/>
      <c r="GY58" s="242"/>
      <c r="GZ58" s="242"/>
      <c r="HA58" s="242"/>
      <c r="HB58" s="242"/>
      <c r="HC58" s="242"/>
      <c r="HD58" s="242"/>
      <c r="HE58" s="242"/>
      <c r="HF58" s="242"/>
      <c r="HG58" s="242"/>
      <c r="HH58" s="242"/>
      <c r="HI58" s="242"/>
      <c r="HJ58" s="242"/>
      <c r="HK58" s="242"/>
      <c r="HL58" s="242"/>
      <c r="HM58" s="242"/>
      <c r="HN58" s="242"/>
      <c r="HO58" s="242"/>
      <c r="HP58" s="242"/>
      <c r="HQ58" s="242"/>
      <c r="HR58" s="242"/>
      <c r="HS58" s="242"/>
      <c r="HT58" s="242"/>
      <c r="HU58" s="242"/>
      <c r="HV58" s="242"/>
      <c r="HW58" s="242"/>
      <c r="HX58" s="242"/>
      <c r="HY58" s="242"/>
      <c r="HZ58" s="242"/>
      <c r="IA58" s="242"/>
      <c r="IB58" s="242"/>
      <c r="IC58" s="242"/>
      <c r="ID58" s="242"/>
      <c r="IE58" s="242"/>
      <c r="IF58" s="242"/>
      <c r="IG58" s="242"/>
      <c r="IH58" s="242"/>
      <c r="II58" s="242"/>
      <c r="IJ58" s="242"/>
      <c r="IK58" s="242"/>
      <c r="IL58" s="242"/>
      <c r="IM58" s="242"/>
      <c r="IN58" s="242"/>
      <c r="IO58" s="242"/>
      <c r="IP58" s="242"/>
      <c r="IQ58" s="242"/>
      <c r="IR58" s="242"/>
      <c r="IS58" s="242"/>
      <c r="IT58" s="242"/>
      <c r="IU58" s="242"/>
      <c r="IV58" s="242"/>
      <c r="IW58" s="242"/>
    </row>
    <row r="59" customFormat="false" ht="12.75" hidden="false" customHeight="true" outlineLevel="0" collapsed="false">
      <c r="A59" s="248" t="s">
        <v>357</v>
      </c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AB59" s="242"/>
      <c r="AC59" s="242"/>
      <c r="AD59" s="184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2"/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2"/>
      <c r="BR59" s="242"/>
      <c r="BS59" s="242"/>
      <c r="BT59" s="242"/>
      <c r="BU59" s="242"/>
      <c r="BV59" s="242"/>
      <c r="BW59" s="242"/>
      <c r="BX59" s="242"/>
      <c r="BY59" s="242"/>
      <c r="BZ59" s="242"/>
      <c r="CA59" s="242"/>
      <c r="CB59" s="242"/>
      <c r="CC59" s="242"/>
      <c r="CD59" s="242"/>
      <c r="CE59" s="242"/>
      <c r="CF59" s="242"/>
      <c r="CG59" s="242"/>
      <c r="CH59" s="242"/>
      <c r="CI59" s="242"/>
      <c r="CJ59" s="242"/>
      <c r="CK59" s="242"/>
      <c r="CL59" s="242"/>
      <c r="CM59" s="242"/>
      <c r="CN59" s="242"/>
      <c r="CO59" s="242"/>
      <c r="CP59" s="242"/>
      <c r="CQ59" s="242"/>
      <c r="CR59" s="242"/>
      <c r="CS59" s="242"/>
      <c r="CT59" s="242"/>
      <c r="CU59" s="242"/>
      <c r="CV59" s="242"/>
      <c r="CW59" s="242"/>
      <c r="CX59" s="242"/>
      <c r="CY59" s="242"/>
      <c r="CZ59" s="242"/>
      <c r="DA59" s="242"/>
      <c r="DB59" s="242"/>
      <c r="DC59" s="242"/>
      <c r="DD59" s="242"/>
      <c r="DE59" s="242"/>
      <c r="DF59" s="242"/>
      <c r="DG59" s="242"/>
      <c r="DH59" s="242"/>
      <c r="DI59" s="242"/>
      <c r="DJ59" s="242"/>
      <c r="DK59" s="242"/>
      <c r="DL59" s="242"/>
      <c r="DM59" s="242"/>
      <c r="DN59" s="242"/>
      <c r="DO59" s="242"/>
      <c r="DP59" s="242"/>
      <c r="DQ59" s="242"/>
      <c r="DR59" s="242"/>
      <c r="DS59" s="242"/>
      <c r="DT59" s="242"/>
      <c r="DU59" s="242"/>
      <c r="DV59" s="242"/>
      <c r="DW59" s="242"/>
      <c r="DX59" s="242"/>
      <c r="DY59" s="242"/>
      <c r="DZ59" s="242"/>
      <c r="EA59" s="242"/>
      <c r="EB59" s="242"/>
      <c r="EC59" s="242"/>
      <c r="ED59" s="242"/>
      <c r="EE59" s="242"/>
      <c r="EF59" s="242"/>
      <c r="EG59" s="242"/>
      <c r="EH59" s="242"/>
      <c r="EI59" s="242"/>
      <c r="EJ59" s="242"/>
      <c r="EK59" s="242"/>
      <c r="EL59" s="242"/>
      <c r="EM59" s="242"/>
      <c r="EN59" s="242"/>
      <c r="EO59" s="242"/>
      <c r="EP59" s="242"/>
      <c r="EQ59" s="242"/>
      <c r="ER59" s="242"/>
      <c r="ES59" s="242"/>
      <c r="ET59" s="242"/>
      <c r="EU59" s="242"/>
      <c r="EV59" s="242"/>
      <c r="EW59" s="242"/>
      <c r="EX59" s="242"/>
      <c r="EY59" s="242"/>
      <c r="EZ59" s="242"/>
      <c r="FA59" s="242"/>
      <c r="FB59" s="242"/>
      <c r="FC59" s="242"/>
      <c r="FD59" s="242"/>
      <c r="FE59" s="242"/>
      <c r="FF59" s="242"/>
      <c r="FG59" s="242"/>
      <c r="FH59" s="242"/>
      <c r="FI59" s="242"/>
      <c r="FJ59" s="242"/>
      <c r="FK59" s="242"/>
      <c r="FL59" s="242"/>
      <c r="FM59" s="242"/>
      <c r="FN59" s="242"/>
      <c r="FO59" s="242"/>
      <c r="FP59" s="242"/>
      <c r="FQ59" s="242"/>
      <c r="FR59" s="242"/>
      <c r="FS59" s="242"/>
      <c r="FT59" s="242"/>
      <c r="FU59" s="242"/>
      <c r="FV59" s="242"/>
      <c r="FW59" s="242"/>
      <c r="FX59" s="242"/>
      <c r="FY59" s="242"/>
      <c r="FZ59" s="242"/>
      <c r="GA59" s="242"/>
      <c r="GB59" s="242"/>
      <c r="GC59" s="242"/>
      <c r="GD59" s="242"/>
      <c r="GE59" s="242"/>
      <c r="GF59" s="242"/>
      <c r="GG59" s="242"/>
      <c r="GH59" s="242"/>
      <c r="GI59" s="242"/>
      <c r="GJ59" s="242"/>
      <c r="GK59" s="242"/>
      <c r="GL59" s="242"/>
      <c r="GM59" s="242"/>
      <c r="GN59" s="242"/>
      <c r="GO59" s="242"/>
      <c r="GP59" s="242"/>
      <c r="GQ59" s="242"/>
      <c r="GR59" s="242"/>
      <c r="GS59" s="242"/>
      <c r="GT59" s="242"/>
      <c r="GU59" s="242"/>
      <c r="GV59" s="242"/>
      <c r="GW59" s="242"/>
      <c r="GX59" s="242"/>
      <c r="GY59" s="242"/>
      <c r="GZ59" s="242"/>
      <c r="HA59" s="242"/>
      <c r="HB59" s="242"/>
      <c r="HC59" s="242"/>
      <c r="HD59" s="242"/>
      <c r="HE59" s="242"/>
      <c r="HF59" s="242"/>
      <c r="HG59" s="242"/>
      <c r="HH59" s="242"/>
      <c r="HI59" s="242"/>
      <c r="HJ59" s="242"/>
      <c r="HK59" s="242"/>
      <c r="HL59" s="242"/>
      <c r="HM59" s="242"/>
      <c r="HN59" s="242"/>
      <c r="HO59" s="242"/>
      <c r="HP59" s="242"/>
      <c r="HQ59" s="242"/>
      <c r="HR59" s="242"/>
      <c r="HS59" s="242"/>
      <c r="HT59" s="242"/>
      <c r="HU59" s="242"/>
      <c r="HV59" s="242"/>
      <c r="HW59" s="242"/>
      <c r="HX59" s="242"/>
      <c r="HY59" s="242"/>
      <c r="HZ59" s="242"/>
      <c r="IA59" s="242"/>
      <c r="IB59" s="242"/>
      <c r="IC59" s="242"/>
      <c r="ID59" s="242"/>
      <c r="IE59" s="242"/>
      <c r="IF59" s="242"/>
      <c r="IG59" s="242"/>
      <c r="IH59" s="242"/>
      <c r="II59" s="242"/>
      <c r="IJ59" s="242"/>
      <c r="IK59" s="242"/>
      <c r="IL59" s="242"/>
      <c r="IM59" s="242"/>
      <c r="IN59" s="242"/>
      <c r="IO59" s="242"/>
      <c r="IP59" s="242"/>
      <c r="IQ59" s="242"/>
      <c r="IR59" s="242"/>
      <c r="IS59" s="242"/>
      <c r="IT59" s="242"/>
      <c r="IU59" s="242"/>
      <c r="IV59" s="242"/>
      <c r="IW59" s="242"/>
    </row>
    <row r="60" customFormat="false" ht="12.75" hidden="false" customHeight="true" outlineLevel="0" collapsed="false">
      <c r="A60" s="248" t="s">
        <v>353</v>
      </c>
      <c r="B60" s="254" t="n">
        <f aca="false">+'Project Assumptions'!C9</f>
        <v>3313.376925027</v>
      </c>
      <c r="C60" s="254" t="n">
        <f aca="false">B63</f>
        <v>3313.376925027</v>
      </c>
      <c r="D60" s="254" t="n">
        <f aca="false">C63</f>
        <v>2923.99501619916</v>
      </c>
      <c r="E60" s="254" t="n">
        <f aca="false">D63</f>
        <v>1378.06337379953</v>
      </c>
      <c r="F60" s="254" t="n">
        <f aca="false">E63</f>
        <v>234.515686580394</v>
      </c>
      <c r="G60" s="254" t="n">
        <f aca="false">F63</f>
        <v>-746.057309076941</v>
      </c>
      <c r="H60" s="254" t="n">
        <f aca="false">G63</f>
        <v>-1534.96990381934</v>
      </c>
      <c r="I60" s="254" t="n">
        <f aca="false">H63</f>
        <v>-2004.00422517131</v>
      </c>
      <c r="J60" s="254" t="n">
        <f aca="false">I63</f>
        <v>-2142.23723007346</v>
      </c>
      <c r="K60" s="254" t="n">
        <f aca="false">J63</f>
        <v>-2060.52173964773</v>
      </c>
      <c r="L60" s="254" t="n">
        <f aca="false">K63</f>
        <v>-1764.64065562355</v>
      </c>
      <c r="M60" s="254" t="n">
        <f aca="false">L63</f>
        <v>-1241.55129335079</v>
      </c>
      <c r="N60" s="254" t="n">
        <f aca="false">M63</f>
        <v>-477.4166686841</v>
      </c>
      <c r="O60" s="254" t="n">
        <f aca="false">N63</f>
        <v>542.4428748563</v>
      </c>
      <c r="P60" s="254" t="n">
        <f aca="false">O63</f>
        <v>1833.60098482982</v>
      </c>
      <c r="Q60" s="254" t="n">
        <f aca="false">P63</f>
        <v>3412.57974393224</v>
      </c>
      <c r="R60" s="254" t="n">
        <f aca="false">Q63</f>
        <v>5296.90742969551</v>
      </c>
      <c r="AB60" s="242"/>
      <c r="AC60" s="242"/>
      <c r="AD60" s="184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2"/>
      <c r="BE60" s="242"/>
      <c r="BF60" s="242"/>
      <c r="BG60" s="242"/>
      <c r="BH60" s="242"/>
      <c r="BI60" s="242"/>
      <c r="BJ60" s="242"/>
      <c r="BK60" s="242"/>
      <c r="BL60" s="242"/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  <c r="CA60" s="242"/>
      <c r="CB60" s="242"/>
      <c r="CC60" s="242"/>
      <c r="CD60" s="242"/>
      <c r="CE60" s="242"/>
      <c r="CF60" s="242"/>
      <c r="CG60" s="242"/>
      <c r="CH60" s="242"/>
      <c r="CI60" s="242"/>
      <c r="CJ60" s="242"/>
      <c r="CK60" s="242"/>
      <c r="CL60" s="242"/>
      <c r="CM60" s="242"/>
      <c r="CN60" s="242"/>
      <c r="CO60" s="242"/>
      <c r="CP60" s="242"/>
      <c r="CQ60" s="242"/>
      <c r="CR60" s="242"/>
      <c r="CS60" s="242"/>
      <c r="CT60" s="242"/>
      <c r="CU60" s="242"/>
      <c r="CV60" s="242"/>
      <c r="CW60" s="242"/>
      <c r="CX60" s="242"/>
      <c r="CY60" s="242"/>
      <c r="CZ60" s="242"/>
      <c r="DA60" s="242"/>
      <c r="DB60" s="242"/>
      <c r="DC60" s="242"/>
      <c r="DD60" s="242"/>
      <c r="DE60" s="242"/>
      <c r="DF60" s="242"/>
      <c r="DG60" s="242"/>
      <c r="DH60" s="242"/>
      <c r="DI60" s="242"/>
      <c r="DJ60" s="242"/>
      <c r="DK60" s="242"/>
      <c r="DL60" s="242"/>
      <c r="DM60" s="242"/>
      <c r="DN60" s="242"/>
      <c r="DO60" s="242"/>
      <c r="DP60" s="242"/>
      <c r="DQ60" s="242"/>
      <c r="DR60" s="242"/>
      <c r="DS60" s="242"/>
      <c r="DT60" s="242"/>
      <c r="DU60" s="242"/>
      <c r="DV60" s="242"/>
      <c r="DW60" s="242"/>
      <c r="DX60" s="242"/>
      <c r="DY60" s="242"/>
      <c r="DZ60" s="242"/>
      <c r="EA60" s="242"/>
      <c r="EB60" s="242"/>
      <c r="EC60" s="242"/>
      <c r="ED60" s="242"/>
      <c r="EE60" s="242"/>
      <c r="EF60" s="242"/>
      <c r="EG60" s="242"/>
      <c r="EH60" s="242"/>
      <c r="EI60" s="242"/>
      <c r="EJ60" s="242"/>
      <c r="EK60" s="242"/>
      <c r="EL60" s="242"/>
      <c r="EM60" s="242"/>
      <c r="EN60" s="242"/>
      <c r="EO60" s="242"/>
      <c r="EP60" s="242"/>
      <c r="EQ60" s="242"/>
      <c r="ER60" s="242"/>
      <c r="ES60" s="242"/>
      <c r="ET60" s="242"/>
      <c r="EU60" s="242"/>
      <c r="EV60" s="242"/>
      <c r="EW60" s="242"/>
      <c r="EX60" s="242"/>
      <c r="EY60" s="242"/>
      <c r="EZ60" s="242"/>
      <c r="FA60" s="242"/>
      <c r="FB60" s="242"/>
      <c r="FC60" s="242"/>
      <c r="FD60" s="242"/>
      <c r="FE60" s="242"/>
      <c r="FF60" s="242"/>
      <c r="FG60" s="242"/>
      <c r="FH60" s="242"/>
      <c r="FI60" s="242"/>
      <c r="FJ60" s="242"/>
      <c r="FK60" s="242"/>
      <c r="FL60" s="242"/>
      <c r="FM60" s="242"/>
      <c r="FN60" s="242"/>
      <c r="FO60" s="242"/>
      <c r="FP60" s="242"/>
      <c r="FQ60" s="242"/>
      <c r="FR60" s="242"/>
      <c r="FS60" s="242"/>
      <c r="FT60" s="242"/>
      <c r="FU60" s="242"/>
      <c r="FV60" s="242"/>
      <c r="FW60" s="242"/>
      <c r="FX60" s="242"/>
      <c r="FY60" s="242"/>
      <c r="FZ60" s="242"/>
      <c r="GA60" s="242"/>
      <c r="GB60" s="242"/>
      <c r="GC60" s="242"/>
      <c r="GD60" s="242"/>
      <c r="GE60" s="242"/>
      <c r="GF60" s="242"/>
      <c r="GG60" s="242"/>
      <c r="GH60" s="242"/>
      <c r="GI60" s="242"/>
      <c r="GJ60" s="242"/>
      <c r="GK60" s="242"/>
      <c r="GL60" s="242"/>
      <c r="GM60" s="242"/>
      <c r="GN60" s="242"/>
      <c r="GO60" s="242"/>
      <c r="GP60" s="242"/>
      <c r="GQ60" s="242"/>
      <c r="GR60" s="242"/>
      <c r="GS60" s="242"/>
      <c r="GT60" s="242"/>
      <c r="GU60" s="242"/>
      <c r="GV60" s="242"/>
      <c r="GW60" s="242"/>
      <c r="GX60" s="242"/>
      <c r="GY60" s="242"/>
      <c r="GZ60" s="242"/>
      <c r="HA60" s="242"/>
      <c r="HB60" s="242"/>
      <c r="HC60" s="242"/>
      <c r="HD60" s="242"/>
      <c r="HE60" s="242"/>
      <c r="HF60" s="242"/>
      <c r="HG60" s="242"/>
      <c r="HH60" s="242"/>
      <c r="HI60" s="242"/>
      <c r="HJ60" s="242"/>
      <c r="HK60" s="242"/>
      <c r="HL60" s="242"/>
      <c r="HM60" s="242"/>
      <c r="HN60" s="242"/>
      <c r="HO60" s="242"/>
      <c r="HP60" s="242"/>
      <c r="HQ60" s="242"/>
      <c r="HR60" s="242"/>
      <c r="HS60" s="242"/>
      <c r="HT60" s="242"/>
      <c r="HU60" s="242"/>
      <c r="HV60" s="242"/>
      <c r="HW60" s="242"/>
      <c r="HX60" s="242"/>
      <c r="HY60" s="242"/>
      <c r="HZ60" s="242"/>
      <c r="IA60" s="242"/>
      <c r="IB60" s="242"/>
      <c r="IC60" s="242"/>
      <c r="ID60" s="242"/>
      <c r="IE60" s="242"/>
      <c r="IF60" s="242"/>
      <c r="IG60" s="242"/>
      <c r="IH60" s="242"/>
      <c r="II60" s="242"/>
      <c r="IJ60" s="242"/>
      <c r="IK60" s="242"/>
      <c r="IL60" s="242"/>
      <c r="IM60" s="242"/>
      <c r="IN60" s="242"/>
      <c r="IO60" s="242"/>
      <c r="IP60" s="242"/>
      <c r="IQ60" s="242"/>
      <c r="IR60" s="242"/>
      <c r="IS60" s="242"/>
      <c r="IT60" s="242"/>
      <c r="IU60" s="242"/>
      <c r="IV60" s="242"/>
      <c r="IW60" s="242"/>
    </row>
    <row r="61" customFormat="false" ht="12.75" hidden="false" customHeight="true" outlineLevel="0" collapsed="false">
      <c r="A61" s="248" t="s">
        <v>354</v>
      </c>
      <c r="B61" s="254" t="n">
        <v>0</v>
      </c>
      <c r="C61" s="254" t="n">
        <f aca="false">C48*'Project Assumptions'!$N$60</f>
        <v>-179.398155443542</v>
      </c>
      <c r="D61" s="254" t="n">
        <f aca="false">D48*'Project Assumptions'!$N$60</f>
        <v>-998.826938937496</v>
      </c>
      <c r="E61" s="254" t="n">
        <f aca="false">E48*'Project Assumptions'!$N$60</f>
        <v>-848.015720614962</v>
      </c>
      <c r="F61" s="254" t="n">
        <f aca="false">F48*'Project Assumptions'!$N$60</f>
        <v>-687.440882721262</v>
      </c>
      <c r="G61" s="254" t="n">
        <f aca="false">G48*'Project Assumptions'!$N$60</f>
        <v>-517.69449966213</v>
      </c>
      <c r="H61" s="254" t="n">
        <f aca="false">H48*'Project Assumptions'!$N$60</f>
        <v>-198.324439672976</v>
      </c>
      <c r="I61" s="254" t="n">
        <f aca="false">I48*'Project Assumptions'!$N$60</f>
        <v>130.861907798385</v>
      </c>
      <c r="J61" s="254" t="n">
        <f aca="false">J48*'Project Assumptions'!$N$60</f>
        <v>332.682844976782</v>
      </c>
      <c r="K61" s="254" t="n">
        <f aca="false">K48*'Project Assumptions'!$N$60</f>
        <v>547.417747146036</v>
      </c>
      <c r="L61" s="254" t="n">
        <f aca="false">L48*'Project Assumptions'!$N$60</f>
        <v>774.666222486846</v>
      </c>
      <c r="M61" s="254" t="n">
        <f aca="false">M48*'Project Assumptions'!$N$60</f>
        <v>1015.79848571484</v>
      </c>
      <c r="N61" s="254" t="n">
        <f aca="false">N48*'Project Assumptions'!$N$60</f>
        <v>1271.37064648931</v>
      </c>
      <c r="O61" s="254" t="n">
        <f aca="false">O48*'Project Assumptions'!$N$60</f>
        <v>1542.8526481862</v>
      </c>
      <c r="P61" s="254" t="n">
        <f aca="false">P48*'Project Assumptions'!$N$60</f>
        <v>1830.90640108414</v>
      </c>
      <c r="Q61" s="254" t="n">
        <f aca="false">Q48*'Project Assumptions'!$N$60</f>
        <v>2136.25159463942</v>
      </c>
      <c r="R61" s="254" t="n">
        <f aca="false">R48*'Project Assumptions'!$N$60</f>
        <v>7248.14857023362</v>
      </c>
      <c r="AB61" s="242"/>
      <c r="AC61" s="242"/>
      <c r="AD61" s="184"/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  <c r="BE61" s="242"/>
      <c r="BF61" s="242"/>
      <c r="BG61" s="242"/>
      <c r="BH61" s="242"/>
      <c r="BI61" s="242"/>
      <c r="BJ61" s="242"/>
      <c r="BK61" s="242"/>
      <c r="BL61" s="242"/>
      <c r="BM61" s="242"/>
      <c r="BN61" s="242"/>
      <c r="BO61" s="242"/>
      <c r="BP61" s="242"/>
      <c r="BQ61" s="242"/>
      <c r="BR61" s="242"/>
      <c r="BS61" s="242"/>
      <c r="BT61" s="242"/>
      <c r="BU61" s="242"/>
      <c r="BV61" s="242"/>
      <c r="BW61" s="242"/>
      <c r="BX61" s="242"/>
      <c r="BY61" s="242"/>
      <c r="BZ61" s="242"/>
      <c r="CA61" s="242"/>
      <c r="CB61" s="242"/>
      <c r="CC61" s="242"/>
      <c r="CD61" s="242"/>
      <c r="CE61" s="242"/>
      <c r="CF61" s="242"/>
      <c r="CG61" s="242"/>
      <c r="CH61" s="242"/>
      <c r="CI61" s="242"/>
      <c r="CJ61" s="242"/>
      <c r="CK61" s="242"/>
      <c r="CL61" s="242"/>
      <c r="CM61" s="242"/>
      <c r="CN61" s="242"/>
      <c r="CO61" s="242"/>
      <c r="CP61" s="242"/>
      <c r="CQ61" s="242"/>
      <c r="CR61" s="242"/>
      <c r="CS61" s="242"/>
      <c r="CT61" s="242"/>
      <c r="CU61" s="242"/>
      <c r="CV61" s="242"/>
      <c r="CW61" s="242"/>
      <c r="CX61" s="242"/>
      <c r="CY61" s="242"/>
      <c r="CZ61" s="242"/>
      <c r="DA61" s="242"/>
      <c r="DB61" s="242"/>
      <c r="DC61" s="242"/>
      <c r="DD61" s="242"/>
      <c r="DE61" s="242"/>
      <c r="DF61" s="242"/>
      <c r="DG61" s="242"/>
      <c r="DH61" s="242"/>
      <c r="DI61" s="242"/>
      <c r="DJ61" s="242"/>
      <c r="DK61" s="242"/>
      <c r="DL61" s="242"/>
      <c r="DM61" s="242"/>
      <c r="DN61" s="242"/>
      <c r="DO61" s="242"/>
      <c r="DP61" s="242"/>
      <c r="DQ61" s="242"/>
      <c r="DR61" s="242"/>
      <c r="DS61" s="242"/>
      <c r="DT61" s="242"/>
      <c r="DU61" s="242"/>
      <c r="DV61" s="242"/>
      <c r="DW61" s="242"/>
      <c r="DX61" s="242"/>
      <c r="DY61" s="242"/>
      <c r="DZ61" s="242"/>
      <c r="EA61" s="242"/>
      <c r="EB61" s="242"/>
      <c r="EC61" s="242"/>
      <c r="ED61" s="242"/>
      <c r="EE61" s="242"/>
      <c r="EF61" s="242"/>
      <c r="EG61" s="242"/>
      <c r="EH61" s="242"/>
      <c r="EI61" s="242"/>
      <c r="EJ61" s="242"/>
      <c r="EK61" s="242"/>
      <c r="EL61" s="242"/>
      <c r="EM61" s="242"/>
      <c r="EN61" s="242"/>
      <c r="EO61" s="242"/>
      <c r="EP61" s="242"/>
      <c r="EQ61" s="242"/>
      <c r="ER61" s="242"/>
      <c r="ES61" s="242"/>
      <c r="ET61" s="242"/>
      <c r="EU61" s="242"/>
      <c r="EV61" s="242"/>
      <c r="EW61" s="242"/>
      <c r="EX61" s="242"/>
      <c r="EY61" s="242"/>
      <c r="EZ61" s="242"/>
      <c r="FA61" s="242"/>
      <c r="FB61" s="242"/>
      <c r="FC61" s="242"/>
      <c r="FD61" s="242"/>
      <c r="FE61" s="242"/>
      <c r="FF61" s="242"/>
      <c r="FG61" s="242"/>
      <c r="FH61" s="242"/>
      <c r="FI61" s="242"/>
      <c r="FJ61" s="242"/>
      <c r="FK61" s="242"/>
      <c r="FL61" s="242"/>
      <c r="FM61" s="242"/>
      <c r="FN61" s="242"/>
      <c r="FO61" s="242"/>
      <c r="FP61" s="242"/>
      <c r="FQ61" s="242"/>
      <c r="FR61" s="242"/>
      <c r="FS61" s="242"/>
      <c r="FT61" s="242"/>
      <c r="FU61" s="242"/>
      <c r="FV61" s="242"/>
      <c r="FW61" s="242"/>
      <c r="FX61" s="242"/>
      <c r="FY61" s="242"/>
      <c r="FZ61" s="242"/>
      <c r="GA61" s="242"/>
      <c r="GB61" s="242"/>
      <c r="GC61" s="242"/>
      <c r="GD61" s="242"/>
      <c r="GE61" s="242"/>
      <c r="GF61" s="242"/>
      <c r="GG61" s="242"/>
      <c r="GH61" s="242"/>
      <c r="GI61" s="242"/>
      <c r="GJ61" s="242"/>
      <c r="GK61" s="242"/>
      <c r="GL61" s="242"/>
      <c r="GM61" s="242"/>
      <c r="GN61" s="242"/>
      <c r="GO61" s="242"/>
      <c r="GP61" s="242"/>
      <c r="GQ61" s="242"/>
      <c r="GR61" s="242"/>
      <c r="GS61" s="242"/>
      <c r="GT61" s="242"/>
      <c r="GU61" s="242"/>
      <c r="GV61" s="242"/>
      <c r="GW61" s="242"/>
      <c r="GX61" s="242"/>
      <c r="GY61" s="242"/>
      <c r="GZ61" s="242"/>
      <c r="HA61" s="242"/>
      <c r="HB61" s="242"/>
      <c r="HC61" s="242"/>
      <c r="HD61" s="242"/>
      <c r="HE61" s="242"/>
      <c r="HF61" s="242"/>
      <c r="HG61" s="242"/>
      <c r="HH61" s="242"/>
      <c r="HI61" s="242"/>
      <c r="HJ61" s="242"/>
      <c r="HK61" s="242"/>
      <c r="HL61" s="242"/>
      <c r="HM61" s="242"/>
      <c r="HN61" s="242"/>
      <c r="HO61" s="242"/>
      <c r="HP61" s="242"/>
      <c r="HQ61" s="242"/>
      <c r="HR61" s="242"/>
      <c r="HS61" s="242"/>
      <c r="HT61" s="242"/>
      <c r="HU61" s="242"/>
      <c r="HV61" s="242"/>
      <c r="HW61" s="242"/>
      <c r="HX61" s="242"/>
      <c r="HY61" s="242"/>
      <c r="HZ61" s="242"/>
      <c r="IA61" s="242"/>
      <c r="IB61" s="242"/>
      <c r="IC61" s="242"/>
      <c r="ID61" s="242"/>
      <c r="IE61" s="242"/>
      <c r="IF61" s="242"/>
      <c r="IG61" s="242"/>
      <c r="IH61" s="242"/>
      <c r="II61" s="242"/>
      <c r="IJ61" s="242"/>
      <c r="IK61" s="242"/>
      <c r="IL61" s="242"/>
      <c r="IM61" s="242"/>
      <c r="IN61" s="242"/>
      <c r="IO61" s="242"/>
      <c r="IP61" s="242"/>
      <c r="IQ61" s="242"/>
      <c r="IR61" s="242"/>
      <c r="IS61" s="242"/>
      <c r="IT61" s="242"/>
      <c r="IU61" s="242"/>
      <c r="IV61" s="242"/>
      <c r="IW61" s="242"/>
    </row>
    <row r="62" customFormat="false" ht="15" hidden="false" customHeight="true" outlineLevel="0" collapsed="false">
      <c r="A62" s="248" t="s">
        <v>355</v>
      </c>
      <c r="B62" s="257" t="n">
        <v>0</v>
      </c>
      <c r="C62" s="257" t="n">
        <f aca="false">'Cash Flow Statement'!D19*'Project Assumptions'!$N$60</f>
        <v>209.983753384292</v>
      </c>
      <c r="D62" s="257" t="n">
        <f aca="false">'Cash Flow Statement'!E19*'Project Assumptions'!$N$60</f>
        <v>547.104703462134</v>
      </c>
      <c r="E62" s="257" t="n">
        <f aca="false">'Cash Flow Statement'!F19*'Project Assumptions'!$N$60</f>
        <v>295.531966604177</v>
      </c>
      <c r="F62" s="257" t="n">
        <f aca="false">'Cash Flow Statement'!G19*'Project Assumptions'!$N$60</f>
        <v>293.132112936072</v>
      </c>
      <c r="G62" s="257" t="n">
        <f aca="false">'Cash Flow Statement'!H19*'Project Assumptions'!$N$60</f>
        <v>271.218095080271</v>
      </c>
      <c r="H62" s="257" t="n">
        <f aca="false">'Cash Flow Statement'!I19*'Project Assumptions'!$N$60</f>
        <v>270.709881678994</v>
      </c>
      <c r="I62" s="257" t="n">
        <f aca="false">'Cash Flow Statement'!J19*'Project Assumptions'!$N$60</f>
        <v>269.094912700538</v>
      </c>
      <c r="J62" s="257" t="n">
        <f aca="false">'Cash Flow Statement'!K19*'Project Assumptions'!$N$60</f>
        <v>250.967354551044</v>
      </c>
      <c r="K62" s="257" t="n">
        <f aca="false">'Cash Flow Statement'!L19*'Project Assumptions'!$N$60</f>
        <v>251.536663121858</v>
      </c>
      <c r="L62" s="257" t="n">
        <f aca="false">'Cash Flow Statement'!M19*'Project Assumptions'!$N$60</f>
        <v>251.576860214082</v>
      </c>
      <c r="M62" s="257" t="n">
        <f aca="false">'Cash Flow Statement'!N19*'Project Assumptions'!$N$60</f>
        <v>251.663861048157</v>
      </c>
      <c r="N62" s="257" t="n">
        <f aca="false">'Cash Flow Statement'!O19*'Project Assumptions'!$N$60</f>
        <v>251.511102948911</v>
      </c>
      <c r="O62" s="257" t="n">
        <f aca="false">'Cash Flow Statement'!P19*'Project Assumptions'!$N$60</f>
        <v>251.694538212682</v>
      </c>
      <c r="P62" s="257" t="n">
        <f aca="false">'Cash Flow Statement'!Q19*'Project Assumptions'!$N$60</f>
        <v>251.927641981722</v>
      </c>
      <c r="Q62" s="257" t="n">
        <f aca="false">'Cash Flow Statement'!R19*'Project Assumptions'!$N$60</f>
        <v>251.923908876149</v>
      </c>
      <c r="R62" s="257" t="n">
        <f aca="false">'Cash Flow Statement'!S19*'Project Assumptions'!$N$60</f>
        <v>6144.48815915896</v>
      </c>
      <c r="AB62" s="242"/>
      <c r="AC62" s="242"/>
      <c r="AD62" s="184"/>
      <c r="AE62" s="242"/>
      <c r="AF62" s="242"/>
      <c r="AG62" s="242"/>
      <c r="AH62" s="242"/>
      <c r="AI62" s="242"/>
      <c r="AJ62" s="242"/>
      <c r="AK62" s="242"/>
      <c r="AL62" s="242"/>
      <c r="AM62" s="242"/>
      <c r="AN62" s="242"/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  <c r="BE62" s="242"/>
      <c r="BF62" s="242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2"/>
      <c r="BR62" s="242"/>
      <c r="BS62" s="242"/>
      <c r="BT62" s="242"/>
      <c r="BU62" s="242"/>
      <c r="BV62" s="242"/>
      <c r="BW62" s="242"/>
      <c r="BX62" s="242"/>
      <c r="BY62" s="242"/>
      <c r="BZ62" s="242"/>
      <c r="CA62" s="242"/>
      <c r="CB62" s="242"/>
      <c r="CC62" s="242"/>
      <c r="CD62" s="242"/>
      <c r="CE62" s="242"/>
      <c r="CF62" s="242"/>
      <c r="CG62" s="242"/>
      <c r="CH62" s="242"/>
      <c r="CI62" s="242"/>
      <c r="CJ62" s="242"/>
      <c r="CK62" s="242"/>
      <c r="CL62" s="242"/>
      <c r="CM62" s="242"/>
      <c r="CN62" s="242"/>
      <c r="CO62" s="242"/>
      <c r="CP62" s="242"/>
      <c r="CQ62" s="242"/>
      <c r="CR62" s="242"/>
      <c r="CS62" s="242"/>
      <c r="CT62" s="242"/>
      <c r="CU62" s="242"/>
      <c r="CV62" s="242"/>
      <c r="CW62" s="242"/>
      <c r="CX62" s="242"/>
      <c r="CY62" s="242"/>
      <c r="CZ62" s="242"/>
      <c r="DA62" s="242"/>
      <c r="DB62" s="242"/>
      <c r="DC62" s="242"/>
      <c r="DD62" s="242"/>
      <c r="DE62" s="242"/>
      <c r="DF62" s="242"/>
      <c r="DG62" s="242"/>
      <c r="DH62" s="242"/>
      <c r="DI62" s="242"/>
      <c r="DJ62" s="242"/>
      <c r="DK62" s="242"/>
      <c r="DL62" s="242"/>
      <c r="DM62" s="242"/>
      <c r="DN62" s="242"/>
      <c r="DO62" s="242"/>
      <c r="DP62" s="242"/>
      <c r="DQ62" s="242"/>
      <c r="DR62" s="242"/>
      <c r="DS62" s="242"/>
      <c r="DT62" s="242"/>
      <c r="DU62" s="242"/>
      <c r="DV62" s="242"/>
      <c r="DW62" s="242"/>
      <c r="DX62" s="242"/>
      <c r="DY62" s="242"/>
      <c r="DZ62" s="242"/>
      <c r="EA62" s="242"/>
      <c r="EB62" s="242"/>
      <c r="EC62" s="242"/>
      <c r="ED62" s="242"/>
      <c r="EE62" s="242"/>
      <c r="EF62" s="242"/>
      <c r="EG62" s="242"/>
      <c r="EH62" s="242"/>
      <c r="EI62" s="242"/>
      <c r="EJ62" s="242"/>
      <c r="EK62" s="242"/>
      <c r="EL62" s="242"/>
      <c r="EM62" s="242"/>
      <c r="EN62" s="242"/>
      <c r="EO62" s="242"/>
      <c r="EP62" s="242"/>
      <c r="EQ62" s="242"/>
      <c r="ER62" s="242"/>
      <c r="ES62" s="242"/>
      <c r="ET62" s="242"/>
      <c r="EU62" s="242"/>
      <c r="EV62" s="242"/>
      <c r="EW62" s="242"/>
      <c r="EX62" s="242"/>
      <c r="EY62" s="242"/>
      <c r="EZ62" s="242"/>
      <c r="FA62" s="242"/>
      <c r="FB62" s="242"/>
      <c r="FC62" s="242"/>
      <c r="FD62" s="242"/>
      <c r="FE62" s="242"/>
      <c r="FF62" s="242"/>
      <c r="FG62" s="242"/>
      <c r="FH62" s="242"/>
      <c r="FI62" s="242"/>
      <c r="FJ62" s="242"/>
      <c r="FK62" s="242"/>
      <c r="FL62" s="242"/>
      <c r="FM62" s="242"/>
      <c r="FN62" s="242"/>
      <c r="FO62" s="242"/>
      <c r="FP62" s="242"/>
      <c r="FQ62" s="242"/>
      <c r="FR62" s="242"/>
      <c r="FS62" s="242"/>
      <c r="FT62" s="242"/>
      <c r="FU62" s="242"/>
      <c r="FV62" s="242"/>
      <c r="FW62" s="242"/>
      <c r="FX62" s="242"/>
      <c r="FY62" s="242"/>
      <c r="FZ62" s="242"/>
      <c r="GA62" s="242"/>
      <c r="GB62" s="242"/>
      <c r="GC62" s="242"/>
      <c r="GD62" s="242"/>
      <c r="GE62" s="242"/>
      <c r="GF62" s="242"/>
      <c r="GG62" s="242"/>
      <c r="GH62" s="242"/>
      <c r="GI62" s="242"/>
      <c r="GJ62" s="242"/>
      <c r="GK62" s="242"/>
      <c r="GL62" s="242"/>
      <c r="GM62" s="242"/>
      <c r="GN62" s="242"/>
      <c r="GO62" s="242"/>
      <c r="GP62" s="242"/>
      <c r="GQ62" s="242"/>
      <c r="GR62" s="242"/>
      <c r="GS62" s="242"/>
      <c r="GT62" s="242"/>
      <c r="GU62" s="242"/>
      <c r="GV62" s="242"/>
      <c r="GW62" s="242"/>
      <c r="GX62" s="242"/>
      <c r="GY62" s="242"/>
      <c r="GZ62" s="242"/>
      <c r="HA62" s="242"/>
      <c r="HB62" s="242"/>
      <c r="HC62" s="242"/>
      <c r="HD62" s="242"/>
      <c r="HE62" s="242"/>
      <c r="HF62" s="242"/>
      <c r="HG62" s="242"/>
      <c r="HH62" s="242"/>
      <c r="HI62" s="242"/>
      <c r="HJ62" s="242"/>
      <c r="HK62" s="242"/>
      <c r="HL62" s="242"/>
      <c r="HM62" s="242"/>
      <c r="HN62" s="242"/>
      <c r="HO62" s="242"/>
      <c r="HP62" s="242"/>
      <c r="HQ62" s="242"/>
      <c r="HR62" s="242"/>
      <c r="HS62" s="242"/>
      <c r="HT62" s="242"/>
      <c r="HU62" s="242"/>
      <c r="HV62" s="242"/>
      <c r="HW62" s="242"/>
      <c r="HX62" s="242"/>
      <c r="HY62" s="242"/>
      <c r="HZ62" s="242"/>
      <c r="IA62" s="242"/>
      <c r="IB62" s="242"/>
      <c r="IC62" s="242"/>
      <c r="ID62" s="242"/>
      <c r="IE62" s="242"/>
      <c r="IF62" s="242"/>
      <c r="IG62" s="242"/>
      <c r="IH62" s="242"/>
      <c r="II62" s="242"/>
      <c r="IJ62" s="242"/>
      <c r="IK62" s="242"/>
      <c r="IL62" s="242"/>
      <c r="IM62" s="242"/>
      <c r="IN62" s="242"/>
      <c r="IO62" s="242"/>
      <c r="IP62" s="242"/>
      <c r="IQ62" s="242"/>
      <c r="IR62" s="242"/>
      <c r="IS62" s="242"/>
      <c r="IT62" s="242"/>
      <c r="IU62" s="242"/>
      <c r="IV62" s="242"/>
      <c r="IW62" s="242"/>
    </row>
    <row r="63" customFormat="false" ht="12.75" hidden="false" customHeight="true" outlineLevel="0" collapsed="false">
      <c r="A63" s="248" t="s">
        <v>356</v>
      </c>
      <c r="B63" s="254" t="n">
        <f aca="false">SUM(B60:B62)</f>
        <v>3313.376925027</v>
      </c>
      <c r="C63" s="254" t="n">
        <f aca="false">C60+C61-C62</f>
        <v>2923.99501619916</v>
      </c>
      <c r="D63" s="254" t="n">
        <f aca="false">D60+D61-D62</f>
        <v>1378.06337379953</v>
      </c>
      <c r="E63" s="254" t="n">
        <f aca="false">E60+E61-E62</f>
        <v>234.515686580394</v>
      </c>
      <c r="F63" s="254" t="n">
        <f aca="false">F60+F61-F62</f>
        <v>-746.057309076941</v>
      </c>
      <c r="G63" s="254" t="n">
        <f aca="false">G60+G61-G62</f>
        <v>-1534.96990381934</v>
      </c>
      <c r="H63" s="254" t="n">
        <f aca="false">H60+H61-H62</f>
        <v>-2004.00422517131</v>
      </c>
      <c r="I63" s="254" t="n">
        <f aca="false">I60+I61-I62</f>
        <v>-2142.23723007346</v>
      </c>
      <c r="J63" s="254" t="n">
        <f aca="false">J60+J61-J62</f>
        <v>-2060.52173964773</v>
      </c>
      <c r="K63" s="254" t="n">
        <f aca="false">K60+K61-K62</f>
        <v>-1764.64065562355</v>
      </c>
      <c r="L63" s="254" t="n">
        <f aca="false">L60+L61-L62</f>
        <v>-1241.55129335079</v>
      </c>
      <c r="M63" s="254" t="n">
        <f aca="false">M60+M61-M62</f>
        <v>-477.4166686841</v>
      </c>
      <c r="N63" s="254" t="n">
        <f aca="false">N60+N61-N62</f>
        <v>542.4428748563</v>
      </c>
      <c r="O63" s="254" t="n">
        <f aca="false">O60+O61-O62</f>
        <v>1833.60098482982</v>
      </c>
      <c r="P63" s="254" t="n">
        <f aca="false">P60+P61-P62</f>
        <v>3412.57974393224</v>
      </c>
      <c r="Q63" s="254" t="n">
        <f aca="false">Q60+Q61-Q62</f>
        <v>5296.90742969551</v>
      </c>
      <c r="R63" s="254" t="n">
        <f aca="false">R60+R61-R62</f>
        <v>6400.56784077018</v>
      </c>
      <c r="AB63" s="242"/>
      <c r="AC63" s="242"/>
      <c r="AD63" s="184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42"/>
      <c r="CA63" s="242"/>
      <c r="CB63" s="242"/>
      <c r="CC63" s="242"/>
      <c r="CD63" s="242"/>
      <c r="CE63" s="242"/>
      <c r="CF63" s="242"/>
      <c r="CG63" s="242"/>
      <c r="CH63" s="242"/>
      <c r="CI63" s="242"/>
      <c r="CJ63" s="242"/>
      <c r="CK63" s="242"/>
      <c r="CL63" s="242"/>
      <c r="CM63" s="242"/>
      <c r="CN63" s="242"/>
      <c r="CO63" s="242"/>
      <c r="CP63" s="242"/>
      <c r="CQ63" s="242"/>
      <c r="CR63" s="242"/>
      <c r="CS63" s="242"/>
      <c r="CT63" s="242"/>
      <c r="CU63" s="242"/>
      <c r="CV63" s="242"/>
      <c r="CW63" s="242"/>
      <c r="CX63" s="242"/>
      <c r="CY63" s="242"/>
      <c r="CZ63" s="242"/>
      <c r="DA63" s="242"/>
      <c r="DB63" s="242"/>
      <c r="DC63" s="242"/>
      <c r="DD63" s="242"/>
      <c r="DE63" s="242"/>
      <c r="DF63" s="242"/>
      <c r="DG63" s="242"/>
      <c r="DH63" s="242"/>
      <c r="DI63" s="242"/>
      <c r="DJ63" s="242"/>
      <c r="DK63" s="242"/>
      <c r="DL63" s="242"/>
      <c r="DM63" s="242"/>
      <c r="DN63" s="242"/>
      <c r="DO63" s="242"/>
      <c r="DP63" s="242"/>
      <c r="DQ63" s="242"/>
      <c r="DR63" s="242"/>
      <c r="DS63" s="242"/>
      <c r="DT63" s="242"/>
      <c r="DU63" s="242"/>
      <c r="DV63" s="242"/>
      <c r="DW63" s="242"/>
      <c r="DX63" s="242"/>
      <c r="DY63" s="242"/>
      <c r="DZ63" s="242"/>
      <c r="EA63" s="242"/>
      <c r="EB63" s="242"/>
      <c r="EC63" s="242"/>
      <c r="ED63" s="242"/>
      <c r="EE63" s="242"/>
      <c r="EF63" s="242"/>
      <c r="EG63" s="242"/>
      <c r="EH63" s="242"/>
      <c r="EI63" s="242"/>
      <c r="EJ63" s="242"/>
      <c r="EK63" s="242"/>
      <c r="EL63" s="242"/>
      <c r="EM63" s="242"/>
      <c r="EN63" s="242"/>
      <c r="EO63" s="242"/>
      <c r="EP63" s="242"/>
      <c r="EQ63" s="242"/>
      <c r="ER63" s="242"/>
      <c r="ES63" s="242"/>
      <c r="ET63" s="242"/>
      <c r="EU63" s="242"/>
      <c r="EV63" s="242"/>
      <c r="EW63" s="242"/>
      <c r="EX63" s="242"/>
      <c r="EY63" s="242"/>
      <c r="EZ63" s="242"/>
      <c r="FA63" s="242"/>
      <c r="FB63" s="242"/>
      <c r="FC63" s="242"/>
      <c r="FD63" s="242"/>
      <c r="FE63" s="242"/>
      <c r="FF63" s="242"/>
      <c r="FG63" s="242"/>
      <c r="FH63" s="242"/>
      <c r="FI63" s="242"/>
      <c r="FJ63" s="242"/>
      <c r="FK63" s="242"/>
      <c r="FL63" s="242"/>
      <c r="FM63" s="242"/>
      <c r="FN63" s="242"/>
      <c r="FO63" s="242"/>
      <c r="FP63" s="242"/>
      <c r="FQ63" s="242"/>
      <c r="FR63" s="242"/>
      <c r="FS63" s="242"/>
      <c r="FT63" s="242"/>
      <c r="FU63" s="242"/>
      <c r="FV63" s="242"/>
      <c r="FW63" s="242"/>
      <c r="FX63" s="242"/>
      <c r="FY63" s="242"/>
      <c r="FZ63" s="242"/>
      <c r="GA63" s="242"/>
      <c r="GB63" s="242"/>
      <c r="GC63" s="242"/>
      <c r="GD63" s="242"/>
      <c r="GE63" s="242"/>
      <c r="GF63" s="242"/>
      <c r="GG63" s="242"/>
      <c r="GH63" s="242"/>
      <c r="GI63" s="242"/>
      <c r="GJ63" s="242"/>
      <c r="GK63" s="242"/>
      <c r="GL63" s="242"/>
      <c r="GM63" s="242"/>
      <c r="GN63" s="242"/>
      <c r="GO63" s="242"/>
      <c r="GP63" s="242"/>
      <c r="GQ63" s="242"/>
      <c r="GR63" s="242"/>
      <c r="GS63" s="242"/>
      <c r="GT63" s="242"/>
      <c r="GU63" s="242"/>
      <c r="GV63" s="242"/>
      <c r="GW63" s="242"/>
      <c r="GX63" s="242"/>
      <c r="GY63" s="242"/>
      <c r="GZ63" s="242"/>
      <c r="HA63" s="242"/>
      <c r="HB63" s="242"/>
      <c r="HC63" s="242"/>
      <c r="HD63" s="242"/>
      <c r="HE63" s="242"/>
      <c r="HF63" s="242"/>
      <c r="HG63" s="242"/>
      <c r="HH63" s="242"/>
      <c r="HI63" s="242"/>
      <c r="HJ63" s="242"/>
      <c r="HK63" s="242"/>
      <c r="HL63" s="242"/>
      <c r="HM63" s="242"/>
      <c r="HN63" s="242"/>
      <c r="HO63" s="242"/>
      <c r="HP63" s="242"/>
      <c r="HQ63" s="242"/>
      <c r="HR63" s="242"/>
      <c r="HS63" s="242"/>
      <c r="HT63" s="242"/>
      <c r="HU63" s="242"/>
      <c r="HV63" s="242"/>
      <c r="HW63" s="242"/>
      <c r="HX63" s="242"/>
      <c r="HY63" s="242"/>
      <c r="HZ63" s="242"/>
      <c r="IA63" s="242"/>
      <c r="IB63" s="242"/>
      <c r="IC63" s="242"/>
      <c r="ID63" s="242"/>
      <c r="IE63" s="242"/>
      <c r="IF63" s="242"/>
      <c r="IG63" s="242"/>
      <c r="IH63" s="242"/>
      <c r="II63" s="242"/>
      <c r="IJ63" s="242"/>
      <c r="IK63" s="242"/>
      <c r="IL63" s="242"/>
      <c r="IM63" s="242"/>
      <c r="IN63" s="242"/>
      <c r="IO63" s="242"/>
      <c r="IP63" s="242"/>
      <c r="IQ63" s="242"/>
      <c r="IR63" s="242"/>
      <c r="IS63" s="242"/>
      <c r="IT63" s="242"/>
      <c r="IU63" s="242"/>
      <c r="IV63" s="242"/>
      <c r="IW63" s="242"/>
    </row>
    <row r="64" customFormat="false" ht="12.75" hidden="false" customHeight="true" outlineLevel="0" collapsed="false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4"/>
      <c r="BR64" s="184"/>
      <c r="BS64" s="184"/>
      <c r="BT64" s="184"/>
      <c r="BU64" s="184"/>
      <c r="BV64" s="184"/>
      <c r="BW64" s="184"/>
      <c r="BX64" s="184"/>
      <c r="BY64" s="184"/>
      <c r="BZ64" s="184"/>
      <c r="CA64" s="184"/>
      <c r="CB64" s="184"/>
      <c r="CC64" s="184"/>
      <c r="CD64" s="184"/>
      <c r="CE64" s="184"/>
      <c r="CF64" s="184"/>
      <c r="CG64" s="184"/>
      <c r="CH64" s="184"/>
      <c r="CI64" s="184"/>
      <c r="CJ64" s="184"/>
      <c r="CK64" s="184"/>
      <c r="CL64" s="184"/>
      <c r="CM64" s="184"/>
      <c r="CN64" s="184"/>
      <c r="CO64" s="184"/>
      <c r="CP64" s="184"/>
      <c r="CQ64" s="184"/>
      <c r="CR64" s="184"/>
      <c r="CS64" s="184"/>
      <c r="CT64" s="184"/>
      <c r="CU64" s="184"/>
      <c r="CV64" s="184"/>
      <c r="CW64" s="184"/>
      <c r="CX64" s="184"/>
      <c r="CY64" s="184"/>
      <c r="CZ64" s="184"/>
      <c r="DA64" s="184"/>
      <c r="DB64" s="184"/>
      <c r="DC64" s="184"/>
      <c r="DD64" s="184"/>
      <c r="DE64" s="184"/>
      <c r="DF64" s="184"/>
      <c r="DG64" s="184"/>
      <c r="DH64" s="184"/>
      <c r="DI64" s="184"/>
      <c r="DJ64" s="184"/>
      <c r="DK64" s="184"/>
      <c r="DL64" s="184"/>
      <c r="DM64" s="184"/>
      <c r="DN64" s="184"/>
      <c r="DO64" s="184"/>
      <c r="DP64" s="184"/>
      <c r="DQ64" s="184"/>
      <c r="DR64" s="184"/>
      <c r="DS64" s="184"/>
      <c r="DT64" s="184"/>
      <c r="DU64" s="184"/>
      <c r="DV64" s="184"/>
      <c r="DW64" s="184"/>
      <c r="DX64" s="184"/>
      <c r="DY64" s="184"/>
      <c r="DZ64" s="184"/>
      <c r="EA64" s="184"/>
      <c r="EB64" s="184"/>
      <c r="EC64" s="184"/>
      <c r="ED64" s="184"/>
      <c r="EE64" s="184"/>
      <c r="EF64" s="184"/>
      <c r="EG64" s="184"/>
      <c r="EH64" s="184"/>
      <c r="EI64" s="184"/>
      <c r="EJ64" s="184"/>
      <c r="EK64" s="184"/>
      <c r="EL64" s="184"/>
      <c r="EM64" s="184"/>
      <c r="EN64" s="184"/>
      <c r="EO64" s="184"/>
      <c r="EP64" s="184"/>
      <c r="EQ64" s="184"/>
      <c r="ER64" s="184"/>
      <c r="ES64" s="184"/>
      <c r="ET64" s="184"/>
      <c r="EU64" s="184"/>
      <c r="EV64" s="184"/>
      <c r="EW64" s="184"/>
      <c r="EX64" s="184"/>
      <c r="EY64" s="184"/>
      <c r="EZ64" s="184"/>
      <c r="FA64" s="184"/>
      <c r="FB64" s="184"/>
      <c r="FC64" s="184"/>
      <c r="FD64" s="184"/>
      <c r="FE64" s="184"/>
      <c r="FF64" s="184"/>
      <c r="FG64" s="184"/>
      <c r="FH64" s="184"/>
      <c r="FI64" s="184"/>
      <c r="FJ64" s="184"/>
      <c r="FK64" s="184"/>
      <c r="FL64" s="184"/>
      <c r="FM64" s="184"/>
      <c r="FN64" s="184"/>
      <c r="FO64" s="184"/>
      <c r="FP64" s="184"/>
      <c r="FQ64" s="184"/>
      <c r="FR64" s="184"/>
      <c r="FS64" s="184"/>
      <c r="FT64" s="184"/>
      <c r="FU64" s="184"/>
      <c r="FV64" s="184"/>
      <c r="FW64" s="184"/>
      <c r="FX64" s="184"/>
      <c r="FY64" s="184"/>
      <c r="FZ64" s="184"/>
      <c r="GA64" s="184"/>
      <c r="GB64" s="184"/>
      <c r="GC64" s="184"/>
      <c r="GD64" s="184"/>
      <c r="GE64" s="184"/>
      <c r="GF64" s="184"/>
      <c r="GG64" s="184"/>
      <c r="GH64" s="184"/>
      <c r="GI64" s="184"/>
      <c r="GJ64" s="184"/>
      <c r="GK64" s="184"/>
      <c r="GL64" s="184"/>
      <c r="GM64" s="184"/>
      <c r="GN64" s="184"/>
      <c r="GO64" s="184"/>
      <c r="GP64" s="184"/>
      <c r="GQ64" s="184"/>
      <c r="GR64" s="184"/>
      <c r="GS64" s="184"/>
      <c r="GT64" s="184"/>
      <c r="GU64" s="184"/>
      <c r="GV64" s="184"/>
      <c r="GW64" s="184"/>
      <c r="GX64" s="184"/>
      <c r="GY64" s="184"/>
      <c r="GZ64" s="184"/>
      <c r="HA64" s="184"/>
      <c r="HB64" s="184"/>
      <c r="HC64" s="184"/>
      <c r="HD64" s="184"/>
      <c r="HE64" s="184"/>
      <c r="HF64" s="184"/>
      <c r="HG64" s="184"/>
      <c r="HH64" s="184"/>
      <c r="HI64" s="184"/>
      <c r="HJ64" s="184"/>
      <c r="HK64" s="184"/>
      <c r="HL64" s="184"/>
      <c r="HM64" s="184"/>
      <c r="HN64" s="184"/>
      <c r="HO64" s="184"/>
      <c r="HP64" s="184"/>
      <c r="HQ64" s="184"/>
      <c r="HR64" s="184"/>
      <c r="HS64" s="184"/>
      <c r="HT64" s="184"/>
      <c r="HU64" s="184"/>
      <c r="HV64" s="184"/>
      <c r="HW64" s="184"/>
      <c r="HX64" s="184"/>
      <c r="HY64" s="184"/>
      <c r="HZ64" s="184"/>
      <c r="IA64" s="184"/>
      <c r="IB64" s="184"/>
      <c r="IC64" s="184"/>
      <c r="ID64" s="184"/>
      <c r="IE64" s="184"/>
      <c r="IF64" s="184"/>
      <c r="IG64" s="184"/>
      <c r="IH64" s="184"/>
      <c r="II64" s="184"/>
      <c r="IJ64" s="184"/>
      <c r="IK64" s="184"/>
      <c r="IL64" s="184"/>
      <c r="IM64" s="184"/>
      <c r="IN64" s="184"/>
      <c r="IO64" s="184"/>
      <c r="IP64" s="184"/>
      <c r="IQ64" s="184"/>
      <c r="IR64" s="184"/>
      <c r="IS64" s="184"/>
      <c r="IT64" s="184"/>
      <c r="IU64" s="184"/>
      <c r="IV64" s="184"/>
      <c r="IW64" s="184"/>
    </row>
    <row r="65" customFormat="false" ht="12.75" hidden="false" customHeight="true" outlineLevel="0" collapsed="false">
      <c r="A65" s="168" t="s">
        <v>358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4"/>
      <c r="BR65" s="184"/>
      <c r="BS65" s="184"/>
      <c r="BT65" s="184"/>
      <c r="BU65" s="184"/>
      <c r="BV65" s="184"/>
      <c r="BW65" s="184"/>
      <c r="BX65" s="184"/>
      <c r="BY65" s="184"/>
      <c r="BZ65" s="184"/>
      <c r="CA65" s="184"/>
      <c r="CB65" s="184"/>
      <c r="CC65" s="184"/>
      <c r="CD65" s="184"/>
      <c r="CE65" s="184"/>
      <c r="CF65" s="184"/>
      <c r="CG65" s="184"/>
      <c r="CH65" s="184"/>
      <c r="CI65" s="184"/>
      <c r="CJ65" s="184"/>
      <c r="CK65" s="184"/>
      <c r="CL65" s="184"/>
      <c r="CM65" s="184"/>
      <c r="CN65" s="184"/>
      <c r="CO65" s="184"/>
      <c r="CP65" s="184"/>
      <c r="CQ65" s="184"/>
      <c r="CR65" s="184"/>
      <c r="CS65" s="184"/>
      <c r="CT65" s="184"/>
      <c r="CU65" s="184"/>
      <c r="CV65" s="184"/>
      <c r="CW65" s="184"/>
      <c r="CX65" s="184"/>
      <c r="CY65" s="184"/>
      <c r="CZ65" s="184"/>
      <c r="DA65" s="184"/>
      <c r="DB65" s="184"/>
      <c r="DC65" s="184"/>
      <c r="DD65" s="184"/>
      <c r="DE65" s="184"/>
      <c r="DF65" s="184"/>
      <c r="DG65" s="184"/>
      <c r="DH65" s="184"/>
      <c r="DI65" s="184"/>
      <c r="DJ65" s="184"/>
      <c r="DK65" s="184"/>
      <c r="DL65" s="184"/>
      <c r="DM65" s="184"/>
      <c r="DN65" s="184"/>
      <c r="DO65" s="184"/>
      <c r="DP65" s="184"/>
      <c r="DQ65" s="184"/>
      <c r="DR65" s="184"/>
      <c r="DS65" s="184"/>
      <c r="DT65" s="184"/>
      <c r="DU65" s="184"/>
      <c r="DV65" s="184"/>
      <c r="DW65" s="184"/>
      <c r="DX65" s="184"/>
      <c r="DY65" s="184"/>
      <c r="DZ65" s="184"/>
      <c r="EA65" s="184"/>
      <c r="EB65" s="184"/>
      <c r="EC65" s="184"/>
      <c r="ED65" s="184"/>
      <c r="EE65" s="184"/>
      <c r="EF65" s="184"/>
      <c r="EG65" s="184"/>
      <c r="EH65" s="184"/>
      <c r="EI65" s="184"/>
      <c r="EJ65" s="184"/>
      <c r="EK65" s="184"/>
      <c r="EL65" s="184"/>
      <c r="EM65" s="184"/>
      <c r="EN65" s="184"/>
      <c r="EO65" s="184"/>
      <c r="EP65" s="184"/>
      <c r="EQ65" s="184"/>
      <c r="ER65" s="184"/>
      <c r="ES65" s="184"/>
      <c r="ET65" s="184"/>
      <c r="EU65" s="184"/>
      <c r="EV65" s="184"/>
      <c r="EW65" s="184"/>
      <c r="EX65" s="184"/>
      <c r="EY65" s="184"/>
      <c r="EZ65" s="184"/>
      <c r="FA65" s="184"/>
      <c r="FB65" s="184"/>
      <c r="FC65" s="184"/>
      <c r="FD65" s="184"/>
      <c r="FE65" s="184"/>
      <c r="FF65" s="184"/>
      <c r="FG65" s="184"/>
      <c r="FH65" s="184"/>
      <c r="FI65" s="184"/>
      <c r="FJ65" s="184"/>
      <c r="FK65" s="184"/>
      <c r="FL65" s="184"/>
      <c r="FM65" s="184"/>
      <c r="FN65" s="184"/>
      <c r="FO65" s="184"/>
      <c r="FP65" s="184"/>
      <c r="FQ65" s="184"/>
      <c r="FR65" s="184"/>
      <c r="FS65" s="184"/>
      <c r="FT65" s="184"/>
      <c r="FU65" s="184"/>
      <c r="FV65" s="184"/>
      <c r="FW65" s="184"/>
      <c r="FX65" s="184"/>
      <c r="FY65" s="184"/>
      <c r="FZ65" s="184"/>
      <c r="GA65" s="184"/>
      <c r="GB65" s="184"/>
      <c r="GC65" s="184"/>
      <c r="GD65" s="184"/>
      <c r="GE65" s="184"/>
      <c r="GF65" s="184"/>
      <c r="GG65" s="184"/>
      <c r="GH65" s="184"/>
      <c r="GI65" s="184"/>
      <c r="GJ65" s="184"/>
      <c r="GK65" s="184"/>
      <c r="GL65" s="184"/>
      <c r="GM65" s="184"/>
      <c r="GN65" s="184"/>
      <c r="GO65" s="184"/>
      <c r="GP65" s="184"/>
      <c r="GQ65" s="184"/>
      <c r="GR65" s="184"/>
      <c r="GS65" s="184"/>
      <c r="GT65" s="184"/>
      <c r="GU65" s="184"/>
      <c r="GV65" s="184"/>
      <c r="GW65" s="184"/>
      <c r="GX65" s="184"/>
      <c r="GY65" s="184"/>
      <c r="GZ65" s="184"/>
      <c r="HA65" s="184"/>
      <c r="HB65" s="184"/>
      <c r="HC65" s="184"/>
      <c r="HD65" s="184"/>
      <c r="HE65" s="184"/>
      <c r="HF65" s="184"/>
      <c r="HG65" s="184"/>
      <c r="HH65" s="184"/>
      <c r="HI65" s="184"/>
      <c r="HJ65" s="184"/>
      <c r="HK65" s="184"/>
      <c r="HL65" s="184"/>
      <c r="HM65" s="184"/>
      <c r="HN65" s="184"/>
      <c r="HO65" s="184"/>
      <c r="HP65" s="184"/>
      <c r="HQ65" s="184"/>
      <c r="HR65" s="184"/>
      <c r="HS65" s="184"/>
      <c r="HT65" s="184"/>
      <c r="HU65" s="184"/>
      <c r="HV65" s="184"/>
      <c r="HW65" s="184"/>
      <c r="HX65" s="184"/>
      <c r="HY65" s="184"/>
      <c r="HZ65" s="184"/>
      <c r="IA65" s="184"/>
      <c r="IB65" s="184"/>
      <c r="IC65" s="184"/>
      <c r="ID65" s="184"/>
      <c r="IE65" s="184"/>
      <c r="IF65" s="184"/>
      <c r="IG65" s="184"/>
      <c r="IH65" s="184"/>
      <c r="II65" s="184"/>
      <c r="IJ65" s="184"/>
      <c r="IK65" s="184"/>
      <c r="IL65" s="184"/>
      <c r="IM65" s="184"/>
      <c r="IN65" s="184"/>
      <c r="IO65" s="184"/>
      <c r="IP65" s="184"/>
      <c r="IQ65" s="184"/>
      <c r="IR65" s="184"/>
      <c r="IS65" s="184"/>
      <c r="IT65" s="184"/>
      <c r="IU65" s="184"/>
      <c r="IV65" s="184"/>
      <c r="IW65" s="184"/>
    </row>
    <row r="66" customFormat="false" ht="12.75" hidden="false" customHeight="true" outlineLevel="0" collapsed="false">
      <c r="A66" s="248" t="str">
        <f aca="false">'Project Assumptions'!K10</f>
        <v>Fixed Maintenance</v>
      </c>
      <c r="B66" s="242"/>
      <c r="C66" s="254" t="n">
        <f aca="false">Fixed*C5/12</f>
        <v>222.22729375</v>
      </c>
      <c r="D66" s="254" t="n">
        <f aca="false">IF(D$3&lt;='Project Assumptions'!$I$15,C66*12/C$5*(1+'Project Assumptions'!$N$19),C66*D$5/12*(1+'Project Assumptions'!$N$19))</f>
        <v>430.04934</v>
      </c>
      <c r="E66" s="254" t="n">
        <f aca="false">IF(E$3&lt;='Project Assumptions'!$I$15,D66*12/D$5*(1+'Project Assumptions'!$N$19),D66*E$5/12*(1+'Project Assumptions'!$N$19))</f>
        <v>438.6503268</v>
      </c>
      <c r="F66" s="254" t="n">
        <f aca="false">IF(F$3&lt;='Project Assumptions'!$I$15,E66*12/E$5*(1+'Project Assumptions'!$N$19),E66*F$5/12*(1+'Project Assumptions'!$N$19))</f>
        <v>447.423333336</v>
      </c>
      <c r="G66" s="254" t="n">
        <f aca="false">IF(G$3&lt;='Project Assumptions'!$I$15,F66*12/F$5*(1+'Project Assumptions'!$N$19),F66*G$5/12*(1+'Project Assumptions'!$N$19))</f>
        <v>456.37180000272</v>
      </c>
      <c r="H66" s="254" t="n">
        <f aca="false">IF(H$3&lt;='Project Assumptions'!$I$15,G66*12/G$5*(1+'Project Assumptions'!$N$19),G66*H$5/12*(1+'Project Assumptions'!$N$19))</f>
        <v>465.499236002774</v>
      </c>
      <c r="I66" s="254" t="n">
        <f aca="false">IF(I$3&lt;='Project Assumptions'!$I$15,H66*12/H$5*(1+'Project Assumptions'!$N$19),H66*I$5/12*(1+'Project Assumptions'!$N$19))</f>
        <v>474.80922072283</v>
      </c>
      <c r="J66" s="254" t="n">
        <f aca="false">IF(J$3&lt;='Project Assumptions'!$I$15,I66*12/I$5*(1+'Project Assumptions'!$N$19),I66*J$5/12*(1+'Project Assumptions'!$N$19))</f>
        <v>484.305405137286</v>
      </c>
      <c r="K66" s="254" t="n">
        <f aca="false">IF(K$3&lt;='Project Assumptions'!$I$15,J66*12/J$5*(1+'Project Assumptions'!$N$19),J66*K$5/12*(1+'Project Assumptions'!$N$19))</f>
        <v>493.991513240032</v>
      </c>
      <c r="L66" s="254" t="n">
        <f aca="false">IF(L$3&lt;='Project Assumptions'!$I$15,K66*12/K$5*(1+'Project Assumptions'!$N$19),K66*L$5/12*(1+'Project Assumptions'!$N$19))</f>
        <v>503.871343504833</v>
      </c>
      <c r="M66" s="254" t="n">
        <f aca="false">IF(M$3&lt;='Project Assumptions'!$I$15,L66*12/L$5*(1+'Project Assumptions'!$N$19),L66*M$5/12*(1+'Project Assumptions'!$N$19))</f>
        <v>513.94877037493</v>
      </c>
      <c r="N66" s="254" t="n">
        <f aca="false">IF(N$3&lt;='Project Assumptions'!$I$15,M66*12/M$5*(1+'Project Assumptions'!$N$19),M66*N$5/12*(1+'Project Assumptions'!$N$19))</f>
        <v>524.227745782428</v>
      </c>
      <c r="O66" s="254" t="n">
        <f aca="false">IF(O$3&lt;='Project Assumptions'!$I$15,N66*12/N$5*(1+'Project Assumptions'!$N$19),N66*O$5/12*(1+'Project Assumptions'!$N$19))</f>
        <v>534.712300698077</v>
      </c>
      <c r="P66" s="254" t="n">
        <f aca="false">IF(P$3&lt;='Project Assumptions'!$I$15,O66*12/O$5*(1+'Project Assumptions'!$N$19),O66*P$5/12*(1+'Project Assumptions'!$N$19))</f>
        <v>545.406546712038</v>
      </c>
      <c r="Q66" s="254" t="n">
        <f aca="false">IF(Q$3&lt;='Project Assumptions'!$I$15,P66*12/P$5*(1+'Project Assumptions'!$N$19),P66*Q$5/12*(1+'Project Assumptions'!$N$19))</f>
        <v>556.314677646279</v>
      </c>
      <c r="R66" s="254" t="n">
        <f aca="false">IF(R$3&lt;='Project Assumptions'!$I$15,Q66*12/Q$5*(1+'Project Assumptions'!$N$19),Q66*R$5/12*(1+'Project Assumptions'!$N$19))</f>
        <v>378.29398079947</v>
      </c>
      <c r="AB66" s="242"/>
      <c r="AC66" s="242"/>
      <c r="AD66" s="184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2"/>
      <c r="BC66" s="242"/>
      <c r="BD66" s="242"/>
      <c r="BE66" s="242"/>
      <c r="BF66" s="242"/>
      <c r="BG66" s="242"/>
      <c r="BH66" s="242"/>
      <c r="BI66" s="242"/>
      <c r="BJ66" s="242"/>
      <c r="BK66" s="242"/>
      <c r="BL66" s="242"/>
      <c r="BM66" s="242"/>
      <c r="BN66" s="242"/>
      <c r="BO66" s="242"/>
      <c r="BP66" s="242"/>
      <c r="BQ66" s="242"/>
      <c r="BR66" s="242"/>
      <c r="BS66" s="242"/>
      <c r="BT66" s="242"/>
      <c r="BU66" s="242"/>
      <c r="BV66" s="242"/>
      <c r="BW66" s="242"/>
      <c r="BX66" s="242"/>
      <c r="BY66" s="242"/>
      <c r="BZ66" s="242"/>
      <c r="CA66" s="242"/>
      <c r="CB66" s="242"/>
      <c r="CC66" s="242"/>
      <c r="CD66" s="242"/>
      <c r="CE66" s="242"/>
      <c r="CF66" s="242"/>
      <c r="CG66" s="242"/>
      <c r="CH66" s="242"/>
      <c r="CI66" s="242"/>
      <c r="CJ66" s="242"/>
      <c r="CK66" s="242"/>
      <c r="CL66" s="242"/>
      <c r="CM66" s="242"/>
      <c r="CN66" s="242"/>
      <c r="CO66" s="242"/>
      <c r="CP66" s="242"/>
      <c r="CQ66" s="242"/>
      <c r="CR66" s="242"/>
      <c r="CS66" s="242"/>
      <c r="CT66" s="242"/>
      <c r="CU66" s="242"/>
      <c r="CV66" s="242"/>
      <c r="CW66" s="242"/>
      <c r="CX66" s="242"/>
      <c r="CY66" s="242"/>
      <c r="CZ66" s="242"/>
      <c r="DA66" s="242"/>
      <c r="DB66" s="242"/>
      <c r="DC66" s="242"/>
      <c r="DD66" s="242"/>
      <c r="DE66" s="242"/>
      <c r="DF66" s="242"/>
      <c r="DG66" s="242"/>
      <c r="DH66" s="242"/>
      <c r="DI66" s="242"/>
      <c r="DJ66" s="242"/>
      <c r="DK66" s="242"/>
      <c r="DL66" s="242"/>
      <c r="DM66" s="242"/>
      <c r="DN66" s="242"/>
      <c r="DO66" s="242"/>
      <c r="DP66" s="242"/>
      <c r="DQ66" s="242"/>
      <c r="DR66" s="242"/>
      <c r="DS66" s="242"/>
      <c r="DT66" s="242"/>
      <c r="DU66" s="242"/>
      <c r="DV66" s="242"/>
      <c r="DW66" s="242"/>
      <c r="DX66" s="242"/>
      <c r="DY66" s="242"/>
      <c r="DZ66" s="242"/>
      <c r="EA66" s="242"/>
      <c r="EB66" s="242"/>
      <c r="EC66" s="242"/>
      <c r="ED66" s="242"/>
      <c r="EE66" s="242"/>
      <c r="EF66" s="242"/>
      <c r="EG66" s="242"/>
      <c r="EH66" s="242"/>
      <c r="EI66" s="242"/>
      <c r="EJ66" s="242"/>
      <c r="EK66" s="242"/>
      <c r="EL66" s="242"/>
      <c r="EM66" s="242"/>
      <c r="EN66" s="242"/>
      <c r="EO66" s="242"/>
      <c r="EP66" s="242"/>
      <c r="EQ66" s="242"/>
      <c r="ER66" s="242"/>
      <c r="ES66" s="242"/>
      <c r="ET66" s="242"/>
      <c r="EU66" s="242"/>
      <c r="EV66" s="242"/>
      <c r="EW66" s="242"/>
      <c r="EX66" s="242"/>
      <c r="EY66" s="242"/>
      <c r="EZ66" s="242"/>
      <c r="FA66" s="242"/>
      <c r="FB66" s="242"/>
      <c r="FC66" s="242"/>
      <c r="FD66" s="242"/>
      <c r="FE66" s="242"/>
      <c r="FF66" s="242"/>
      <c r="FG66" s="242"/>
      <c r="FH66" s="242"/>
      <c r="FI66" s="242"/>
      <c r="FJ66" s="242"/>
      <c r="FK66" s="242"/>
      <c r="FL66" s="242"/>
      <c r="FM66" s="242"/>
      <c r="FN66" s="242"/>
      <c r="FO66" s="242"/>
      <c r="FP66" s="242"/>
      <c r="FQ66" s="242"/>
      <c r="FR66" s="242"/>
      <c r="FS66" s="242"/>
      <c r="FT66" s="242"/>
      <c r="FU66" s="242"/>
      <c r="FV66" s="242"/>
      <c r="FW66" s="242"/>
      <c r="FX66" s="242"/>
      <c r="FY66" s="242"/>
      <c r="FZ66" s="242"/>
      <c r="GA66" s="242"/>
      <c r="GB66" s="242"/>
      <c r="GC66" s="242"/>
      <c r="GD66" s="242"/>
      <c r="GE66" s="242"/>
      <c r="GF66" s="242"/>
      <c r="GG66" s="242"/>
      <c r="GH66" s="242"/>
      <c r="GI66" s="242"/>
      <c r="GJ66" s="242"/>
      <c r="GK66" s="242"/>
      <c r="GL66" s="242"/>
      <c r="GM66" s="242"/>
      <c r="GN66" s="242"/>
      <c r="GO66" s="242"/>
      <c r="GP66" s="242"/>
      <c r="GQ66" s="242"/>
      <c r="GR66" s="242"/>
      <c r="GS66" s="242"/>
      <c r="GT66" s="242"/>
      <c r="GU66" s="242"/>
      <c r="GV66" s="242"/>
      <c r="GW66" s="242"/>
      <c r="GX66" s="242"/>
      <c r="GY66" s="242"/>
      <c r="GZ66" s="242"/>
      <c r="HA66" s="242"/>
      <c r="HB66" s="242"/>
      <c r="HC66" s="242"/>
      <c r="HD66" s="242"/>
      <c r="HE66" s="242"/>
      <c r="HF66" s="242"/>
      <c r="HG66" s="242"/>
      <c r="HH66" s="242"/>
      <c r="HI66" s="242"/>
      <c r="HJ66" s="242"/>
      <c r="HK66" s="242"/>
      <c r="HL66" s="242"/>
      <c r="HM66" s="242"/>
      <c r="HN66" s="242"/>
      <c r="HO66" s="242"/>
      <c r="HP66" s="242"/>
      <c r="HQ66" s="242"/>
      <c r="HR66" s="242"/>
      <c r="HS66" s="242"/>
      <c r="HT66" s="242"/>
      <c r="HU66" s="242"/>
      <c r="HV66" s="242"/>
      <c r="HW66" s="242"/>
      <c r="HX66" s="242"/>
      <c r="HY66" s="242"/>
      <c r="HZ66" s="242"/>
      <c r="IA66" s="242"/>
      <c r="IB66" s="242"/>
      <c r="IC66" s="242"/>
      <c r="ID66" s="242"/>
      <c r="IE66" s="242"/>
      <c r="IF66" s="242"/>
      <c r="IG66" s="242"/>
      <c r="IH66" s="242"/>
      <c r="II66" s="242"/>
      <c r="IJ66" s="242"/>
      <c r="IK66" s="242"/>
      <c r="IL66" s="242"/>
      <c r="IM66" s="242"/>
      <c r="IN66" s="242"/>
      <c r="IO66" s="242"/>
      <c r="IP66" s="242"/>
      <c r="IQ66" s="242"/>
      <c r="IR66" s="242"/>
      <c r="IS66" s="242"/>
      <c r="IT66" s="242"/>
      <c r="IU66" s="242"/>
      <c r="IV66" s="242"/>
      <c r="IW66" s="242"/>
    </row>
    <row r="67" customFormat="false" ht="12.75" hidden="false" customHeight="true" outlineLevel="0" collapsed="false">
      <c r="A67" s="248" t="str">
        <f aca="false">'Project Assumptions'!K11</f>
        <v>Labor</v>
      </c>
      <c r="B67" s="242"/>
      <c r="C67" s="254" t="n">
        <f aca="false">Labor*C5/12</f>
        <v>388.27815125</v>
      </c>
      <c r="D67" s="254" t="n">
        <f aca="false">IF(D$3&lt;='Project Assumptions'!$I$15,C67*12/C$5*(1+'Project Assumptions'!$N$19),C67*D$5/12*(1+'Project Assumptions'!$N$19))</f>
        <v>751.387284</v>
      </c>
      <c r="E67" s="254" t="n">
        <f aca="false">IF(E$3&lt;='Project Assumptions'!$I$15,D67*12/D$5*(1+'Project Assumptions'!$N$19),D67*E$5/12*(1+'Project Assumptions'!$N$19))</f>
        <v>766.41502968</v>
      </c>
      <c r="F67" s="254" t="n">
        <f aca="false">IF(F$3&lt;='Project Assumptions'!$I$15,E67*12/E$5*(1+'Project Assumptions'!$N$19),E67*F$5/12*(1+'Project Assumptions'!$N$19))</f>
        <v>781.7433302736</v>
      </c>
      <c r="G67" s="254" t="n">
        <f aca="false">IF(G$3&lt;='Project Assumptions'!$I$15,F67*12/F$5*(1+'Project Assumptions'!$N$19),F67*G$5/12*(1+'Project Assumptions'!$N$19))</f>
        <v>797.378196879072</v>
      </c>
      <c r="H67" s="254" t="n">
        <f aca="false">IF(H$3&lt;='Project Assumptions'!$I$15,G67*12/G$5*(1+'Project Assumptions'!$N$19),G67*H$5/12*(1+'Project Assumptions'!$N$19))</f>
        <v>813.325760816654</v>
      </c>
      <c r="I67" s="254" t="n">
        <f aca="false">IF(I$3&lt;='Project Assumptions'!$I$15,H67*12/H$5*(1+'Project Assumptions'!$N$19),H67*I$5/12*(1+'Project Assumptions'!$N$19))</f>
        <v>829.592276032987</v>
      </c>
      <c r="J67" s="254" t="n">
        <f aca="false">IF(J$3&lt;='Project Assumptions'!$I$15,I67*12/I$5*(1+'Project Assumptions'!$N$19),I67*J$5/12*(1+'Project Assumptions'!$N$19))</f>
        <v>846.184121553647</v>
      </c>
      <c r="K67" s="254" t="n">
        <f aca="false">IF(K$3&lt;='Project Assumptions'!$I$15,J67*12/J$5*(1+'Project Assumptions'!$N$19),J67*K$5/12*(1+'Project Assumptions'!$N$19))</f>
        <v>863.10780398472</v>
      </c>
      <c r="L67" s="254" t="n">
        <f aca="false">IF(L$3&lt;='Project Assumptions'!$I$15,K67*12/K$5*(1+'Project Assumptions'!$N$19),K67*L$5/12*(1+'Project Assumptions'!$N$19))</f>
        <v>880.369960064414</v>
      </c>
      <c r="M67" s="254" t="n">
        <f aca="false">IF(M$3&lt;='Project Assumptions'!$I$15,L67*12/L$5*(1+'Project Assumptions'!$N$19),L67*M$5/12*(1+'Project Assumptions'!$N$19))</f>
        <v>897.977359265702</v>
      </c>
      <c r="N67" s="254" t="n">
        <f aca="false">IF(N$3&lt;='Project Assumptions'!$I$15,M67*12/M$5*(1+'Project Assumptions'!$N$19),M67*N$5/12*(1+'Project Assumptions'!$N$19))</f>
        <v>915.936906451016</v>
      </c>
      <c r="O67" s="254" t="n">
        <f aca="false">IF(O$3&lt;='Project Assumptions'!$I$15,N67*12/N$5*(1+'Project Assumptions'!$N$19),N67*O$5/12*(1+'Project Assumptions'!$N$19))</f>
        <v>934.255644580036</v>
      </c>
      <c r="P67" s="254" t="n">
        <f aca="false">IF(P$3&lt;='Project Assumptions'!$I$15,O67*12/O$5*(1+'Project Assumptions'!$N$19),O67*P$5/12*(1+'Project Assumptions'!$N$19))</f>
        <v>952.940757471637</v>
      </c>
      <c r="Q67" s="254" t="n">
        <f aca="false">IF(Q$3&lt;='Project Assumptions'!$I$15,P67*12/P$5*(1+'Project Assumptions'!$N$19),P67*Q$5/12*(1+'Project Assumptions'!$N$19))</f>
        <v>971.99957262107</v>
      </c>
      <c r="R67" s="254" t="n">
        <f aca="false">IF(R$3&lt;='Project Assumptions'!$I$15,Q67*12/Q$5*(1+'Project Assumptions'!$N$19),Q67*R$5/12*(1+'Project Assumptions'!$N$19))</f>
        <v>660.959709382328</v>
      </c>
      <c r="AB67" s="242"/>
      <c r="AC67" s="242"/>
      <c r="AD67" s="184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242"/>
      <c r="BC67" s="242"/>
      <c r="BD67" s="242"/>
      <c r="BE67" s="242"/>
      <c r="BF67" s="242"/>
      <c r="BG67" s="242"/>
      <c r="BH67" s="242"/>
      <c r="BI67" s="242"/>
      <c r="BJ67" s="242"/>
      <c r="BK67" s="242"/>
      <c r="BL67" s="242"/>
      <c r="BM67" s="242"/>
      <c r="BN67" s="242"/>
      <c r="BO67" s="242"/>
      <c r="BP67" s="242"/>
      <c r="BQ67" s="242"/>
      <c r="BR67" s="242"/>
      <c r="BS67" s="242"/>
      <c r="BT67" s="242"/>
      <c r="BU67" s="242"/>
      <c r="BV67" s="242"/>
      <c r="BW67" s="242"/>
      <c r="BX67" s="242"/>
      <c r="BY67" s="242"/>
      <c r="BZ67" s="242"/>
      <c r="CA67" s="242"/>
      <c r="CB67" s="242"/>
      <c r="CC67" s="242"/>
      <c r="CD67" s="242"/>
      <c r="CE67" s="242"/>
      <c r="CF67" s="242"/>
      <c r="CG67" s="242"/>
      <c r="CH67" s="242"/>
      <c r="CI67" s="242"/>
      <c r="CJ67" s="242"/>
      <c r="CK67" s="242"/>
      <c r="CL67" s="242"/>
      <c r="CM67" s="242"/>
      <c r="CN67" s="242"/>
      <c r="CO67" s="242"/>
      <c r="CP67" s="242"/>
      <c r="CQ67" s="242"/>
      <c r="CR67" s="242"/>
      <c r="CS67" s="242"/>
      <c r="CT67" s="242"/>
      <c r="CU67" s="242"/>
      <c r="CV67" s="242"/>
      <c r="CW67" s="242"/>
      <c r="CX67" s="242"/>
      <c r="CY67" s="242"/>
      <c r="CZ67" s="242"/>
      <c r="DA67" s="242"/>
      <c r="DB67" s="242"/>
      <c r="DC67" s="242"/>
      <c r="DD67" s="242"/>
      <c r="DE67" s="242"/>
      <c r="DF67" s="242"/>
      <c r="DG67" s="242"/>
      <c r="DH67" s="242"/>
      <c r="DI67" s="242"/>
      <c r="DJ67" s="242"/>
      <c r="DK67" s="242"/>
      <c r="DL67" s="242"/>
      <c r="DM67" s="242"/>
      <c r="DN67" s="242"/>
      <c r="DO67" s="242"/>
      <c r="DP67" s="242"/>
      <c r="DQ67" s="242"/>
      <c r="DR67" s="242"/>
      <c r="DS67" s="242"/>
      <c r="DT67" s="242"/>
      <c r="DU67" s="242"/>
      <c r="DV67" s="242"/>
      <c r="DW67" s="242"/>
      <c r="DX67" s="242"/>
      <c r="DY67" s="242"/>
      <c r="DZ67" s="242"/>
      <c r="EA67" s="242"/>
      <c r="EB67" s="242"/>
      <c r="EC67" s="242"/>
      <c r="ED67" s="242"/>
      <c r="EE67" s="242"/>
      <c r="EF67" s="242"/>
      <c r="EG67" s="242"/>
      <c r="EH67" s="242"/>
      <c r="EI67" s="242"/>
      <c r="EJ67" s="242"/>
      <c r="EK67" s="242"/>
      <c r="EL67" s="242"/>
      <c r="EM67" s="242"/>
      <c r="EN67" s="242"/>
      <c r="EO67" s="242"/>
      <c r="EP67" s="242"/>
      <c r="EQ67" s="242"/>
      <c r="ER67" s="242"/>
      <c r="ES67" s="242"/>
      <c r="ET67" s="242"/>
      <c r="EU67" s="242"/>
      <c r="EV67" s="242"/>
      <c r="EW67" s="242"/>
      <c r="EX67" s="242"/>
      <c r="EY67" s="242"/>
      <c r="EZ67" s="242"/>
      <c r="FA67" s="242"/>
      <c r="FB67" s="242"/>
      <c r="FC67" s="242"/>
      <c r="FD67" s="242"/>
      <c r="FE67" s="242"/>
      <c r="FF67" s="242"/>
      <c r="FG67" s="242"/>
      <c r="FH67" s="242"/>
      <c r="FI67" s="242"/>
      <c r="FJ67" s="242"/>
      <c r="FK67" s="242"/>
      <c r="FL67" s="242"/>
      <c r="FM67" s="242"/>
      <c r="FN67" s="242"/>
      <c r="FO67" s="242"/>
      <c r="FP67" s="242"/>
      <c r="FQ67" s="242"/>
      <c r="FR67" s="242"/>
      <c r="FS67" s="242"/>
      <c r="FT67" s="242"/>
      <c r="FU67" s="242"/>
      <c r="FV67" s="242"/>
      <c r="FW67" s="242"/>
      <c r="FX67" s="242"/>
      <c r="FY67" s="242"/>
      <c r="FZ67" s="242"/>
      <c r="GA67" s="242"/>
      <c r="GB67" s="242"/>
      <c r="GC67" s="242"/>
      <c r="GD67" s="242"/>
      <c r="GE67" s="242"/>
      <c r="GF67" s="242"/>
      <c r="GG67" s="242"/>
      <c r="GH67" s="242"/>
      <c r="GI67" s="242"/>
      <c r="GJ67" s="242"/>
      <c r="GK67" s="242"/>
      <c r="GL67" s="242"/>
      <c r="GM67" s="242"/>
      <c r="GN67" s="242"/>
      <c r="GO67" s="242"/>
      <c r="GP67" s="242"/>
      <c r="GQ67" s="242"/>
      <c r="GR67" s="242"/>
      <c r="GS67" s="242"/>
      <c r="GT67" s="242"/>
      <c r="GU67" s="242"/>
      <c r="GV67" s="242"/>
      <c r="GW67" s="242"/>
      <c r="GX67" s="242"/>
      <c r="GY67" s="242"/>
      <c r="GZ67" s="242"/>
      <c r="HA67" s="242"/>
      <c r="HB67" s="242"/>
      <c r="HC67" s="242"/>
      <c r="HD67" s="242"/>
      <c r="HE67" s="242"/>
      <c r="HF67" s="242"/>
      <c r="HG67" s="242"/>
      <c r="HH67" s="242"/>
      <c r="HI67" s="242"/>
      <c r="HJ67" s="242"/>
      <c r="HK67" s="242"/>
      <c r="HL67" s="242"/>
      <c r="HM67" s="242"/>
      <c r="HN67" s="242"/>
      <c r="HO67" s="242"/>
      <c r="HP67" s="242"/>
      <c r="HQ67" s="242"/>
      <c r="HR67" s="242"/>
      <c r="HS67" s="242"/>
      <c r="HT67" s="242"/>
      <c r="HU67" s="242"/>
      <c r="HV67" s="242"/>
      <c r="HW67" s="242"/>
      <c r="HX67" s="242"/>
      <c r="HY67" s="242"/>
      <c r="HZ67" s="242"/>
      <c r="IA67" s="242"/>
      <c r="IB67" s="242"/>
      <c r="IC67" s="242"/>
      <c r="ID67" s="242"/>
      <c r="IE67" s="242"/>
      <c r="IF67" s="242"/>
      <c r="IG67" s="242"/>
      <c r="IH67" s="242"/>
      <c r="II67" s="242"/>
      <c r="IJ67" s="242"/>
      <c r="IK67" s="242"/>
      <c r="IL67" s="242"/>
      <c r="IM67" s="242"/>
      <c r="IN67" s="242"/>
      <c r="IO67" s="242"/>
      <c r="IP67" s="242"/>
      <c r="IQ67" s="242"/>
      <c r="IR67" s="242"/>
      <c r="IS67" s="242"/>
      <c r="IT67" s="242"/>
      <c r="IU67" s="242"/>
      <c r="IV67" s="242"/>
      <c r="IW67" s="242"/>
    </row>
    <row r="68" customFormat="false" ht="12.75" hidden="false" customHeight="true" outlineLevel="0" collapsed="false">
      <c r="A68" s="248" t="str">
        <f aca="false">'Project Assumptions'!K15</f>
        <v>Startup Power (estimate)</v>
      </c>
      <c r="B68" s="242"/>
      <c r="C68" s="254" t="n">
        <f aca="false">'Project Assumptions'!$N$15</f>
        <v>200</v>
      </c>
      <c r="D68" s="254" t="n">
        <f aca="false">IF(D$3&gt;'Project Assumptions'!$I$15+1,0,IF(AND($C$5&lt;12,D3='Project Assumptions'!$I$15+1),0,C68*(1+'Project Assumptions'!$N$19)))</f>
        <v>204</v>
      </c>
      <c r="E68" s="254" t="n">
        <f aca="false">IF(E$3&gt;'Project Assumptions'!$I$15+1,0,IF(AND($C$5&lt;12,E3='Project Assumptions'!$I$15+1),0,D68*(1+'Project Assumptions'!$N$19)))</f>
        <v>208.08</v>
      </c>
      <c r="F68" s="254" t="n">
        <f aca="false">IF(F$3&gt;'Project Assumptions'!$I$15+1,0,IF(AND($C$5&lt;12,F3='Project Assumptions'!$I$15+1),0,E68*(1+'Project Assumptions'!$N$19)))</f>
        <v>212.2416</v>
      </c>
      <c r="G68" s="254" t="n">
        <f aca="false">IF(G$3&gt;'Project Assumptions'!$I$15+1,0,IF(AND($C$5&lt;12,G3='Project Assumptions'!$I$15+1),0,F68*(1+'Project Assumptions'!$N$19)))</f>
        <v>216.486432</v>
      </c>
      <c r="H68" s="254" t="n">
        <f aca="false">IF(H$3&gt;'Project Assumptions'!$I$15+1,0,IF(AND($C$5&lt;12,H3='Project Assumptions'!$I$15+1),0,G68*(1+'Project Assumptions'!$N$19)))</f>
        <v>220.81616064</v>
      </c>
      <c r="I68" s="254" t="n">
        <f aca="false">IF(I$3&gt;'Project Assumptions'!$I$15+1,0,IF(AND($C$5&lt;12,I3='Project Assumptions'!$I$15+1),0,H68*(1+'Project Assumptions'!$N$19)))</f>
        <v>225.2324838528</v>
      </c>
      <c r="J68" s="254" t="n">
        <f aca="false">IF(J$3&gt;'Project Assumptions'!$I$15+1,0,IF(AND($C$5&lt;12,J3='Project Assumptions'!$I$15+1),0,I68*(1+'Project Assumptions'!$N$19)))</f>
        <v>229.737133529856</v>
      </c>
      <c r="K68" s="254" t="n">
        <f aca="false">IF(K$3&gt;'Project Assumptions'!$I$15+1,0,IF(AND($C$5&lt;12,K3='Project Assumptions'!$I$15+1),0,J68*(1+'Project Assumptions'!$N$19)))</f>
        <v>234.331876200453</v>
      </c>
      <c r="L68" s="254" t="n">
        <f aca="false">IF(L$3&gt;'Project Assumptions'!$I$15+1,0,IF(AND($C$5&lt;12,L3='Project Assumptions'!$I$15+1),0,K68*(1+'Project Assumptions'!$N$19)))</f>
        <v>239.018513724462</v>
      </c>
      <c r="M68" s="254" t="n">
        <f aca="false">IF(M$3&gt;'Project Assumptions'!$I$15+1,0,IF(AND($C$5&lt;12,M3='Project Assumptions'!$I$15+1),0,L68*(1+'Project Assumptions'!$N$19)))</f>
        <v>243.798883998951</v>
      </c>
      <c r="N68" s="254" t="n">
        <f aca="false">IF(N$3&gt;'Project Assumptions'!$I$15+1,0,IF(AND($C$5&lt;12,N3='Project Assumptions'!$I$15+1),0,M68*(1+'Project Assumptions'!$N$19)))</f>
        <v>248.67486167893</v>
      </c>
      <c r="O68" s="254" t="n">
        <f aca="false">IF(O$3&gt;'Project Assumptions'!$I$15+1,0,IF(AND($C$5&lt;12,O3='Project Assumptions'!$I$15+1),0,N68*(1+'Project Assumptions'!$N$19)))</f>
        <v>253.648358912509</v>
      </c>
      <c r="P68" s="254" t="n">
        <f aca="false">IF(P$3&gt;'Project Assumptions'!$I$15+1,0,IF(AND($C$5&lt;12,P3='Project Assumptions'!$I$15+1),0,O68*(1+'Project Assumptions'!$N$19)))</f>
        <v>258.721326090759</v>
      </c>
      <c r="Q68" s="254" t="n">
        <f aca="false">IF(Q$3&gt;'Project Assumptions'!$I$15+1,0,IF(AND($C$5&lt;12,Q3='Project Assumptions'!$I$15+1),0,P68*(1+'Project Assumptions'!$N$19)))</f>
        <v>263.895752612575</v>
      </c>
      <c r="R68" s="254" t="n">
        <f aca="false">IF(R$3&gt;'Project Assumptions'!$I$15+1,0,IF(AND($C$5&lt;12,R3='Project Assumptions'!$I$15+1),0,Q68*(1+'Project Assumptions'!$N$19)))</f>
        <v>0</v>
      </c>
      <c r="AB68" s="242"/>
      <c r="AC68" s="242"/>
      <c r="AD68" s="184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2"/>
      <c r="BC68" s="242"/>
      <c r="BD68" s="242"/>
      <c r="BE68" s="242"/>
      <c r="BF68" s="242"/>
      <c r="BG68" s="242"/>
      <c r="BH68" s="242"/>
      <c r="BI68" s="242"/>
      <c r="BJ68" s="242"/>
      <c r="BK68" s="242"/>
      <c r="BL68" s="242"/>
      <c r="BM68" s="242"/>
      <c r="BN68" s="242"/>
      <c r="BO68" s="242"/>
      <c r="BP68" s="242"/>
      <c r="BQ68" s="242"/>
      <c r="BR68" s="242"/>
      <c r="BS68" s="242"/>
      <c r="BT68" s="242"/>
      <c r="BU68" s="242"/>
      <c r="BV68" s="242"/>
      <c r="BW68" s="242"/>
      <c r="BX68" s="242"/>
      <c r="BY68" s="242"/>
      <c r="BZ68" s="242"/>
      <c r="CA68" s="242"/>
      <c r="CB68" s="242"/>
      <c r="CC68" s="242"/>
      <c r="CD68" s="242"/>
      <c r="CE68" s="242"/>
      <c r="CF68" s="242"/>
      <c r="CG68" s="242"/>
      <c r="CH68" s="242"/>
      <c r="CI68" s="242"/>
      <c r="CJ68" s="242"/>
      <c r="CK68" s="242"/>
      <c r="CL68" s="242"/>
      <c r="CM68" s="242"/>
      <c r="CN68" s="242"/>
      <c r="CO68" s="242"/>
      <c r="CP68" s="242"/>
      <c r="CQ68" s="242"/>
      <c r="CR68" s="242"/>
      <c r="CS68" s="242"/>
      <c r="CT68" s="242"/>
      <c r="CU68" s="242"/>
      <c r="CV68" s="242"/>
      <c r="CW68" s="242"/>
      <c r="CX68" s="242"/>
      <c r="CY68" s="242"/>
      <c r="CZ68" s="242"/>
      <c r="DA68" s="242"/>
      <c r="DB68" s="242"/>
      <c r="DC68" s="242"/>
      <c r="DD68" s="242"/>
      <c r="DE68" s="242"/>
      <c r="DF68" s="242"/>
      <c r="DG68" s="242"/>
      <c r="DH68" s="242"/>
      <c r="DI68" s="242"/>
      <c r="DJ68" s="242"/>
      <c r="DK68" s="242"/>
      <c r="DL68" s="242"/>
      <c r="DM68" s="242"/>
      <c r="DN68" s="242"/>
      <c r="DO68" s="242"/>
      <c r="DP68" s="242"/>
      <c r="DQ68" s="242"/>
      <c r="DR68" s="242"/>
      <c r="DS68" s="242"/>
      <c r="DT68" s="242"/>
      <c r="DU68" s="242"/>
      <c r="DV68" s="242"/>
      <c r="DW68" s="242"/>
      <c r="DX68" s="242"/>
      <c r="DY68" s="242"/>
      <c r="DZ68" s="242"/>
      <c r="EA68" s="242"/>
      <c r="EB68" s="242"/>
      <c r="EC68" s="242"/>
      <c r="ED68" s="242"/>
      <c r="EE68" s="242"/>
      <c r="EF68" s="242"/>
      <c r="EG68" s="242"/>
      <c r="EH68" s="242"/>
      <c r="EI68" s="242"/>
      <c r="EJ68" s="242"/>
      <c r="EK68" s="242"/>
      <c r="EL68" s="242"/>
      <c r="EM68" s="242"/>
      <c r="EN68" s="242"/>
      <c r="EO68" s="242"/>
      <c r="EP68" s="242"/>
      <c r="EQ68" s="242"/>
      <c r="ER68" s="242"/>
      <c r="ES68" s="242"/>
      <c r="ET68" s="242"/>
      <c r="EU68" s="242"/>
      <c r="EV68" s="242"/>
      <c r="EW68" s="242"/>
      <c r="EX68" s="242"/>
      <c r="EY68" s="242"/>
      <c r="EZ68" s="242"/>
      <c r="FA68" s="242"/>
      <c r="FB68" s="242"/>
      <c r="FC68" s="242"/>
      <c r="FD68" s="242"/>
      <c r="FE68" s="242"/>
      <c r="FF68" s="242"/>
      <c r="FG68" s="242"/>
      <c r="FH68" s="242"/>
      <c r="FI68" s="242"/>
      <c r="FJ68" s="242"/>
      <c r="FK68" s="242"/>
      <c r="FL68" s="242"/>
      <c r="FM68" s="242"/>
      <c r="FN68" s="242"/>
      <c r="FO68" s="242"/>
      <c r="FP68" s="242"/>
      <c r="FQ68" s="242"/>
      <c r="FR68" s="242"/>
      <c r="FS68" s="242"/>
      <c r="FT68" s="242"/>
      <c r="FU68" s="242"/>
      <c r="FV68" s="242"/>
      <c r="FW68" s="242"/>
      <c r="FX68" s="242"/>
      <c r="FY68" s="242"/>
      <c r="FZ68" s="242"/>
      <c r="GA68" s="242"/>
      <c r="GB68" s="242"/>
      <c r="GC68" s="242"/>
      <c r="GD68" s="242"/>
      <c r="GE68" s="242"/>
      <c r="GF68" s="242"/>
      <c r="GG68" s="242"/>
      <c r="GH68" s="242"/>
      <c r="GI68" s="242"/>
      <c r="GJ68" s="242"/>
      <c r="GK68" s="242"/>
      <c r="GL68" s="242"/>
      <c r="GM68" s="242"/>
      <c r="GN68" s="242"/>
      <c r="GO68" s="242"/>
      <c r="GP68" s="242"/>
      <c r="GQ68" s="242"/>
      <c r="GR68" s="242"/>
      <c r="GS68" s="242"/>
      <c r="GT68" s="242"/>
      <c r="GU68" s="242"/>
      <c r="GV68" s="242"/>
      <c r="GW68" s="242"/>
      <c r="GX68" s="242"/>
      <c r="GY68" s="242"/>
      <c r="GZ68" s="242"/>
      <c r="HA68" s="242"/>
      <c r="HB68" s="242"/>
      <c r="HC68" s="242"/>
      <c r="HD68" s="242"/>
      <c r="HE68" s="242"/>
      <c r="HF68" s="242"/>
      <c r="HG68" s="242"/>
      <c r="HH68" s="242"/>
      <c r="HI68" s="242"/>
      <c r="HJ68" s="242"/>
      <c r="HK68" s="242"/>
      <c r="HL68" s="242"/>
      <c r="HM68" s="242"/>
      <c r="HN68" s="242"/>
      <c r="HO68" s="242"/>
      <c r="HP68" s="242"/>
      <c r="HQ68" s="242"/>
      <c r="HR68" s="242"/>
      <c r="HS68" s="242"/>
      <c r="HT68" s="242"/>
      <c r="HU68" s="242"/>
      <c r="HV68" s="242"/>
      <c r="HW68" s="242"/>
      <c r="HX68" s="242"/>
      <c r="HY68" s="242"/>
      <c r="HZ68" s="242"/>
      <c r="IA68" s="242"/>
      <c r="IB68" s="242"/>
      <c r="IC68" s="242"/>
      <c r="ID68" s="242"/>
      <c r="IE68" s="242"/>
      <c r="IF68" s="242"/>
      <c r="IG68" s="242"/>
      <c r="IH68" s="242"/>
      <c r="II68" s="242"/>
      <c r="IJ68" s="242"/>
      <c r="IK68" s="242"/>
      <c r="IL68" s="242"/>
      <c r="IM68" s="242"/>
      <c r="IN68" s="242"/>
      <c r="IO68" s="242"/>
      <c r="IP68" s="242"/>
      <c r="IQ68" s="242"/>
      <c r="IR68" s="242"/>
      <c r="IS68" s="242"/>
      <c r="IT68" s="242"/>
      <c r="IU68" s="242"/>
      <c r="IV68" s="242"/>
      <c r="IW68" s="242"/>
    </row>
    <row r="69" customFormat="false" ht="12.75" hidden="false" customHeight="true" outlineLevel="0" collapsed="false">
      <c r="A69" s="248" t="str">
        <f aca="false">'Project Assumptions'!K16</f>
        <v>Fuel Losses During Starts/Stops (calculated figure)</v>
      </c>
      <c r="B69" s="242"/>
      <c r="C69" s="254" t="n">
        <f aca="false">'Project Assumptions'!$N$16</f>
        <v>128.029</v>
      </c>
      <c r="D69" s="254" t="n">
        <f aca="false">IF(D$3&gt;'Project Assumptions'!$I$15+1,0,IF(AND($C$5&lt;12,D3='Project Assumptions'!$I$15+1),0,C69*(1+'Project Assumptions'!$N$19)))</f>
        <v>130.58958</v>
      </c>
      <c r="E69" s="254" t="n">
        <f aca="false">IF(E$3&gt;'Project Assumptions'!$I$15+1,0,IF(AND($C$5&lt;12,E3='Project Assumptions'!$I$15+1),0,D69*(1+'Project Assumptions'!$N$19)))</f>
        <v>133.2013716</v>
      </c>
      <c r="F69" s="254" t="n">
        <f aca="false">IF(F$3&gt;'Project Assumptions'!$I$15+1,0,IF(AND($C$5&lt;12,F3='Project Assumptions'!$I$15+1),0,E69*(1+'Project Assumptions'!$N$19)))</f>
        <v>135.865399032</v>
      </c>
      <c r="G69" s="254" t="n">
        <f aca="false">IF(G$3&gt;'Project Assumptions'!$I$15+1,0,IF(AND($C$5&lt;12,G3='Project Assumptions'!$I$15+1),0,F69*(1+'Project Assumptions'!$N$19)))</f>
        <v>138.58270701264</v>
      </c>
      <c r="H69" s="254" t="n">
        <f aca="false">IF(H$3&gt;'Project Assumptions'!$I$15+1,0,IF(AND($C$5&lt;12,H3='Project Assumptions'!$I$15+1),0,G69*(1+'Project Assumptions'!$N$19)))</f>
        <v>141.354361152893</v>
      </c>
      <c r="I69" s="254" t="n">
        <f aca="false">IF(I$3&gt;'Project Assumptions'!$I$15+1,0,IF(AND($C$5&lt;12,I3='Project Assumptions'!$I$15+1),0,H69*(1+'Project Assumptions'!$N$19)))</f>
        <v>144.181448375951</v>
      </c>
      <c r="J69" s="254" t="n">
        <f aca="false">IF(J$3&gt;'Project Assumptions'!$I$15+1,0,IF(AND($C$5&lt;12,J3='Project Assumptions'!$I$15+1),0,I69*(1+'Project Assumptions'!$N$19)))</f>
        <v>147.06507734347</v>
      </c>
      <c r="K69" s="254" t="n">
        <f aca="false">IF(K$3&gt;'Project Assumptions'!$I$15+1,0,IF(AND($C$5&lt;12,K3='Project Assumptions'!$I$15+1),0,J69*(1+'Project Assumptions'!$N$19)))</f>
        <v>150.006378890339</v>
      </c>
      <c r="L69" s="254" t="n">
        <f aca="false">IF(L$3&gt;'Project Assumptions'!$I$15+1,0,IF(AND($C$5&lt;12,L3='Project Assumptions'!$I$15+1),0,K69*(1+'Project Assumptions'!$N$19)))</f>
        <v>153.006506468146</v>
      </c>
      <c r="M69" s="254" t="n">
        <f aca="false">IF(M$3&gt;'Project Assumptions'!$I$15+1,0,IF(AND($C$5&lt;12,M3='Project Assumptions'!$I$15+1),0,L69*(1+'Project Assumptions'!$N$19)))</f>
        <v>156.066636597509</v>
      </c>
      <c r="N69" s="254" t="n">
        <f aca="false">IF(N$3&gt;'Project Assumptions'!$I$15+1,0,IF(AND($C$5&lt;12,N3='Project Assumptions'!$I$15+1),0,M69*(1+'Project Assumptions'!$N$19)))</f>
        <v>159.187969329459</v>
      </c>
      <c r="O69" s="254" t="n">
        <f aca="false">IF(O$3&gt;'Project Assumptions'!$I$15+1,0,IF(AND($C$5&lt;12,O3='Project Assumptions'!$I$15+1),0,N69*(1+'Project Assumptions'!$N$19)))</f>
        <v>162.371728716048</v>
      </c>
      <c r="P69" s="254" t="n">
        <f aca="false">IF(P$3&gt;'Project Assumptions'!$I$15+1,0,IF(AND($C$5&lt;12,P3='Project Assumptions'!$I$15+1),0,O69*(1+'Project Assumptions'!$N$19)))</f>
        <v>165.619163290369</v>
      </c>
      <c r="Q69" s="254" t="n">
        <f aca="false">IF(Q$3&gt;'Project Assumptions'!$I$15+1,0,IF(AND($C$5&lt;12,Q3='Project Assumptions'!$I$15+1),0,P69*(1+'Project Assumptions'!$N$19)))</f>
        <v>168.931546556177</v>
      </c>
      <c r="R69" s="254" t="n">
        <f aca="false">IF(R$3&gt;'Project Assumptions'!$I$15+1,0,IF(AND($C$5&lt;12,R3='Project Assumptions'!$I$15+1),0,Q69*(1+'Project Assumptions'!$N$19)))</f>
        <v>0</v>
      </c>
      <c r="AB69" s="242"/>
      <c r="AC69" s="242"/>
      <c r="AD69" s="184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2"/>
      <c r="BJ69" s="242"/>
      <c r="BK69" s="242"/>
      <c r="BL69" s="242"/>
      <c r="BM69" s="242"/>
      <c r="BN69" s="242"/>
      <c r="BO69" s="242"/>
      <c r="BP69" s="242"/>
      <c r="BQ69" s="242"/>
      <c r="BR69" s="242"/>
      <c r="BS69" s="242"/>
      <c r="BT69" s="242"/>
      <c r="BU69" s="242"/>
      <c r="BV69" s="242"/>
      <c r="BW69" s="242"/>
      <c r="BX69" s="242"/>
      <c r="BY69" s="242"/>
      <c r="BZ69" s="242"/>
      <c r="CA69" s="242"/>
      <c r="CB69" s="242"/>
      <c r="CC69" s="242"/>
      <c r="CD69" s="242"/>
      <c r="CE69" s="242"/>
      <c r="CF69" s="242"/>
      <c r="CG69" s="242"/>
      <c r="CH69" s="242"/>
      <c r="CI69" s="242"/>
      <c r="CJ69" s="242"/>
      <c r="CK69" s="242"/>
      <c r="CL69" s="242"/>
      <c r="CM69" s="242"/>
      <c r="CN69" s="242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2"/>
      <c r="DG69" s="242"/>
      <c r="DH69" s="242"/>
      <c r="DI69" s="242"/>
      <c r="DJ69" s="242"/>
      <c r="DK69" s="242"/>
      <c r="DL69" s="242"/>
      <c r="DM69" s="242"/>
      <c r="DN69" s="242"/>
      <c r="DO69" s="242"/>
      <c r="DP69" s="242"/>
      <c r="DQ69" s="242"/>
      <c r="DR69" s="242"/>
      <c r="DS69" s="242"/>
      <c r="DT69" s="242"/>
      <c r="DU69" s="242"/>
      <c r="DV69" s="242"/>
      <c r="DW69" s="242"/>
      <c r="DX69" s="242"/>
      <c r="DY69" s="242"/>
      <c r="DZ69" s="242"/>
      <c r="EA69" s="242"/>
      <c r="EB69" s="242"/>
      <c r="EC69" s="242"/>
      <c r="ED69" s="242"/>
      <c r="EE69" s="242"/>
      <c r="EF69" s="242"/>
      <c r="EG69" s="242"/>
      <c r="EH69" s="242"/>
      <c r="EI69" s="242"/>
      <c r="EJ69" s="242"/>
      <c r="EK69" s="242"/>
      <c r="EL69" s="242"/>
      <c r="EM69" s="242"/>
      <c r="EN69" s="242"/>
      <c r="EO69" s="242"/>
      <c r="EP69" s="242"/>
      <c r="EQ69" s="242"/>
      <c r="ER69" s="242"/>
      <c r="ES69" s="242"/>
      <c r="ET69" s="242"/>
      <c r="EU69" s="242"/>
      <c r="EV69" s="242"/>
      <c r="EW69" s="242"/>
      <c r="EX69" s="242"/>
      <c r="EY69" s="242"/>
      <c r="EZ69" s="242"/>
      <c r="FA69" s="242"/>
      <c r="FB69" s="242"/>
      <c r="FC69" s="242"/>
      <c r="FD69" s="242"/>
      <c r="FE69" s="242"/>
      <c r="FF69" s="242"/>
      <c r="FG69" s="242"/>
      <c r="FH69" s="242"/>
      <c r="FI69" s="242"/>
      <c r="FJ69" s="242"/>
      <c r="FK69" s="242"/>
      <c r="FL69" s="242"/>
      <c r="FM69" s="242"/>
      <c r="FN69" s="242"/>
      <c r="FO69" s="242"/>
      <c r="FP69" s="242"/>
      <c r="FQ69" s="242"/>
      <c r="FR69" s="242"/>
      <c r="FS69" s="242"/>
      <c r="FT69" s="242"/>
      <c r="FU69" s="242"/>
      <c r="FV69" s="242"/>
      <c r="FW69" s="242"/>
      <c r="FX69" s="242"/>
      <c r="FY69" s="242"/>
      <c r="FZ69" s="242"/>
      <c r="GA69" s="242"/>
      <c r="GB69" s="242"/>
      <c r="GC69" s="242"/>
      <c r="GD69" s="242"/>
      <c r="GE69" s="242"/>
      <c r="GF69" s="242"/>
      <c r="GG69" s="242"/>
      <c r="GH69" s="242"/>
      <c r="GI69" s="242"/>
      <c r="GJ69" s="242"/>
      <c r="GK69" s="242"/>
      <c r="GL69" s="242"/>
      <c r="GM69" s="242"/>
      <c r="GN69" s="242"/>
      <c r="GO69" s="242"/>
      <c r="GP69" s="242"/>
      <c r="GQ69" s="242"/>
      <c r="GR69" s="242"/>
      <c r="GS69" s="242"/>
      <c r="GT69" s="242"/>
      <c r="GU69" s="242"/>
      <c r="GV69" s="242"/>
      <c r="GW69" s="242"/>
      <c r="GX69" s="242"/>
      <c r="GY69" s="242"/>
      <c r="GZ69" s="242"/>
      <c r="HA69" s="242"/>
      <c r="HB69" s="242"/>
      <c r="HC69" s="242"/>
      <c r="HD69" s="242"/>
      <c r="HE69" s="242"/>
      <c r="HF69" s="242"/>
      <c r="HG69" s="242"/>
      <c r="HH69" s="242"/>
      <c r="HI69" s="242"/>
      <c r="HJ69" s="242"/>
      <c r="HK69" s="242"/>
      <c r="HL69" s="242"/>
      <c r="HM69" s="242"/>
      <c r="HN69" s="242"/>
      <c r="HO69" s="242"/>
      <c r="HP69" s="242"/>
      <c r="HQ69" s="242"/>
      <c r="HR69" s="242"/>
      <c r="HS69" s="242"/>
      <c r="HT69" s="242"/>
      <c r="HU69" s="242"/>
      <c r="HV69" s="242"/>
      <c r="HW69" s="242"/>
      <c r="HX69" s="242"/>
      <c r="HY69" s="242"/>
      <c r="HZ69" s="242"/>
      <c r="IA69" s="242"/>
      <c r="IB69" s="242"/>
      <c r="IC69" s="242"/>
      <c r="ID69" s="242"/>
      <c r="IE69" s="242"/>
      <c r="IF69" s="242"/>
      <c r="IG69" s="242"/>
      <c r="IH69" s="242"/>
      <c r="II69" s="242"/>
      <c r="IJ69" s="242"/>
      <c r="IK69" s="242"/>
      <c r="IL69" s="242"/>
      <c r="IM69" s="242"/>
      <c r="IN69" s="242"/>
      <c r="IO69" s="242"/>
      <c r="IP69" s="242"/>
      <c r="IQ69" s="242"/>
      <c r="IR69" s="242"/>
      <c r="IS69" s="242"/>
      <c r="IT69" s="242"/>
      <c r="IU69" s="242"/>
      <c r="IV69" s="242"/>
      <c r="IW69" s="242"/>
    </row>
    <row r="70" customFormat="false" ht="12.75" hidden="false" customHeight="true" outlineLevel="0" collapsed="false">
      <c r="A70" s="248" t="str">
        <f aca="false">'Project Assumptions'!K12</f>
        <v>Business Interruption Insurance (% of Rev)</v>
      </c>
      <c r="B70" s="242"/>
      <c r="C70" s="254" t="n">
        <f aca="false">C7*'Project Assumptions'!$M$12</f>
        <v>31.219188</v>
      </c>
      <c r="D70" s="254" t="n">
        <f aca="false">IF(D3&gt;'Project Assumptions'!$I$15+1,0,D7*'Project Assumptions'!$M$12)</f>
        <v>59.23008</v>
      </c>
      <c r="E70" s="254" t="n">
        <f aca="false">IF(E3&gt;'Project Assumptions'!$I$15+1,0,E7*'Project Assumptions'!$M$12)</f>
        <v>59.23008</v>
      </c>
      <c r="F70" s="254" t="n">
        <f aca="false">IF(F3&gt;'Project Assumptions'!$I$15+1,0,F7*'Project Assumptions'!$M$12)</f>
        <v>59.23008</v>
      </c>
      <c r="G70" s="254" t="n">
        <f aca="false">IF(G3&gt;'Project Assumptions'!$I$15+1,0,G7*'Project Assumptions'!$M$12)</f>
        <v>59.23008</v>
      </c>
      <c r="H70" s="254" t="n">
        <f aca="false">IF(H3&gt;'Project Assumptions'!$I$15+1,0,H7*'Project Assumptions'!$M$12)</f>
        <v>59.23008</v>
      </c>
      <c r="I70" s="254" t="n">
        <f aca="false">IF(I3&gt;'Project Assumptions'!$I$15+1,0,I7*'Project Assumptions'!$M$12)</f>
        <v>59.23008</v>
      </c>
      <c r="J70" s="254" t="n">
        <f aca="false">IF(J3&gt;'Project Assumptions'!$I$15+1,0,J7*'Project Assumptions'!$M$12)</f>
        <v>59.23008</v>
      </c>
      <c r="K70" s="254" t="n">
        <f aca="false">IF(K3&gt;'Project Assumptions'!$I$15+1,0,K7*'Project Assumptions'!$M$12)</f>
        <v>59.23008</v>
      </c>
      <c r="L70" s="254" t="n">
        <f aca="false">IF(L3&gt;'Project Assumptions'!$I$15+1,0,L7*'Project Assumptions'!$M$12)</f>
        <v>59.23008</v>
      </c>
      <c r="M70" s="254" t="n">
        <f aca="false">IF(M3&gt;'Project Assumptions'!$I$15+1,0,M7*'Project Assumptions'!$M$12)</f>
        <v>59.23008</v>
      </c>
      <c r="N70" s="254" t="n">
        <f aca="false">IF(N3&gt;'Project Assumptions'!$I$15+1,0,N7*'Project Assumptions'!$M$12)</f>
        <v>59.23008</v>
      </c>
      <c r="O70" s="254" t="n">
        <f aca="false">IF(O3&gt;'Project Assumptions'!$I$15+1,0,O7*'Project Assumptions'!$M$12)</f>
        <v>59.23008</v>
      </c>
      <c r="P70" s="254" t="n">
        <f aca="false">IF(P3&gt;'Project Assumptions'!$I$15+1,0,P7*'Project Assumptions'!$M$12)</f>
        <v>59.23008</v>
      </c>
      <c r="Q70" s="254" t="n">
        <f aca="false">IF(Q3&gt;'Project Assumptions'!$I$15+1,0,Q7*'Project Assumptions'!$M$12)</f>
        <v>59.23008</v>
      </c>
      <c r="R70" s="254" t="n">
        <f aca="false">IF(R3&gt;'Project Assumptions'!$I$15+1,0,R7*'Project Assumptions'!$M$12)</f>
        <v>39.48672</v>
      </c>
      <c r="AB70" s="242"/>
      <c r="AC70" s="242"/>
      <c r="AD70" s="184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2"/>
      <c r="BR70" s="242"/>
      <c r="BS70" s="242"/>
      <c r="BT70" s="242"/>
      <c r="BU70" s="242"/>
      <c r="BV70" s="242"/>
      <c r="BW70" s="242"/>
      <c r="BX70" s="242"/>
      <c r="BY70" s="242"/>
      <c r="BZ70" s="242"/>
      <c r="CA70" s="242"/>
      <c r="CB70" s="242"/>
      <c r="CC70" s="242"/>
      <c r="CD70" s="242"/>
      <c r="CE70" s="242"/>
      <c r="CF70" s="242"/>
      <c r="CG70" s="242"/>
      <c r="CH70" s="242"/>
      <c r="CI70" s="242"/>
      <c r="CJ70" s="242"/>
      <c r="CK70" s="242"/>
      <c r="CL70" s="242"/>
      <c r="CM70" s="242"/>
      <c r="CN70" s="242"/>
      <c r="CO70" s="242"/>
      <c r="CP70" s="242"/>
      <c r="CQ70" s="242"/>
      <c r="CR70" s="242"/>
      <c r="CS70" s="242"/>
      <c r="CT70" s="242"/>
      <c r="CU70" s="242"/>
      <c r="CV70" s="242"/>
      <c r="CW70" s="242"/>
      <c r="CX70" s="242"/>
      <c r="CY70" s="242"/>
      <c r="CZ70" s="242"/>
      <c r="DA70" s="242"/>
      <c r="DB70" s="242"/>
      <c r="DC70" s="242"/>
      <c r="DD70" s="242"/>
      <c r="DE70" s="242"/>
      <c r="DF70" s="242"/>
      <c r="DG70" s="242"/>
      <c r="DH70" s="242"/>
      <c r="DI70" s="242"/>
      <c r="DJ70" s="242"/>
      <c r="DK70" s="242"/>
      <c r="DL70" s="242"/>
      <c r="DM70" s="242"/>
      <c r="DN70" s="242"/>
      <c r="DO70" s="242"/>
      <c r="DP70" s="242"/>
      <c r="DQ70" s="242"/>
      <c r="DR70" s="242"/>
      <c r="DS70" s="242"/>
      <c r="DT70" s="242"/>
      <c r="DU70" s="242"/>
      <c r="DV70" s="242"/>
      <c r="DW70" s="242"/>
      <c r="DX70" s="242"/>
      <c r="DY70" s="242"/>
      <c r="DZ70" s="242"/>
      <c r="EA70" s="242"/>
      <c r="EB70" s="242"/>
      <c r="EC70" s="242"/>
      <c r="ED70" s="242"/>
      <c r="EE70" s="242"/>
      <c r="EF70" s="242"/>
      <c r="EG70" s="242"/>
      <c r="EH70" s="242"/>
      <c r="EI70" s="242"/>
      <c r="EJ70" s="242"/>
      <c r="EK70" s="242"/>
      <c r="EL70" s="242"/>
      <c r="EM70" s="242"/>
      <c r="EN70" s="242"/>
      <c r="EO70" s="242"/>
      <c r="EP70" s="242"/>
      <c r="EQ70" s="242"/>
      <c r="ER70" s="242"/>
      <c r="ES70" s="242"/>
      <c r="ET70" s="242"/>
      <c r="EU70" s="242"/>
      <c r="EV70" s="242"/>
      <c r="EW70" s="242"/>
      <c r="EX70" s="242"/>
      <c r="EY70" s="242"/>
      <c r="EZ70" s="242"/>
      <c r="FA70" s="242"/>
      <c r="FB70" s="242"/>
      <c r="FC70" s="242"/>
      <c r="FD70" s="242"/>
      <c r="FE70" s="242"/>
      <c r="FF70" s="242"/>
      <c r="FG70" s="242"/>
      <c r="FH70" s="242"/>
      <c r="FI70" s="242"/>
      <c r="FJ70" s="242"/>
      <c r="FK70" s="242"/>
      <c r="FL70" s="242"/>
      <c r="FM70" s="242"/>
      <c r="FN70" s="242"/>
      <c r="FO70" s="242"/>
      <c r="FP70" s="242"/>
      <c r="FQ70" s="242"/>
      <c r="FR70" s="242"/>
      <c r="FS70" s="242"/>
      <c r="FT70" s="242"/>
      <c r="FU70" s="242"/>
      <c r="FV70" s="242"/>
      <c r="FW70" s="242"/>
      <c r="FX70" s="242"/>
      <c r="FY70" s="242"/>
      <c r="FZ70" s="242"/>
      <c r="GA70" s="242"/>
      <c r="GB70" s="242"/>
      <c r="GC70" s="242"/>
      <c r="GD70" s="242"/>
      <c r="GE70" s="242"/>
      <c r="GF70" s="242"/>
      <c r="GG70" s="242"/>
      <c r="GH70" s="242"/>
      <c r="GI70" s="242"/>
      <c r="GJ70" s="242"/>
      <c r="GK70" s="242"/>
      <c r="GL70" s="242"/>
      <c r="GM70" s="242"/>
      <c r="GN70" s="242"/>
      <c r="GO70" s="242"/>
      <c r="GP70" s="242"/>
      <c r="GQ70" s="242"/>
      <c r="GR70" s="242"/>
      <c r="GS70" s="242"/>
      <c r="GT70" s="242"/>
      <c r="GU70" s="242"/>
      <c r="GV70" s="242"/>
      <c r="GW70" s="242"/>
      <c r="GX70" s="242"/>
      <c r="GY70" s="242"/>
      <c r="GZ70" s="242"/>
      <c r="HA70" s="242"/>
      <c r="HB70" s="242"/>
      <c r="HC70" s="242"/>
      <c r="HD70" s="242"/>
      <c r="HE70" s="242"/>
      <c r="HF70" s="242"/>
      <c r="HG70" s="242"/>
      <c r="HH70" s="242"/>
      <c r="HI70" s="242"/>
      <c r="HJ70" s="242"/>
      <c r="HK70" s="242"/>
      <c r="HL70" s="242"/>
      <c r="HM70" s="242"/>
      <c r="HN70" s="242"/>
      <c r="HO70" s="242"/>
      <c r="HP70" s="242"/>
      <c r="HQ70" s="242"/>
      <c r="HR70" s="242"/>
      <c r="HS70" s="242"/>
      <c r="HT70" s="242"/>
      <c r="HU70" s="242"/>
      <c r="HV70" s="242"/>
      <c r="HW70" s="242"/>
      <c r="HX70" s="242"/>
      <c r="HY70" s="242"/>
      <c r="HZ70" s="242"/>
      <c r="IA70" s="242"/>
      <c r="IB70" s="242"/>
      <c r="IC70" s="242"/>
      <c r="ID70" s="242"/>
      <c r="IE70" s="242"/>
      <c r="IF70" s="242"/>
      <c r="IG70" s="242"/>
      <c r="IH70" s="242"/>
      <c r="II70" s="242"/>
      <c r="IJ70" s="242"/>
      <c r="IK70" s="242"/>
      <c r="IL70" s="242"/>
      <c r="IM70" s="242"/>
      <c r="IN70" s="242"/>
      <c r="IO70" s="242"/>
      <c r="IP70" s="242"/>
      <c r="IQ70" s="242"/>
      <c r="IR70" s="242"/>
      <c r="IS70" s="242"/>
      <c r="IT70" s="242"/>
      <c r="IU70" s="242"/>
      <c r="IV70" s="242"/>
      <c r="IW70" s="242"/>
    </row>
    <row r="71" customFormat="false" ht="12.75" hidden="false" customHeight="true" outlineLevel="0" collapsed="false">
      <c r="A71" s="248" t="str">
        <f aca="false">'Project Assumptions'!K13</f>
        <v>Ops and Mach Insurance (% of book value)</v>
      </c>
      <c r="B71" s="242"/>
      <c r="C71" s="254" t="n">
        <f aca="false">Depreciation!D39*'Project Assumptions'!$M$13*C5/12</f>
        <v>94.9887498796157</v>
      </c>
      <c r="D71" s="254" t="n">
        <f aca="false">IF(D$3&lt;='Project Assumptions'!$I$15,C71*12/C$5*(1+Opcostescalation),C71*D$5/12*(1+Opcostescalation))</f>
        <v>183.820126249248</v>
      </c>
      <c r="E71" s="254" t="n">
        <f aca="false">IF(E$3&lt;='Project Assumptions'!$I$15,D71*12/D$5*(1+Opcostescalation),D71*E$5/12*(1+Opcostescalation))</f>
        <v>187.496528774233</v>
      </c>
      <c r="F71" s="254" t="n">
        <f aca="false">IF(F$3&lt;='Project Assumptions'!$I$15,E71*12/E$5*(1+Opcostescalation),E71*F$5/12*(1+Opcostescalation))</f>
        <v>191.246459349718</v>
      </c>
      <c r="G71" s="254" t="n">
        <f aca="false">IF(G$3&lt;='Project Assumptions'!$I$15,F71*12/F$5*(1+Opcostescalation),F71*G$5/12*(1+Opcostescalation))</f>
        <v>195.071388536712</v>
      </c>
      <c r="H71" s="254" t="n">
        <f aca="false">IF(H$3&lt;='Project Assumptions'!$I$15,G71*12/G$5*(1+Opcostescalation),G71*H$5/12*(1+Opcostescalation))</f>
        <v>198.972816307447</v>
      </c>
      <c r="I71" s="254" t="n">
        <f aca="false">IF(I$3&lt;='Project Assumptions'!$I$15,H71*12/H$5*(1+Opcostescalation),H71*I$5/12*(1+Opcostescalation))</f>
        <v>202.952272633596</v>
      </c>
      <c r="J71" s="254" t="n">
        <f aca="false">IF(J$3&lt;='Project Assumptions'!$I$15,I71*12/I$5*(1+Opcostescalation),I71*J$5/12*(1+Opcostescalation))</f>
        <v>207.011318086267</v>
      </c>
      <c r="K71" s="254" t="n">
        <f aca="false">IF(K$3&lt;='Project Assumptions'!$I$15,J71*12/J$5*(1+Opcostescalation),J71*K$5/12*(1+Opcostescalation))</f>
        <v>211.151544447993</v>
      </c>
      <c r="L71" s="254" t="n">
        <f aca="false">IF(L$3&lt;='Project Assumptions'!$I$15,K71*12/K$5*(1+Opcostescalation),K71*L$5/12*(1+Opcostescalation))</f>
        <v>215.374575336953</v>
      </c>
      <c r="M71" s="254" t="n">
        <f aca="false">IF(M$3&lt;='Project Assumptions'!$I$15,L71*12/L$5*(1+Opcostescalation),L71*M$5/12*(1+Opcostescalation))</f>
        <v>219.682066843692</v>
      </c>
      <c r="N71" s="254" t="n">
        <f aca="false">IF(N$3&lt;='Project Assumptions'!$I$15,M71*12/M$5*(1+Opcostescalation),M71*N$5/12*(1+Opcostescalation))</f>
        <v>224.075708180566</v>
      </c>
      <c r="O71" s="254" t="n">
        <f aca="false">IF(O$3&lt;='Project Assumptions'!$I$15,N71*12/N$5*(1+Opcostescalation),N71*O$5/12*(1+Opcostescalation))</f>
        <v>228.557222344177</v>
      </c>
      <c r="P71" s="254" t="n">
        <f aca="false">IF(P$3&lt;='Project Assumptions'!$I$15,O71*12/O$5*(1+Opcostescalation),O71*P$5/12*(1+Opcostescalation))</f>
        <v>233.12836679106</v>
      </c>
      <c r="Q71" s="254" t="n">
        <f aca="false">IF(Q$3&lt;='Project Assumptions'!$I$15,P71*12/P$5*(1+Opcostescalation),P71*Q$5/12*(1+Opcostescalation))</f>
        <v>237.790934126882</v>
      </c>
      <c r="R71" s="254" t="n">
        <f aca="false">IF(R$3&lt;='Project Assumptions'!$I$15,Q71*12/Q$5*(1+Opcostescalation),Q71*R$5/12*(1+Opcostescalation))</f>
        <v>161.69783520628</v>
      </c>
      <c r="AB71" s="242"/>
      <c r="AC71" s="242"/>
      <c r="AD71" s="184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  <c r="BE71" s="242"/>
      <c r="BF71" s="242"/>
      <c r="BG71" s="242"/>
      <c r="BH71" s="242"/>
      <c r="BI71" s="242"/>
      <c r="BJ71" s="242"/>
      <c r="BK71" s="242"/>
      <c r="BL71" s="242"/>
      <c r="BM71" s="242"/>
      <c r="BN71" s="242"/>
      <c r="BO71" s="242"/>
      <c r="BP71" s="242"/>
      <c r="BQ71" s="242"/>
      <c r="BR71" s="242"/>
      <c r="BS71" s="242"/>
      <c r="BT71" s="242"/>
      <c r="BU71" s="242"/>
      <c r="BV71" s="242"/>
      <c r="BW71" s="242"/>
      <c r="BX71" s="242"/>
      <c r="BY71" s="242"/>
      <c r="BZ71" s="242"/>
      <c r="CA71" s="242"/>
      <c r="CB71" s="242"/>
      <c r="CC71" s="242"/>
      <c r="CD71" s="242"/>
      <c r="CE71" s="242"/>
      <c r="CF71" s="242"/>
      <c r="CG71" s="242"/>
      <c r="CH71" s="242"/>
      <c r="CI71" s="242"/>
      <c r="CJ71" s="242"/>
      <c r="CK71" s="242"/>
      <c r="CL71" s="242"/>
      <c r="CM71" s="242"/>
      <c r="CN71" s="242"/>
      <c r="CO71" s="242"/>
      <c r="CP71" s="242"/>
      <c r="CQ71" s="242"/>
      <c r="CR71" s="242"/>
      <c r="CS71" s="242"/>
      <c r="CT71" s="242"/>
      <c r="CU71" s="242"/>
      <c r="CV71" s="242"/>
      <c r="CW71" s="242"/>
      <c r="CX71" s="242"/>
      <c r="CY71" s="242"/>
      <c r="CZ71" s="242"/>
      <c r="DA71" s="242"/>
      <c r="DB71" s="242"/>
      <c r="DC71" s="242"/>
      <c r="DD71" s="242"/>
      <c r="DE71" s="242"/>
      <c r="DF71" s="242"/>
      <c r="DG71" s="242"/>
      <c r="DH71" s="242"/>
      <c r="DI71" s="242"/>
      <c r="DJ71" s="242"/>
      <c r="DK71" s="242"/>
      <c r="DL71" s="242"/>
      <c r="DM71" s="242"/>
      <c r="DN71" s="242"/>
      <c r="DO71" s="242"/>
      <c r="DP71" s="242"/>
      <c r="DQ71" s="242"/>
      <c r="DR71" s="242"/>
      <c r="DS71" s="242"/>
      <c r="DT71" s="242"/>
      <c r="DU71" s="242"/>
      <c r="DV71" s="242"/>
      <c r="DW71" s="242"/>
      <c r="DX71" s="242"/>
      <c r="DY71" s="242"/>
      <c r="DZ71" s="242"/>
      <c r="EA71" s="242"/>
      <c r="EB71" s="242"/>
      <c r="EC71" s="242"/>
      <c r="ED71" s="242"/>
      <c r="EE71" s="242"/>
      <c r="EF71" s="242"/>
      <c r="EG71" s="242"/>
      <c r="EH71" s="242"/>
      <c r="EI71" s="242"/>
      <c r="EJ71" s="242"/>
      <c r="EK71" s="242"/>
      <c r="EL71" s="242"/>
      <c r="EM71" s="242"/>
      <c r="EN71" s="242"/>
      <c r="EO71" s="242"/>
      <c r="EP71" s="242"/>
      <c r="EQ71" s="242"/>
      <c r="ER71" s="242"/>
      <c r="ES71" s="242"/>
      <c r="ET71" s="242"/>
      <c r="EU71" s="242"/>
      <c r="EV71" s="242"/>
      <c r="EW71" s="242"/>
      <c r="EX71" s="242"/>
      <c r="EY71" s="242"/>
      <c r="EZ71" s="242"/>
      <c r="FA71" s="242"/>
      <c r="FB71" s="242"/>
      <c r="FC71" s="242"/>
      <c r="FD71" s="242"/>
      <c r="FE71" s="242"/>
      <c r="FF71" s="242"/>
      <c r="FG71" s="242"/>
      <c r="FH71" s="242"/>
      <c r="FI71" s="242"/>
      <c r="FJ71" s="242"/>
      <c r="FK71" s="242"/>
      <c r="FL71" s="242"/>
      <c r="FM71" s="242"/>
      <c r="FN71" s="242"/>
      <c r="FO71" s="242"/>
      <c r="FP71" s="242"/>
      <c r="FQ71" s="242"/>
      <c r="FR71" s="242"/>
      <c r="FS71" s="242"/>
      <c r="FT71" s="242"/>
      <c r="FU71" s="242"/>
      <c r="FV71" s="242"/>
      <c r="FW71" s="242"/>
      <c r="FX71" s="242"/>
      <c r="FY71" s="242"/>
      <c r="FZ71" s="242"/>
      <c r="GA71" s="242"/>
      <c r="GB71" s="242"/>
      <c r="GC71" s="242"/>
      <c r="GD71" s="242"/>
      <c r="GE71" s="242"/>
      <c r="GF71" s="242"/>
      <c r="GG71" s="242"/>
      <c r="GH71" s="242"/>
      <c r="GI71" s="242"/>
      <c r="GJ71" s="242"/>
      <c r="GK71" s="242"/>
      <c r="GL71" s="242"/>
      <c r="GM71" s="242"/>
      <c r="GN71" s="242"/>
      <c r="GO71" s="242"/>
      <c r="GP71" s="242"/>
      <c r="GQ71" s="242"/>
      <c r="GR71" s="242"/>
      <c r="GS71" s="242"/>
      <c r="GT71" s="242"/>
      <c r="GU71" s="242"/>
      <c r="GV71" s="242"/>
      <c r="GW71" s="242"/>
      <c r="GX71" s="242"/>
      <c r="GY71" s="242"/>
      <c r="GZ71" s="242"/>
      <c r="HA71" s="242"/>
      <c r="HB71" s="242"/>
      <c r="HC71" s="242"/>
      <c r="HD71" s="242"/>
      <c r="HE71" s="242"/>
      <c r="HF71" s="242"/>
      <c r="HG71" s="242"/>
      <c r="HH71" s="242"/>
      <c r="HI71" s="242"/>
      <c r="HJ71" s="242"/>
      <c r="HK71" s="242"/>
      <c r="HL71" s="242"/>
      <c r="HM71" s="242"/>
      <c r="HN71" s="242"/>
      <c r="HO71" s="242"/>
      <c r="HP71" s="242"/>
      <c r="HQ71" s="242"/>
      <c r="HR71" s="242"/>
      <c r="HS71" s="242"/>
      <c r="HT71" s="242"/>
      <c r="HU71" s="242"/>
      <c r="HV71" s="242"/>
      <c r="HW71" s="242"/>
      <c r="HX71" s="242"/>
      <c r="HY71" s="242"/>
      <c r="HZ71" s="242"/>
      <c r="IA71" s="242"/>
      <c r="IB71" s="242"/>
      <c r="IC71" s="242"/>
      <c r="ID71" s="242"/>
      <c r="IE71" s="242"/>
      <c r="IF71" s="242"/>
      <c r="IG71" s="242"/>
      <c r="IH71" s="242"/>
      <c r="II71" s="242"/>
      <c r="IJ71" s="242"/>
      <c r="IK71" s="242"/>
      <c r="IL71" s="242"/>
      <c r="IM71" s="242"/>
      <c r="IN71" s="242"/>
      <c r="IO71" s="242"/>
      <c r="IP71" s="242"/>
      <c r="IQ71" s="242"/>
      <c r="IR71" s="242"/>
      <c r="IS71" s="242"/>
      <c r="IT71" s="242"/>
      <c r="IU71" s="242"/>
      <c r="IV71" s="242"/>
      <c r="IW71" s="242"/>
    </row>
    <row r="72" customFormat="false" ht="15" hidden="false" customHeight="true" outlineLevel="0" collapsed="false">
      <c r="A72" s="248" t="s">
        <v>359</v>
      </c>
      <c r="B72" s="242"/>
      <c r="C72" s="257" t="n">
        <v>0</v>
      </c>
      <c r="D72" s="257" t="n">
        <f aca="false">IF(D3&gt;'Project Assumptions'!$I$15+1,0,IF(D3&lt;='Project Assumptions'!$I$15,Depreciation!E48,Depreciation!E48))*(1+Opcostescalation)*D$5/12</f>
        <v>563.99874725376</v>
      </c>
      <c r="E72" s="257" t="n">
        <f aca="false">IF(E3&gt;'Project Assumptions'!$I$15+1,0,IF(E3&lt;='Project Assumptions'!$I$15,Depreciation!F48,Depreciation!F48))*(1+Opcostescalation)*E$5/12</f>
        <v>623.6524609056</v>
      </c>
      <c r="F72" s="257" t="n">
        <f aca="false">IF(F3&gt;'Project Assumptions'!$I$15+1,0,IF(F3&lt;='Project Assumptions'!$I$15,Depreciation!G48,Depreciation!G48))*(1+Opcostescalation)*F$5/12</f>
        <v>676.07542138752</v>
      </c>
      <c r="G72" s="257" t="n">
        <f aca="false">IF(G3&gt;'Project Assumptions'!$I$15+1,0,IF(G3&lt;='Project Assumptions'!$I$15,Depreciation!H48,Depreciation!H48))*(1+Opcostescalation)*G$5/12</f>
        <v>683.30617455744</v>
      </c>
      <c r="H72" s="257" t="n">
        <f aca="false">IF(H3&gt;'Project Assumptions'!$I$15+1,0,IF(H3&lt;='Project Assumptions'!$I$15,Depreciation!I48,Depreciation!I48))*(1+Opcostescalation)*H$5/12</f>
        <v>686.9215511424</v>
      </c>
      <c r="I72" s="257" t="n">
        <f aca="false">IF(I3&gt;'Project Assumptions'!$I$15+1,0,IF(I3&lt;='Project Assumptions'!$I$15,Depreciation!J48,Depreciation!J48))*(1+Opcostescalation)*I$5/12</f>
        <v>686.9215511424</v>
      </c>
      <c r="J72" s="257" t="n">
        <f aca="false">IF(J3&gt;'Project Assumptions'!$I$15+1,0,IF(J3&lt;='Project Assumptions'!$I$15,Depreciation!K48,Depreciation!K48))*(1+Opcostescalation)*J$5/12</f>
        <v>650.7677852928</v>
      </c>
      <c r="K72" s="257" t="n">
        <f aca="false">IF(K3&gt;'Project Assumptions'!$I$15+1,0,IF(K3&lt;='Project Assumptions'!$I$15,Depreciation!L48,Depreciation!L48))*(1+Opcostescalation)*K$5/12</f>
        <v>614.6140194432</v>
      </c>
      <c r="L72" s="257" t="n">
        <f aca="false">IF(L3&gt;'Project Assumptions'!$I$15+1,0,IF(L3&lt;='Project Assumptions'!$I$15,Depreciation!M48,Depreciation!M48))*(1+Opcostescalation)*L$5/12</f>
        <v>578.4602535936</v>
      </c>
      <c r="M72" s="257" t="n">
        <f aca="false">IF(M3&gt;'Project Assumptions'!$I$15+1,0,IF(M3&lt;='Project Assumptions'!$I$15,Depreciation!N48,Depreciation!N48))*(1+Opcostescalation)*M$5/12</f>
        <v>542.306487744</v>
      </c>
      <c r="N72" s="257" t="n">
        <f aca="false">IF(N3&gt;'Project Assumptions'!$I$15+1,0,IF(N3&lt;='Project Assumptions'!$I$15,Depreciation!O48,Depreciation!O48))*(1+Opcostescalation)*N$5/12</f>
        <v>506.1527218944</v>
      </c>
      <c r="O72" s="257" t="n">
        <f aca="false">IF(O3&gt;'Project Assumptions'!$I$15+1,0,IF(O3&lt;='Project Assumptions'!$I$15,Depreciation!P48,Depreciation!P48))*(1+Opcostescalation)*O$5/12</f>
        <v>469.9989560448</v>
      </c>
      <c r="P72" s="257" t="n">
        <f aca="false">IF(P3&gt;'Project Assumptions'!$I$15+1,0,IF(P3&lt;='Project Assumptions'!$I$15,Depreciation!Q48,Depreciation!Q48))*(1+Opcostescalation)*P$5/12</f>
        <v>433.8451901952</v>
      </c>
      <c r="Q72" s="257" t="n">
        <f aca="false">IF(Q3&gt;'Project Assumptions'!$I$15+1,0,IF(Q3&lt;='Project Assumptions'!$I$15,Depreciation!R48,Depreciation!R48))*(1+Opcostescalation)*Q$5/12</f>
        <v>397.6914243456</v>
      </c>
      <c r="R72" s="257" t="n">
        <f aca="false">IF(R3&gt;'Project Assumptions'!$I$15+1,0,IF(R3&lt;='Project Assumptions'!$I$15,Depreciation!S48,Depreciation!S48))*(1+Opcostescalation)*R$5/12</f>
        <v>241.025105664</v>
      </c>
      <c r="AB72" s="242"/>
      <c r="AC72" s="242"/>
      <c r="AD72" s="184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242"/>
      <c r="BZ72" s="242"/>
      <c r="CA72" s="242"/>
      <c r="CB72" s="242"/>
      <c r="CC72" s="242"/>
      <c r="CD72" s="242"/>
      <c r="CE72" s="242"/>
      <c r="CF72" s="242"/>
      <c r="CG72" s="242"/>
      <c r="CH72" s="242"/>
      <c r="CI72" s="242"/>
      <c r="CJ72" s="242"/>
      <c r="CK72" s="242"/>
      <c r="CL72" s="242"/>
      <c r="CM72" s="242"/>
      <c r="CN72" s="242"/>
      <c r="CO72" s="242"/>
      <c r="CP72" s="242"/>
      <c r="CQ72" s="242"/>
      <c r="CR72" s="242"/>
      <c r="CS72" s="242"/>
      <c r="CT72" s="242"/>
      <c r="CU72" s="242"/>
      <c r="CV72" s="242"/>
      <c r="CW72" s="242"/>
      <c r="CX72" s="242"/>
      <c r="CY72" s="242"/>
      <c r="CZ72" s="242"/>
      <c r="DA72" s="242"/>
      <c r="DB72" s="242"/>
      <c r="DC72" s="242"/>
      <c r="DD72" s="242"/>
      <c r="DE72" s="242"/>
      <c r="DF72" s="242"/>
      <c r="DG72" s="242"/>
      <c r="DH72" s="242"/>
      <c r="DI72" s="242"/>
      <c r="DJ72" s="242"/>
      <c r="DK72" s="242"/>
      <c r="DL72" s="242"/>
      <c r="DM72" s="242"/>
      <c r="DN72" s="242"/>
      <c r="DO72" s="242"/>
      <c r="DP72" s="242"/>
      <c r="DQ72" s="242"/>
      <c r="DR72" s="242"/>
      <c r="DS72" s="242"/>
      <c r="DT72" s="242"/>
      <c r="DU72" s="242"/>
      <c r="DV72" s="242"/>
      <c r="DW72" s="242"/>
      <c r="DX72" s="242"/>
      <c r="DY72" s="242"/>
      <c r="DZ72" s="242"/>
      <c r="EA72" s="242"/>
      <c r="EB72" s="242"/>
      <c r="EC72" s="242"/>
      <c r="ED72" s="242"/>
      <c r="EE72" s="242"/>
      <c r="EF72" s="242"/>
      <c r="EG72" s="242"/>
      <c r="EH72" s="242"/>
      <c r="EI72" s="242"/>
      <c r="EJ72" s="242"/>
      <c r="EK72" s="242"/>
      <c r="EL72" s="242"/>
      <c r="EM72" s="242"/>
      <c r="EN72" s="242"/>
      <c r="EO72" s="242"/>
      <c r="EP72" s="242"/>
      <c r="EQ72" s="242"/>
      <c r="ER72" s="242"/>
      <c r="ES72" s="242"/>
      <c r="ET72" s="242"/>
      <c r="EU72" s="242"/>
      <c r="EV72" s="242"/>
      <c r="EW72" s="242"/>
      <c r="EX72" s="242"/>
      <c r="EY72" s="242"/>
      <c r="EZ72" s="242"/>
      <c r="FA72" s="242"/>
      <c r="FB72" s="242"/>
      <c r="FC72" s="242"/>
      <c r="FD72" s="242"/>
      <c r="FE72" s="242"/>
      <c r="FF72" s="242"/>
      <c r="FG72" s="242"/>
      <c r="FH72" s="242"/>
      <c r="FI72" s="242"/>
      <c r="FJ72" s="242"/>
      <c r="FK72" s="242"/>
      <c r="FL72" s="242"/>
      <c r="FM72" s="242"/>
      <c r="FN72" s="242"/>
      <c r="FO72" s="242"/>
      <c r="FP72" s="242"/>
      <c r="FQ72" s="242"/>
      <c r="FR72" s="242"/>
      <c r="FS72" s="242"/>
      <c r="FT72" s="242"/>
      <c r="FU72" s="242"/>
      <c r="FV72" s="242"/>
      <c r="FW72" s="242"/>
      <c r="FX72" s="242"/>
      <c r="FY72" s="242"/>
      <c r="FZ72" s="242"/>
      <c r="GA72" s="242"/>
      <c r="GB72" s="242"/>
      <c r="GC72" s="242"/>
      <c r="GD72" s="242"/>
      <c r="GE72" s="242"/>
      <c r="GF72" s="242"/>
      <c r="GG72" s="242"/>
      <c r="GH72" s="242"/>
      <c r="GI72" s="242"/>
      <c r="GJ72" s="242"/>
      <c r="GK72" s="242"/>
      <c r="GL72" s="242"/>
      <c r="GM72" s="242"/>
      <c r="GN72" s="242"/>
      <c r="GO72" s="242"/>
      <c r="GP72" s="242"/>
      <c r="GQ72" s="242"/>
      <c r="GR72" s="242"/>
      <c r="GS72" s="242"/>
      <c r="GT72" s="242"/>
      <c r="GU72" s="242"/>
      <c r="GV72" s="242"/>
      <c r="GW72" s="242"/>
      <c r="GX72" s="242"/>
      <c r="GY72" s="242"/>
      <c r="GZ72" s="242"/>
      <c r="HA72" s="242"/>
      <c r="HB72" s="242"/>
      <c r="HC72" s="242"/>
      <c r="HD72" s="242"/>
      <c r="HE72" s="242"/>
      <c r="HF72" s="242"/>
      <c r="HG72" s="242"/>
      <c r="HH72" s="242"/>
      <c r="HI72" s="242"/>
      <c r="HJ72" s="242"/>
      <c r="HK72" s="242"/>
      <c r="HL72" s="242"/>
      <c r="HM72" s="242"/>
      <c r="HN72" s="242"/>
      <c r="HO72" s="242"/>
      <c r="HP72" s="242"/>
      <c r="HQ72" s="242"/>
      <c r="HR72" s="242"/>
      <c r="HS72" s="242"/>
      <c r="HT72" s="242"/>
      <c r="HU72" s="242"/>
      <c r="HV72" s="242"/>
      <c r="HW72" s="242"/>
      <c r="HX72" s="242"/>
      <c r="HY72" s="242"/>
      <c r="HZ72" s="242"/>
      <c r="IA72" s="242"/>
      <c r="IB72" s="242"/>
      <c r="IC72" s="242"/>
      <c r="ID72" s="242"/>
      <c r="IE72" s="242"/>
      <c r="IF72" s="242"/>
      <c r="IG72" s="242"/>
      <c r="IH72" s="242"/>
      <c r="II72" s="242"/>
      <c r="IJ72" s="242"/>
      <c r="IK72" s="242"/>
      <c r="IL72" s="242"/>
      <c r="IM72" s="242"/>
      <c r="IN72" s="242"/>
      <c r="IO72" s="242"/>
      <c r="IP72" s="242"/>
      <c r="IQ72" s="242"/>
      <c r="IR72" s="242"/>
      <c r="IS72" s="242"/>
      <c r="IT72" s="242"/>
      <c r="IU72" s="242"/>
      <c r="IV72" s="242"/>
      <c r="IW72" s="242"/>
    </row>
    <row r="73" customFormat="false" ht="12.75" hidden="false" customHeight="true" outlineLevel="0" collapsed="false">
      <c r="A73" s="248" t="s">
        <v>360</v>
      </c>
      <c r="B73" s="184"/>
      <c r="C73" s="258" t="n">
        <f aca="false">SUM(C66:C72)</f>
        <v>1064.74238287962</v>
      </c>
      <c r="D73" s="258" t="n">
        <f aca="false">SUM(D66:D72)</f>
        <v>2323.07515750301</v>
      </c>
      <c r="E73" s="258" t="n">
        <f aca="false">SUM(E66:E72)</f>
        <v>2416.72579775983</v>
      </c>
      <c r="F73" s="258" t="n">
        <f aca="false">SUM(F66:F72)</f>
        <v>2503.82562337884</v>
      </c>
      <c r="G73" s="258" t="n">
        <f aca="false">SUM(G66:G72)</f>
        <v>2546.42677898858</v>
      </c>
      <c r="H73" s="258" t="n">
        <f aca="false">SUM(H66:H72)</f>
        <v>2586.11996606217</v>
      </c>
      <c r="I73" s="258" t="n">
        <f aca="false">SUM(I66:I72)</f>
        <v>2622.91933276056</v>
      </c>
      <c r="J73" s="258" t="n">
        <f aca="false">SUM(J66:J72)</f>
        <v>2624.30092094333</v>
      </c>
      <c r="K73" s="258" t="n">
        <f aca="false">SUM(K66:K72)</f>
        <v>2626.43321620674</v>
      </c>
      <c r="L73" s="258" t="n">
        <f aca="false">SUM(L66:L72)</f>
        <v>2629.33123269241</v>
      </c>
      <c r="M73" s="258" t="n">
        <f aca="false">SUM(M66:M72)</f>
        <v>2633.01028482478</v>
      </c>
      <c r="N73" s="258" t="n">
        <f aca="false">SUM(N66:N72)</f>
        <v>2637.4859933168</v>
      </c>
      <c r="O73" s="258" t="n">
        <f aca="false">SUM(O66:O72)</f>
        <v>2642.77429129565</v>
      </c>
      <c r="P73" s="258" t="n">
        <f aca="false">SUM(P66:P72)</f>
        <v>2648.89143055106</v>
      </c>
      <c r="Q73" s="258" t="n">
        <f aca="false">SUM(Q66:Q72)</f>
        <v>2655.85398790858</v>
      </c>
      <c r="R73" s="258" t="n">
        <f aca="false">SUM(R66:R72)</f>
        <v>1481.46335105208</v>
      </c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184"/>
      <c r="BP73" s="184"/>
      <c r="BQ73" s="184"/>
      <c r="BR73" s="184"/>
      <c r="BS73" s="184"/>
      <c r="BT73" s="184"/>
      <c r="BU73" s="184"/>
      <c r="BV73" s="184"/>
      <c r="BW73" s="184"/>
      <c r="BX73" s="184"/>
      <c r="BY73" s="184"/>
      <c r="BZ73" s="184"/>
      <c r="CA73" s="184"/>
      <c r="CB73" s="184"/>
      <c r="CC73" s="184"/>
      <c r="CD73" s="184"/>
      <c r="CE73" s="184"/>
      <c r="CF73" s="184"/>
      <c r="CG73" s="184"/>
      <c r="CH73" s="184"/>
      <c r="CI73" s="184"/>
      <c r="CJ73" s="184"/>
      <c r="CK73" s="184"/>
      <c r="CL73" s="184"/>
      <c r="CM73" s="184"/>
      <c r="CN73" s="184"/>
      <c r="CO73" s="184"/>
      <c r="CP73" s="184"/>
      <c r="CQ73" s="184"/>
      <c r="CR73" s="184"/>
      <c r="CS73" s="184"/>
      <c r="CT73" s="184"/>
      <c r="CU73" s="184"/>
      <c r="CV73" s="184"/>
      <c r="CW73" s="184"/>
      <c r="CX73" s="184"/>
      <c r="CY73" s="184"/>
      <c r="CZ73" s="184"/>
      <c r="DA73" s="184"/>
      <c r="DB73" s="184"/>
      <c r="DC73" s="184"/>
      <c r="DD73" s="184"/>
      <c r="DE73" s="184"/>
      <c r="DF73" s="184"/>
      <c r="DG73" s="184"/>
      <c r="DH73" s="184"/>
      <c r="DI73" s="184"/>
      <c r="DJ73" s="184"/>
      <c r="DK73" s="184"/>
      <c r="DL73" s="184"/>
      <c r="DM73" s="184"/>
      <c r="DN73" s="184"/>
      <c r="DO73" s="184"/>
      <c r="DP73" s="184"/>
      <c r="DQ73" s="184"/>
      <c r="DR73" s="184"/>
      <c r="DS73" s="184"/>
      <c r="DT73" s="184"/>
      <c r="DU73" s="184"/>
      <c r="DV73" s="184"/>
      <c r="DW73" s="184"/>
      <c r="DX73" s="184"/>
      <c r="DY73" s="184"/>
      <c r="DZ73" s="184"/>
      <c r="EA73" s="184"/>
      <c r="EB73" s="184"/>
      <c r="EC73" s="184"/>
      <c r="ED73" s="184"/>
      <c r="EE73" s="184"/>
      <c r="EF73" s="184"/>
      <c r="EG73" s="184"/>
      <c r="EH73" s="184"/>
      <c r="EI73" s="184"/>
      <c r="EJ73" s="184"/>
      <c r="EK73" s="184"/>
      <c r="EL73" s="184"/>
      <c r="EM73" s="184"/>
      <c r="EN73" s="184"/>
      <c r="EO73" s="184"/>
      <c r="EP73" s="184"/>
      <c r="EQ73" s="184"/>
      <c r="ER73" s="184"/>
      <c r="ES73" s="184"/>
      <c r="ET73" s="184"/>
      <c r="EU73" s="184"/>
      <c r="EV73" s="184"/>
      <c r="EW73" s="184"/>
      <c r="EX73" s="184"/>
      <c r="EY73" s="184"/>
      <c r="EZ73" s="184"/>
      <c r="FA73" s="184"/>
      <c r="FB73" s="184"/>
      <c r="FC73" s="184"/>
      <c r="FD73" s="184"/>
      <c r="FE73" s="184"/>
      <c r="FF73" s="184"/>
      <c r="FG73" s="184"/>
      <c r="FH73" s="184"/>
      <c r="FI73" s="184"/>
      <c r="FJ73" s="184"/>
      <c r="FK73" s="184"/>
      <c r="FL73" s="184"/>
      <c r="FM73" s="184"/>
      <c r="FN73" s="184"/>
      <c r="FO73" s="184"/>
      <c r="FP73" s="184"/>
      <c r="FQ73" s="184"/>
      <c r="FR73" s="184"/>
      <c r="FS73" s="184"/>
      <c r="FT73" s="184"/>
      <c r="FU73" s="184"/>
      <c r="FV73" s="184"/>
      <c r="FW73" s="184"/>
      <c r="FX73" s="184"/>
      <c r="FY73" s="184"/>
      <c r="FZ73" s="184"/>
      <c r="GA73" s="184"/>
      <c r="GB73" s="184"/>
      <c r="GC73" s="184"/>
      <c r="GD73" s="184"/>
      <c r="GE73" s="184"/>
      <c r="GF73" s="184"/>
      <c r="GG73" s="184"/>
      <c r="GH73" s="184"/>
      <c r="GI73" s="184"/>
      <c r="GJ73" s="184"/>
      <c r="GK73" s="184"/>
      <c r="GL73" s="184"/>
      <c r="GM73" s="184"/>
      <c r="GN73" s="184"/>
      <c r="GO73" s="184"/>
      <c r="GP73" s="184"/>
      <c r="GQ73" s="184"/>
      <c r="GR73" s="184"/>
      <c r="GS73" s="184"/>
      <c r="GT73" s="184"/>
      <c r="GU73" s="184"/>
      <c r="GV73" s="184"/>
      <c r="GW73" s="184"/>
      <c r="GX73" s="184"/>
      <c r="GY73" s="184"/>
      <c r="GZ73" s="184"/>
      <c r="HA73" s="184"/>
      <c r="HB73" s="184"/>
      <c r="HC73" s="184"/>
      <c r="HD73" s="184"/>
      <c r="HE73" s="184"/>
      <c r="HF73" s="184"/>
      <c r="HG73" s="184"/>
      <c r="HH73" s="184"/>
      <c r="HI73" s="184"/>
      <c r="HJ73" s="184"/>
      <c r="HK73" s="184"/>
      <c r="HL73" s="184"/>
      <c r="HM73" s="184"/>
      <c r="HN73" s="184"/>
      <c r="HO73" s="184"/>
      <c r="HP73" s="184"/>
      <c r="HQ73" s="184"/>
      <c r="HR73" s="184"/>
      <c r="HS73" s="184"/>
      <c r="HT73" s="184"/>
      <c r="HU73" s="184"/>
      <c r="HV73" s="184"/>
      <c r="HW73" s="184"/>
      <c r="HX73" s="184"/>
      <c r="HY73" s="184"/>
      <c r="HZ73" s="184"/>
      <c r="IA73" s="184"/>
      <c r="IB73" s="184"/>
      <c r="IC73" s="184"/>
      <c r="ID73" s="184"/>
      <c r="IE73" s="184"/>
      <c r="IF73" s="184"/>
      <c r="IG73" s="184"/>
      <c r="IH73" s="184"/>
      <c r="II73" s="184"/>
      <c r="IJ73" s="184"/>
      <c r="IK73" s="184"/>
      <c r="IL73" s="184"/>
      <c r="IM73" s="184"/>
      <c r="IN73" s="184"/>
      <c r="IO73" s="184"/>
      <c r="IP73" s="184"/>
      <c r="IQ73" s="184"/>
      <c r="IR73" s="184"/>
      <c r="IS73" s="184"/>
      <c r="IT73" s="184"/>
      <c r="IU73" s="184"/>
      <c r="IV73" s="184"/>
      <c r="IW73" s="184"/>
    </row>
    <row r="74" customFormat="false" ht="12.75" hidden="false" customHeight="true" outlineLevel="0" collapsed="false">
      <c r="A74" s="248"/>
      <c r="B74" s="242"/>
      <c r="C74" s="254"/>
      <c r="D74" s="254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4"/>
      <c r="AB74" s="242"/>
      <c r="AC74" s="242"/>
      <c r="AD74" s="184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  <c r="BE74" s="242"/>
      <c r="BF74" s="242"/>
      <c r="BG74" s="242"/>
      <c r="BH74" s="242"/>
      <c r="BI74" s="242"/>
      <c r="BJ74" s="242"/>
      <c r="BK74" s="242"/>
      <c r="BL74" s="242"/>
      <c r="BM74" s="242"/>
      <c r="BN74" s="242"/>
      <c r="BO74" s="242"/>
      <c r="BP74" s="242"/>
      <c r="BQ74" s="242"/>
      <c r="BR74" s="242"/>
      <c r="BS74" s="242"/>
      <c r="BT74" s="242"/>
      <c r="BU74" s="242"/>
      <c r="BV74" s="242"/>
      <c r="BW74" s="242"/>
      <c r="BX74" s="242"/>
      <c r="BY74" s="242"/>
      <c r="BZ74" s="242"/>
      <c r="CA74" s="242"/>
      <c r="CB74" s="242"/>
      <c r="CC74" s="242"/>
      <c r="CD74" s="242"/>
      <c r="CE74" s="242"/>
      <c r="CF74" s="242"/>
      <c r="CG74" s="242"/>
      <c r="CH74" s="242"/>
      <c r="CI74" s="242"/>
      <c r="CJ74" s="242"/>
      <c r="CK74" s="242"/>
      <c r="CL74" s="242"/>
      <c r="CM74" s="242"/>
      <c r="CN74" s="242"/>
      <c r="CO74" s="242"/>
      <c r="CP74" s="242"/>
      <c r="CQ74" s="242"/>
      <c r="CR74" s="242"/>
      <c r="CS74" s="242"/>
      <c r="CT74" s="242"/>
      <c r="CU74" s="242"/>
      <c r="CV74" s="242"/>
      <c r="CW74" s="242"/>
      <c r="CX74" s="242"/>
      <c r="CY74" s="242"/>
      <c r="CZ74" s="242"/>
      <c r="DA74" s="242"/>
      <c r="DB74" s="242"/>
      <c r="DC74" s="242"/>
      <c r="DD74" s="242"/>
      <c r="DE74" s="242"/>
      <c r="DF74" s="242"/>
      <c r="DG74" s="242"/>
      <c r="DH74" s="242"/>
      <c r="DI74" s="242"/>
      <c r="DJ74" s="242"/>
      <c r="DK74" s="242"/>
      <c r="DL74" s="242"/>
      <c r="DM74" s="242"/>
      <c r="DN74" s="242"/>
      <c r="DO74" s="242"/>
      <c r="DP74" s="242"/>
      <c r="DQ74" s="242"/>
      <c r="DR74" s="242"/>
      <c r="DS74" s="242"/>
      <c r="DT74" s="242"/>
      <c r="DU74" s="242"/>
      <c r="DV74" s="242"/>
      <c r="DW74" s="242"/>
      <c r="DX74" s="242"/>
      <c r="DY74" s="242"/>
      <c r="DZ74" s="242"/>
      <c r="EA74" s="242"/>
      <c r="EB74" s="242"/>
      <c r="EC74" s="242"/>
      <c r="ED74" s="242"/>
      <c r="EE74" s="242"/>
      <c r="EF74" s="242"/>
      <c r="EG74" s="242"/>
      <c r="EH74" s="242"/>
      <c r="EI74" s="242"/>
      <c r="EJ74" s="242"/>
      <c r="EK74" s="242"/>
      <c r="EL74" s="242"/>
      <c r="EM74" s="242"/>
      <c r="EN74" s="242"/>
      <c r="EO74" s="242"/>
      <c r="EP74" s="242"/>
      <c r="EQ74" s="242"/>
      <c r="ER74" s="242"/>
      <c r="ES74" s="242"/>
      <c r="ET74" s="242"/>
      <c r="EU74" s="242"/>
      <c r="EV74" s="242"/>
      <c r="EW74" s="242"/>
      <c r="EX74" s="242"/>
      <c r="EY74" s="242"/>
      <c r="EZ74" s="242"/>
      <c r="FA74" s="242"/>
      <c r="FB74" s="242"/>
      <c r="FC74" s="242"/>
      <c r="FD74" s="242"/>
      <c r="FE74" s="242"/>
      <c r="FF74" s="242"/>
      <c r="FG74" s="242"/>
      <c r="FH74" s="242"/>
      <c r="FI74" s="242"/>
      <c r="FJ74" s="242"/>
      <c r="FK74" s="242"/>
      <c r="FL74" s="242"/>
      <c r="FM74" s="242"/>
      <c r="FN74" s="242"/>
      <c r="FO74" s="242"/>
      <c r="FP74" s="242"/>
      <c r="FQ74" s="242"/>
      <c r="FR74" s="242"/>
      <c r="FS74" s="242"/>
      <c r="FT74" s="242"/>
      <c r="FU74" s="242"/>
      <c r="FV74" s="242"/>
      <c r="FW74" s="242"/>
      <c r="FX74" s="242"/>
      <c r="FY74" s="242"/>
      <c r="FZ74" s="242"/>
      <c r="GA74" s="242"/>
      <c r="GB74" s="242"/>
      <c r="GC74" s="242"/>
      <c r="GD74" s="242"/>
      <c r="GE74" s="242"/>
      <c r="GF74" s="242"/>
      <c r="GG74" s="242"/>
      <c r="GH74" s="242"/>
      <c r="GI74" s="242"/>
      <c r="GJ74" s="242"/>
      <c r="GK74" s="242"/>
      <c r="GL74" s="242"/>
      <c r="GM74" s="242"/>
      <c r="GN74" s="242"/>
      <c r="GO74" s="242"/>
      <c r="GP74" s="242"/>
      <c r="GQ74" s="242"/>
      <c r="GR74" s="242"/>
      <c r="GS74" s="242"/>
      <c r="GT74" s="242"/>
      <c r="GU74" s="242"/>
      <c r="GV74" s="242"/>
      <c r="GW74" s="242"/>
      <c r="GX74" s="242"/>
      <c r="GY74" s="242"/>
      <c r="GZ74" s="242"/>
      <c r="HA74" s="242"/>
      <c r="HB74" s="242"/>
      <c r="HC74" s="242"/>
      <c r="HD74" s="242"/>
      <c r="HE74" s="242"/>
      <c r="HF74" s="242"/>
      <c r="HG74" s="242"/>
      <c r="HH74" s="242"/>
      <c r="HI74" s="242"/>
      <c r="HJ74" s="242"/>
      <c r="HK74" s="242"/>
      <c r="HL74" s="242"/>
      <c r="HM74" s="242"/>
      <c r="HN74" s="242"/>
      <c r="HO74" s="242"/>
      <c r="HP74" s="242"/>
      <c r="HQ74" s="242"/>
      <c r="HR74" s="242"/>
      <c r="HS74" s="242"/>
      <c r="HT74" s="242"/>
      <c r="HU74" s="242"/>
      <c r="HV74" s="242"/>
      <c r="HW74" s="242"/>
      <c r="HX74" s="242"/>
      <c r="HY74" s="242"/>
      <c r="HZ74" s="242"/>
      <c r="IA74" s="242"/>
      <c r="IB74" s="242"/>
      <c r="IC74" s="242"/>
      <c r="ID74" s="242"/>
      <c r="IE74" s="242"/>
      <c r="IF74" s="242"/>
      <c r="IG74" s="242"/>
      <c r="IH74" s="242"/>
      <c r="II74" s="242"/>
      <c r="IJ74" s="242"/>
      <c r="IK74" s="242"/>
      <c r="IL74" s="242"/>
      <c r="IM74" s="242"/>
      <c r="IN74" s="242"/>
      <c r="IO74" s="242"/>
      <c r="IP74" s="242"/>
      <c r="IQ74" s="242"/>
      <c r="IR74" s="242"/>
      <c r="IS74" s="242"/>
      <c r="IT74" s="242"/>
      <c r="IU74" s="242"/>
      <c r="IV74" s="242"/>
      <c r="IW74" s="242"/>
    </row>
    <row r="75" customFormat="false" ht="12.75" hidden="false" customHeight="true" outlineLevel="0" collapsed="false">
      <c r="A75" s="248" t="s">
        <v>361</v>
      </c>
      <c r="B75" s="184"/>
      <c r="C75" s="260" t="n">
        <f aca="false">C73/('Project Assumptions'!$I$12*'Book Income Statement'!C5)</f>
        <v>0.501008085300026</v>
      </c>
      <c r="D75" s="260" t="n">
        <f aca="false">D73/('Project Assumptions'!$I$12*'Book Income Statement'!D5)</f>
        <v>0.576159513269595</v>
      </c>
      <c r="E75" s="260" t="n">
        <f aca="false">E73/('Project Assumptions'!$I$12*'Book Income Statement'!E5)</f>
        <v>0.599386358571387</v>
      </c>
      <c r="F75" s="260" t="n">
        <f aca="false">F73/('Project Assumptions'!$I$12*'Book Income Statement'!F5)</f>
        <v>0.620988497861815</v>
      </c>
      <c r="G75" s="260" t="n">
        <f aca="false">G73/('Project Assumptions'!$I$12*'Book Income Statement'!G5)</f>
        <v>0.631554260661851</v>
      </c>
      <c r="H75" s="260" t="n">
        <f aca="false">H73/('Project Assumptions'!$I$12*'Book Income Statement'!H5)</f>
        <v>0.641398801106688</v>
      </c>
      <c r="I75" s="260" t="n">
        <f aca="false">I73/('Project Assumptions'!$I$12*'Book Income Statement'!I5)</f>
        <v>0.650525628164822</v>
      </c>
      <c r="J75" s="260" t="n">
        <f aca="false">J73/('Project Assumptions'!$I$12*'Book Income Statement'!J5)</f>
        <v>0.650868283964119</v>
      </c>
      <c r="K75" s="260" t="n">
        <f aca="false">K73/('Project Assumptions'!$I$12*'Book Income Statement'!K5)</f>
        <v>0.651397127035401</v>
      </c>
      <c r="L75" s="260" t="n">
        <f aca="false">L73/('Project Assumptions'!$I$12*'Book Income Statement'!L5)</f>
        <v>0.652115881124109</v>
      </c>
      <c r="M75" s="260" t="n">
        <f aca="false">M73/('Project Assumptions'!$I$12*'Book Income Statement'!M5)</f>
        <v>0.653028344450591</v>
      </c>
      <c r="N75" s="260" t="n">
        <f aca="false">N73/('Project Assumptions'!$I$12*'Book Income Statement'!N5)</f>
        <v>0.654138391199603</v>
      </c>
      <c r="O75" s="260" t="n">
        <f aca="false">O73/('Project Assumptions'!$I$12*'Book Income Statement'!O5)</f>
        <v>0.655449973039595</v>
      </c>
      <c r="P75" s="260" t="n">
        <f aca="false">P73/('Project Assumptions'!$I$12*'Book Income Statement'!P5)</f>
        <v>0.656967120672387</v>
      </c>
      <c r="Q75" s="260" t="n">
        <f aca="false">Q73/('Project Assumptions'!$I$12*'Book Income Statement'!Q5)</f>
        <v>0.658693945413835</v>
      </c>
      <c r="R75" s="260" t="n">
        <f aca="false">R73/('Project Assumptions'!$I$12*'Book Income Statement'!R5)</f>
        <v>0.551139639528302</v>
      </c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  <c r="BI75" s="184"/>
      <c r="BJ75" s="184"/>
      <c r="BK75" s="184"/>
      <c r="BL75" s="184"/>
      <c r="BM75" s="184"/>
      <c r="BN75" s="184"/>
      <c r="BO75" s="184"/>
      <c r="BP75" s="184"/>
      <c r="BQ75" s="184"/>
      <c r="BR75" s="184"/>
      <c r="BS75" s="184"/>
      <c r="BT75" s="184"/>
      <c r="BU75" s="184"/>
      <c r="BV75" s="184"/>
      <c r="BW75" s="184"/>
      <c r="BX75" s="184"/>
      <c r="BY75" s="184"/>
      <c r="BZ75" s="184"/>
      <c r="CA75" s="184"/>
      <c r="CB75" s="184"/>
      <c r="CC75" s="184"/>
      <c r="CD75" s="184"/>
      <c r="CE75" s="184"/>
      <c r="CF75" s="184"/>
      <c r="CG75" s="184"/>
      <c r="CH75" s="184"/>
      <c r="CI75" s="184"/>
      <c r="CJ75" s="184"/>
      <c r="CK75" s="184"/>
      <c r="CL75" s="184"/>
      <c r="CM75" s="184"/>
      <c r="CN75" s="184"/>
      <c r="CO75" s="184"/>
      <c r="CP75" s="184"/>
      <c r="CQ75" s="184"/>
      <c r="CR75" s="184"/>
      <c r="CS75" s="184"/>
      <c r="CT75" s="184"/>
      <c r="CU75" s="184"/>
      <c r="CV75" s="184"/>
      <c r="CW75" s="184"/>
      <c r="CX75" s="184"/>
      <c r="CY75" s="184"/>
      <c r="CZ75" s="184"/>
      <c r="DA75" s="184"/>
      <c r="DB75" s="184"/>
      <c r="DC75" s="184"/>
      <c r="DD75" s="184"/>
      <c r="DE75" s="184"/>
      <c r="DF75" s="184"/>
      <c r="DG75" s="184"/>
      <c r="DH75" s="184"/>
      <c r="DI75" s="184"/>
      <c r="DJ75" s="184"/>
      <c r="DK75" s="184"/>
      <c r="DL75" s="184"/>
      <c r="DM75" s="184"/>
      <c r="DN75" s="184"/>
      <c r="DO75" s="184"/>
      <c r="DP75" s="184"/>
      <c r="DQ75" s="184"/>
      <c r="DR75" s="184"/>
      <c r="DS75" s="184"/>
      <c r="DT75" s="184"/>
      <c r="DU75" s="184"/>
      <c r="DV75" s="184"/>
      <c r="DW75" s="184"/>
      <c r="DX75" s="184"/>
      <c r="DY75" s="184"/>
      <c r="DZ75" s="184"/>
      <c r="EA75" s="184"/>
      <c r="EB75" s="184"/>
      <c r="EC75" s="184"/>
      <c r="ED75" s="184"/>
      <c r="EE75" s="184"/>
      <c r="EF75" s="184"/>
      <c r="EG75" s="184"/>
      <c r="EH75" s="184"/>
      <c r="EI75" s="184"/>
      <c r="EJ75" s="184"/>
      <c r="EK75" s="184"/>
      <c r="EL75" s="184"/>
      <c r="EM75" s="184"/>
      <c r="EN75" s="184"/>
      <c r="EO75" s="184"/>
      <c r="EP75" s="184"/>
      <c r="EQ75" s="184"/>
      <c r="ER75" s="184"/>
      <c r="ES75" s="184"/>
      <c r="ET75" s="184"/>
      <c r="EU75" s="184"/>
      <c r="EV75" s="184"/>
      <c r="EW75" s="184"/>
      <c r="EX75" s="184"/>
      <c r="EY75" s="184"/>
      <c r="EZ75" s="184"/>
      <c r="FA75" s="184"/>
      <c r="FB75" s="184"/>
      <c r="FC75" s="184"/>
      <c r="FD75" s="184"/>
      <c r="FE75" s="184"/>
      <c r="FF75" s="184"/>
      <c r="FG75" s="184"/>
      <c r="FH75" s="184"/>
      <c r="FI75" s="184"/>
      <c r="FJ75" s="184"/>
      <c r="FK75" s="184"/>
      <c r="FL75" s="184"/>
      <c r="FM75" s="184"/>
      <c r="FN75" s="184"/>
      <c r="FO75" s="184"/>
      <c r="FP75" s="184"/>
      <c r="FQ75" s="184"/>
      <c r="FR75" s="184"/>
      <c r="FS75" s="184"/>
      <c r="FT75" s="184"/>
      <c r="FU75" s="184"/>
      <c r="FV75" s="184"/>
      <c r="FW75" s="184"/>
      <c r="FX75" s="184"/>
      <c r="FY75" s="184"/>
      <c r="FZ75" s="184"/>
      <c r="GA75" s="184"/>
      <c r="GB75" s="184"/>
      <c r="GC75" s="184"/>
      <c r="GD75" s="184"/>
      <c r="GE75" s="184"/>
      <c r="GF75" s="184"/>
      <c r="GG75" s="184"/>
      <c r="GH75" s="184"/>
      <c r="GI75" s="184"/>
      <c r="GJ75" s="184"/>
      <c r="GK75" s="184"/>
      <c r="GL75" s="184"/>
      <c r="GM75" s="184"/>
      <c r="GN75" s="184"/>
      <c r="GO75" s="184"/>
      <c r="GP75" s="184"/>
      <c r="GQ75" s="184"/>
      <c r="GR75" s="184"/>
      <c r="GS75" s="184"/>
      <c r="GT75" s="184"/>
      <c r="GU75" s="184"/>
      <c r="GV75" s="184"/>
      <c r="GW75" s="184"/>
      <c r="GX75" s="184"/>
      <c r="GY75" s="184"/>
      <c r="GZ75" s="184"/>
      <c r="HA75" s="184"/>
      <c r="HB75" s="184"/>
      <c r="HC75" s="184"/>
      <c r="HD75" s="184"/>
      <c r="HE75" s="184"/>
      <c r="HF75" s="184"/>
      <c r="HG75" s="184"/>
      <c r="HH75" s="184"/>
      <c r="HI75" s="184"/>
      <c r="HJ75" s="184"/>
      <c r="HK75" s="184"/>
      <c r="HL75" s="184"/>
      <c r="HM75" s="184"/>
      <c r="HN75" s="184"/>
      <c r="HO75" s="184"/>
      <c r="HP75" s="184"/>
      <c r="HQ75" s="184"/>
      <c r="HR75" s="184"/>
      <c r="HS75" s="184"/>
      <c r="HT75" s="184"/>
      <c r="HU75" s="184"/>
      <c r="HV75" s="184"/>
      <c r="HW75" s="184"/>
      <c r="HX75" s="184"/>
      <c r="HY75" s="184"/>
      <c r="HZ75" s="184"/>
      <c r="IA75" s="184"/>
      <c r="IB75" s="184"/>
      <c r="IC75" s="184"/>
      <c r="ID75" s="184"/>
      <c r="IE75" s="184"/>
      <c r="IF75" s="184"/>
      <c r="IG75" s="184"/>
      <c r="IH75" s="184"/>
      <c r="II75" s="184"/>
      <c r="IJ75" s="184"/>
      <c r="IK75" s="184"/>
      <c r="IL75" s="184"/>
      <c r="IM75" s="184"/>
      <c r="IN75" s="184"/>
      <c r="IO75" s="184"/>
      <c r="IP75" s="184"/>
      <c r="IQ75" s="184"/>
      <c r="IR75" s="184"/>
      <c r="IS75" s="184"/>
      <c r="IT75" s="184"/>
      <c r="IU75" s="184"/>
      <c r="IV75" s="184"/>
      <c r="IW75" s="184"/>
    </row>
    <row r="76" customFormat="false" ht="12.75" hidden="false" customHeight="true" outlineLevel="0" collapsed="false">
      <c r="A76" s="248"/>
      <c r="B76" s="184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4"/>
      <c r="BN76" s="184"/>
      <c r="BO76" s="184"/>
      <c r="BP76" s="184"/>
      <c r="BQ76" s="184"/>
      <c r="BR76" s="184"/>
      <c r="BS76" s="184"/>
      <c r="BT76" s="184"/>
      <c r="BU76" s="184"/>
      <c r="BV76" s="184"/>
      <c r="BW76" s="184"/>
      <c r="BX76" s="184"/>
      <c r="BY76" s="184"/>
      <c r="BZ76" s="184"/>
      <c r="CA76" s="184"/>
      <c r="CB76" s="184"/>
      <c r="CC76" s="184"/>
      <c r="CD76" s="184"/>
      <c r="CE76" s="184"/>
      <c r="CF76" s="184"/>
      <c r="CG76" s="184"/>
      <c r="CH76" s="184"/>
      <c r="CI76" s="184"/>
      <c r="CJ76" s="184"/>
      <c r="CK76" s="184"/>
      <c r="CL76" s="184"/>
      <c r="CM76" s="184"/>
      <c r="CN76" s="184"/>
      <c r="CO76" s="184"/>
      <c r="CP76" s="184"/>
      <c r="CQ76" s="184"/>
      <c r="CR76" s="184"/>
      <c r="CS76" s="184"/>
      <c r="CT76" s="184"/>
      <c r="CU76" s="184"/>
      <c r="CV76" s="184"/>
      <c r="CW76" s="184"/>
      <c r="CX76" s="184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4"/>
      <c r="DM76" s="184"/>
      <c r="DN76" s="184"/>
      <c r="DO76" s="184"/>
      <c r="DP76" s="184"/>
      <c r="DQ76" s="184"/>
      <c r="DR76" s="184"/>
      <c r="DS76" s="184"/>
      <c r="DT76" s="184"/>
      <c r="DU76" s="184"/>
      <c r="DV76" s="184"/>
      <c r="DW76" s="184"/>
      <c r="DX76" s="184"/>
      <c r="DY76" s="184"/>
      <c r="DZ76" s="184"/>
      <c r="EA76" s="184"/>
      <c r="EB76" s="184"/>
      <c r="EC76" s="184"/>
      <c r="ED76" s="184"/>
      <c r="EE76" s="184"/>
      <c r="EF76" s="184"/>
      <c r="EG76" s="184"/>
      <c r="EH76" s="184"/>
      <c r="EI76" s="184"/>
      <c r="EJ76" s="184"/>
      <c r="EK76" s="184"/>
      <c r="EL76" s="184"/>
      <c r="EM76" s="184"/>
      <c r="EN76" s="184"/>
      <c r="EO76" s="184"/>
      <c r="EP76" s="184"/>
      <c r="EQ76" s="184"/>
      <c r="ER76" s="184"/>
      <c r="ES76" s="184"/>
      <c r="ET76" s="184"/>
      <c r="EU76" s="184"/>
      <c r="EV76" s="184"/>
      <c r="EW76" s="184"/>
      <c r="EX76" s="184"/>
      <c r="EY76" s="184"/>
      <c r="EZ76" s="184"/>
      <c r="FA76" s="184"/>
      <c r="FB76" s="184"/>
      <c r="FC76" s="184"/>
      <c r="FD76" s="184"/>
      <c r="FE76" s="184"/>
      <c r="FF76" s="184"/>
      <c r="FG76" s="184"/>
      <c r="FH76" s="184"/>
      <c r="FI76" s="184"/>
      <c r="FJ76" s="184"/>
      <c r="FK76" s="184"/>
      <c r="FL76" s="184"/>
      <c r="FM76" s="184"/>
      <c r="FN76" s="184"/>
      <c r="FO76" s="184"/>
      <c r="FP76" s="184"/>
      <c r="FQ76" s="184"/>
      <c r="FR76" s="184"/>
      <c r="FS76" s="184"/>
      <c r="FT76" s="184"/>
      <c r="FU76" s="184"/>
      <c r="FV76" s="184"/>
      <c r="FW76" s="184"/>
      <c r="FX76" s="184"/>
      <c r="FY76" s="184"/>
      <c r="FZ76" s="184"/>
      <c r="GA76" s="184"/>
      <c r="GB76" s="184"/>
      <c r="GC76" s="184"/>
      <c r="GD76" s="184"/>
      <c r="GE76" s="184"/>
      <c r="GF76" s="184"/>
      <c r="GG76" s="184"/>
      <c r="GH76" s="184"/>
      <c r="GI76" s="184"/>
      <c r="GJ76" s="184"/>
      <c r="GK76" s="184"/>
      <c r="GL76" s="184"/>
      <c r="GM76" s="184"/>
      <c r="GN76" s="184"/>
      <c r="GO76" s="184"/>
      <c r="GP76" s="184"/>
      <c r="GQ76" s="184"/>
      <c r="GR76" s="184"/>
      <c r="GS76" s="184"/>
      <c r="GT76" s="184"/>
      <c r="GU76" s="184"/>
      <c r="GV76" s="184"/>
      <c r="GW76" s="184"/>
      <c r="GX76" s="184"/>
      <c r="GY76" s="184"/>
      <c r="GZ76" s="184"/>
      <c r="HA76" s="184"/>
      <c r="HB76" s="184"/>
      <c r="HC76" s="184"/>
      <c r="HD76" s="184"/>
      <c r="HE76" s="184"/>
      <c r="HF76" s="184"/>
      <c r="HG76" s="184"/>
      <c r="HH76" s="184"/>
      <c r="HI76" s="184"/>
      <c r="HJ76" s="184"/>
      <c r="HK76" s="184"/>
      <c r="HL76" s="184"/>
      <c r="HM76" s="184"/>
      <c r="HN76" s="184"/>
      <c r="HO76" s="184"/>
      <c r="HP76" s="184"/>
      <c r="HQ76" s="184"/>
      <c r="HR76" s="184"/>
      <c r="HS76" s="184"/>
      <c r="HT76" s="184"/>
      <c r="HU76" s="184"/>
      <c r="HV76" s="184"/>
      <c r="HW76" s="184"/>
      <c r="HX76" s="184"/>
      <c r="HY76" s="184"/>
      <c r="HZ76" s="184"/>
      <c r="IA76" s="184"/>
      <c r="IB76" s="184"/>
      <c r="IC76" s="184"/>
      <c r="ID76" s="184"/>
      <c r="IE76" s="184"/>
      <c r="IF76" s="184"/>
      <c r="IG76" s="184"/>
      <c r="IH76" s="184"/>
      <c r="II76" s="184"/>
      <c r="IJ76" s="184"/>
      <c r="IK76" s="184"/>
      <c r="IL76" s="184"/>
      <c r="IM76" s="184"/>
      <c r="IN76" s="184"/>
      <c r="IO76" s="184"/>
      <c r="IP76" s="184"/>
      <c r="IQ76" s="184"/>
      <c r="IR76" s="184"/>
      <c r="IS76" s="184"/>
      <c r="IT76" s="184"/>
      <c r="IU76" s="184"/>
      <c r="IV76" s="184"/>
      <c r="IW76" s="184"/>
    </row>
    <row r="77" customFormat="false" ht="12.75" hidden="false" customHeight="true" outlineLevel="0" collapsed="false">
      <c r="A77" s="168" t="s">
        <v>362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  <c r="BI77" s="184"/>
      <c r="BJ77" s="184"/>
      <c r="BK77" s="184"/>
      <c r="BL77" s="184"/>
      <c r="BM77" s="184"/>
      <c r="BN77" s="184"/>
      <c r="BO77" s="184"/>
      <c r="BP77" s="184"/>
      <c r="BQ77" s="184"/>
      <c r="BR77" s="184"/>
      <c r="BS77" s="184"/>
      <c r="BT77" s="184"/>
      <c r="BU77" s="184"/>
      <c r="BV77" s="184"/>
      <c r="BW77" s="184"/>
      <c r="BX77" s="184"/>
      <c r="BY77" s="184"/>
      <c r="BZ77" s="184"/>
      <c r="CA77" s="184"/>
      <c r="CB77" s="184"/>
      <c r="CC77" s="184"/>
      <c r="CD77" s="184"/>
      <c r="CE77" s="184"/>
      <c r="CF77" s="184"/>
      <c r="CG77" s="184"/>
      <c r="CH77" s="184"/>
      <c r="CI77" s="184"/>
      <c r="CJ77" s="184"/>
      <c r="CK77" s="184"/>
      <c r="CL77" s="184"/>
      <c r="CM77" s="184"/>
      <c r="CN77" s="184"/>
      <c r="CO77" s="184"/>
      <c r="CP77" s="184"/>
      <c r="CQ77" s="184"/>
      <c r="CR77" s="184"/>
      <c r="CS77" s="184"/>
      <c r="CT77" s="184"/>
      <c r="CU77" s="184"/>
      <c r="CV77" s="184"/>
      <c r="CW77" s="184"/>
      <c r="CX77" s="184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T77" s="184"/>
      <c r="DU77" s="184"/>
      <c r="DV77" s="184"/>
      <c r="DW77" s="184"/>
      <c r="DX77" s="184"/>
      <c r="DY77" s="184"/>
      <c r="DZ77" s="184"/>
      <c r="EA77" s="184"/>
      <c r="EB77" s="184"/>
      <c r="EC77" s="184"/>
      <c r="ED77" s="184"/>
      <c r="EE77" s="184"/>
      <c r="EF77" s="184"/>
      <c r="EG77" s="184"/>
      <c r="EH77" s="184"/>
      <c r="EI77" s="184"/>
      <c r="EJ77" s="184"/>
      <c r="EK77" s="184"/>
      <c r="EL77" s="184"/>
      <c r="EM77" s="184"/>
      <c r="EN77" s="184"/>
      <c r="EO77" s="184"/>
      <c r="EP77" s="184"/>
      <c r="EQ77" s="184"/>
      <c r="ER77" s="184"/>
      <c r="ES77" s="184"/>
      <c r="ET77" s="184"/>
      <c r="EU77" s="184"/>
      <c r="EV77" s="184"/>
      <c r="EW77" s="184"/>
      <c r="EX77" s="184"/>
      <c r="EY77" s="184"/>
      <c r="EZ77" s="184"/>
      <c r="FA77" s="184"/>
      <c r="FB77" s="184"/>
      <c r="FC77" s="184"/>
      <c r="FD77" s="184"/>
      <c r="FE77" s="184"/>
      <c r="FF77" s="184"/>
      <c r="FG77" s="184"/>
      <c r="FH77" s="184"/>
      <c r="FI77" s="184"/>
      <c r="FJ77" s="184"/>
      <c r="FK77" s="184"/>
      <c r="FL77" s="184"/>
      <c r="FM77" s="184"/>
      <c r="FN77" s="184"/>
      <c r="FO77" s="184"/>
      <c r="FP77" s="184"/>
      <c r="FQ77" s="184"/>
      <c r="FR77" s="184"/>
      <c r="FS77" s="184"/>
      <c r="FT77" s="184"/>
      <c r="FU77" s="184"/>
      <c r="FV77" s="184"/>
      <c r="FW77" s="184"/>
      <c r="FX77" s="184"/>
      <c r="FY77" s="184"/>
      <c r="FZ77" s="184"/>
      <c r="GA77" s="184"/>
      <c r="GB77" s="184"/>
      <c r="GC77" s="184"/>
      <c r="GD77" s="184"/>
      <c r="GE77" s="184"/>
      <c r="GF77" s="184"/>
      <c r="GG77" s="184"/>
      <c r="GH77" s="184"/>
      <c r="GI77" s="184"/>
      <c r="GJ77" s="184"/>
      <c r="GK77" s="184"/>
      <c r="GL77" s="184"/>
      <c r="GM77" s="184"/>
      <c r="GN77" s="184"/>
      <c r="GO77" s="184"/>
      <c r="GP77" s="184"/>
      <c r="GQ77" s="184"/>
      <c r="GR77" s="184"/>
      <c r="GS77" s="184"/>
      <c r="GT77" s="184"/>
      <c r="GU77" s="184"/>
      <c r="GV77" s="184"/>
      <c r="GW77" s="184"/>
      <c r="GX77" s="184"/>
      <c r="GY77" s="184"/>
      <c r="GZ77" s="184"/>
      <c r="HA77" s="184"/>
      <c r="HB77" s="184"/>
      <c r="HC77" s="184"/>
      <c r="HD77" s="184"/>
      <c r="HE77" s="184"/>
      <c r="HF77" s="184"/>
      <c r="HG77" s="184"/>
      <c r="HH77" s="184"/>
      <c r="HI77" s="184"/>
      <c r="HJ77" s="184"/>
      <c r="HK77" s="184"/>
      <c r="HL77" s="184"/>
      <c r="HM77" s="184"/>
      <c r="HN77" s="184"/>
      <c r="HO77" s="184"/>
      <c r="HP77" s="184"/>
      <c r="HQ77" s="184"/>
      <c r="HR77" s="184"/>
      <c r="HS77" s="184"/>
      <c r="HT77" s="184"/>
      <c r="HU77" s="184"/>
      <c r="HV77" s="184"/>
      <c r="HW77" s="184"/>
      <c r="HX77" s="184"/>
      <c r="HY77" s="184"/>
      <c r="HZ77" s="184"/>
      <c r="IA77" s="184"/>
      <c r="IB77" s="184"/>
      <c r="IC77" s="184"/>
      <c r="ID77" s="184"/>
      <c r="IE77" s="184"/>
      <c r="IF77" s="184"/>
      <c r="IG77" s="184"/>
      <c r="IH77" s="184"/>
      <c r="II77" s="184"/>
      <c r="IJ77" s="184"/>
      <c r="IK77" s="184"/>
      <c r="IL77" s="184"/>
      <c r="IM77" s="184"/>
      <c r="IN77" s="184"/>
      <c r="IO77" s="184"/>
      <c r="IP77" s="184"/>
      <c r="IQ77" s="184"/>
      <c r="IR77" s="184"/>
      <c r="IS77" s="184"/>
      <c r="IT77" s="184"/>
      <c r="IU77" s="184"/>
      <c r="IV77" s="184"/>
      <c r="IW77" s="184"/>
    </row>
    <row r="78" customFormat="false" ht="12.75" hidden="false" customHeight="true" outlineLevel="0" collapsed="false">
      <c r="A78" s="248" t="str">
        <f aca="false">'Project Assumptions'!K24</f>
        <v>Owner's contingency</v>
      </c>
      <c r="B78" s="242"/>
      <c r="C78" s="254" t="n">
        <f aca="false">'Project Assumptions'!$N$24</f>
        <v>0</v>
      </c>
      <c r="D78" s="254" t="n">
        <f aca="false">IF(D$3&lt;='Project Assumptions'!$I$15,C78*(1+'Project Assumptions'!$N$19),C78*(1+'Project Assumptions'!$N$19))</f>
        <v>0</v>
      </c>
      <c r="E78" s="254" t="n">
        <f aca="false">IF(E$3&lt;='Project Assumptions'!$I$15,D78*(1+'Project Assumptions'!$N$19),D78*(1+'Project Assumptions'!$N$19))</f>
        <v>0</v>
      </c>
      <c r="F78" s="254" t="n">
        <f aca="false">IF(F$3&lt;='Project Assumptions'!$I$15,E78*(1+'Project Assumptions'!$N$19),E78*(1+'Project Assumptions'!$N$19))</f>
        <v>0</v>
      </c>
      <c r="G78" s="254" t="n">
        <f aca="false">IF(G$3&lt;='Project Assumptions'!$I$15,F78*(1+'Project Assumptions'!$N$19),F78*(1+'Project Assumptions'!$N$19))</f>
        <v>0</v>
      </c>
      <c r="H78" s="254" t="n">
        <f aca="false">IF(H$3&lt;='Project Assumptions'!$I$15,G78*(1+'Project Assumptions'!$N$19),G78*(1+'Project Assumptions'!$N$19))</f>
        <v>0</v>
      </c>
      <c r="I78" s="254" t="n">
        <f aca="false">IF(I$3&lt;='Project Assumptions'!$I$15,H78*(1+'Project Assumptions'!$N$19),H78*(1+'Project Assumptions'!$N$19))</f>
        <v>0</v>
      </c>
      <c r="J78" s="254" t="n">
        <f aca="false">IF(J$3&lt;='Project Assumptions'!$I$15,I78*(1+'Project Assumptions'!$N$19),I78*(1+'Project Assumptions'!$N$19))</f>
        <v>0</v>
      </c>
      <c r="K78" s="254" t="n">
        <f aca="false">IF(K$3&lt;='Project Assumptions'!$I$15,J78*(1+'Project Assumptions'!$N$19),J78*(1+'Project Assumptions'!$N$19))</f>
        <v>0</v>
      </c>
      <c r="L78" s="254" t="n">
        <f aca="false">IF(L$3&lt;='Project Assumptions'!$I$15,K78*(1+'Project Assumptions'!$N$19),K78*(1+'Project Assumptions'!$N$19))</f>
        <v>0</v>
      </c>
      <c r="M78" s="254" t="n">
        <f aca="false">IF(M$3&lt;='Project Assumptions'!$I$15,L78*(1+'Project Assumptions'!$N$19),L78*(1+'Project Assumptions'!$N$19))</f>
        <v>0</v>
      </c>
      <c r="N78" s="254" t="n">
        <f aca="false">IF(N$3&lt;='Project Assumptions'!$I$15,M78*(1+'Project Assumptions'!$N$19),M78*(1+'Project Assumptions'!$N$19))</f>
        <v>0</v>
      </c>
      <c r="O78" s="254" t="n">
        <f aca="false">IF(O$3&lt;='Project Assumptions'!$I$15,N78*(1+'Project Assumptions'!$N$19),N78*(1+'Project Assumptions'!$N$19))</f>
        <v>0</v>
      </c>
      <c r="P78" s="254" t="n">
        <f aca="false">IF(P$3&lt;='Project Assumptions'!$I$15,O78*(1+'Project Assumptions'!$N$19),O78*(1+'Project Assumptions'!$N$19))</f>
        <v>0</v>
      </c>
      <c r="Q78" s="254" t="n">
        <f aca="false">IF(Q$3&lt;='Project Assumptions'!$I$15,P78*(1+'Project Assumptions'!$N$19),P78*(1+'Project Assumptions'!$N$19))</f>
        <v>0</v>
      </c>
      <c r="R78" s="254" t="n">
        <f aca="false">IF(R$3&lt;='Project Assumptions'!$I$15,Q78*(1+'Project Assumptions'!$N$19),Q78*(1+'Project Assumptions'!$N$19))</f>
        <v>0</v>
      </c>
      <c r="AB78" s="242"/>
      <c r="AC78" s="242"/>
      <c r="AD78" s="184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2"/>
      <c r="BV78" s="242"/>
      <c r="BW78" s="242"/>
      <c r="BX78" s="242"/>
      <c r="BY78" s="242"/>
      <c r="BZ78" s="242"/>
      <c r="CA78" s="242"/>
      <c r="CB78" s="242"/>
      <c r="CC78" s="242"/>
      <c r="CD78" s="242"/>
      <c r="CE78" s="242"/>
      <c r="CF78" s="242"/>
      <c r="CG78" s="242"/>
      <c r="CH78" s="242"/>
      <c r="CI78" s="242"/>
      <c r="CJ78" s="242"/>
      <c r="CK78" s="242"/>
      <c r="CL78" s="242"/>
      <c r="CM78" s="242"/>
      <c r="CN78" s="242"/>
      <c r="CO78" s="242"/>
      <c r="CP78" s="242"/>
      <c r="CQ78" s="242"/>
      <c r="CR78" s="242"/>
      <c r="CS78" s="242"/>
      <c r="CT78" s="242"/>
      <c r="CU78" s="242"/>
      <c r="CV78" s="242"/>
      <c r="CW78" s="242"/>
      <c r="CX78" s="242"/>
      <c r="CY78" s="242"/>
      <c r="CZ78" s="242"/>
      <c r="DA78" s="242"/>
      <c r="DB78" s="242"/>
      <c r="DC78" s="242"/>
      <c r="DD78" s="242"/>
      <c r="DE78" s="242"/>
      <c r="DF78" s="242"/>
      <c r="DG78" s="242"/>
      <c r="DH78" s="242"/>
      <c r="DI78" s="242"/>
      <c r="DJ78" s="242"/>
      <c r="DK78" s="242"/>
      <c r="DL78" s="242"/>
      <c r="DM78" s="242"/>
      <c r="DN78" s="242"/>
      <c r="DO78" s="242"/>
      <c r="DP78" s="242"/>
      <c r="DQ78" s="242"/>
      <c r="DR78" s="242"/>
      <c r="DS78" s="242"/>
      <c r="DT78" s="242"/>
      <c r="DU78" s="242"/>
      <c r="DV78" s="242"/>
      <c r="DW78" s="242"/>
      <c r="DX78" s="242"/>
      <c r="DY78" s="242"/>
      <c r="DZ78" s="242"/>
      <c r="EA78" s="242"/>
      <c r="EB78" s="242"/>
      <c r="EC78" s="242"/>
      <c r="ED78" s="242"/>
      <c r="EE78" s="242"/>
      <c r="EF78" s="242"/>
      <c r="EG78" s="242"/>
      <c r="EH78" s="242"/>
      <c r="EI78" s="242"/>
      <c r="EJ78" s="242"/>
      <c r="EK78" s="242"/>
      <c r="EL78" s="242"/>
      <c r="EM78" s="242"/>
      <c r="EN78" s="242"/>
      <c r="EO78" s="242"/>
      <c r="EP78" s="242"/>
      <c r="EQ78" s="242"/>
      <c r="ER78" s="242"/>
      <c r="ES78" s="242"/>
      <c r="ET78" s="242"/>
      <c r="EU78" s="242"/>
      <c r="EV78" s="242"/>
      <c r="EW78" s="242"/>
      <c r="EX78" s="242"/>
      <c r="EY78" s="242"/>
      <c r="EZ78" s="242"/>
      <c r="FA78" s="242"/>
      <c r="FB78" s="242"/>
      <c r="FC78" s="242"/>
      <c r="FD78" s="242"/>
      <c r="FE78" s="242"/>
      <c r="FF78" s="242"/>
      <c r="FG78" s="242"/>
      <c r="FH78" s="242"/>
      <c r="FI78" s="242"/>
      <c r="FJ78" s="242"/>
      <c r="FK78" s="242"/>
      <c r="FL78" s="242"/>
      <c r="FM78" s="242"/>
      <c r="FN78" s="242"/>
      <c r="FO78" s="242"/>
      <c r="FP78" s="242"/>
      <c r="FQ78" s="242"/>
      <c r="FR78" s="242"/>
      <c r="FS78" s="242"/>
      <c r="FT78" s="242"/>
      <c r="FU78" s="242"/>
      <c r="FV78" s="242"/>
      <c r="FW78" s="242"/>
      <c r="FX78" s="242"/>
      <c r="FY78" s="242"/>
      <c r="FZ78" s="242"/>
      <c r="GA78" s="242"/>
      <c r="GB78" s="242"/>
      <c r="GC78" s="242"/>
      <c r="GD78" s="242"/>
      <c r="GE78" s="242"/>
      <c r="GF78" s="242"/>
      <c r="GG78" s="242"/>
      <c r="GH78" s="242"/>
      <c r="GI78" s="242"/>
      <c r="GJ78" s="242"/>
      <c r="GK78" s="242"/>
      <c r="GL78" s="242"/>
      <c r="GM78" s="242"/>
      <c r="GN78" s="242"/>
      <c r="GO78" s="242"/>
      <c r="GP78" s="242"/>
      <c r="GQ78" s="242"/>
      <c r="GR78" s="242"/>
      <c r="GS78" s="242"/>
      <c r="GT78" s="242"/>
      <c r="GU78" s="242"/>
      <c r="GV78" s="242"/>
      <c r="GW78" s="242"/>
      <c r="GX78" s="242"/>
      <c r="GY78" s="242"/>
      <c r="GZ78" s="242"/>
      <c r="HA78" s="242"/>
      <c r="HB78" s="242"/>
      <c r="HC78" s="242"/>
      <c r="HD78" s="242"/>
      <c r="HE78" s="242"/>
      <c r="HF78" s="242"/>
      <c r="HG78" s="242"/>
      <c r="HH78" s="242"/>
      <c r="HI78" s="242"/>
      <c r="HJ78" s="242"/>
      <c r="HK78" s="242"/>
      <c r="HL78" s="242"/>
      <c r="HM78" s="242"/>
      <c r="HN78" s="242"/>
      <c r="HO78" s="242"/>
      <c r="HP78" s="242"/>
      <c r="HQ78" s="242"/>
      <c r="HR78" s="242"/>
      <c r="HS78" s="242"/>
      <c r="HT78" s="242"/>
      <c r="HU78" s="242"/>
      <c r="HV78" s="242"/>
      <c r="HW78" s="242"/>
      <c r="HX78" s="242"/>
      <c r="HY78" s="242"/>
      <c r="HZ78" s="242"/>
      <c r="IA78" s="242"/>
      <c r="IB78" s="242"/>
      <c r="IC78" s="242"/>
      <c r="ID78" s="242"/>
      <c r="IE78" s="242"/>
      <c r="IF78" s="242"/>
      <c r="IG78" s="242"/>
      <c r="IH78" s="242"/>
      <c r="II78" s="242"/>
      <c r="IJ78" s="242"/>
      <c r="IK78" s="242"/>
      <c r="IL78" s="242"/>
      <c r="IM78" s="242"/>
      <c r="IN78" s="242"/>
      <c r="IO78" s="242"/>
      <c r="IP78" s="242"/>
      <c r="IQ78" s="242"/>
      <c r="IR78" s="242"/>
      <c r="IS78" s="242"/>
      <c r="IT78" s="242"/>
      <c r="IU78" s="242"/>
      <c r="IV78" s="242"/>
      <c r="IW78" s="242"/>
    </row>
    <row r="79" customFormat="false" ht="12.75" hidden="false" customHeight="true" outlineLevel="0" collapsed="false">
      <c r="A79" s="248" t="str">
        <f aca="false">'Project Assumptions'!K23</f>
        <v>Asset Management Fee</v>
      </c>
      <c r="B79" s="242"/>
      <c r="C79" s="256" t="n">
        <f aca="false">Asset_Mgt*C5/12</f>
        <v>65.8854166666667</v>
      </c>
      <c r="D79" s="254" t="n">
        <f aca="false">IF(D$3&lt;='Project Assumptions'!$I$15,C79*12/C$5*(1+'Project Assumptions'!$N$19),C79*D$5/12*(1+'Project Assumptions'!$N$19))</f>
        <v>127.5</v>
      </c>
      <c r="E79" s="254" t="n">
        <f aca="false">IF(E$3&lt;='Project Assumptions'!$I$15,D79*12/D$5*(1+'Project Assumptions'!$N$19),D79*E$5/12*(1+'Project Assumptions'!$N$19))</f>
        <v>130.05</v>
      </c>
      <c r="F79" s="254" t="n">
        <f aca="false">IF(F$3&lt;='Project Assumptions'!$I$15,E79*12/E$5*(1+'Project Assumptions'!$N$19),E79*F$5/12*(1+'Project Assumptions'!$N$19))</f>
        <v>132.651</v>
      </c>
      <c r="G79" s="254" t="n">
        <f aca="false">IF(G$3&lt;='Project Assumptions'!$I$15,F79*12/F$5*(1+'Project Assumptions'!$N$19),F79*G$5/12*(1+'Project Assumptions'!$N$19))</f>
        <v>135.30402</v>
      </c>
      <c r="H79" s="254" t="n">
        <f aca="false">IF(H$3&lt;='Project Assumptions'!$I$15,G79*12/G$5*(1+'Project Assumptions'!$N$19),G79*H$5/12*(1+'Project Assumptions'!$N$19))</f>
        <v>138.0101004</v>
      </c>
      <c r="I79" s="254" t="n">
        <f aca="false">IF(I$3&lt;='Project Assumptions'!$I$15,H79*12/H$5*(1+'Project Assumptions'!$N$19),H79*I$5/12*(1+'Project Assumptions'!$N$19))</f>
        <v>140.770302408</v>
      </c>
      <c r="J79" s="254" t="n">
        <f aca="false">IF(J$3&lt;='Project Assumptions'!$I$15,I79*12/I$5*(1+'Project Assumptions'!$N$19),I79*J$5/12*(1+'Project Assumptions'!$N$19))</f>
        <v>143.58570845616</v>
      </c>
      <c r="K79" s="254" t="n">
        <f aca="false">IF(K$3&lt;='Project Assumptions'!$I$15,J79*12/J$5*(1+'Project Assumptions'!$N$19),J79*K$5/12*(1+'Project Assumptions'!$N$19))</f>
        <v>146.457422625283</v>
      </c>
      <c r="L79" s="254" t="n">
        <f aca="false">IF(L$3&lt;='Project Assumptions'!$I$15,K79*12/K$5*(1+'Project Assumptions'!$N$19),K79*L$5/12*(1+'Project Assumptions'!$N$19))</f>
        <v>149.386571077789</v>
      </c>
      <c r="M79" s="254" t="n">
        <f aca="false">IF(M$3&lt;='Project Assumptions'!$I$15,L79*12/L$5*(1+'Project Assumptions'!$N$19),L79*M$5/12*(1+'Project Assumptions'!$N$19))</f>
        <v>152.374302499345</v>
      </c>
      <c r="N79" s="254" t="n">
        <f aca="false">IF(N$3&lt;='Project Assumptions'!$I$15,M79*12/M$5*(1+'Project Assumptions'!$N$19),M79*N$5/12*(1+'Project Assumptions'!$N$19))</f>
        <v>155.421788549332</v>
      </c>
      <c r="O79" s="254" t="n">
        <f aca="false">IF(O$3&lt;='Project Assumptions'!$I$15,N79*12/N$5*(1+'Project Assumptions'!$N$19),N79*O$5/12*(1+'Project Assumptions'!$N$19))</f>
        <v>158.530224320318</v>
      </c>
      <c r="P79" s="254" t="n">
        <f aca="false">IF(P$3&lt;='Project Assumptions'!$I$15,O79*12/O$5*(1+'Project Assumptions'!$N$19),O79*P$5/12*(1+'Project Assumptions'!$N$19))</f>
        <v>161.700828806725</v>
      </c>
      <c r="Q79" s="254" t="n">
        <f aca="false">IF(Q$3&lt;='Project Assumptions'!$I$15,P79*12/P$5*(1+'Project Assumptions'!$N$19),P79*Q$5/12*(1+'Project Assumptions'!$N$19))</f>
        <v>164.934845382859</v>
      </c>
      <c r="R79" s="254" t="n">
        <f aca="false">IF(R$3&lt;='Project Assumptions'!$I$15,Q79*12/Q$5*(1+'Project Assumptions'!$N$19),Q79*R$5/12*(1+'Project Assumptions'!$N$19))</f>
        <v>112.155694860344</v>
      </c>
      <c r="AB79" s="242"/>
      <c r="AC79" s="242"/>
      <c r="AD79" s="184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2"/>
      <c r="BR79" s="242"/>
      <c r="BS79" s="242"/>
      <c r="BT79" s="242"/>
      <c r="BU79" s="242"/>
      <c r="BV79" s="242"/>
      <c r="BW79" s="242"/>
      <c r="BX79" s="242"/>
      <c r="BY79" s="242"/>
      <c r="BZ79" s="242"/>
      <c r="CA79" s="242"/>
      <c r="CB79" s="242"/>
      <c r="CC79" s="242"/>
      <c r="CD79" s="242"/>
      <c r="CE79" s="242"/>
      <c r="CF79" s="242"/>
      <c r="CG79" s="242"/>
      <c r="CH79" s="242"/>
      <c r="CI79" s="242"/>
      <c r="CJ79" s="242"/>
      <c r="CK79" s="242"/>
      <c r="CL79" s="242"/>
      <c r="CM79" s="242"/>
      <c r="CN79" s="242"/>
      <c r="CO79" s="242"/>
      <c r="CP79" s="242"/>
      <c r="CQ79" s="242"/>
      <c r="CR79" s="242"/>
      <c r="CS79" s="242"/>
      <c r="CT79" s="242"/>
      <c r="CU79" s="242"/>
      <c r="CV79" s="242"/>
      <c r="CW79" s="242"/>
      <c r="CX79" s="242"/>
      <c r="CY79" s="242"/>
      <c r="CZ79" s="242"/>
      <c r="DA79" s="242"/>
      <c r="DB79" s="242"/>
      <c r="DC79" s="242"/>
      <c r="DD79" s="242"/>
      <c r="DE79" s="242"/>
      <c r="DF79" s="242"/>
      <c r="DG79" s="242"/>
      <c r="DH79" s="242"/>
      <c r="DI79" s="242"/>
      <c r="DJ79" s="242"/>
      <c r="DK79" s="242"/>
      <c r="DL79" s="242"/>
      <c r="DM79" s="242"/>
      <c r="DN79" s="242"/>
      <c r="DO79" s="242"/>
      <c r="DP79" s="242"/>
      <c r="DQ79" s="242"/>
      <c r="DR79" s="242"/>
      <c r="DS79" s="242"/>
      <c r="DT79" s="242"/>
      <c r="DU79" s="242"/>
      <c r="DV79" s="242"/>
      <c r="DW79" s="242"/>
      <c r="DX79" s="242"/>
      <c r="DY79" s="242"/>
      <c r="DZ79" s="242"/>
      <c r="EA79" s="242"/>
      <c r="EB79" s="242"/>
      <c r="EC79" s="242"/>
      <c r="ED79" s="242"/>
      <c r="EE79" s="242"/>
      <c r="EF79" s="242"/>
      <c r="EG79" s="242"/>
      <c r="EH79" s="242"/>
      <c r="EI79" s="242"/>
      <c r="EJ79" s="242"/>
      <c r="EK79" s="242"/>
      <c r="EL79" s="242"/>
      <c r="EM79" s="242"/>
      <c r="EN79" s="242"/>
      <c r="EO79" s="242"/>
      <c r="EP79" s="242"/>
      <c r="EQ79" s="242"/>
      <c r="ER79" s="242"/>
      <c r="ES79" s="242"/>
      <c r="ET79" s="242"/>
      <c r="EU79" s="242"/>
      <c r="EV79" s="242"/>
      <c r="EW79" s="242"/>
      <c r="EX79" s="242"/>
      <c r="EY79" s="242"/>
      <c r="EZ79" s="242"/>
      <c r="FA79" s="242"/>
      <c r="FB79" s="242"/>
      <c r="FC79" s="242"/>
      <c r="FD79" s="242"/>
      <c r="FE79" s="242"/>
      <c r="FF79" s="242"/>
      <c r="FG79" s="242"/>
      <c r="FH79" s="242"/>
      <c r="FI79" s="242"/>
      <c r="FJ79" s="242"/>
      <c r="FK79" s="242"/>
      <c r="FL79" s="242"/>
      <c r="FM79" s="242"/>
      <c r="FN79" s="242"/>
      <c r="FO79" s="242"/>
      <c r="FP79" s="242"/>
      <c r="FQ79" s="242"/>
      <c r="FR79" s="242"/>
      <c r="FS79" s="242"/>
      <c r="FT79" s="242"/>
      <c r="FU79" s="242"/>
      <c r="FV79" s="242"/>
      <c r="FW79" s="242"/>
      <c r="FX79" s="242"/>
      <c r="FY79" s="242"/>
      <c r="FZ79" s="242"/>
      <c r="GA79" s="242"/>
      <c r="GB79" s="242"/>
      <c r="GC79" s="242"/>
      <c r="GD79" s="242"/>
      <c r="GE79" s="242"/>
      <c r="GF79" s="242"/>
      <c r="GG79" s="242"/>
      <c r="GH79" s="242"/>
      <c r="GI79" s="242"/>
      <c r="GJ79" s="242"/>
      <c r="GK79" s="242"/>
      <c r="GL79" s="242"/>
      <c r="GM79" s="242"/>
      <c r="GN79" s="242"/>
      <c r="GO79" s="242"/>
      <c r="GP79" s="242"/>
      <c r="GQ79" s="242"/>
      <c r="GR79" s="242"/>
      <c r="GS79" s="242"/>
      <c r="GT79" s="242"/>
      <c r="GU79" s="242"/>
      <c r="GV79" s="242"/>
      <c r="GW79" s="242"/>
      <c r="GX79" s="242"/>
      <c r="GY79" s="242"/>
      <c r="GZ79" s="242"/>
      <c r="HA79" s="242"/>
      <c r="HB79" s="242"/>
      <c r="HC79" s="242"/>
      <c r="HD79" s="242"/>
      <c r="HE79" s="242"/>
      <c r="HF79" s="242"/>
      <c r="HG79" s="242"/>
      <c r="HH79" s="242"/>
      <c r="HI79" s="242"/>
      <c r="HJ79" s="242"/>
      <c r="HK79" s="242"/>
      <c r="HL79" s="242"/>
      <c r="HM79" s="242"/>
      <c r="HN79" s="242"/>
      <c r="HO79" s="242"/>
      <c r="HP79" s="242"/>
      <c r="HQ79" s="242"/>
      <c r="HR79" s="242"/>
      <c r="HS79" s="242"/>
      <c r="HT79" s="242"/>
      <c r="HU79" s="242"/>
      <c r="HV79" s="242"/>
      <c r="HW79" s="242"/>
      <c r="HX79" s="242"/>
      <c r="HY79" s="242"/>
      <c r="HZ79" s="242"/>
      <c r="IA79" s="242"/>
      <c r="IB79" s="242"/>
      <c r="IC79" s="242"/>
      <c r="ID79" s="242"/>
      <c r="IE79" s="242"/>
      <c r="IF79" s="242"/>
      <c r="IG79" s="242"/>
      <c r="IH79" s="242"/>
      <c r="II79" s="242"/>
      <c r="IJ79" s="242"/>
      <c r="IK79" s="242"/>
      <c r="IL79" s="242"/>
      <c r="IM79" s="242"/>
      <c r="IN79" s="242"/>
      <c r="IO79" s="242"/>
      <c r="IP79" s="242"/>
      <c r="IQ79" s="242"/>
      <c r="IR79" s="242"/>
      <c r="IS79" s="242"/>
      <c r="IT79" s="242"/>
      <c r="IU79" s="242"/>
      <c r="IV79" s="242"/>
      <c r="IW79" s="242"/>
    </row>
    <row r="80" customFormat="false" ht="15" hidden="false" customHeight="true" outlineLevel="0" collapsed="false">
      <c r="A80" s="248" t="str">
        <f aca="false">'Project Assumptions'!K22</f>
        <v>Operation &amp; Maintenance Fee</v>
      </c>
      <c r="B80" s="242"/>
      <c r="C80" s="257" t="n">
        <f aca="false">OM_Fee*C5/12</f>
        <v>80.64375</v>
      </c>
      <c r="D80" s="257" t="n">
        <f aca="false">IF(D$3&lt;='Project Assumptions'!$I$15,C80*12/C$5*(1+'Project Assumptions'!$N$19),C80*D$5/12*(1+'Project Assumptions'!$N$19))</f>
        <v>156.06</v>
      </c>
      <c r="E80" s="257" t="n">
        <f aca="false">IF(E$3&lt;='Project Assumptions'!$I$15,D80*12/D$5*(1+'Project Assumptions'!$N$19),D80*E$5/12*(1+'Project Assumptions'!$N$19))</f>
        <v>159.1812</v>
      </c>
      <c r="F80" s="257" t="n">
        <f aca="false">IF(F$3&lt;='Project Assumptions'!$I$15,E80*12/E$5*(1+'Project Assumptions'!$N$19),E80*F$5/12*(1+'Project Assumptions'!$N$19))</f>
        <v>162.364824</v>
      </c>
      <c r="G80" s="257" t="n">
        <f aca="false">IF(G$3&lt;='Project Assumptions'!$I$15,F80*12/F$5*(1+'Project Assumptions'!$N$19),F80*G$5/12*(1+'Project Assumptions'!$N$19))</f>
        <v>165.61212048</v>
      </c>
      <c r="H80" s="257" t="n">
        <f aca="false">IF(H$3&lt;='Project Assumptions'!$I$15,G80*12/G$5*(1+'Project Assumptions'!$N$19),G80*H$5/12*(1+'Project Assumptions'!$N$19))</f>
        <v>168.9243628896</v>
      </c>
      <c r="I80" s="257" t="n">
        <f aca="false">IF(I$3&lt;='Project Assumptions'!$I$15,H80*12/H$5*(1+'Project Assumptions'!$N$19),H80*I$5/12*(1+'Project Assumptions'!$N$19))</f>
        <v>172.302850147392</v>
      </c>
      <c r="J80" s="257" t="n">
        <f aca="false">IF(J$3&lt;='Project Assumptions'!$I$15,I80*12/I$5*(1+'Project Assumptions'!$N$19),I80*J$5/12*(1+'Project Assumptions'!$N$19))</f>
        <v>175.74890715034</v>
      </c>
      <c r="K80" s="257" t="n">
        <f aca="false">IF(K$3&lt;='Project Assumptions'!$I$15,J80*12/J$5*(1+'Project Assumptions'!$N$19),J80*K$5/12*(1+'Project Assumptions'!$N$19))</f>
        <v>179.263885293347</v>
      </c>
      <c r="L80" s="257" t="n">
        <f aca="false">IF(L$3&lt;='Project Assumptions'!$I$15,K80*12/K$5*(1+'Project Assumptions'!$N$19),K80*L$5/12*(1+'Project Assumptions'!$N$19))</f>
        <v>182.849162999214</v>
      </c>
      <c r="M80" s="257" t="n">
        <f aca="false">IF(M$3&lt;='Project Assumptions'!$I$15,L80*12/L$5*(1+'Project Assumptions'!$N$19),L80*M$5/12*(1+'Project Assumptions'!$N$19))</f>
        <v>186.506146259198</v>
      </c>
      <c r="N80" s="257" t="n">
        <f aca="false">IF(N$3&lt;='Project Assumptions'!$I$15,M80*12/M$5*(1+'Project Assumptions'!$N$19),M80*N$5/12*(1+'Project Assumptions'!$N$19))</f>
        <v>190.236269184382</v>
      </c>
      <c r="O80" s="257" t="n">
        <f aca="false">IF(O$3&lt;='Project Assumptions'!$I$15,N80*12/N$5*(1+'Project Assumptions'!$N$19),N80*O$5/12*(1+'Project Assumptions'!$N$19))</f>
        <v>194.04099456807</v>
      </c>
      <c r="P80" s="257" t="n">
        <f aca="false">IF(P$3&lt;='Project Assumptions'!$I$15,O80*12/O$5*(1+'Project Assumptions'!$N$19),O80*P$5/12*(1+'Project Assumptions'!$N$19))</f>
        <v>197.921814459431</v>
      </c>
      <c r="Q80" s="257" t="n">
        <f aca="false">IF(Q$3&lt;='Project Assumptions'!$I$15,P80*12/P$5*(1+'Project Assumptions'!$N$19),P80*Q$5/12*(1+'Project Assumptions'!$N$19))</f>
        <v>201.88025074862</v>
      </c>
      <c r="R80" s="257" t="n">
        <f aca="false">IF(R$3&lt;='Project Assumptions'!$I$15,Q80*12/Q$5*(1+'Project Assumptions'!$N$19),Q80*R$5/12*(1+'Project Assumptions'!$N$19))</f>
        <v>137.278570509061</v>
      </c>
      <c r="AB80" s="242"/>
      <c r="AC80" s="242"/>
      <c r="AD80" s="184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/>
      <c r="AY80" s="242"/>
      <c r="AZ80" s="242"/>
      <c r="BA80" s="242"/>
      <c r="BB80" s="242"/>
      <c r="BC80" s="242"/>
      <c r="BD80" s="242"/>
      <c r="BE80" s="242"/>
      <c r="BF80" s="242"/>
      <c r="BG80" s="242"/>
      <c r="BH80" s="242"/>
      <c r="BI80" s="242"/>
      <c r="BJ80" s="242"/>
      <c r="BK80" s="242"/>
      <c r="BL80" s="242"/>
      <c r="BM80" s="242"/>
      <c r="BN80" s="242"/>
      <c r="BO80" s="242"/>
      <c r="BP80" s="242"/>
      <c r="BQ80" s="242"/>
      <c r="BR80" s="242"/>
      <c r="BS80" s="242"/>
      <c r="BT80" s="242"/>
      <c r="BU80" s="242"/>
      <c r="BV80" s="242"/>
      <c r="BW80" s="242"/>
      <c r="BX80" s="242"/>
      <c r="BY80" s="242"/>
      <c r="BZ80" s="242"/>
      <c r="CA80" s="242"/>
      <c r="CB80" s="242"/>
      <c r="CC80" s="242"/>
      <c r="CD80" s="242"/>
      <c r="CE80" s="242"/>
      <c r="CF80" s="242"/>
      <c r="CG80" s="242"/>
      <c r="CH80" s="242"/>
      <c r="CI80" s="242"/>
      <c r="CJ80" s="242"/>
      <c r="CK80" s="242"/>
      <c r="CL80" s="242"/>
      <c r="CM80" s="242"/>
      <c r="CN80" s="242"/>
      <c r="CO80" s="242"/>
      <c r="CP80" s="242"/>
      <c r="CQ80" s="242"/>
      <c r="CR80" s="242"/>
      <c r="CS80" s="242"/>
      <c r="CT80" s="242"/>
      <c r="CU80" s="242"/>
      <c r="CV80" s="242"/>
      <c r="CW80" s="242"/>
      <c r="CX80" s="242"/>
      <c r="CY80" s="242"/>
      <c r="CZ80" s="242"/>
      <c r="DA80" s="242"/>
      <c r="DB80" s="242"/>
      <c r="DC80" s="242"/>
      <c r="DD80" s="242"/>
      <c r="DE80" s="242"/>
      <c r="DF80" s="242"/>
      <c r="DG80" s="242"/>
      <c r="DH80" s="242"/>
      <c r="DI80" s="242"/>
      <c r="DJ80" s="242"/>
      <c r="DK80" s="242"/>
      <c r="DL80" s="242"/>
      <c r="DM80" s="242"/>
      <c r="DN80" s="242"/>
      <c r="DO80" s="242"/>
      <c r="DP80" s="242"/>
      <c r="DQ80" s="242"/>
      <c r="DR80" s="242"/>
      <c r="DS80" s="242"/>
      <c r="DT80" s="242"/>
      <c r="DU80" s="242"/>
      <c r="DV80" s="242"/>
      <c r="DW80" s="242"/>
      <c r="DX80" s="242"/>
      <c r="DY80" s="242"/>
      <c r="DZ80" s="242"/>
      <c r="EA80" s="242"/>
      <c r="EB80" s="242"/>
      <c r="EC80" s="242"/>
      <c r="ED80" s="242"/>
      <c r="EE80" s="242"/>
      <c r="EF80" s="242"/>
      <c r="EG80" s="242"/>
      <c r="EH80" s="242"/>
      <c r="EI80" s="242"/>
      <c r="EJ80" s="242"/>
      <c r="EK80" s="242"/>
      <c r="EL80" s="242"/>
      <c r="EM80" s="242"/>
      <c r="EN80" s="242"/>
      <c r="EO80" s="242"/>
      <c r="EP80" s="242"/>
      <c r="EQ80" s="242"/>
      <c r="ER80" s="242"/>
      <c r="ES80" s="242"/>
      <c r="ET80" s="242"/>
      <c r="EU80" s="242"/>
      <c r="EV80" s="242"/>
      <c r="EW80" s="242"/>
      <c r="EX80" s="242"/>
      <c r="EY80" s="242"/>
      <c r="EZ80" s="242"/>
      <c r="FA80" s="242"/>
      <c r="FB80" s="242"/>
      <c r="FC80" s="242"/>
      <c r="FD80" s="242"/>
      <c r="FE80" s="242"/>
      <c r="FF80" s="242"/>
      <c r="FG80" s="242"/>
      <c r="FH80" s="242"/>
      <c r="FI80" s="242"/>
      <c r="FJ80" s="242"/>
      <c r="FK80" s="242"/>
      <c r="FL80" s="242"/>
      <c r="FM80" s="242"/>
      <c r="FN80" s="242"/>
      <c r="FO80" s="242"/>
      <c r="FP80" s="242"/>
      <c r="FQ80" s="242"/>
      <c r="FR80" s="242"/>
      <c r="FS80" s="242"/>
      <c r="FT80" s="242"/>
      <c r="FU80" s="242"/>
      <c r="FV80" s="242"/>
      <c r="FW80" s="242"/>
      <c r="FX80" s="242"/>
      <c r="FY80" s="242"/>
      <c r="FZ80" s="242"/>
      <c r="GA80" s="242"/>
      <c r="GB80" s="242"/>
      <c r="GC80" s="242"/>
      <c r="GD80" s="242"/>
      <c r="GE80" s="242"/>
      <c r="GF80" s="242"/>
      <c r="GG80" s="242"/>
      <c r="GH80" s="242"/>
      <c r="GI80" s="242"/>
      <c r="GJ80" s="242"/>
      <c r="GK80" s="242"/>
      <c r="GL80" s="242"/>
      <c r="GM80" s="242"/>
      <c r="GN80" s="242"/>
      <c r="GO80" s="242"/>
      <c r="GP80" s="242"/>
      <c r="GQ80" s="242"/>
      <c r="GR80" s="242"/>
      <c r="GS80" s="242"/>
      <c r="GT80" s="242"/>
      <c r="GU80" s="242"/>
      <c r="GV80" s="242"/>
      <c r="GW80" s="242"/>
      <c r="GX80" s="242"/>
      <c r="GY80" s="242"/>
      <c r="GZ80" s="242"/>
      <c r="HA80" s="242"/>
      <c r="HB80" s="242"/>
      <c r="HC80" s="242"/>
      <c r="HD80" s="242"/>
      <c r="HE80" s="242"/>
      <c r="HF80" s="242"/>
      <c r="HG80" s="242"/>
      <c r="HH80" s="242"/>
      <c r="HI80" s="242"/>
      <c r="HJ80" s="242"/>
      <c r="HK80" s="242"/>
      <c r="HL80" s="242"/>
      <c r="HM80" s="242"/>
      <c r="HN80" s="242"/>
      <c r="HO80" s="242"/>
      <c r="HP80" s="242"/>
      <c r="HQ80" s="242"/>
      <c r="HR80" s="242"/>
      <c r="HS80" s="242"/>
      <c r="HT80" s="242"/>
      <c r="HU80" s="242"/>
      <c r="HV80" s="242"/>
      <c r="HW80" s="242"/>
      <c r="HX80" s="242"/>
      <c r="HY80" s="242"/>
      <c r="HZ80" s="242"/>
      <c r="IA80" s="242"/>
      <c r="IB80" s="242"/>
      <c r="IC80" s="242"/>
      <c r="ID80" s="242"/>
      <c r="IE80" s="242"/>
      <c r="IF80" s="242"/>
      <c r="IG80" s="242"/>
      <c r="IH80" s="242"/>
      <c r="II80" s="242"/>
      <c r="IJ80" s="242"/>
      <c r="IK80" s="242"/>
      <c r="IL80" s="242"/>
      <c r="IM80" s="242"/>
      <c r="IN80" s="242"/>
      <c r="IO80" s="242"/>
      <c r="IP80" s="242"/>
      <c r="IQ80" s="242"/>
      <c r="IR80" s="242"/>
      <c r="IS80" s="242"/>
      <c r="IT80" s="242"/>
      <c r="IU80" s="242"/>
      <c r="IV80" s="242"/>
      <c r="IW80" s="242"/>
    </row>
    <row r="81" customFormat="false" ht="12.75" hidden="false" customHeight="true" outlineLevel="0" collapsed="false">
      <c r="A81" s="248" t="s">
        <v>363</v>
      </c>
      <c r="B81" s="242"/>
      <c r="C81" s="254" t="n">
        <f aca="false">SUM(C78:C80)</f>
        <v>146.529166666667</v>
      </c>
      <c r="D81" s="254" t="n">
        <f aca="false">SUM(D78:D80)</f>
        <v>283.56</v>
      </c>
      <c r="E81" s="254" t="n">
        <f aca="false">SUM(E78:E80)</f>
        <v>289.2312</v>
      </c>
      <c r="F81" s="254" t="n">
        <f aca="false">SUM(F78:F80)</f>
        <v>295.015824</v>
      </c>
      <c r="G81" s="254" t="n">
        <f aca="false">SUM(G78:G80)</f>
        <v>300.91614048</v>
      </c>
      <c r="H81" s="254" t="n">
        <f aca="false">SUM(H78:H80)</f>
        <v>306.9344632896</v>
      </c>
      <c r="I81" s="254" t="n">
        <f aca="false">SUM(I78:I80)</f>
        <v>313.073152555392</v>
      </c>
      <c r="J81" s="254" t="n">
        <f aca="false">SUM(J78:J80)</f>
        <v>319.3346156065</v>
      </c>
      <c r="K81" s="254" t="n">
        <f aca="false">SUM(K78:K80)</f>
        <v>325.72130791863</v>
      </c>
      <c r="L81" s="254" t="n">
        <f aca="false">SUM(L78:L80)</f>
        <v>332.235734077002</v>
      </c>
      <c r="M81" s="254" t="n">
        <f aca="false">SUM(M78:M80)</f>
        <v>338.880448758543</v>
      </c>
      <c r="N81" s="254" t="n">
        <f aca="false">SUM(N78:N80)</f>
        <v>345.658057733713</v>
      </c>
      <c r="O81" s="254" t="n">
        <f aca="false">SUM(O78:O80)</f>
        <v>352.571218888388</v>
      </c>
      <c r="P81" s="254" t="n">
        <f aca="false">SUM(P78:P80)</f>
        <v>359.622643266156</v>
      </c>
      <c r="Q81" s="254" t="n">
        <f aca="false">SUM(Q78:Q80)</f>
        <v>366.815096131479</v>
      </c>
      <c r="R81" s="254" t="n">
        <f aca="false">SUM(R78:R80)</f>
        <v>249.434265369406</v>
      </c>
      <c r="AB81" s="242"/>
      <c r="AC81" s="242"/>
      <c r="AD81" s="184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  <c r="BE81" s="242"/>
      <c r="BF81" s="242"/>
      <c r="BG81" s="242"/>
      <c r="BH81" s="242"/>
      <c r="BI81" s="242"/>
      <c r="BJ81" s="242"/>
      <c r="BK81" s="242"/>
      <c r="BL81" s="242"/>
      <c r="BM81" s="242"/>
      <c r="BN81" s="242"/>
      <c r="BO81" s="242"/>
      <c r="BP81" s="242"/>
      <c r="BQ81" s="242"/>
      <c r="BR81" s="242"/>
      <c r="BS81" s="242"/>
      <c r="BT81" s="242"/>
      <c r="BU81" s="242"/>
      <c r="BV81" s="242"/>
      <c r="BW81" s="242"/>
      <c r="BX81" s="242"/>
      <c r="BY81" s="242"/>
      <c r="BZ81" s="242"/>
      <c r="CA81" s="242"/>
      <c r="CB81" s="242"/>
      <c r="CC81" s="242"/>
      <c r="CD81" s="242"/>
      <c r="CE81" s="242"/>
      <c r="CF81" s="242"/>
      <c r="CG81" s="242"/>
      <c r="CH81" s="242"/>
      <c r="CI81" s="242"/>
      <c r="CJ81" s="242"/>
      <c r="CK81" s="242"/>
      <c r="CL81" s="242"/>
      <c r="CM81" s="242"/>
      <c r="CN81" s="242"/>
      <c r="CO81" s="242"/>
      <c r="CP81" s="242"/>
      <c r="CQ81" s="242"/>
      <c r="CR81" s="242"/>
      <c r="CS81" s="242"/>
      <c r="CT81" s="242"/>
      <c r="CU81" s="242"/>
      <c r="CV81" s="242"/>
      <c r="CW81" s="242"/>
      <c r="CX81" s="242"/>
      <c r="CY81" s="242"/>
      <c r="CZ81" s="242"/>
      <c r="DA81" s="242"/>
      <c r="DB81" s="242"/>
      <c r="DC81" s="242"/>
      <c r="DD81" s="242"/>
      <c r="DE81" s="242"/>
      <c r="DF81" s="242"/>
      <c r="DG81" s="242"/>
      <c r="DH81" s="242"/>
      <c r="DI81" s="242"/>
      <c r="DJ81" s="242"/>
      <c r="DK81" s="242"/>
      <c r="DL81" s="242"/>
      <c r="DM81" s="242"/>
      <c r="DN81" s="242"/>
      <c r="DO81" s="242"/>
      <c r="DP81" s="242"/>
      <c r="DQ81" s="242"/>
      <c r="DR81" s="242"/>
      <c r="DS81" s="242"/>
      <c r="DT81" s="242"/>
      <c r="DU81" s="242"/>
      <c r="DV81" s="242"/>
      <c r="DW81" s="242"/>
      <c r="DX81" s="242"/>
      <c r="DY81" s="242"/>
      <c r="DZ81" s="242"/>
      <c r="EA81" s="242"/>
      <c r="EB81" s="242"/>
      <c r="EC81" s="242"/>
      <c r="ED81" s="242"/>
      <c r="EE81" s="242"/>
      <c r="EF81" s="242"/>
      <c r="EG81" s="242"/>
      <c r="EH81" s="242"/>
      <c r="EI81" s="242"/>
      <c r="EJ81" s="242"/>
      <c r="EK81" s="242"/>
      <c r="EL81" s="242"/>
      <c r="EM81" s="242"/>
      <c r="EN81" s="242"/>
      <c r="EO81" s="242"/>
      <c r="EP81" s="242"/>
      <c r="EQ81" s="242"/>
      <c r="ER81" s="242"/>
      <c r="ES81" s="242"/>
      <c r="ET81" s="242"/>
      <c r="EU81" s="242"/>
      <c r="EV81" s="242"/>
      <c r="EW81" s="242"/>
      <c r="EX81" s="242"/>
      <c r="EY81" s="242"/>
      <c r="EZ81" s="242"/>
      <c r="FA81" s="242"/>
      <c r="FB81" s="242"/>
      <c r="FC81" s="242"/>
      <c r="FD81" s="242"/>
      <c r="FE81" s="242"/>
      <c r="FF81" s="242"/>
      <c r="FG81" s="242"/>
      <c r="FH81" s="242"/>
      <c r="FI81" s="242"/>
      <c r="FJ81" s="242"/>
      <c r="FK81" s="242"/>
      <c r="FL81" s="242"/>
      <c r="FM81" s="242"/>
      <c r="FN81" s="242"/>
      <c r="FO81" s="242"/>
      <c r="FP81" s="242"/>
      <c r="FQ81" s="242"/>
      <c r="FR81" s="242"/>
      <c r="FS81" s="242"/>
      <c r="FT81" s="242"/>
      <c r="FU81" s="242"/>
      <c r="FV81" s="242"/>
      <c r="FW81" s="242"/>
      <c r="FX81" s="242"/>
      <c r="FY81" s="242"/>
      <c r="FZ81" s="242"/>
      <c r="GA81" s="242"/>
      <c r="GB81" s="242"/>
      <c r="GC81" s="242"/>
      <c r="GD81" s="242"/>
      <c r="GE81" s="242"/>
      <c r="GF81" s="242"/>
      <c r="GG81" s="242"/>
      <c r="GH81" s="242"/>
      <c r="GI81" s="242"/>
      <c r="GJ81" s="242"/>
      <c r="GK81" s="242"/>
      <c r="GL81" s="242"/>
      <c r="GM81" s="242"/>
      <c r="GN81" s="242"/>
      <c r="GO81" s="242"/>
      <c r="GP81" s="242"/>
      <c r="GQ81" s="242"/>
      <c r="GR81" s="242"/>
      <c r="GS81" s="242"/>
      <c r="GT81" s="242"/>
      <c r="GU81" s="242"/>
      <c r="GV81" s="242"/>
      <c r="GW81" s="242"/>
      <c r="GX81" s="242"/>
      <c r="GY81" s="242"/>
      <c r="GZ81" s="242"/>
      <c r="HA81" s="242"/>
      <c r="HB81" s="242"/>
      <c r="HC81" s="242"/>
      <c r="HD81" s="242"/>
      <c r="HE81" s="242"/>
      <c r="HF81" s="242"/>
      <c r="HG81" s="242"/>
      <c r="HH81" s="242"/>
      <c r="HI81" s="242"/>
      <c r="HJ81" s="242"/>
      <c r="HK81" s="242"/>
      <c r="HL81" s="242"/>
      <c r="HM81" s="242"/>
      <c r="HN81" s="242"/>
      <c r="HO81" s="242"/>
      <c r="HP81" s="242"/>
      <c r="HQ81" s="242"/>
      <c r="HR81" s="242"/>
      <c r="HS81" s="242"/>
      <c r="HT81" s="242"/>
      <c r="HU81" s="242"/>
      <c r="HV81" s="242"/>
      <c r="HW81" s="242"/>
      <c r="HX81" s="242"/>
      <c r="HY81" s="242"/>
      <c r="HZ81" s="242"/>
      <c r="IA81" s="242"/>
      <c r="IB81" s="242"/>
      <c r="IC81" s="242"/>
      <c r="ID81" s="242"/>
      <c r="IE81" s="242"/>
      <c r="IF81" s="242"/>
      <c r="IG81" s="242"/>
      <c r="IH81" s="242"/>
      <c r="II81" s="242"/>
      <c r="IJ81" s="242"/>
      <c r="IK81" s="242"/>
      <c r="IL81" s="242"/>
      <c r="IM81" s="242"/>
      <c r="IN81" s="242"/>
      <c r="IO81" s="242"/>
      <c r="IP81" s="242"/>
      <c r="IQ81" s="242"/>
      <c r="IR81" s="242"/>
      <c r="IS81" s="242"/>
      <c r="IT81" s="242"/>
      <c r="IU81" s="242"/>
      <c r="IV81" s="242"/>
      <c r="IW81" s="242"/>
    </row>
    <row r="82" customFormat="false" ht="12.75" hidden="false" customHeight="true" outlineLevel="0" collapsed="false">
      <c r="A82" s="248"/>
      <c r="B82" s="242" t="n">
        <f aca="false">SUM(C81:R81)</f>
        <v>4925.53333474147</v>
      </c>
      <c r="C82" s="254" t="n">
        <f aca="false">SUM(C8:R8)</f>
        <v>6143.66379456214</v>
      </c>
      <c r="D82" s="254" t="n">
        <f aca="false">+C82-B82</f>
        <v>1218.13045982067</v>
      </c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AB82" s="242"/>
      <c r="AC82" s="242"/>
      <c r="AD82" s="184"/>
      <c r="AE82" s="242"/>
      <c r="AF82" s="242"/>
      <c r="AG82" s="242"/>
      <c r="AH82" s="242"/>
      <c r="AI82" s="242"/>
      <c r="AJ82" s="242"/>
      <c r="AK82" s="242"/>
      <c r="AL82" s="242"/>
      <c r="AM82" s="242"/>
      <c r="AN82" s="242"/>
      <c r="AO82" s="242"/>
      <c r="AP82" s="242"/>
      <c r="AQ82" s="242"/>
      <c r="AR82" s="242"/>
      <c r="AS82" s="242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  <c r="BE82" s="242"/>
      <c r="BF82" s="242"/>
      <c r="BG82" s="242"/>
      <c r="BH82" s="242"/>
      <c r="BI82" s="242"/>
      <c r="BJ82" s="242"/>
      <c r="BK82" s="242"/>
      <c r="BL82" s="242"/>
      <c r="BM82" s="242"/>
      <c r="BN82" s="242"/>
      <c r="BO82" s="242"/>
      <c r="BP82" s="242"/>
      <c r="BQ82" s="242"/>
      <c r="BR82" s="242"/>
      <c r="BS82" s="242"/>
      <c r="BT82" s="242"/>
      <c r="BU82" s="242"/>
      <c r="BV82" s="242"/>
      <c r="BW82" s="242"/>
      <c r="BX82" s="242"/>
      <c r="BY82" s="242"/>
      <c r="BZ82" s="242"/>
      <c r="CA82" s="242"/>
      <c r="CB82" s="242"/>
      <c r="CC82" s="242"/>
      <c r="CD82" s="242"/>
      <c r="CE82" s="242"/>
      <c r="CF82" s="242"/>
      <c r="CG82" s="242"/>
      <c r="CH82" s="242"/>
      <c r="CI82" s="242"/>
      <c r="CJ82" s="242"/>
      <c r="CK82" s="242"/>
      <c r="CL82" s="242"/>
      <c r="CM82" s="242"/>
      <c r="CN82" s="242"/>
      <c r="CO82" s="242"/>
      <c r="CP82" s="242"/>
      <c r="CQ82" s="242"/>
      <c r="CR82" s="242"/>
      <c r="CS82" s="242"/>
      <c r="CT82" s="242"/>
      <c r="CU82" s="242"/>
      <c r="CV82" s="242"/>
      <c r="CW82" s="242"/>
      <c r="CX82" s="242"/>
      <c r="CY82" s="242"/>
      <c r="CZ82" s="242"/>
      <c r="DA82" s="242"/>
      <c r="DB82" s="242"/>
      <c r="DC82" s="242"/>
      <c r="DD82" s="242"/>
      <c r="DE82" s="242"/>
      <c r="DF82" s="242"/>
      <c r="DG82" s="242"/>
      <c r="DH82" s="242"/>
      <c r="DI82" s="242"/>
      <c r="DJ82" s="242"/>
      <c r="DK82" s="242"/>
      <c r="DL82" s="242"/>
      <c r="DM82" s="242"/>
      <c r="DN82" s="242"/>
      <c r="DO82" s="242"/>
      <c r="DP82" s="242"/>
      <c r="DQ82" s="242"/>
      <c r="DR82" s="242"/>
      <c r="DS82" s="242"/>
      <c r="DT82" s="242"/>
      <c r="DU82" s="242"/>
      <c r="DV82" s="242"/>
      <c r="DW82" s="242"/>
      <c r="DX82" s="242"/>
      <c r="DY82" s="242"/>
      <c r="DZ82" s="242"/>
      <c r="EA82" s="242"/>
      <c r="EB82" s="242"/>
      <c r="EC82" s="242"/>
      <c r="ED82" s="242"/>
      <c r="EE82" s="242"/>
      <c r="EF82" s="242"/>
      <c r="EG82" s="242"/>
      <c r="EH82" s="242"/>
      <c r="EI82" s="242"/>
      <c r="EJ82" s="242"/>
      <c r="EK82" s="242"/>
      <c r="EL82" s="242"/>
      <c r="EM82" s="242"/>
      <c r="EN82" s="242"/>
      <c r="EO82" s="242"/>
      <c r="EP82" s="242"/>
      <c r="EQ82" s="242"/>
      <c r="ER82" s="242"/>
      <c r="ES82" s="242"/>
      <c r="ET82" s="242"/>
      <c r="EU82" s="242"/>
      <c r="EV82" s="242"/>
      <c r="EW82" s="242"/>
      <c r="EX82" s="242"/>
      <c r="EY82" s="242"/>
      <c r="EZ82" s="242"/>
      <c r="FA82" s="242"/>
      <c r="FB82" s="242"/>
      <c r="FC82" s="242"/>
      <c r="FD82" s="242"/>
      <c r="FE82" s="242"/>
      <c r="FF82" s="242"/>
      <c r="FG82" s="242"/>
      <c r="FH82" s="242"/>
      <c r="FI82" s="242"/>
      <c r="FJ82" s="242"/>
      <c r="FK82" s="242"/>
      <c r="FL82" s="242"/>
      <c r="FM82" s="242"/>
      <c r="FN82" s="242"/>
      <c r="FO82" s="242"/>
      <c r="FP82" s="242"/>
      <c r="FQ82" s="242"/>
      <c r="FR82" s="242"/>
      <c r="FS82" s="242"/>
      <c r="FT82" s="242"/>
      <c r="FU82" s="242"/>
      <c r="FV82" s="242"/>
      <c r="FW82" s="242"/>
      <c r="FX82" s="242"/>
      <c r="FY82" s="242"/>
      <c r="FZ82" s="242"/>
      <c r="GA82" s="242"/>
      <c r="GB82" s="242"/>
      <c r="GC82" s="242"/>
      <c r="GD82" s="242"/>
      <c r="GE82" s="242"/>
      <c r="GF82" s="242"/>
      <c r="GG82" s="242"/>
      <c r="GH82" s="242"/>
      <c r="GI82" s="242"/>
      <c r="GJ82" s="242"/>
      <c r="GK82" s="242"/>
      <c r="GL82" s="242"/>
      <c r="GM82" s="242"/>
      <c r="GN82" s="242"/>
      <c r="GO82" s="242"/>
      <c r="GP82" s="242"/>
      <c r="GQ82" s="242"/>
      <c r="GR82" s="242"/>
      <c r="GS82" s="242"/>
      <c r="GT82" s="242"/>
      <c r="GU82" s="242"/>
      <c r="GV82" s="242"/>
      <c r="GW82" s="242"/>
      <c r="GX82" s="242"/>
      <c r="GY82" s="242"/>
      <c r="GZ82" s="242"/>
      <c r="HA82" s="242"/>
      <c r="HB82" s="242"/>
      <c r="HC82" s="242"/>
      <c r="HD82" s="242"/>
      <c r="HE82" s="242"/>
      <c r="HF82" s="242"/>
      <c r="HG82" s="242"/>
      <c r="HH82" s="242"/>
      <c r="HI82" s="242"/>
      <c r="HJ82" s="242"/>
      <c r="HK82" s="242"/>
      <c r="HL82" s="242"/>
      <c r="HM82" s="242"/>
      <c r="HN82" s="242"/>
      <c r="HO82" s="242"/>
      <c r="HP82" s="242"/>
      <c r="HQ82" s="242"/>
      <c r="HR82" s="242"/>
      <c r="HS82" s="242"/>
      <c r="HT82" s="242"/>
      <c r="HU82" s="242"/>
      <c r="HV82" s="242"/>
      <c r="HW82" s="242"/>
      <c r="HX82" s="242"/>
      <c r="HY82" s="242"/>
      <c r="HZ82" s="242"/>
      <c r="IA82" s="242"/>
      <c r="IB82" s="242"/>
      <c r="IC82" s="242"/>
      <c r="ID82" s="242"/>
      <c r="IE82" s="242"/>
      <c r="IF82" s="242"/>
      <c r="IG82" s="242"/>
      <c r="IH82" s="242"/>
      <c r="II82" s="242"/>
      <c r="IJ82" s="242"/>
      <c r="IK82" s="242"/>
      <c r="IL82" s="242"/>
      <c r="IM82" s="242"/>
      <c r="IN82" s="242"/>
      <c r="IO82" s="242"/>
      <c r="IP82" s="242"/>
      <c r="IQ82" s="242"/>
      <c r="IR82" s="242"/>
      <c r="IS82" s="242"/>
      <c r="IT82" s="242"/>
      <c r="IU82" s="242"/>
      <c r="IV82" s="242"/>
      <c r="IW82" s="242"/>
    </row>
    <row r="83" customFormat="false" ht="12.75" hidden="false" customHeight="true" outlineLevel="0" collapsed="false">
      <c r="A83" s="248" t="s">
        <v>364</v>
      </c>
      <c r="B83" s="184"/>
      <c r="C83" s="260" t="n">
        <f aca="false">C81/('Project Assumptions'!$I$12*'Book Income Statement'!C$5)</f>
        <v>0.0689484126984127</v>
      </c>
      <c r="D83" s="260" t="n">
        <f aca="false">D81/('Project Assumptions'!$I$12*'Book Income Statement'!D5)</f>
        <v>0.0703273809523809</v>
      </c>
      <c r="E83" s="260" t="n">
        <f aca="false">E81/('Project Assumptions'!$I$12*'Book Income Statement'!E5)</f>
        <v>0.0717339285714286</v>
      </c>
      <c r="F83" s="260" t="n">
        <f aca="false">F81/('Project Assumptions'!$I$12*'Book Income Statement'!F5)</f>
        <v>0.0731686071428571</v>
      </c>
      <c r="G83" s="260" t="n">
        <f aca="false">G81/('Project Assumptions'!$I$12*'Book Income Statement'!G5)</f>
        <v>0.0746319792857143</v>
      </c>
      <c r="H83" s="260" t="n">
        <f aca="false">H81/('Project Assumptions'!$I$12*'Book Income Statement'!H5)</f>
        <v>0.0761246188714286</v>
      </c>
      <c r="I83" s="260" t="n">
        <f aca="false">I81/('Project Assumptions'!$I$12*'Book Income Statement'!I5)</f>
        <v>0.0776471112488572</v>
      </c>
      <c r="J83" s="260" t="n">
        <f aca="false">J81/('Project Assumptions'!$I$12*'Book Income Statement'!J5)</f>
        <v>0.0792000534738343</v>
      </c>
      <c r="K83" s="260" t="n">
        <f aca="false">K81/('Project Assumptions'!$I$12*'Book Income Statement'!K5)</f>
        <v>0.080784054543311</v>
      </c>
      <c r="L83" s="260" t="n">
        <f aca="false">L81/('Project Assumptions'!$I$12*'Book Income Statement'!L5)</f>
        <v>0.0823997356341772</v>
      </c>
      <c r="M83" s="260" t="n">
        <f aca="false">M81/('Project Assumptions'!$I$12*'Book Income Statement'!M5)</f>
        <v>0.0840477303468608</v>
      </c>
      <c r="N83" s="260" t="n">
        <f aca="false">N81/('Project Assumptions'!$I$12*'Book Income Statement'!N5)</f>
        <v>0.085728684953798</v>
      </c>
      <c r="O83" s="260" t="n">
        <f aca="false">O81/('Project Assumptions'!$I$12*'Book Income Statement'!O5)</f>
        <v>0.0874432586528739</v>
      </c>
      <c r="P83" s="260" t="n">
        <f aca="false">P81/('Project Assumptions'!$I$12*'Book Income Statement'!P5)</f>
        <v>0.0891921238259314</v>
      </c>
      <c r="Q83" s="260" t="n">
        <f aca="false">Q81/('Project Assumptions'!$I$12*'Book Income Statement'!Q5)</f>
        <v>0.0909759663024501</v>
      </c>
      <c r="R83" s="260" t="n">
        <f aca="false">R81/('Project Assumptions'!$I$12*'Book Income Statement'!R5)</f>
        <v>0.0927954856284991</v>
      </c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4"/>
      <c r="BN83" s="184"/>
      <c r="BO83" s="184"/>
      <c r="BP83" s="184"/>
      <c r="BQ83" s="184"/>
      <c r="BR83" s="184"/>
      <c r="BS83" s="184"/>
      <c r="BT83" s="184"/>
      <c r="BU83" s="184"/>
      <c r="BV83" s="184"/>
      <c r="BW83" s="184"/>
      <c r="BX83" s="184"/>
      <c r="BY83" s="184"/>
      <c r="BZ83" s="184"/>
      <c r="CA83" s="184"/>
      <c r="CB83" s="184"/>
      <c r="CC83" s="184"/>
      <c r="CD83" s="184"/>
      <c r="CE83" s="184"/>
      <c r="CF83" s="184"/>
      <c r="CG83" s="184"/>
      <c r="CH83" s="184"/>
      <c r="CI83" s="184"/>
      <c r="CJ83" s="184"/>
      <c r="CK83" s="184"/>
      <c r="CL83" s="184"/>
      <c r="CM83" s="184"/>
      <c r="CN83" s="184"/>
      <c r="CO83" s="184"/>
      <c r="CP83" s="184"/>
      <c r="CQ83" s="184"/>
      <c r="CR83" s="184"/>
      <c r="CS83" s="184"/>
      <c r="CT83" s="184"/>
      <c r="CU83" s="184"/>
      <c r="CV83" s="184"/>
      <c r="CW83" s="184"/>
      <c r="CX83" s="184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4"/>
      <c r="DP83" s="184"/>
      <c r="DQ83" s="184"/>
      <c r="DR83" s="184"/>
      <c r="DS83" s="184"/>
      <c r="DT83" s="184"/>
      <c r="DU83" s="184"/>
      <c r="DV83" s="184"/>
      <c r="DW83" s="184"/>
      <c r="DX83" s="184"/>
      <c r="DY83" s="184"/>
      <c r="DZ83" s="184"/>
      <c r="EA83" s="184"/>
      <c r="EB83" s="184"/>
      <c r="EC83" s="184"/>
      <c r="ED83" s="184"/>
      <c r="EE83" s="184"/>
      <c r="EF83" s="184"/>
      <c r="EG83" s="184"/>
      <c r="EH83" s="184"/>
      <c r="EI83" s="184"/>
      <c r="EJ83" s="184"/>
      <c r="EK83" s="184"/>
      <c r="EL83" s="184"/>
      <c r="EM83" s="184"/>
      <c r="EN83" s="184"/>
      <c r="EO83" s="184"/>
      <c r="EP83" s="184"/>
      <c r="EQ83" s="184"/>
      <c r="ER83" s="184"/>
      <c r="ES83" s="184"/>
      <c r="ET83" s="184"/>
      <c r="EU83" s="184"/>
      <c r="EV83" s="184"/>
      <c r="EW83" s="184"/>
      <c r="EX83" s="184"/>
      <c r="EY83" s="184"/>
      <c r="EZ83" s="184"/>
      <c r="FA83" s="184"/>
      <c r="FB83" s="184"/>
      <c r="FC83" s="184"/>
      <c r="FD83" s="184"/>
      <c r="FE83" s="184"/>
      <c r="FF83" s="184"/>
      <c r="FG83" s="184"/>
      <c r="FH83" s="184"/>
      <c r="FI83" s="184"/>
      <c r="FJ83" s="184"/>
      <c r="FK83" s="184"/>
      <c r="FL83" s="184"/>
      <c r="FM83" s="184"/>
      <c r="FN83" s="184"/>
      <c r="FO83" s="184"/>
      <c r="FP83" s="184"/>
      <c r="FQ83" s="184"/>
      <c r="FR83" s="184"/>
      <c r="FS83" s="184"/>
      <c r="FT83" s="184"/>
      <c r="FU83" s="184"/>
      <c r="FV83" s="184"/>
      <c r="FW83" s="184"/>
      <c r="FX83" s="184"/>
      <c r="FY83" s="184"/>
      <c r="FZ83" s="184"/>
      <c r="GA83" s="184"/>
      <c r="GB83" s="184"/>
      <c r="GC83" s="184"/>
      <c r="GD83" s="184"/>
      <c r="GE83" s="184"/>
      <c r="GF83" s="184"/>
      <c r="GG83" s="184"/>
      <c r="GH83" s="184"/>
      <c r="GI83" s="184"/>
      <c r="GJ83" s="184"/>
      <c r="GK83" s="184"/>
      <c r="GL83" s="184"/>
      <c r="GM83" s="184"/>
      <c r="GN83" s="184"/>
      <c r="GO83" s="184"/>
      <c r="GP83" s="184"/>
      <c r="GQ83" s="184"/>
      <c r="GR83" s="184"/>
      <c r="GS83" s="184"/>
      <c r="GT83" s="184"/>
      <c r="GU83" s="184"/>
      <c r="GV83" s="184"/>
      <c r="GW83" s="184"/>
      <c r="GX83" s="184"/>
      <c r="GY83" s="184"/>
      <c r="GZ83" s="184"/>
      <c r="HA83" s="184"/>
      <c r="HB83" s="184"/>
      <c r="HC83" s="184"/>
      <c r="HD83" s="184"/>
      <c r="HE83" s="184"/>
      <c r="HF83" s="184"/>
      <c r="HG83" s="184"/>
      <c r="HH83" s="184"/>
      <c r="HI83" s="184"/>
      <c r="HJ83" s="184"/>
      <c r="HK83" s="184"/>
      <c r="HL83" s="184"/>
      <c r="HM83" s="184"/>
      <c r="HN83" s="184"/>
      <c r="HO83" s="184"/>
      <c r="HP83" s="184"/>
      <c r="HQ83" s="184"/>
      <c r="HR83" s="184"/>
      <c r="HS83" s="184"/>
      <c r="HT83" s="184"/>
      <c r="HU83" s="184"/>
      <c r="HV83" s="184"/>
      <c r="HW83" s="184"/>
      <c r="HX83" s="184"/>
      <c r="HY83" s="184"/>
      <c r="HZ83" s="184"/>
      <c r="IA83" s="184"/>
      <c r="IB83" s="184"/>
      <c r="IC83" s="184"/>
      <c r="ID83" s="184"/>
      <c r="IE83" s="184"/>
      <c r="IF83" s="184"/>
      <c r="IG83" s="184"/>
      <c r="IH83" s="184"/>
      <c r="II83" s="184"/>
      <c r="IJ83" s="184"/>
      <c r="IK83" s="184"/>
      <c r="IL83" s="184"/>
      <c r="IM83" s="184"/>
      <c r="IN83" s="184"/>
      <c r="IO83" s="184"/>
      <c r="IP83" s="184"/>
      <c r="IQ83" s="184"/>
      <c r="IR83" s="184"/>
      <c r="IS83" s="184"/>
      <c r="IT83" s="184"/>
      <c r="IU83" s="184"/>
      <c r="IV83" s="184"/>
      <c r="IW83" s="184"/>
    </row>
    <row r="84" customFormat="false" ht="12.75" hidden="false" customHeight="true" outlineLevel="0" collapsed="false">
      <c r="A84" s="248"/>
      <c r="B84" s="226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4"/>
      <c r="BR84" s="184"/>
      <c r="BS84" s="184"/>
      <c r="BT84" s="184"/>
      <c r="BU84" s="184"/>
      <c r="BV84" s="184"/>
      <c r="BW84" s="184"/>
      <c r="BX84" s="184"/>
      <c r="BY84" s="184"/>
      <c r="BZ84" s="184"/>
      <c r="CA84" s="184"/>
      <c r="CB84" s="184"/>
      <c r="CC84" s="184"/>
      <c r="CD84" s="184"/>
      <c r="CE84" s="184"/>
      <c r="CF84" s="184"/>
      <c r="CG84" s="184"/>
      <c r="CH84" s="184"/>
      <c r="CI84" s="184"/>
      <c r="CJ84" s="184"/>
      <c r="CK84" s="184"/>
      <c r="CL84" s="184"/>
      <c r="CM84" s="184"/>
      <c r="CN84" s="184"/>
      <c r="CO84" s="184"/>
      <c r="CP84" s="184"/>
      <c r="CQ84" s="184"/>
      <c r="CR84" s="184"/>
      <c r="CS84" s="184"/>
      <c r="CT84" s="184"/>
      <c r="CU84" s="184"/>
      <c r="CV84" s="184"/>
      <c r="CW84" s="184"/>
      <c r="CX84" s="184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4"/>
      <c r="DP84" s="184"/>
      <c r="DQ84" s="184"/>
      <c r="DR84" s="184"/>
      <c r="DS84" s="184"/>
      <c r="DT84" s="184"/>
      <c r="DU84" s="184"/>
      <c r="DV84" s="184"/>
      <c r="DW84" s="184"/>
      <c r="DX84" s="184"/>
      <c r="DY84" s="184"/>
      <c r="DZ84" s="184"/>
      <c r="EA84" s="184"/>
      <c r="EB84" s="184"/>
      <c r="EC84" s="184"/>
      <c r="ED84" s="184"/>
      <c r="EE84" s="184"/>
      <c r="EF84" s="184"/>
      <c r="EG84" s="184"/>
      <c r="EH84" s="184"/>
      <c r="EI84" s="184"/>
      <c r="EJ84" s="184"/>
      <c r="EK84" s="184"/>
      <c r="EL84" s="184"/>
      <c r="EM84" s="184"/>
      <c r="EN84" s="184"/>
      <c r="EO84" s="184"/>
      <c r="EP84" s="184"/>
      <c r="EQ84" s="184"/>
      <c r="ER84" s="184"/>
      <c r="ES84" s="184"/>
      <c r="ET84" s="184"/>
      <c r="EU84" s="184"/>
      <c r="EV84" s="184"/>
      <c r="EW84" s="184"/>
      <c r="EX84" s="184"/>
      <c r="EY84" s="184"/>
      <c r="EZ84" s="184"/>
      <c r="FA84" s="184"/>
      <c r="FB84" s="184"/>
      <c r="FC84" s="184"/>
      <c r="FD84" s="184"/>
      <c r="FE84" s="184"/>
      <c r="FF84" s="184"/>
      <c r="FG84" s="184"/>
      <c r="FH84" s="184"/>
      <c r="FI84" s="184"/>
      <c r="FJ84" s="184"/>
      <c r="FK84" s="184"/>
      <c r="FL84" s="184"/>
      <c r="FM84" s="184"/>
      <c r="FN84" s="184"/>
      <c r="FO84" s="184"/>
      <c r="FP84" s="184"/>
      <c r="FQ84" s="184"/>
      <c r="FR84" s="184"/>
      <c r="FS84" s="184"/>
      <c r="FT84" s="184"/>
      <c r="FU84" s="184"/>
      <c r="FV84" s="184"/>
      <c r="FW84" s="184"/>
      <c r="FX84" s="184"/>
      <c r="FY84" s="184"/>
      <c r="FZ84" s="184"/>
      <c r="GA84" s="184"/>
      <c r="GB84" s="184"/>
      <c r="GC84" s="184"/>
      <c r="GD84" s="184"/>
      <c r="GE84" s="184"/>
      <c r="GF84" s="184"/>
      <c r="GG84" s="184"/>
      <c r="GH84" s="184"/>
      <c r="GI84" s="184"/>
      <c r="GJ84" s="184"/>
      <c r="GK84" s="184"/>
      <c r="GL84" s="184"/>
      <c r="GM84" s="184"/>
      <c r="GN84" s="184"/>
      <c r="GO84" s="184"/>
      <c r="GP84" s="184"/>
      <c r="GQ84" s="184"/>
      <c r="GR84" s="184"/>
      <c r="GS84" s="184"/>
      <c r="GT84" s="184"/>
      <c r="GU84" s="184"/>
      <c r="GV84" s="184"/>
      <c r="GW84" s="184"/>
      <c r="GX84" s="184"/>
      <c r="GY84" s="184"/>
      <c r="GZ84" s="184"/>
      <c r="HA84" s="184"/>
      <c r="HB84" s="184"/>
      <c r="HC84" s="184"/>
      <c r="HD84" s="184"/>
      <c r="HE84" s="184"/>
      <c r="HF84" s="184"/>
      <c r="HG84" s="184"/>
      <c r="HH84" s="184"/>
      <c r="HI84" s="184"/>
      <c r="HJ84" s="184"/>
      <c r="HK84" s="184"/>
      <c r="HL84" s="184"/>
      <c r="HM84" s="184"/>
      <c r="HN84" s="184"/>
      <c r="HO84" s="184"/>
      <c r="HP84" s="184"/>
      <c r="HQ84" s="184"/>
      <c r="HR84" s="184"/>
      <c r="HS84" s="184"/>
      <c r="HT84" s="184"/>
      <c r="HU84" s="184"/>
      <c r="HV84" s="184"/>
      <c r="HW84" s="184"/>
      <c r="HX84" s="184"/>
      <c r="HY84" s="184"/>
      <c r="HZ84" s="184"/>
      <c r="IA84" s="184"/>
      <c r="IB84" s="184"/>
      <c r="IC84" s="184"/>
      <c r="ID84" s="184"/>
      <c r="IE84" s="184"/>
      <c r="IF84" s="184"/>
      <c r="IG84" s="184"/>
      <c r="IH84" s="184"/>
      <c r="II84" s="184"/>
      <c r="IJ84" s="184"/>
      <c r="IK84" s="184"/>
      <c r="IL84" s="184"/>
      <c r="IM84" s="184"/>
      <c r="IN84" s="184"/>
      <c r="IO84" s="184"/>
      <c r="IP84" s="184"/>
      <c r="IQ84" s="184"/>
      <c r="IR84" s="184"/>
      <c r="IS84" s="184"/>
      <c r="IT84" s="184"/>
      <c r="IU84" s="184"/>
      <c r="IV84" s="184"/>
      <c r="IW84" s="184"/>
    </row>
    <row r="85" customFormat="false" ht="12.75" hidden="false" customHeight="true" outlineLevel="0" collapsed="false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4"/>
      <c r="BT85" s="184"/>
      <c r="BU85" s="184"/>
      <c r="BV85" s="184"/>
      <c r="BW85" s="184"/>
      <c r="BX85" s="184"/>
      <c r="BY85" s="184"/>
      <c r="BZ85" s="184"/>
      <c r="CA85" s="184"/>
      <c r="CB85" s="184"/>
      <c r="CC85" s="184"/>
      <c r="CD85" s="184"/>
      <c r="CE85" s="184"/>
      <c r="CF85" s="184"/>
      <c r="CG85" s="184"/>
      <c r="CH85" s="184"/>
      <c r="CI85" s="184"/>
      <c r="CJ85" s="184"/>
      <c r="CK85" s="184"/>
      <c r="CL85" s="184"/>
      <c r="CM85" s="184"/>
      <c r="CN85" s="184"/>
      <c r="CO85" s="184"/>
      <c r="CP85" s="184"/>
      <c r="CQ85" s="184"/>
      <c r="CR85" s="184"/>
      <c r="CS85" s="184"/>
      <c r="CT85" s="184"/>
      <c r="CU85" s="184"/>
      <c r="CV85" s="184"/>
      <c r="CW85" s="184"/>
      <c r="CX85" s="184"/>
      <c r="CY85" s="184"/>
      <c r="CZ85" s="184"/>
      <c r="DA85" s="184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4"/>
      <c r="DM85" s="184"/>
      <c r="DN85" s="184"/>
      <c r="DO85" s="184"/>
      <c r="DP85" s="184"/>
      <c r="DQ85" s="184"/>
      <c r="DR85" s="184"/>
      <c r="DS85" s="184"/>
      <c r="DT85" s="184"/>
      <c r="DU85" s="184"/>
      <c r="DV85" s="184"/>
      <c r="DW85" s="184"/>
      <c r="DX85" s="184"/>
      <c r="DY85" s="184"/>
      <c r="DZ85" s="184"/>
      <c r="EA85" s="184"/>
      <c r="EB85" s="184"/>
      <c r="EC85" s="184"/>
      <c r="ED85" s="184"/>
      <c r="EE85" s="184"/>
      <c r="EF85" s="184"/>
      <c r="EG85" s="184"/>
      <c r="EH85" s="184"/>
      <c r="EI85" s="184"/>
      <c r="EJ85" s="184"/>
      <c r="EK85" s="184"/>
      <c r="EL85" s="184"/>
      <c r="EM85" s="184"/>
      <c r="EN85" s="184"/>
      <c r="EO85" s="184"/>
      <c r="EP85" s="184"/>
      <c r="EQ85" s="184"/>
      <c r="ER85" s="184"/>
      <c r="ES85" s="184"/>
      <c r="ET85" s="184"/>
      <c r="EU85" s="184"/>
      <c r="EV85" s="184"/>
      <c r="EW85" s="184"/>
      <c r="EX85" s="184"/>
      <c r="EY85" s="184"/>
      <c r="EZ85" s="184"/>
      <c r="FA85" s="184"/>
      <c r="FB85" s="184"/>
      <c r="FC85" s="184"/>
      <c r="FD85" s="184"/>
      <c r="FE85" s="184"/>
      <c r="FF85" s="184"/>
      <c r="FG85" s="184"/>
      <c r="FH85" s="184"/>
      <c r="FI85" s="184"/>
      <c r="FJ85" s="184"/>
      <c r="FK85" s="184"/>
      <c r="FL85" s="184"/>
      <c r="FM85" s="184"/>
      <c r="FN85" s="184"/>
      <c r="FO85" s="184"/>
      <c r="FP85" s="184"/>
      <c r="FQ85" s="184"/>
      <c r="FR85" s="184"/>
      <c r="FS85" s="184"/>
      <c r="FT85" s="184"/>
      <c r="FU85" s="184"/>
      <c r="FV85" s="184"/>
      <c r="FW85" s="184"/>
      <c r="FX85" s="184"/>
      <c r="FY85" s="184"/>
      <c r="FZ85" s="184"/>
      <c r="GA85" s="184"/>
      <c r="GB85" s="184"/>
      <c r="GC85" s="184"/>
      <c r="GD85" s="184"/>
      <c r="GE85" s="184"/>
      <c r="GF85" s="184"/>
      <c r="GG85" s="184"/>
      <c r="GH85" s="184"/>
      <c r="GI85" s="184"/>
      <c r="GJ85" s="184"/>
      <c r="GK85" s="184"/>
      <c r="GL85" s="184"/>
      <c r="GM85" s="184"/>
      <c r="GN85" s="184"/>
      <c r="GO85" s="184"/>
      <c r="GP85" s="184"/>
      <c r="GQ85" s="184"/>
      <c r="GR85" s="184"/>
      <c r="GS85" s="184"/>
      <c r="GT85" s="184"/>
      <c r="GU85" s="184"/>
      <c r="GV85" s="184"/>
      <c r="GW85" s="184"/>
      <c r="GX85" s="184"/>
      <c r="GY85" s="184"/>
      <c r="GZ85" s="184"/>
      <c r="HA85" s="184"/>
      <c r="HB85" s="184"/>
      <c r="HC85" s="184"/>
      <c r="HD85" s="184"/>
      <c r="HE85" s="184"/>
      <c r="HF85" s="184"/>
      <c r="HG85" s="184"/>
      <c r="HH85" s="184"/>
      <c r="HI85" s="184"/>
      <c r="HJ85" s="184"/>
      <c r="HK85" s="184"/>
      <c r="HL85" s="184"/>
      <c r="HM85" s="184"/>
      <c r="HN85" s="184"/>
      <c r="HO85" s="184"/>
      <c r="HP85" s="184"/>
      <c r="HQ85" s="184"/>
      <c r="HR85" s="184"/>
      <c r="HS85" s="184"/>
      <c r="HT85" s="184"/>
      <c r="HU85" s="184"/>
      <c r="HV85" s="184"/>
      <c r="HW85" s="184"/>
      <c r="HX85" s="184"/>
      <c r="HY85" s="184"/>
      <c r="HZ85" s="184"/>
      <c r="IA85" s="184"/>
      <c r="IB85" s="184"/>
      <c r="IC85" s="184"/>
      <c r="ID85" s="184"/>
      <c r="IE85" s="184"/>
      <c r="IF85" s="184"/>
      <c r="IG85" s="184"/>
      <c r="IH85" s="184"/>
      <c r="II85" s="184"/>
      <c r="IJ85" s="184"/>
      <c r="IK85" s="184"/>
      <c r="IL85" s="184"/>
      <c r="IM85" s="184"/>
      <c r="IN85" s="184"/>
      <c r="IO85" s="184"/>
      <c r="IP85" s="184"/>
      <c r="IQ85" s="184"/>
      <c r="IR85" s="184"/>
      <c r="IS85" s="184"/>
      <c r="IT85" s="184"/>
      <c r="IU85" s="184"/>
      <c r="IV85" s="184"/>
      <c r="IW85" s="184"/>
    </row>
    <row r="86" customFormat="false" ht="12.75" hidden="false" customHeight="true" outlineLevel="0" collapsed="false">
      <c r="A86" s="184" t="s">
        <v>365</v>
      </c>
      <c r="B86" s="184"/>
      <c r="C86" s="258" t="n">
        <f aca="false">C73+C81</f>
        <v>1211.27154954628</v>
      </c>
      <c r="D86" s="258" t="n">
        <f aca="false">D73+D81</f>
        <v>2606.63515750301</v>
      </c>
      <c r="E86" s="258" t="n">
        <f aca="false">E73+E81</f>
        <v>2705.95699775983</v>
      </c>
      <c r="F86" s="258" t="n">
        <f aca="false">F73+F81</f>
        <v>2798.84144737884</v>
      </c>
      <c r="G86" s="258" t="n">
        <f aca="false">G73+G81</f>
        <v>2847.34291946858</v>
      </c>
      <c r="H86" s="258" t="n">
        <f aca="false">H73+H81</f>
        <v>2893.05442935177</v>
      </c>
      <c r="I86" s="258" t="n">
        <f aca="false">I73+I81</f>
        <v>2935.99248531595</v>
      </c>
      <c r="J86" s="258" t="n">
        <f aca="false">J73+J81</f>
        <v>2943.63553654983</v>
      </c>
      <c r="K86" s="258" t="n">
        <f aca="false">K73+K81</f>
        <v>2952.15452412537</v>
      </c>
      <c r="L86" s="258" t="n">
        <f aca="false">L73+L81</f>
        <v>2961.56696676941</v>
      </c>
      <c r="M86" s="258" t="n">
        <f aca="false">M73+M81</f>
        <v>2971.89073358333</v>
      </c>
      <c r="N86" s="258" t="n">
        <f aca="false">N73+N81</f>
        <v>2983.14405105051</v>
      </c>
      <c r="O86" s="258" t="n">
        <f aca="false">O73+O81</f>
        <v>2995.34551018403</v>
      </c>
      <c r="P86" s="258" t="n">
        <f aca="false">P73+P81</f>
        <v>3008.51407381722</v>
      </c>
      <c r="Q86" s="258" t="n">
        <f aca="false">Q73+Q81</f>
        <v>3022.66908404006</v>
      </c>
      <c r="R86" s="258" t="n">
        <f aca="false">R73+R81</f>
        <v>1730.89761642148</v>
      </c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/>
      <c r="BT86" s="184"/>
      <c r="BU86" s="184"/>
      <c r="BV86" s="184"/>
      <c r="BW86" s="184"/>
      <c r="BX86" s="184"/>
      <c r="BY86" s="184"/>
      <c r="BZ86" s="184"/>
      <c r="CA86" s="184"/>
      <c r="CB86" s="184"/>
      <c r="CC86" s="184"/>
      <c r="CD86" s="184"/>
      <c r="CE86" s="184"/>
      <c r="CF86" s="184"/>
      <c r="CG86" s="184"/>
      <c r="CH86" s="184"/>
      <c r="CI86" s="184"/>
      <c r="CJ86" s="184"/>
      <c r="CK86" s="184"/>
      <c r="CL86" s="184"/>
      <c r="CM86" s="184"/>
      <c r="CN86" s="184"/>
      <c r="CO86" s="184"/>
      <c r="CP86" s="184"/>
      <c r="CQ86" s="184"/>
      <c r="CR86" s="184"/>
      <c r="CS86" s="184"/>
      <c r="CT86" s="184"/>
      <c r="CU86" s="184"/>
      <c r="CV86" s="184"/>
      <c r="CW86" s="184"/>
      <c r="CX86" s="184"/>
      <c r="CY86" s="184"/>
      <c r="CZ86" s="184"/>
      <c r="DA86" s="184"/>
      <c r="DB86" s="184"/>
      <c r="DC86" s="184"/>
      <c r="DD86" s="184"/>
      <c r="DE86" s="184"/>
      <c r="DF86" s="184"/>
      <c r="DG86" s="184"/>
      <c r="DH86" s="184"/>
      <c r="DI86" s="184"/>
      <c r="DJ86" s="184"/>
      <c r="DK86" s="184"/>
      <c r="DL86" s="184"/>
      <c r="DM86" s="184"/>
      <c r="DN86" s="184"/>
      <c r="DO86" s="184"/>
      <c r="DP86" s="184"/>
      <c r="DQ86" s="184"/>
      <c r="DR86" s="184"/>
      <c r="DS86" s="184"/>
      <c r="DT86" s="184"/>
      <c r="DU86" s="184"/>
      <c r="DV86" s="184"/>
      <c r="DW86" s="184"/>
      <c r="DX86" s="184"/>
      <c r="DY86" s="184"/>
      <c r="DZ86" s="184"/>
      <c r="EA86" s="184"/>
      <c r="EB86" s="184"/>
      <c r="EC86" s="184"/>
      <c r="ED86" s="184"/>
      <c r="EE86" s="184"/>
      <c r="EF86" s="184"/>
      <c r="EG86" s="184"/>
      <c r="EH86" s="184"/>
      <c r="EI86" s="184"/>
      <c r="EJ86" s="184"/>
      <c r="EK86" s="184"/>
      <c r="EL86" s="184"/>
      <c r="EM86" s="184"/>
      <c r="EN86" s="184"/>
      <c r="EO86" s="184"/>
      <c r="EP86" s="184"/>
      <c r="EQ86" s="184"/>
      <c r="ER86" s="184"/>
      <c r="ES86" s="184"/>
      <c r="ET86" s="184"/>
      <c r="EU86" s="184"/>
      <c r="EV86" s="184"/>
      <c r="EW86" s="184"/>
      <c r="EX86" s="184"/>
      <c r="EY86" s="184"/>
      <c r="EZ86" s="184"/>
      <c r="FA86" s="184"/>
      <c r="FB86" s="184"/>
      <c r="FC86" s="184"/>
      <c r="FD86" s="184"/>
      <c r="FE86" s="184"/>
      <c r="FF86" s="184"/>
      <c r="FG86" s="184"/>
      <c r="FH86" s="184"/>
      <c r="FI86" s="184"/>
      <c r="FJ86" s="184"/>
      <c r="FK86" s="184"/>
      <c r="FL86" s="184"/>
      <c r="FM86" s="184"/>
      <c r="FN86" s="184"/>
      <c r="FO86" s="184"/>
      <c r="FP86" s="184"/>
      <c r="FQ86" s="184"/>
      <c r="FR86" s="184"/>
      <c r="FS86" s="184"/>
      <c r="FT86" s="184"/>
      <c r="FU86" s="184"/>
      <c r="FV86" s="184"/>
      <c r="FW86" s="184"/>
      <c r="FX86" s="184"/>
      <c r="FY86" s="184"/>
      <c r="FZ86" s="184"/>
      <c r="GA86" s="184"/>
      <c r="GB86" s="184"/>
      <c r="GC86" s="184"/>
      <c r="GD86" s="184"/>
      <c r="GE86" s="184"/>
      <c r="GF86" s="184"/>
      <c r="GG86" s="184"/>
      <c r="GH86" s="184"/>
      <c r="GI86" s="184"/>
      <c r="GJ86" s="184"/>
      <c r="GK86" s="184"/>
      <c r="GL86" s="184"/>
      <c r="GM86" s="184"/>
      <c r="GN86" s="184"/>
      <c r="GO86" s="184"/>
      <c r="GP86" s="184"/>
      <c r="GQ86" s="184"/>
      <c r="GR86" s="184"/>
      <c r="GS86" s="184"/>
      <c r="GT86" s="184"/>
      <c r="GU86" s="184"/>
      <c r="GV86" s="184"/>
      <c r="GW86" s="184"/>
      <c r="GX86" s="184"/>
      <c r="GY86" s="184"/>
      <c r="GZ86" s="184"/>
      <c r="HA86" s="184"/>
      <c r="HB86" s="184"/>
      <c r="HC86" s="184"/>
      <c r="HD86" s="184"/>
      <c r="HE86" s="184"/>
      <c r="HF86" s="184"/>
      <c r="HG86" s="184"/>
      <c r="HH86" s="184"/>
      <c r="HI86" s="184"/>
      <c r="HJ86" s="184"/>
      <c r="HK86" s="184"/>
      <c r="HL86" s="184"/>
      <c r="HM86" s="184"/>
      <c r="HN86" s="184"/>
      <c r="HO86" s="184"/>
      <c r="HP86" s="184"/>
      <c r="HQ86" s="184"/>
      <c r="HR86" s="184"/>
      <c r="HS86" s="184"/>
      <c r="HT86" s="184"/>
      <c r="HU86" s="184"/>
      <c r="HV86" s="184"/>
      <c r="HW86" s="184"/>
      <c r="HX86" s="184"/>
      <c r="HY86" s="184"/>
      <c r="HZ86" s="184"/>
      <c r="IA86" s="184"/>
      <c r="IB86" s="184"/>
      <c r="IC86" s="184"/>
      <c r="ID86" s="184"/>
      <c r="IE86" s="184"/>
      <c r="IF86" s="184"/>
      <c r="IG86" s="184"/>
      <c r="IH86" s="184"/>
      <c r="II86" s="184"/>
      <c r="IJ86" s="184"/>
      <c r="IK86" s="184"/>
      <c r="IL86" s="184"/>
      <c r="IM86" s="184"/>
      <c r="IN86" s="184"/>
      <c r="IO86" s="184"/>
      <c r="IP86" s="184"/>
      <c r="IQ86" s="184"/>
      <c r="IR86" s="184"/>
      <c r="IS86" s="184"/>
      <c r="IT86" s="184"/>
      <c r="IU86" s="184"/>
      <c r="IV86" s="184"/>
      <c r="IW86" s="184"/>
    </row>
    <row r="87" customFormat="false" ht="12.75" hidden="false" customHeight="true" outlineLevel="0" collapsed="false">
      <c r="A87" s="222"/>
      <c r="B87" s="242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AB87" s="242"/>
      <c r="AC87" s="242"/>
      <c r="AD87" s="184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2"/>
      <c r="AV87" s="242"/>
      <c r="AW87" s="242"/>
      <c r="AX87" s="242"/>
      <c r="AY87" s="242"/>
      <c r="AZ87" s="242"/>
      <c r="BA87" s="242"/>
      <c r="BB87" s="242"/>
      <c r="BC87" s="242"/>
      <c r="BD87" s="242"/>
      <c r="BE87" s="242"/>
      <c r="BF87" s="242"/>
      <c r="BG87" s="242"/>
      <c r="BH87" s="242"/>
      <c r="BI87" s="242"/>
      <c r="BJ87" s="242"/>
      <c r="BK87" s="242"/>
      <c r="BL87" s="242"/>
      <c r="BM87" s="242"/>
      <c r="BN87" s="242"/>
      <c r="BO87" s="242"/>
      <c r="BP87" s="242"/>
      <c r="BQ87" s="242"/>
      <c r="BR87" s="242"/>
      <c r="BS87" s="242"/>
      <c r="BT87" s="242"/>
      <c r="BU87" s="242"/>
      <c r="BV87" s="242"/>
      <c r="BW87" s="242"/>
      <c r="BX87" s="242"/>
      <c r="BY87" s="242"/>
      <c r="BZ87" s="242"/>
      <c r="CA87" s="242"/>
      <c r="CB87" s="242"/>
      <c r="CC87" s="242"/>
      <c r="CD87" s="242"/>
      <c r="CE87" s="242"/>
      <c r="CF87" s="242"/>
      <c r="CG87" s="242"/>
      <c r="CH87" s="242"/>
      <c r="CI87" s="242"/>
      <c r="CJ87" s="242"/>
      <c r="CK87" s="242"/>
      <c r="CL87" s="242"/>
      <c r="CM87" s="242"/>
      <c r="CN87" s="242"/>
      <c r="CO87" s="242"/>
      <c r="CP87" s="242"/>
      <c r="CQ87" s="242"/>
      <c r="CR87" s="242"/>
      <c r="CS87" s="242"/>
      <c r="CT87" s="242"/>
      <c r="CU87" s="242"/>
      <c r="CV87" s="242"/>
      <c r="CW87" s="242"/>
      <c r="CX87" s="242"/>
      <c r="CY87" s="242"/>
      <c r="CZ87" s="242"/>
      <c r="DA87" s="242"/>
      <c r="DB87" s="242"/>
      <c r="DC87" s="242"/>
      <c r="DD87" s="242"/>
      <c r="DE87" s="242"/>
      <c r="DF87" s="242"/>
      <c r="DG87" s="242"/>
      <c r="DH87" s="242"/>
      <c r="DI87" s="242"/>
      <c r="DJ87" s="242"/>
      <c r="DK87" s="242"/>
      <c r="DL87" s="242"/>
      <c r="DM87" s="242"/>
      <c r="DN87" s="242"/>
      <c r="DO87" s="242"/>
      <c r="DP87" s="242"/>
      <c r="DQ87" s="242"/>
      <c r="DR87" s="242"/>
      <c r="DS87" s="242"/>
      <c r="DT87" s="242"/>
      <c r="DU87" s="242"/>
      <c r="DV87" s="242"/>
      <c r="DW87" s="242"/>
      <c r="DX87" s="242"/>
      <c r="DY87" s="242"/>
      <c r="DZ87" s="242"/>
      <c r="EA87" s="242"/>
      <c r="EB87" s="242"/>
      <c r="EC87" s="242"/>
      <c r="ED87" s="242"/>
      <c r="EE87" s="242"/>
      <c r="EF87" s="242"/>
      <c r="EG87" s="242"/>
      <c r="EH87" s="242"/>
      <c r="EI87" s="242"/>
      <c r="EJ87" s="242"/>
      <c r="EK87" s="242"/>
      <c r="EL87" s="242"/>
      <c r="EM87" s="242"/>
      <c r="EN87" s="242"/>
      <c r="EO87" s="242"/>
      <c r="EP87" s="242"/>
      <c r="EQ87" s="242"/>
      <c r="ER87" s="242"/>
      <c r="ES87" s="242"/>
      <c r="ET87" s="242"/>
      <c r="EU87" s="242"/>
      <c r="EV87" s="242"/>
      <c r="EW87" s="242"/>
      <c r="EX87" s="242"/>
      <c r="EY87" s="242"/>
      <c r="EZ87" s="242"/>
      <c r="FA87" s="242"/>
      <c r="FB87" s="242"/>
      <c r="FC87" s="242"/>
      <c r="FD87" s="242"/>
      <c r="FE87" s="242"/>
      <c r="FF87" s="242"/>
      <c r="FG87" s="242"/>
      <c r="FH87" s="242"/>
      <c r="FI87" s="242"/>
      <c r="FJ87" s="242"/>
      <c r="FK87" s="242"/>
      <c r="FL87" s="242"/>
      <c r="FM87" s="242"/>
      <c r="FN87" s="242"/>
      <c r="FO87" s="242"/>
      <c r="FP87" s="242"/>
      <c r="FQ87" s="242"/>
      <c r="FR87" s="242"/>
      <c r="FS87" s="242"/>
      <c r="FT87" s="242"/>
      <c r="FU87" s="242"/>
      <c r="FV87" s="242"/>
      <c r="FW87" s="242"/>
      <c r="FX87" s="242"/>
      <c r="FY87" s="242"/>
      <c r="FZ87" s="242"/>
      <c r="GA87" s="242"/>
      <c r="GB87" s="242"/>
      <c r="GC87" s="242"/>
      <c r="GD87" s="242"/>
      <c r="GE87" s="242"/>
      <c r="GF87" s="242"/>
      <c r="GG87" s="242"/>
      <c r="GH87" s="242"/>
      <c r="GI87" s="242"/>
      <c r="GJ87" s="242"/>
      <c r="GK87" s="242"/>
      <c r="GL87" s="242"/>
      <c r="GM87" s="242"/>
      <c r="GN87" s="242"/>
      <c r="GO87" s="242"/>
      <c r="GP87" s="242"/>
      <c r="GQ87" s="242"/>
      <c r="GR87" s="242"/>
      <c r="GS87" s="242"/>
      <c r="GT87" s="242"/>
      <c r="GU87" s="242"/>
      <c r="GV87" s="242"/>
      <c r="GW87" s="242"/>
      <c r="GX87" s="242"/>
      <c r="GY87" s="242"/>
      <c r="GZ87" s="242"/>
      <c r="HA87" s="242"/>
      <c r="HB87" s="242"/>
      <c r="HC87" s="242"/>
      <c r="HD87" s="242"/>
      <c r="HE87" s="242"/>
      <c r="HF87" s="242"/>
      <c r="HG87" s="242"/>
      <c r="HH87" s="242"/>
      <c r="HI87" s="242"/>
      <c r="HJ87" s="242"/>
      <c r="HK87" s="242"/>
      <c r="HL87" s="242"/>
      <c r="HM87" s="242"/>
      <c r="HN87" s="242"/>
      <c r="HO87" s="242"/>
      <c r="HP87" s="242"/>
      <c r="HQ87" s="242"/>
      <c r="HR87" s="242"/>
      <c r="HS87" s="242"/>
      <c r="HT87" s="242"/>
      <c r="HU87" s="242"/>
      <c r="HV87" s="242"/>
      <c r="HW87" s="242"/>
      <c r="HX87" s="242"/>
      <c r="HY87" s="242"/>
      <c r="HZ87" s="242"/>
      <c r="IA87" s="242"/>
      <c r="IB87" s="242"/>
      <c r="IC87" s="242"/>
      <c r="ID87" s="242"/>
      <c r="IE87" s="242"/>
      <c r="IF87" s="242"/>
      <c r="IG87" s="242"/>
      <c r="IH87" s="242"/>
      <c r="II87" s="242"/>
      <c r="IJ87" s="242"/>
      <c r="IK87" s="242"/>
      <c r="IL87" s="242"/>
      <c r="IM87" s="242"/>
      <c r="IN87" s="242"/>
      <c r="IO87" s="242"/>
      <c r="IP87" s="242"/>
      <c r="IQ87" s="242"/>
      <c r="IR87" s="242"/>
      <c r="IS87" s="242"/>
      <c r="IT87" s="242"/>
      <c r="IU87" s="242"/>
      <c r="IV87" s="242"/>
      <c r="IW87" s="242"/>
    </row>
    <row r="88" customFormat="false" ht="12.75" hidden="false" customHeight="true" outlineLevel="0" collapsed="false">
      <c r="A88" s="184" t="s">
        <v>366</v>
      </c>
      <c r="B88" s="242"/>
      <c r="C88" s="260" t="n">
        <f aca="false">C86/('Project Assumptions'!$I$12*'Book Income Statement'!C$5)</f>
        <v>0.569956497998439</v>
      </c>
      <c r="D88" s="260" t="n">
        <f aca="false">D86/('Project Assumptions'!$I$12*'Book Income Statement'!D$5)</f>
        <v>0.646486894221976</v>
      </c>
      <c r="E88" s="260" t="n">
        <f aca="false">E86/('Project Assumptions'!$I$12*'Book Income Statement'!E$5)</f>
        <v>0.671120287142816</v>
      </c>
      <c r="F88" s="260" t="n">
        <f aca="false">F86/('Project Assumptions'!$I$12*'Book Income Statement'!F$5)</f>
        <v>0.694157105004672</v>
      </c>
      <c r="G88" s="260" t="n">
        <f aca="false">G86/('Project Assumptions'!$I$12*'Book Income Statement'!G$5)</f>
        <v>0.706186239947566</v>
      </c>
      <c r="H88" s="260" t="n">
        <f aca="false">H86/('Project Assumptions'!$I$12*'Book Income Statement'!H$5)</f>
        <v>0.717523419978117</v>
      </c>
      <c r="I88" s="260" t="n">
        <f aca="false">I86/('Project Assumptions'!$I$12*'Book Income Statement'!I$5)</f>
        <v>0.728172739413679</v>
      </c>
      <c r="J88" s="260" t="n">
        <f aca="false">J86/('Project Assumptions'!$I$12*'Book Income Statement'!J$5)</f>
        <v>0.730068337437953</v>
      </c>
      <c r="K88" s="260" t="n">
        <f aca="false">K86/('Project Assumptions'!$I$12*'Book Income Statement'!K$5)</f>
        <v>0.732181181578712</v>
      </c>
      <c r="L88" s="260" t="n">
        <f aca="false">L86/('Project Assumptions'!$I$12*'Book Income Statement'!L$5)</f>
        <v>0.734515616758286</v>
      </c>
      <c r="M88" s="260" t="n">
        <f aca="false">M86/('Project Assumptions'!$I$12*'Book Income Statement'!M$5)</f>
        <v>0.737076074797452</v>
      </c>
      <c r="N88" s="260" t="n">
        <f aca="false">N86/('Project Assumptions'!$I$12*'Book Income Statement'!N$5)</f>
        <v>0.739867076153401</v>
      </c>
      <c r="O88" s="260" t="n">
        <f aca="false">O86/('Project Assumptions'!$I$12*'Book Income Statement'!O$5)</f>
        <v>0.742893231692469</v>
      </c>
      <c r="P88" s="260" t="n">
        <f aca="false">P86/('Project Assumptions'!$I$12*'Book Income Statement'!P$5)</f>
        <v>0.746159244498318</v>
      </c>
      <c r="Q88" s="260" t="n">
        <f aca="false">Q86/('Project Assumptions'!$I$12*'Book Income Statement'!Q$5)</f>
        <v>0.749669911716285</v>
      </c>
      <c r="R88" s="260" t="n">
        <f aca="false">R86/('Project Assumptions'!$I$12*'Book Income Statement'!R$5)</f>
        <v>0.643935125156802</v>
      </c>
      <c r="AB88" s="242"/>
      <c r="AC88" s="242"/>
      <c r="AD88" s="184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42"/>
      <c r="AZ88" s="242"/>
      <c r="BA88" s="242"/>
      <c r="BB88" s="242"/>
      <c r="BC88" s="242"/>
      <c r="BD88" s="242"/>
      <c r="BE88" s="242"/>
      <c r="BF88" s="242"/>
      <c r="BG88" s="242"/>
      <c r="BH88" s="242"/>
      <c r="BI88" s="242"/>
      <c r="BJ88" s="242"/>
      <c r="BK88" s="242"/>
      <c r="BL88" s="242"/>
      <c r="BM88" s="242"/>
      <c r="BN88" s="242"/>
      <c r="BO88" s="242"/>
      <c r="BP88" s="242"/>
      <c r="BQ88" s="242"/>
      <c r="BR88" s="242"/>
      <c r="BS88" s="242"/>
      <c r="BT88" s="242"/>
      <c r="BU88" s="242"/>
      <c r="BV88" s="242"/>
      <c r="BW88" s="242"/>
      <c r="BX88" s="242"/>
      <c r="BY88" s="242"/>
      <c r="BZ88" s="242"/>
      <c r="CA88" s="242"/>
      <c r="CB88" s="242"/>
      <c r="CC88" s="242"/>
      <c r="CD88" s="242"/>
      <c r="CE88" s="242"/>
      <c r="CF88" s="242"/>
      <c r="CG88" s="242"/>
      <c r="CH88" s="242"/>
      <c r="CI88" s="242"/>
      <c r="CJ88" s="242"/>
      <c r="CK88" s="242"/>
      <c r="CL88" s="242"/>
      <c r="CM88" s="242"/>
      <c r="CN88" s="242"/>
      <c r="CO88" s="242"/>
      <c r="CP88" s="242"/>
      <c r="CQ88" s="242"/>
      <c r="CR88" s="242"/>
      <c r="CS88" s="242"/>
      <c r="CT88" s="242"/>
      <c r="CU88" s="242"/>
      <c r="CV88" s="242"/>
      <c r="CW88" s="242"/>
      <c r="CX88" s="242"/>
      <c r="CY88" s="242"/>
      <c r="CZ88" s="242"/>
      <c r="DA88" s="242"/>
      <c r="DB88" s="242"/>
      <c r="DC88" s="242"/>
      <c r="DD88" s="242"/>
      <c r="DE88" s="242"/>
      <c r="DF88" s="242"/>
      <c r="DG88" s="242"/>
      <c r="DH88" s="242"/>
      <c r="DI88" s="242"/>
      <c r="DJ88" s="242"/>
      <c r="DK88" s="242"/>
      <c r="DL88" s="242"/>
      <c r="DM88" s="242"/>
      <c r="DN88" s="242"/>
      <c r="DO88" s="242"/>
      <c r="DP88" s="242"/>
      <c r="DQ88" s="242"/>
      <c r="DR88" s="242"/>
      <c r="DS88" s="242"/>
      <c r="DT88" s="242"/>
      <c r="DU88" s="242"/>
      <c r="DV88" s="242"/>
      <c r="DW88" s="242"/>
      <c r="DX88" s="242"/>
      <c r="DY88" s="242"/>
      <c r="DZ88" s="242"/>
      <c r="EA88" s="242"/>
      <c r="EB88" s="242"/>
      <c r="EC88" s="242"/>
      <c r="ED88" s="242"/>
      <c r="EE88" s="242"/>
      <c r="EF88" s="242"/>
      <c r="EG88" s="242"/>
      <c r="EH88" s="242"/>
      <c r="EI88" s="242"/>
      <c r="EJ88" s="242"/>
      <c r="EK88" s="242"/>
      <c r="EL88" s="242"/>
      <c r="EM88" s="242"/>
      <c r="EN88" s="242"/>
      <c r="EO88" s="242"/>
      <c r="EP88" s="242"/>
      <c r="EQ88" s="242"/>
      <c r="ER88" s="242"/>
      <c r="ES88" s="242"/>
      <c r="ET88" s="242"/>
      <c r="EU88" s="242"/>
      <c r="EV88" s="242"/>
      <c r="EW88" s="242"/>
      <c r="EX88" s="242"/>
      <c r="EY88" s="242"/>
      <c r="EZ88" s="242"/>
      <c r="FA88" s="242"/>
      <c r="FB88" s="242"/>
      <c r="FC88" s="242"/>
      <c r="FD88" s="242"/>
      <c r="FE88" s="242"/>
      <c r="FF88" s="242"/>
      <c r="FG88" s="242"/>
      <c r="FH88" s="242"/>
      <c r="FI88" s="242"/>
      <c r="FJ88" s="242"/>
      <c r="FK88" s="242"/>
      <c r="FL88" s="242"/>
      <c r="FM88" s="242"/>
      <c r="FN88" s="242"/>
      <c r="FO88" s="242"/>
      <c r="FP88" s="242"/>
      <c r="FQ88" s="242"/>
      <c r="FR88" s="242"/>
      <c r="FS88" s="242"/>
      <c r="FT88" s="242"/>
      <c r="FU88" s="242"/>
      <c r="FV88" s="242"/>
      <c r="FW88" s="242"/>
      <c r="FX88" s="242"/>
      <c r="FY88" s="242"/>
      <c r="FZ88" s="242"/>
      <c r="GA88" s="242"/>
      <c r="GB88" s="242"/>
      <c r="GC88" s="242"/>
      <c r="GD88" s="242"/>
      <c r="GE88" s="242"/>
      <c r="GF88" s="242"/>
      <c r="GG88" s="242"/>
      <c r="GH88" s="242"/>
      <c r="GI88" s="242"/>
      <c r="GJ88" s="242"/>
      <c r="GK88" s="242"/>
      <c r="GL88" s="242"/>
      <c r="GM88" s="242"/>
      <c r="GN88" s="242"/>
      <c r="GO88" s="242"/>
      <c r="GP88" s="242"/>
      <c r="GQ88" s="242"/>
      <c r="GR88" s="242"/>
      <c r="GS88" s="242"/>
      <c r="GT88" s="242"/>
      <c r="GU88" s="242"/>
      <c r="GV88" s="242"/>
      <c r="GW88" s="242"/>
      <c r="GX88" s="242"/>
      <c r="GY88" s="242"/>
      <c r="GZ88" s="242"/>
      <c r="HA88" s="242"/>
      <c r="HB88" s="242"/>
      <c r="HC88" s="242"/>
      <c r="HD88" s="242"/>
      <c r="HE88" s="242"/>
      <c r="HF88" s="242"/>
      <c r="HG88" s="242"/>
      <c r="HH88" s="242"/>
      <c r="HI88" s="242"/>
      <c r="HJ88" s="242"/>
      <c r="HK88" s="242"/>
      <c r="HL88" s="242"/>
      <c r="HM88" s="242"/>
      <c r="HN88" s="242"/>
      <c r="HO88" s="242"/>
      <c r="HP88" s="242"/>
      <c r="HQ88" s="242"/>
      <c r="HR88" s="242"/>
      <c r="HS88" s="242"/>
      <c r="HT88" s="242"/>
      <c r="HU88" s="242"/>
      <c r="HV88" s="242"/>
      <c r="HW88" s="242"/>
      <c r="HX88" s="242"/>
      <c r="HY88" s="242"/>
      <c r="HZ88" s="242"/>
      <c r="IA88" s="242"/>
      <c r="IB88" s="242"/>
      <c r="IC88" s="242"/>
      <c r="ID88" s="242"/>
      <c r="IE88" s="242"/>
      <c r="IF88" s="242"/>
      <c r="IG88" s="242"/>
      <c r="IH88" s="242"/>
      <c r="II88" s="242"/>
      <c r="IJ88" s="242"/>
      <c r="IK88" s="242"/>
      <c r="IL88" s="242"/>
      <c r="IM88" s="242"/>
      <c r="IN88" s="242"/>
      <c r="IO88" s="242"/>
      <c r="IP88" s="242"/>
      <c r="IQ88" s="242"/>
      <c r="IR88" s="242"/>
      <c r="IS88" s="242"/>
      <c r="IT88" s="242"/>
      <c r="IU88" s="242"/>
      <c r="IV88" s="242"/>
      <c r="IW88" s="242"/>
    </row>
    <row r="89" customFormat="false" ht="12.6" hidden="false" customHeight="true" outlineLevel="0" collapsed="false">
      <c r="A89" s="248"/>
      <c r="B89" s="242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AB89" s="242"/>
      <c r="AC89" s="242"/>
      <c r="AD89" s="184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2"/>
      <c r="BJ89" s="242"/>
      <c r="BK89" s="242"/>
      <c r="BL89" s="242"/>
      <c r="BM89" s="242"/>
      <c r="BN89" s="242"/>
      <c r="BO89" s="242"/>
      <c r="BP89" s="242"/>
      <c r="BQ89" s="242"/>
      <c r="BR89" s="242"/>
      <c r="BS89" s="242"/>
      <c r="BT89" s="242"/>
      <c r="BU89" s="242"/>
      <c r="BV89" s="242"/>
      <c r="BW89" s="242"/>
      <c r="BX89" s="242"/>
      <c r="BY89" s="242"/>
      <c r="BZ89" s="242"/>
      <c r="CA89" s="242"/>
      <c r="CB89" s="242"/>
      <c r="CC89" s="242"/>
      <c r="CD89" s="242"/>
      <c r="CE89" s="242"/>
      <c r="CF89" s="242"/>
      <c r="CG89" s="242"/>
      <c r="CH89" s="242"/>
      <c r="CI89" s="242"/>
      <c r="CJ89" s="242"/>
      <c r="CK89" s="242"/>
      <c r="CL89" s="242"/>
      <c r="CM89" s="242"/>
      <c r="CN89" s="242"/>
      <c r="CO89" s="242"/>
      <c r="CP89" s="242"/>
      <c r="CQ89" s="242"/>
      <c r="CR89" s="242"/>
      <c r="CS89" s="242"/>
      <c r="CT89" s="242"/>
      <c r="CU89" s="242"/>
      <c r="CV89" s="242"/>
      <c r="CW89" s="242"/>
      <c r="CX89" s="242"/>
      <c r="CY89" s="242"/>
      <c r="CZ89" s="242"/>
      <c r="DA89" s="242"/>
      <c r="DB89" s="242"/>
      <c r="DC89" s="242"/>
      <c r="DD89" s="242"/>
      <c r="DE89" s="242"/>
      <c r="DF89" s="242"/>
      <c r="DG89" s="242"/>
      <c r="DH89" s="242"/>
      <c r="DI89" s="242"/>
      <c r="DJ89" s="242"/>
      <c r="DK89" s="242"/>
      <c r="DL89" s="242"/>
      <c r="DM89" s="242"/>
      <c r="DN89" s="242"/>
      <c r="DO89" s="242"/>
      <c r="DP89" s="242"/>
      <c r="DQ89" s="242"/>
      <c r="DR89" s="242"/>
      <c r="DS89" s="242"/>
      <c r="DT89" s="242"/>
      <c r="DU89" s="242"/>
      <c r="DV89" s="242"/>
      <c r="DW89" s="242"/>
      <c r="DX89" s="242"/>
      <c r="DY89" s="242"/>
      <c r="DZ89" s="242"/>
      <c r="EA89" s="242"/>
      <c r="EB89" s="242"/>
      <c r="EC89" s="242"/>
      <c r="ED89" s="242"/>
      <c r="EE89" s="242"/>
      <c r="EF89" s="242"/>
      <c r="EG89" s="242"/>
      <c r="EH89" s="242"/>
      <c r="EI89" s="242"/>
      <c r="EJ89" s="242"/>
      <c r="EK89" s="242"/>
      <c r="EL89" s="242"/>
      <c r="EM89" s="242"/>
      <c r="EN89" s="242"/>
      <c r="EO89" s="242"/>
      <c r="EP89" s="242"/>
      <c r="EQ89" s="242"/>
      <c r="ER89" s="242"/>
      <c r="ES89" s="242"/>
      <c r="ET89" s="242"/>
      <c r="EU89" s="242"/>
      <c r="EV89" s="242"/>
      <c r="EW89" s="242"/>
      <c r="EX89" s="242"/>
      <c r="EY89" s="242"/>
      <c r="EZ89" s="242"/>
      <c r="FA89" s="242"/>
      <c r="FB89" s="242"/>
      <c r="FC89" s="242"/>
      <c r="FD89" s="242"/>
      <c r="FE89" s="242"/>
      <c r="FF89" s="242"/>
      <c r="FG89" s="242"/>
      <c r="FH89" s="242"/>
      <c r="FI89" s="242"/>
      <c r="FJ89" s="242"/>
      <c r="FK89" s="242"/>
      <c r="FL89" s="242"/>
      <c r="FM89" s="242"/>
      <c r="FN89" s="242"/>
      <c r="FO89" s="242"/>
      <c r="FP89" s="242"/>
      <c r="FQ89" s="242"/>
      <c r="FR89" s="242"/>
      <c r="FS89" s="242"/>
      <c r="FT89" s="242"/>
      <c r="FU89" s="242"/>
      <c r="FV89" s="242"/>
      <c r="FW89" s="242"/>
      <c r="FX89" s="242"/>
      <c r="FY89" s="242"/>
      <c r="FZ89" s="242"/>
      <c r="GA89" s="242"/>
      <c r="GB89" s="242"/>
      <c r="GC89" s="242"/>
      <c r="GD89" s="242"/>
      <c r="GE89" s="242"/>
      <c r="GF89" s="242"/>
      <c r="GG89" s="242"/>
      <c r="GH89" s="242"/>
      <c r="GI89" s="242"/>
      <c r="GJ89" s="242"/>
      <c r="GK89" s="242"/>
      <c r="GL89" s="242"/>
      <c r="GM89" s="242"/>
      <c r="GN89" s="242"/>
      <c r="GO89" s="242"/>
      <c r="GP89" s="242"/>
      <c r="GQ89" s="242"/>
      <c r="GR89" s="242"/>
      <c r="GS89" s="242"/>
      <c r="GT89" s="242"/>
      <c r="GU89" s="242"/>
      <c r="GV89" s="242"/>
      <c r="GW89" s="242"/>
      <c r="GX89" s="242"/>
      <c r="GY89" s="242"/>
      <c r="GZ89" s="242"/>
      <c r="HA89" s="242"/>
      <c r="HB89" s="242"/>
      <c r="HC89" s="242"/>
      <c r="HD89" s="242"/>
      <c r="HE89" s="242"/>
      <c r="HF89" s="242"/>
      <c r="HG89" s="242"/>
      <c r="HH89" s="242"/>
      <c r="HI89" s="242"/>
      <c r="HJ89" s="242"/>
      <c r="HK89" s="242"/>
      <c r="HL89" s="242"/>
      <c r="HM89" s="242"/>
      <c r="HN89" s="242"/>
      <c r="HO89" s="242"/>
      <c r="HP89" s="242"/>
      <c r="HQ89" s="242"/>
      <c r="HR89" s="242"/>
      <c r="HS89" s="242"/>
      <c r="HT89" s="242"/>
      <c r="HU89" s="242"/>
      <c r="HV89" s="242"/>
      <c r="HW89" s="242"/>
      <c r="HX89" s="242"/>
      <c r="HY89" s="242"/>
      <c r="HZ89" s="242"/>
      <c r="IA89" s="242"/>
      <c r="IB89" s="242"/>
      <c r="IC89" s="242"/>
      <c r="ID89" s="242"/>
      <c r="IE89" s="242"/>
      <c r="IF89" s="242"/>
      <c r="IG89" s="242"/>
      <c r="IH89" s="242"/>
      <c r="II89" s="242"/>
      <c r="IJ89" s="242"/>
      <c r="IK89" s="242"/>
      <c r="IL89" s="242"/>
      <c r="IM89" s="242"/>
      <c r="IN89" s="242"/>
      <c r="IO89" s="242"/>
      <c r="IP89" s="242"/>
      <c r="IQ89" s="242"/>
      <c r="IR89" s="242"/>
      <c r="IS89" s="242"/>
      <c r="IT89" s="242"/>
      <c r="IU89" s="242"/>
      <c r="IV89" s="242"/>
      <c r="IW89" s="242"/>
    </row>
    <row r="90" customFormat="false" ht="12.6" hidden="false" customHeight="true" outlineLevel="0" collapsed="false">
      <c r="A90" s="248"/>
      <c r="B90" s="184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AB90" s="242"/>
      <c r="AC90" s="242"/>
      <c r="AD90" s="184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42"/>
      <c r="AS90" s="242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  <c r="BE90" s="242"/>
      <c r="BF90" s="242"/>
      <c r="BG90" s="242"/>
      <c r="BH90" s="242"/>
      <c r="BI90" s="242"/>
      <c r="BJ90" s="242"/>
      <c r="BK90" s="242"/>
      <c r="BL90" s="242"/>
      <c r="BM90" s="242"/>
      <c r="BN90" s="242"/>
      <c r="BO90" s="242"/>
      <c r="BP90" s="242"/>
      <c r="BQ90" s="242"/>
      <c r="BR90" s="242"/>
      <c r="BS90" s="242"/>
      <c r="BT90" s="242"/>
      <c r="BU90" s="242"/>
      <c r="BV90" s="242"/>
      <c r="BW90" s="242"/>
      <c r="BX90" s="242"/>
      <c r="BY90" s="242"/>
      <c r="BZ90" s="242"/>
      <c r="CA90" s="242"/>
      <c r="CB90" s="242"/>
      <c r="CC90" s="242"/>
      <c r="CD90" s="242"/>
      <c r="CE90" s="242"/>
      <c r="CF90" s="242"/>
      <c r="CG90" s="242"/>
      <c r="CH90" s="242"/>
      <c r="CI90" s="242"/>
      <c r="CJ90" s="242"/>
      <c r="CK90" s="242"/>
      <c r="CL90" s="242"/>
      <c r="CM90" s="242"/>
      <c r="CN90" s="242"/>
      <c r="CO90" s="242"/>
      <c r="CP90" s="242"/>
      <c r="CQ90" s="242"/>
      <c r="CR90" s="242"/>
      <c r="CS90" s="242"/>
      <c r="CT90" s="242"/>
      <c r="CU90" s="242"/>
      <c r="CV90" s="242"/>
      <c r="CW90" s="242"/>
      <c r="CX90" s="242"/>
      <c r="CY90" s="242"/>
      <c r="CZ90" s="242"/>
      <c r="DA90" s="242"/>
      <c r="DB90" s="242"/>
      <c r="DC90" s="242"/>
      <c r="DD90" s="242"/>
      <c r="DE90" s="242"/>
      <c r="DF90" s="242"/>
      <c r="DG90" s="242"/>
      <c r="DH90" s="242"/>
      <c r="DI90" s="242"/>
      <c r="DJ90" s="242"/>
      <c r="DK90" s="242"/>
      <c r="DL90" s="242"/>
      <c r="DM90" s="242"/>
      <c r="DN90" s="242"/>
      <c r="DO90" s="242"/>
      <c r="DP90" s="242"/>
      <c r="DQ90" s="242"/>
      <c r="DR90" s="242"/>
      <c r="DS90" s="242"/>
      <c r="DT90" s="242"/>
      <c r="DU90" s="242"/>
      <c r="DV90" s="242"/>
      <c r="DW90" s="242"/>
      <c r="DX90" s="242"/>
      <c r="DY90" s="242"/>
      <c r="DZ90" s="242"/>
      <c r="EA90" s="242"/>
      <c r="EB90" s="242"/>
      <c r="EC90" s="242"/>
      <c r="ED90" s="242"/>
      <c r="EE90" s="242"/>
      <c r="EF90" s="242"/>
      <c r="EG90" s="242"/>
      <c r="EH90" s="242"/>
      <c r="EI90" s="242"/>
      <c r="EJ90" s="242"/>
      <c r="EK90" s="242"/>
      <c r="EL90" s="242"/>
      <c r="EM90" s="242"/>
      <c r="EN90" s="242"/>
      <c r="EO90" s="242"/>
      <c r="EP90" s="242"/>
      <c r="EQ90" s="242"/>
      <c r="ER90" s="242"/>
      <c r="ES90" s="242"/>
      <c r="ET90" s="242"/>
      <c r="EU90" s="242"/>
      <c r="EV90" s="242"/>
      <c r="EW90" s="242"/>
      <c r="EX90" s="242"/>
      <c r="EY90" s="242"/>
      <c r="EZ90" s="242"/>
      <c r="FA90" s="242"/>
      <c r="FB90" s="242"/>
      <c r="FC90" s="242"/>
      <c r="FD90" s="242"/>
      <c r="FE90" s="242"/>
      <c r="FF90" s="242"/>
      <c r="FG90" s="242"/>
      <c r="FH90" s="242"/>
      <c r="FI90" s="242"/>
      <c r="FJ90" s="242"/>
      <c r="FK90" s="242"/>
      <c r="FL90" s="242"/>
      <c r="FM90" s="242"/>
      <c r="FN90" s="242"/>
      <c r="FO90" s="242"/>
      <c r="FP90" s="242"/>
      <c r="FQ90" s="242"/>
      <c r="FR90" s="242"/>
      <c r="FS90" s="242"/>
      <c r="FT90" s="242"/>
      <c r="FU90" s="242"/>
      <c r="FV90" s="242"/>
      <c r="FW90" s="242"/>
      <c r="FX90" s="242"/>
      <c r="FY90" s="242"/>
      <c r="FZ90" s="242"/>
      <c r="GA90" s="242"/>
      <c r="GB90" s="242"/>
      <c r="GC90" s="242"/>
      <c r="GD90" s="242"/>
      <c r="GE90" s="242"/>
      <c r="GF90" s="242"/>
      <c r="GG90" s="242"/>
      <c r="GH90" s="242"/>
      <c r="GI90" s="242"/>
      <c r="GJ90" s="242"/>
      <c r="GK90" s="242"/>
      <c r="GL90" s="242"/>
      <c r="GM90" s="242"/>
      <c r="GN90" s="242"/>
      <c r="GO90" s="242"/>
      <c r="GP90" s="242"/>
      <c r="GQ90" s="242"/>
      <c r="GR90" s="242"/>
      <c r="GS90" s="242"/>
      <c r="GT90" s="242"/>
      <c r="GU90" s="242"/>
      <c r="GV90" s="242"/>
      <c r="GW90" s="242"/>
      <c r="GX90" s="242"/>
      <c r="GY90" s="242"/>
      <c r="GZ90" s="242"/>
      <c r="HA90" s="242"/>
      <c r="HB90" s="242"/>
      <c r="HC90" s="242"/>
      <c r="HD90" s="242"/>
      <c r="HE90" s="242"/>
      <c r="HF90" s="242"/>
      <c r="HG90" s="242"/>
      <c r="HH90" s="242"/>
      <c r="HI90" s="242"/>
      <c r="HJ90" s="242"/>
      <c r="HK90" s="242"/>
      <c r="HL90" s="242"/>
      <c r="HM90" s="242"/>
      <c r="HN90" s="242"/>
      <c r="HO90" s="242"/>
      <c r="HP90" s="242"/>
      <c r="HQ90" s="242"/>
      <c r="HR90" s="242"/>
      <c r="HS90" s="242"/>
      <c r="HT90" s="242"/>
      <c r="HU90" s="242"/>
      <c r="HV90" s="242"/>
      <c r="HW90" s="242"/>
      <c r="HX90" s="242"/>
      <c r="HY90" s="242"/>
      <c r="HZ90" s="242"/>
      <c r="IA90" s="242"/>
      <c r="IB90" s="242"/>
      <c r="IC90" s="242"/>
      <c r="ID90" s="242"/>
      <c r="IE90" s="242"/>
      <c r="IF90" s="242"/>
      <c r="IG90" s="242"/>
      <c r="IH90" s="242"/>
      <c r="II90" s="242"/>
      <c r="IJ90" s="242"/>
      <c r="IK90" s="242"/>
      <c r="IL90" s="242"/>
      <c r="IM90" s="242"/>
      <c r="IN90" s="242"/>
      <c r="IO90" s="242"/>
      <c r="IP90" s="242"/>
      <c r="IQ90" s="242"/>
      <c r="IR90" s="242"/>
      <c r="IS90" s="242"/>
      <c r="IT90" s="242"/>
      <c r="IU90" s="242"/>
      <c r="IV90" s="242"/>
      <c r="IW90" s="242"/>
    </row>
    <row r="91" customFormat="false" ht="12.6" hidden="false" customHeight="true" outlineLevel="0" collapsed="false">
      <c r="A91" s="242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AB91" s="242"/>
      <c r="AC91" s="242"/>
      <c r="AD91" s="184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242"/>
      <c r="BB91" s="242"/>
      <c r="BC91" s="242"/>
      <c r="BD91" s="242"/>
      <c r="BE91" s="242"/>
      <c r="BF91" s="242"/>
      <c r="BG91" s="242"/>
      <c r="BH91" s="242"/>
      <c r="BI91" s="242"/>
      <c r="BJ91" s="242"/>
      <c r="BK91" s="242"/>
      <c r="BL91" s="242"/>
      <c r="BM91" s="242"/>
      <c r="BN91" s="242"/>
      <c r="BO91" s="242"/>
      <c r="BP91" s="242"/>
      <c r="BQ91" s="242"/>
      <c r="BR91" s="242"/>
      <c r="BS91" s="242"/>
      <c r="BT91" s="242"/>
      <c r="BU91" s="242"/>
      <c r="BV91" s="242"/>
      <c r="BW91" s="242"/>
      <c r="BX91" s="242"/>
      <c r="BY91" s="242"/>
      <c r="BZ91" s="242"/>
      <c r="CA91" s="242"/>
      <c r="CB91" s="242"/>
      <c r="CC91" s="242"/>
      <c r="CD91" s="242"/>
      <c r="CE91" s="242"/>
      <c r="CF91" s="242"/>
      <c r="CG91" s="242"/>
      <c r="CH91" s="242"/>
      <c r="CI91" s="242"/>
      <c r="CJ91" s="242"/>
      <c r="CK91" s="242"/>
      <c r="CL91" s="242"/>
      <c r="CM91" s="242"/>
      <c r="CN91" s="242"/>
      <c r="CO91" s="242"/>
      <c r="CP91" s="242"/>
      <c r="CQ91" s="242"/>
      <c r="CR91" s="242"/>
      <c r="CS91" s="242"/>
      <c r="CT91" s="242"/>
      <c r="CU91" s="242"/>
      <c r="CV91" s="242"/>
      <c r="CW91" s="242"/>
      <c r="CX91" s="242"/>
      <c r="CY91" s="242"/>
      <c r="CZ91" s="242"/>
      <c r="DA91" s="242"/>
      <c r="DB91" s="242"/>
      <c r="DC91" s="242"/>
      <c r="DD91" s="242"/>
      <c r="DE91" s="242"/>
      <c r="DF91" s="242"/>
      <c r="DG91" s="242"/>
      <c r="DH91" s="242"/>
      <c r="DI91" s="242"/>
      <c r="DJ91" s="242"/>
      <c r="DK91" s="242"/>
      <c r="DL91" s="242"/>
      <c r="DM91" s="242"/>
      <c r="DN91" s="242"/>
      <c r="DO91" s="242"/>
      <c r="DP91" s="242"/>
      <c r="DQ91" s="242"/>
      <c r="DR91" s="242"/>
      <c r="DS91" s="242"/>
      <c r="DT91" s="242"/>
      <c r="DU91" s="242"/>
      <c r="DV91" s="242"/>
      <c r="DW91" s="242"/>
      <c r="DX91" s="242"/>
      <c r="DY91" s="242"/>
      <c r="DZ91" s="242"/>
      <c r="EA91" s="242"/>
      <c r="EB91" s="242"/>
      <c r="EC91" s="242"/>
      <c r="ED91" s="242"/>
      <c r="EE91" s="242"/>
      <c r="EF91" s="242"/>
      <c r="EG91" s="242"/>
      <c r="EH91" s="242"/>
      <c r="EI91" s="242"/>
      <c r="EJ91" s="242"/>
      <c r="EK91" s="242"/>
      <c r="EL91" s="242"/>
      <c r="EM91" s="242"/>
      <c r="EN91" s="242"/>
      <c r="EO91" s="242"/>
      <c r="EP91" s="242"/>
      <c r="EQ91" s="242"/>
      <c r="ER91" s="242"/>
      <c r="ES91" s="242"/>
      <c r="ET91" s="242"/>
      <c r="EU91" s="242"/>
      <c r="EV91" s="242"/>
      <c r="EW91" s="242"/>
      <c r="EX91" s="242"/>
      <c r="EY91" s="242"/>
      <c r="EZ91" s="242"/>
      <c r="FA91" s="242"/>
      <c r="FB91" s="242"/>
      <c r="FC91" s="242"/>
      <c r="FD91" s="242"/>
      <c r="FE91" s="242"/>
      <c r="FF91" s="242"/>
      <c r="FG91" s="242"/>
      <c r="FH91" s="242"/>
      <c r="FI91" s="242"/>
      <c r="FJ91" s="242"/>
      <c r="FK91" s="242"/>
      <c r="FL91" s="242"/>
      <c r="FM91" s="242"/>
      <c r="FN91" s="242"/>
      <c r="FO91" s="242"/>
      <c r="FP91" s="242"/>
      <c r="FQ91" s="242"/>
      <c r="FR91" s="242"/>
      <c r="FS91" s="242"/>
      <c r="FT91" s="242"/>
      <c r="FU91" s="242"/>
      <c r="FV91" s="242"/>
      <c r="FW91" s="242"/>
      <c r="FX91" s="242"/>
      <c r="FY91" s="242"/>
      <c r="FZ91" s="242"/>
      <c r="GA91" s="242"/>
      <c r="GB91" s="242"/>
      <c r="GC91" s="242"/>
      <c r="GD91" s="242"/>
      <c r="GE91" s="242"/>
      <c r="GF91" s="242"/>
      <c r="GG91" s="242"/>
      <c r="GH91" s="242"/>
      <c r="GI91" s="242"/>
      <c r="GJ91" s="242"/>
      <c r="GK91" s="242"/>
      <c r="GL91" s="242"/>
      <c r="GM91" s="242"/>
      <c r="GN91" s="242"/>
      <c r="GO91" s="242"/>
      <c r="GP91" s="242"/>
      <c r="GQ91" s="242"/>
      <c r="GR91" s="242"/>
      <c r="GS91" s="242"/>
      <c r="GT91" s="242"/>
      <c r="GU91" s="242"/>
      <c r="GV91" s="242"/>
      <c r="GW91" s="242"/>
      <c r="GX91" s="242"/>
      <c r="GY91" s="242"/>
      <c r="GZ91" s="242"/>
      <c r="HA91" s="242"/>
      <c r="HB91" s="242"/>
      <c r="HC91" s="242"/>
      <c r="HD91" s="242"/>
      <c r="HE91" s="242"/>
      <c r="HF91" s="242"/>
      <c r="HG91" s="242"/>
      <c r="HH91" s="242"/>
      <c r="HI91" s="242"/>
      <c r="HJ91" s="242"/>
      <c r="HK91" s="242"/>
      <c r="HL91" s="242"/>
      <c r="HM91" s="242"/>
      <c r="HN91" s="242"/>
      <c r="HO91" s="242"/>
      <c r="HP91" s="242"/>
      <c r="HQ91" s="242"/>
      <c r="HR91" s="242"/>
      <c r="HS91" s="242"/>
      <c r="HT91" s="242"/>
      <c r="HU91" s="242"/>
      <c r="HV91" s="242"/>
      <c r="HW91" s="242"/>
      <c r="HX91" s="242"/>
      <c r="HY91" s="242"/>
      <c r="HZ91" s="242"/>
      <c r="IA91" s="242"/>
      <c r="IB91" s="242"/>
      <c r="IC91" s="242"/>
      <c r="ID91" s="242"/>
      <c r="IE91" s="242"/>
      <c r="IF91" s="242"/>
      <c r="IG91" s="242"/>
      <c r="IH91" s="242"/>
      <c r="II91" s="242"/>
      <c r="IJ91" s="242"/>
      <c r="IK91" s="242"/>
      <c r="IL91" s="242"/>
      <c r="IM91" s="242"/>
      <c r="IN91" s="242"/>
      <c r="IO91" s="242"/>
      <c r="IP91" s="242"/>
      <c r="IQ91" s="242"/>
      <c r="IR91" s="242"/>
      <c r="IS91" s="242"/>
      <c r="IT91" s="242"/>
      <c r="IU91" s="242"/>
      <c r="IV91" s="242"/>
      <c r="IW91" s="242"/>
    </row>
    <row r="92" customFormat="false" ht="12.6" hidden="false" customHeight="true" outlineLevel="0" collapsed="false">
      <c r="A92" s="248"/>
      <c r="B92" s="242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AB92" s="242"/>
      <c r="AC92" s="242"/>
      <c r="AD92" s="184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242"/>
      <c r="BB92" s="242"/>
      <c r="BC92" s="242"/>
      <c r="BD92" s="242"/>
      <c r="BE92" s="242"/>
      <c r="BF92" s="242"/>
      <c r="BG92" s="242"/>
      <c r="BH92" s="242"/>
      <c r="BI92" s="242"/>
      <c r="BJ92" s="242"/>
      <c r="BK92" s="242"/>
      <c r="BL92" s="242"/>
      <c r="BM92" s="242"/>
      <c r="BN92" s="242"/>
      <c r="BO92" s="242"/>
      <c r="BP92" s="242"/>
      <c r="BQ92" s="242"/>
      <c r="BR92" s="242"/>
      <c r="BS92" s="242"/>
      <c r="BT92" s="242"/>
      <c r="BU92" s="242"/>
      <c r="BV92" s="242"/>
      <c r="BW92" s="242"/>
      <c r="BX92" s="242"/>
      <c r="BY92" s="242"/>
      <c r="BZ92" s="242"/>
      <c r="CA92" s="242"/>
      <c r="CB92" s="242"/>
      <c r="CC92" s="242"/>
      <c r="CD92" s="242"/>
      <c r="CE92" s="242"/>
      <c r="CF92" s="242"/>
      <c r="CG92" s="242"/>
      <c r="CH92" s="242"/>
      <c r="CI92" s="242"/>
      <c r="CJ92" s="242"/>
      <c r="CK92" s="242"/>
      <c r="CL92" s="242"/>
      <c r="CM92" s="242"/>
      <c r="CN92" s="242"/>
      <c r="CO92" s="242"/>
      <c r="CP92" s="242"/>
      <c r="CQ92" s="242"/>
      <c r="CR92" s="242"/>
      <c r="CS92" s="242"/>
      <c r="CT92" s="242"/>
      <c r="CU92" s="242"/>
      <c r="CV92" s="242"/>
      <c r="CW92" s="242"/>
      <c r="CX92" s="242"/>
      <c r="CY92" s="242"/>
      <c r="CZ92" s="242"/>
      <c r="DA92" s="242"/>
      <c r="DB92" s="242"/>
      <c r="DC92" s="242"/>
      <c r="DD92" s="242"/>
      <c r="DE92" s="242"/>
      <c r="DF92" s="242"/>
      <c r="DG92" s="242"/>
      <c r="DH92" s="242"/>
      <c r="DI92" s="242"/>
      <c r="DJ92" s="242"/>
      <c r="DK92" s="242"/>
      <c r="DL92" s="242"/>
      <c r="DM92" s="242"/>
      <c r="DN92" s="242"/>
      <c r="DO92" s="242"/>
      <c r="DP92" s="242"/>
      <c r="DQ92" s="242"/>
      <c r="DR92" s="242"/>
      <c r="DS92" s="242"/>
      <c r="DT92" s="242"/>
      <c r="DU92" s="242"/>
      <c r="DV92" s="242"/>
      <c r="DW92" s="242"/>
      <c r="DX92" s="242"/>
      <c r="DY92" s="242"/>
      <c r="DZ92" s="242"/>
      <c r="EA92" s="242"/>
      <c r="EB92" s="242"/>
      <c r="EC92" s="242"/>
      <c r="ED92" s="242"/>
      <c r="EE92" s="242"/>
      <c r="EF92" s="242"/>
      <c r="EG92" s="242"/>
      <c r="EH92" s="242"/>
      <c r="EI92" s="242"/>
      <c r="EJ92" s="242"/>
      <c r="EK92" s="242"/>
      <c r="EL92" s="242"/>
      <c r="EM92" s="242"/>
      <c r="EN92" s="242"/>
      <c r="EO92" s="242"/>
      <c r="EP92" s="242"/>
      <c r="EQ92" s="242"/>
      <c r="ER92" s="242"/>
      <c r="ES92" s="242"/>
      <c r="ET92" s="242"/>
      <c r="EU92" s="242"/>
      <c r="EV92" s="242"/>
      <c r="EW92" s="242"/>
      <c r="EX92" s="242"/>
      <c r="EY92" s="242"/>
      <c r="EZ92" s="242"/>
      <c r="FA92" s="242"/>
      <c r="FB92" s="242"/>
      <c r="FC92" s="242"/>
      <c r="FD92" s="242"/>
      <c r="FE92" s="242"/>
      <c r="FF92" s="242"/>
      <c r="FG92" s="242"/>
      <c r="FH92" s="242"/>
      <c r="FI92" s="242"/>
      <c r="FJ92" s="242"/>
      <c r="FK92" s="242"/>
      <c r="FL92" s="242"/>
      <c r="FM92" s="242"/>
      <c r="FN92" s="242"/>
      <c r="FO92" s="242"/>
      <c r="FP92" s="242"/>
      <c r="FQ92" s="242"/>
      <c r="FR92" s="242"/>
      <c r="FS92" s="242"/>
      <c r="FT92" s="242"/>
      <c r="FU92" s="242"/>
      <c r="FV92" s="242"/>
      <c r="FW92" s="242"/>
      <c r="FX92" s="242"/>
      <c r="FY92" s="242"/>
      <c r="FZ92" s="242"/>
      <c r="GA92" s="242"/>
      <c r="GB92" s="242"/>
      <c r="GC92" s="242"/>
      <c r="GD92" s="242"/>
      <c r="GE92" s="242"/>
      <c r="GF92" s="242"/>
      <c r="GG92" s="242"/>
      <c r="GH92" s="242"/>
      <c r="GI92" s="242"/>
      <c r="GJ92" s="242"/>
      <c r="GK92" s="242"/>
      <c r="GL92" s="242"/>
      <c r="GM92" s="242"/>
      <c r="GN92" s="242"/>
      <c r="GO92" s="242"/>
      <c r="GP92" s="242"/>
      <c r="GQ92" s="242"/>
      <c r="GR92" s="242"/>
      <c r="GS92" s="242"/>
      <c r="GT92" s="242"/>
      <c r="GU92" s="242"/>
      <c r="GV92" s="242"/>
      <c r="GW92" s="242"/>
      <c r="GX92" s="242"/>
      <c r="GY92" s="242"/>
      <c r="GZ92" s="242"/>
      <c r="HA92" s="242"/>
      <c r="HB92" s="242"/>
      <c r="HC92" s="242"/>
      <c r="HD92" s="242"/>
      <c r="HE92" s="242"/>
      <c r="HF92" s="242"/>
      <c r="HG92" s="242"/>
      <c r="HH92" s="242"/>
      <c r="HI92" s="242"/>
      <c r="HJ92" s="242"/>
      <c r="HK92" s="242"/>
      <c r="HL92" s="242"/>
      <c r="HM92" s="242"/>
      <c r="HN92" s="242"/>
      <c r="HO92" s="242"/>
      <c r="HP92" s="242"/>
      <c r="HQ92" s="242"/>
      <c r="HR92" s="242"/>
      <c r="HS92" s="242"/>
      <c r="HT92" s="242"/>
      <c r="HU92" s="242"/>
      <c r="HV92" s="242"/>
      <c r="HW92" s="242"/>
      <c r="HX92" s="242"/>
      <c r="HY92" s="242"/>
      <c r="HZ92" s="242"/>
      <c r="IA92" s="242"/>
      <c r="IB92" s="242"/>
      <c r="IC92" s="242"/>
      <c r="ID92" s="242"/>
      <c r="IE92" s="242"/>
      <c r="IF92" s="242"/>
      <c r="IG92" s="242"/>
      <c r="IH92" s="242"/>
      <c r="II92" s="242"/>
      <c r="IJ92" s="242"/>
      <c r="IK92" s="242"/>
      <c r="IL92" s="242"/>
      <c r="IM92" s="242"/>
      <c r="IN92" s="242"/>
      <c r="IO92" s="242"/>
      <c r="IP92" s="242"/>
      <c r="IQ92" s="242"/>
      <c r="IR92" s="242"/>
      <c r="IS92" s="242"/>
      <c r="IT92" s="242"/>
      <c r="IU92" s="242"/>
      <c r="IV92" s="242"/>
      <c r="IW92" s="242"/>
    </row>
    <row r="93" customFormat="false" ht="12.6" hidden="false" customHeight="true" outlineLevel="0" collapsed="false">
      <c r="A93" s="184"/>
      <c r="B93" s="184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4"/>
      <c r="BI93" s="184"/>
      <c r="BJ93" s="184"/>
      <c r="BK93" s="184"/>
      <c r="BL93" s="184"/>
      <c r="BM93" s="184"/>
      <c r="BN93" s="184"/>
      <c r="BO93" s="184"/>
      <c r="BP93" s="184"/>
      <c r="BQ93" s="184"/>
      <c r="BR93" s="184"/>
      <c r="BS93" s="184"/>
      <c r="BT93" s="184"/>
      <c r="BU93" s="184"/>
      <c r="BV93" s="184"/>
      <c r="BW93" s="184"/>
      <c r="BX93" s="184"/>
      <c r="BY93" s="184"/>
      <c r="BZ93" s="184"/>
      <c r="CA93" s="184"/>
      <c r="CB93" s="184"/>
      <c r="CC93" s="184"/>
      <c r="CD93" s="184"/>
      <c r="CE93" s="184"/>
      <c r="CF93" s="184"/>
      <c r="CG93" s="184"/>
      <c r="CH93" s="184"/>
      <c r="CI93" s="184"/>
      <c r="CJ93" s="184"/>
      <c r="CK93" s="184"/>
      <c r="CL93" s="184"/>
      <c r="CM93" s="184"/>
      <c r="CN93" s="184"/>
      <c r="CO93" s="184"/>
      <c r="CP93" s="184"/>
      <c r="CQ93" s="184"/>
      <c r="CR93" s="184"/>
      <c r="CS93" s="184"/>
      <c r="CT93" s="184"/>
      <c r="CU93" s="184"/>
      <c r="CV93" s="184"/>
      <c r="CW93" s="184"/>
      <c r="CX93" s="184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4"/>
      <c r="DL93" s="184"/>
      <c r="DM93" s="184"/>
      <c r="DN93" s="184"/>
      <c r="DO93" s="184"/>
      <c r="DP93" s="184"/>
      <c r="DQ93" s="184"/>
      <c r="DR93" s="184"/>
      <c r="DS93" s="184"/>
      <c r="DT93" s="184"/>
      <c r="DU93" s="184"/>
      <c r="DV93" s="184"/>
      <c r="DW93" s="184"/>
      <c r="DX93" s="184"/>
      <c r="DY93" s="184"/>
      <c r="DZ93" s="184"/>
      <c r="EA93" s="184"/>
      <c r="EB93" s="184"/>
      <c r="EC93" s="184"/>
      <c r="ED93" s="184"/>
      <c r="EE93" s="184"/>
      <c r="EF93" s="184"/>
      <c r="EG93" s="184"/>
      <c r="EH93" s="184"/>
      <c r="EI93" s="184"/>
      <c r="EJ93" s="184"/>
      <c r="EK93" s="184"/>
      <c r="EL93" s="184"/>
      <c r="EM93" s="184"/>
      <c r="EN93" s="184"/>
      <c r="EO93" s="184"/>
      <c r="EP93" s="184"/>
      <c r="EQ93" s="184"/>
      <c r="ER93" s="184"/>
      <c r="ES93" s="184"/>
      <c r="ET93" s="184"/>
      <c r="EU93" s="184"/>
      <c r="EV93" s="184"/>
      <c r="EW93" s="184"/>
      <c r="EX93" s="184"/>
      <c r="EY93" s="184"/>
      <c r="EZ93" s="184"/>
      <c r="FA93" s="184"/>
      <c r="FB93" s="184"/>
      <c r="FC93" s="184"/>
      <c r="FD93" s="184"/>
      <c r="FE93" s="184"/>
      <c r="FF93" s="184"/>
      <c r="FG93" s="184"/>
      <c r="FH93" s="184"/>
      <c r="FI93" s="184"/>
      <c r="FJ93" s="184"/>
      <c r="FK93" s="184"/>
      <c r="FL93" s="184"/>
      <c r="FM93" s="184"/>
      <c r="FN93" s="184"/>
      <c r="FO93" s="184"/>
      <c r="FP93" s="184"/>
      <c r="FQ93" s="184"/>
      <c r="FR93" s="184"/>
      <c r="FS93" s="184"/>
      <c r="FT93" s="184"/>
      <c r="FU93" s="184"/>
      <c r="FV93" s="184"/>
      <c r="FW93" s="184"/>
      <c r="FX93" s="184"/>
      <c r="FY93" s="184"/>
      <c r="FZ93" s="184"/>
      <c r="GA93" s="184"/>
      <c r="GB93" s="184"/>
      <c r="GC93" s="184"/>
      <c r="GD93" s="184"/>
      <c r="GE93" s="184"/>
      <c r="GF93" s="184"/>
      <c r="GG93" s="184"/>
      <c r="GH93" s="184"/>
      <c r="GI93" s="184"/>
      <c r="GJ93" s="184"/>
      <c r="GK93" s="184"/>
      <c r="GL93" s="184"/>
      <c r="GM93" s="184"/>
      <c r="GN93" s="184"/>
      <c r="GO93" s="184"/>
      <c r="GP93" s="184"/>
      <c r="GQ93" s="184"/>
      <c r="GR93" s="184"/>
      <c r="GS93" s="184"/>
      <c r="GT93" s="184"/>
      <c r="GU93" s="184"/>
      <c r="GV93" s="184"/>
      <c r="GW93" s="184"/>
      <c r="GX93" s="184"/>
      <c r="GY93" s="184"/>
      <c r="GZ93" s="184"/>
      <c r="HA93" s="184"/>
      <c r="HB93" s="184"/>
      <c r="HC93" s="184"/>
      <c r="HD93" s="184"/>
      <c r="HE93" s="184"/>
      <c r="HF93" s="184"/>
      <c r="HG93" s="184"/>
      <c r="HH93" s="184"/>
      <c r="HI93" s="184"/>
      <c r="HJ93" s="184"/>
      <c r="HK93" s="184"/>
      <c r="HL93" s="184"/>
      <c r="HM93" s="184"/>
      <c r="HN93" s="184"/>
      <c r="HO93" s="184"/>
      <c r="HP93" s="184"/>
      <c r="HQ93" s="184"/>
      <c r="HR93" s="184"/>
      <c r="HS93" s="184"/>
      <c r="HT93" s="184"/>
      <c r="HU93" s="184"/>
      <c r="HV93" s="184"/>
      <c r="HW93" s="184"/>
      <c r="HX93" s="184"/>
      <c r="HY93" s="184"/>
      <c r="HZ93" s="184"/>
      <c r="IA93" s="184"/>
      <c r="IB93" s="184"/>
      <c r="IC93" s="184"/>
      <c r="ID93" s="184"/>
      <c r="IE93" s="184"/>
      <c r="IF93" s="184"/>
      <c r="IG93" s="184"/>
      <c r="IH93" s="184"/>
      <c r="II93" s="184"/>
      <c r="IJ93" s="184"/>
      <c r="IK93" s="184"/>
      <c r="IL93" s="184"/>
      <c r="IM93" s="184"/>
      <c r="IN93" s="184"/>
      <c r="IO93" s="184"/>
      <c r="IP93" s="184"/>
      <c r="IQ93" s="184"/>
      <c r="IR93" s="184"/>
      <c r="IS93" s="184"/>
      <c r="IT93" s="184"/>
      <c r="IU93" s="184"/>
      <c r="IV93" s="184"/>
      <c r="IW93" s="184"/>
    </row>
    <row r="94" customFormat="false" ht="12.6" hidden="false" customHeight="true" outlineLevel="0" collapsed="false">
      <c r="A94" s="184"/>
      <c r="B94" s="184"/>
      <c r="C94" s="270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4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4"/>
      <c r="CR94" s="184"/>
      <c r="CS94" s="184"/>
      <c r="CT94" s="184"/>
      <c r="CU94" s="184"/>
      <c r="CV94" s="184"/>
      <c r="CW94" s="184"/>
      <c r="CX94" s="184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4"/>
      <c r="DM94" s="184"/>
      <c r="DN94" s="184"/>
      <c r="DO94" s="184"/>
      <c r="DP94" s="184"/>
      <c r="DQ94" s="184"/>
      <c r="DR94" s="184"/>
      <c r="DS94" s="184"/>
      <c r="DT94" s="184"/>
      <c r="DU94" s="184"/>
      <c r="DV94" s="184"/>
      <c r="DW94" s="184"/>
      <c r="DX94" s="184"/>
      <c r="DY94" s="184"/>
      <c r="DZ94" s="184"/>
      <c r="EA94" s="184"/>
      <c r="EB94" s="184"/>
      <c r="EC94" s="184"/>
      <c r="ED94" s="184"/>
      <c r="EE94" s="184"/>
      <c r="EF94" s="184"/>
      <c r="EG94" s="184"/>
      <c r="EH94" s="184"/>
      <c r="EI94" s="184"/>
      <c r="EJ94" s="184"/>
      <c r="EK94" s="184"/>
      <c r="EL94" s="184"/>
      <c r="EM94" s="184"/>
      <c r="EN94" s="184"/>
      <c r="EO94" s="184"/>
      <c r="EP94" s="184"/>
      <c r="EQ94" s="184"/>
      <c r="ER94" s="184"/>
      <c r="ES94" s="184"/>
      <c r="ET94" s="184"/>
      <c r="EU94" s="184"/>
      <c r="EV94" s="184"/>
      <c r="EW94" s="184"/>
      <c r="EX94" s="184"/>
      <c r="EY94" s="184"/>
      <c r="EZ94" s="184"/>
      <c r="FA94" s="184"/>
      <c r="FB94" s="184"/>
      <c r="FC94" s="184"/>
      <c r="FD94" s="184"/>
      <c r="FE94" s="184"/>
      <c r="FF94" s="184"/>
      <c r="FG94" s="184"/>
      <c r="FH94" s="184"/>
      <c r="FI94" s="184"/>
      <c r="FJ94" s="184"/>
      <c r="FK94" s="184"/>
      <c r="FL94" s="184"/>
      <c r="FM94" s="184"/>
      <c r="FN94" s="184"/>
      <c r="FO94" s="184"/>
      <c r="FP94" s="184"/>
      <c r="FQ94" s="184"/>
      <c r="FR94" s="184"/>
      <c r="FS94" s="184"/>
      <c r="FT94" s="184"/>
      <c r="FU94" s="184"/>
      <c r="FV94" s="184"/>
      <c r="FW94" s="184"/>
      <c r="FX94" s="184"/>
      <c r="FY94" s="184"/>
      <c r="FZ94" s="184"/>
      <c r="GA94" s="184"/>
      <c r="GB94" s="184"/>
      <c r="GC94" s="184"/>
      <c r="GD94" s="184"/>
      <c r="GE94" s="184"/>
      <c r="GF94" s="184"/>
      <c r="GG94" s="184"/>
      <c r="GH94" s="184"/>
      <c r="GI94" s="184"/>
      <c r="GJ94" s="184"/>
      <c r="GK94" s="184"/>
      <c r="GL94" s="184"/>
      <c r="GM94" s="184"/>
      <c r="GN94" s="184"/>
      <c r="GO94" s="184"/>
      <c r="GP94" s="184"/>
      <c r="GQ94" s="184"/>
      <c r="GR94" s="184"/>
      <c r="GS94" s="184"/>
      <c r="GT94" s="184"/>
      <c r="GU94" s="184"/>
      <c r="GV94" s="184"/>
      <c r="GW94" s="184"/>
      <c r="GX94" s="184"/>
      <c r="GY94" s="184"/>
      <c r="GZ94" s="184"/>
      <c r="HA94" s="184"/>
      <c r="HB94" s="184"/>
      <c r="HC94" s="184"/>
      <c r="HD94" s="184"/>
      <c r="HE94" s="184"/>
      <c r="HF94" s="184"/>
      <c r="HG94" s="184"/>
      <c r="HH94" s="184"/>
      <c r="HI94" s="184"/>
      <c r="HJ94" s="184"/>
      <c r="HK94" s="184"/>
      <c r="HL94" s="184"/>
      <c r="HM94" s="184"/>
      <c r="HN94" s="184"/>
      <c r="HO94" s="184"/>
      <c r="HP94" s="184"/>
      <c r="HQ94" s="184"/>
      <c r="HR94" s="184"/>
      <c r="HS94" s="184"/>
      <c r="HT94" s="184"/>
      <c r="HU94" s="184"/>
      <c r="HV94" s="184"/>
      <c r="HW94" s="184"/>
      <c r="HX94" s="184"/>
      <c r="HY94" s="184"/>
      <c r="HZ94" s="184"/>
      <c r="IA94" s="184"/>
      <c r="IB94" s="184"/>
      <c r="IC94" s="184"/>
      <c r="ID94" s="184"/>
      <c r="IE94" s="184"/>
      <c r="IF94" s="184"/>
      <c r="IG94" s="184"/>
      <c r="IH94" s="184"/>
      <c r="II94" s="184"/>
      <c r="IJ94" s="184"/>
      <c r="IK94" s="184"/>
      <c r="IL94" s="184"/>
      <c r="IM94" s="184"/>
      <c r="IN94" s="184"/>
      <c r="IO94" s="184"/>
      <c r="IP94" s="184"/>
      <c r="IQ94" s="184"/>
      <c r="IR94" s="184"/>
      <c r="IS94" s="184"/>
      <c r="IT94" s="184"/>
      <c r="IU94" s="184"/>
      <c r="IV94" s="184"/>
      <c r="IW94" s="184"/>
    </row>
    <row r="95" customFormat="false" ht="12.6" hidden="false" customHeight="true" outlineLevel="0" collapsed="false">
      <c r="A95" s="222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  <c r="CN95" s="184"/>
      <c r="CO95" s="184"/>
      <c r="CP95" s="184"/>
      <c r="CQ95" s="184"/>
      <c r="CR95" s="184"/>
      <c r="CS95" s="184"/>
      <c r="CT95" s="184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I95" s="184"/>
      <c r="EJ95" s="184"/>
      <c r="EK95" s="184"/>
      <c r="EL95" s="184"/>
      <c r="EM95" s="184"/>
      <c r="EN95" s="184"/>
      <c r="EO95" s="184"/>
      <c r="EP95" s="184"/>
      <c r="EQ95" s="184"/>
      <c r="ER95" s="184"/>
      <c r="ES95" s="184"/>
      <c r="ET95" s="184"/>
      <c r="EU95" s="184"/>
      <c r="EV95" s="184"/>
      <c r="EW95" s="184"/>
      <c r="EX95" s="184"/>
      <c r="EY95" s="184"/>
      <c r="EZ95" s="184"/>
      <c r="FA95" s="184"/>
      <c r="FB95" s="184"/>
      <c r="FC95" s="184"/>
      <c r="FD95" s="184"/>
      <c r="FE95" s="184"/>
      <c r="FF95" s="184"/>
      <c r="FG95" s="184"/>
      <c r="FH95" s="184"/>
      <c r="FI95" s="184"/>
      <c r="FJ95" s="184"/>
      <c r="FK95" s="184"/>
      <c r="FL95" s="184"/>
      <c r="FM95" s="184"/>
      <c r="FN95" s="184"/>
      <c r="FO95" s="184"/>
      <c r="FP95" s="184"/>
      <c r="FQ95" s="184"/>
      <c r="FR95" s="184"/>
      <c r="FS95" s="184"/>
      <c r="FT95" s="184"/>
      <c r="FU95" s="184"/>
      <c r="FV95" s="184"/>
      <c r="FW95" s="184"/>
      <c r="FX95" s="184"/>
      <c r="FY95" s="184"/>
      <c r="FZ95" s="184"/>
      <c r="GA95" s="184"/>
      <c r="GB95" s="184"/>
      <c r="GC95" s="184"/>
      <c r="GD95" s="184"/>
      <c r="GE95" s="184"/>
      <c r="GF95" s="184"/>
      <c r="GG95" s="184"/>
      <c r="GH95" s="184"/>
      <c r="GI95" s="184"/>
      <c r="GJ95" s="184"/>
      <c r="GK95" s="184"/>
      <c r="GL95" s="184"/>
      <c r="GM95" s="184"/>
      <c r="GN95" s="184"/>
      <c r="GO95" s="184"/>
      <c r="GP95" s="184"/>
      <c r="GQ95" s="184"/>
      <c r="GR95" s="184"/>
      <c r="GS95" s="184"/>
      <c r="GT95" s="184"/>
      <c r="GU95" s="184"/>
      <c r="GV95" s="184"/>
      <c r="GW95" s="184"/>
      <c r="GX95" s="184"/>
      <c r="GY95" s="184"/>
      <c r="GZ95" s="184"/>
      <c r="HA95" s="184"/>
      <c r="HB95" s="184"/>
      <c r="HC95" s="184"/>
      <c r="HD95" s="184"/>
      <c r="HE95" s="184"/>
      <c r="HF95" s="184"/>
      <c r="HG95" s="184"/>
      <c r="HH95" s="184"/>
      <c r="HI95" s="184"/>
      <c r="HJ95" s="184"/>
      <c r="HK95" s="184"/>
      <c r="HL95" s="184"/>
      <c r="HM95" s="184"/>
      <c r="HN95" s="184"/>
      <c r="HO95" s="184"/>
      <c r="HP95" s="184"/>
      <c r="HQ95" s="184"/>
      <c r="HR95" s="184"/>
      <c r="HS95" s="184"/>
      <c r="HT95" s="184"/>
      <c r="HU95" s="184"/>
      <c r="HV95" s="184"/>
      <c r="HW95" s="184"/>
      <c r="HX95" s="184"/>
      <c r="HY95" s="184"/>
      <c r="HZ95" s="184"/>
      <c r="IA95" s="184"/>
      <c r="IB95" s="184"/>
      <c r="IC95" s="184"/>
      <c r="ID95" s="184"/>
      <c r="IE95" s="184"/>
      <c r="IF95" s="184"/>
      <c r="IG95" s="184"/>
      <c r="IH95" s="184"/>
      <c r="II95" s="184"/>
      <c r="IJ95" s="184"/>
      <c r="IK95" s="184"/>
      <c r="IL95" s="184"/>
      <c r="IM95" s="184"/>
      <c r="IN95" s="184"/>
      <c r="IO95" s="184"/>
      <c r="IP95" s="184"/>
      <c r="IQ95" s="184"/>
      <c r="IR95" s="184"/>
      <c r="IS95" s="184"/>
      <c r="IT95" s="184"/>
      <c r="IU95" s="184"/>
      <c r="IV95" s="184"/>
      <c r="IW95" s="184"/>
    </row>
    <row r="96" customFormat="false" ht="12.6" hidden="false" customHeight="true" outlineLevel="0" collapsed="false">
      <c r="A96" s="248"/>
      <c r="B96" s="242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AB96" s="242"/>
      <c r="AC96" s="242"/>
      <c r="AD96" s="184"/>
      <c r="AE96" s="242"/>
      <c r="AF96" s="242"/>
      <c r="AG96" s="242"/>
      <c r="AH96" s="242"/>
      <c r="AI96" s="242"/>
      <c r="AJ96" s="242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  <c r="BA96" s="242"/>
      <c r="BB96" s="242"/>
      <c r="BC96" s="242"/>
      <c r="BD96" s="242"/>
      <c r="BE96" s="242"/>
      <c r="BF96" s="242"/>
      <c r="BG96" s="242"/>
      <c r="BH96" s="242"/>
      <c r="BI96" s="242"/>
      <c r="BJ96" s="242"/>
      <c r="BK96" s="242"/>
      <c r="BL96" s="242"/>
      <c r="BM96" s="242"/>
      <c r="BN96" s="242"/>
      <c r="BO96" s="242"/>
      <c r="BP96" s="242"/>
      <c r="BQ96" s="242"/>
      <c r="BR96" s="242"/>
      <c r="BS96" s="242"/>
      <c r="BT96" s="242"/>
      <c r="BU96" s="242"/>
      <c r="BV96" s="242"/>
      <c r="BW96" s="242"/>
      <c r="BX96" s="242"/>
      <c r="BY96" s="242"/>
      <c r="BZ96" s="242"/>
      <c r="CA96" s="242"/>
      <c r="CB96" s="242"/>
      <c r="CC96" s="242"/>
      <c r="CD96" s="242"/>
      <c r="CE96" s="242"/>
      <c r="CF96" s="242"/>
      <c r="CG96" s="242"/>
      <c r="CH96" s="242"/>
      <c r="CI96" s="242"/>
      <c r="CJ96" s="242"/>
      <c r="CK96" s="242"/>
      <c r="CL96" s="242"/>
      <c r="CM96" s="242"/>
      <c r="CN96" s="242"/>
      <c r="CO96" s="242"/>
      <c r="CP96" s="242"/>
      <c r="CQ96" s="242"/>
      <c r="CR96" s="242"/>
      <c r="CS96" s="242"/>
      <c r="CT96" s="242"/>
      <c r="CU96" s="242"/>
      <c r="CV96" s="242"/>
      <c r="CW96" s="242"/>
      <c r="CX96" s="242"/>
      <c r="CY96" s="242"/>
      <c r="CZ96" s="242"/>
      <c r="DA96" s="242"/>
      <c r="DB96" s="242"/>
      <c r="DC96" s="242"/>
      <c r="DD96" s="242"/>
      <c r="DE96" s="242"/>
      <c r="DF96" s="242"/>
      <c r="DG96" s="242"/>
      <c r="DH96" s="242"/>
      <c r="DI96" s="242"/>
      <c r="DJ96" s="242"/>
      <c r="DK96" s="242"/>
      <c r="DL96" s="242"/>
      <c r="DM96" s="242"/>
      <c r="DN96" s="242"/>
      <c r="DO96" s="242"/>
      <c r="DP96" s="242"/>
      <c r="DQ96" s="242"/>
      <c r="DR96" s="242"/>
      <c r="DS96" s="242"/>
      <c r="DT96" s="242"/>
      <c r="DU96" s="242"/>
      <c r="DV96" s="242"/>
      <c r="DW96" s="242"/>
      <c r="DX96" s="242"/>
      <c r="DY96" s="242"/>
      <c r="DZ96" s="242"/>
      <c r="EA96" s="242"/>
      <c r="EB96" s="242"/>
      <c r="EC96" s="242"/>
      <c r="ED96" s="242"/>
      <c r="EE96" s="242"/>
      <c r="EF96" s="242"/>
      <c r="EG96" s="242"/>
      <c r="EH96" s="242"/>
      <c r="EI96" s="242"/>
      <c r="EJ96" s="242"/>
      <c r="EK96" s="242"/>
      <c r="EL96" s="242"/>
      <c r="EM96" s="242"/>
      <c r="EN96" s="242"/>
      <c r="EO96" s="242"/>
      <c r="EP96" s="242"/>
      <c r="EQ96" s="242"/>
      <c r="ER96" s="242"/>
      <c r="ES96" s="242"/>
      <c r="ET96" s="242"/>
      <c r="EU96" s="242"/>
      <c r="EV96" s="242"/>
      <c r="EW96" s="242"/>
      <c r="EX96" s="242"/>
      <c r="EY96" s="242"/>
      <c r="EZ96" s="242"/>
      <c r="FA96" s="242"/>
      <c r="FB96" s="242"/>
      <c r="FC96" s="242"/>
      <c r="FD96" s="242"/>
      <c r="FE96" s="242"/>
      <c r="FF96" s="242"/>
      <c r="FG96" s="242"/>
      <c r="FH96" s="242"/>
      <c r="FI96" s="242"/>
      <c r="FJ96" s="242"/>
      <c r="FK96" s="242"/>
      <c r="FL96" s="242"/>
      <c r="FM96" s="242"/>
      <c r="FN96" s="242"/>
      <c r="FO96" s="242"/>
      <c r="FP96" s="242"/>
      <c r="FQ96" s="242"/>
      <c r="FR96" s="242"/>
      <c r="FS96" s="242"/>
      <c r="FT96" s="242"/>
      <c r="FU96" s="242"/>
      <c r="FV96" s="242"/>
      <c r="FW96" s="242"/>
      <c r="FX96" s="242"/>
      <c r="FY96" s="242"/>
      <c r="FZ96" s="242"/>
      <c r="GA96" s="242"/>
      <c r="GB96" s="242"/>
      <c r="GC96" s="242"/>
      <c r="GD96" s="242"/>
      <c r="GE96" s="242"/>
      <c r="GF96" s="242"/>
      <c r="GG96" s="242"/>
      <c r="GH96" s="242"/>
      <c r="GI96" s="242"/>
      <c r="GJ96" s="242"/>
      <c r="GK96" s="242"/>
      <c r="GL96" s="242"/>
      <c r="GM96" s="242"/>
      <c r="GN96" s="242"/>
      <c r="GO96" s="242"/>
      <c r="GP96" s="242"/>
      <c r="GQ96" s="242"/>
      <c r="GR96" s="242"/>
      <c r="GS96" s="242"/>
      <c r="GT96" s="242"/>
      <c r="GU96" s="242"/>
      <c r="GV96" s="242"/>
      <c r="GW96" s="242"/>
      <c r="GX96" s="242"/>
      <c r="GY96" s="242"/>
      <c r="GZ96" s="242"/>
      <c r="HA96" s="242"/>
      <c r="HB96" s="242"/>
      <c r="HC96" s="242"/>
      <c r="HD96" s="242"/>
      <c r="HE96" s="242"/>
      <c r="HF96" s="242"/>
      <c r="HG96" s="242"/>
      <c r="HH96" s="242"/>
      <c r="HI96" s="242"/>
      <c r="HJ96" s="242"/>
      <c r="HK96" s="242"/>
      <c r="HL96" s="242"/>
      <c r="HM96" s="242"/>
      <c r="HN96" s="242"/>
      <c r="HO96" s="242"/>
      <c r="HP96" s="242"/>
      <c r="HQ96" s="242"/>
      <c r="HR96" s="242"/>
      <c r="HS96" s="242"/>
      <c r="HT96" s="242"/>
      <c r="HU96" s="242"/>
      <c r="HV96" s="242"/>
      <c r="HW96" s="242"/>
      <c r="HX96" s="242"/>
      <c r="HY96" s="242"/>
      <c r="HZ96" s="242"/>
      <c r="IA96" s="242"/>
      <c r="IB96" s="242"/>
      <c r="IC96" s="242"/>
      <c r="ID96" s="242"/>
      <c r="IE96" s="242"/>
      <c r="IF96" s="242"/>
      <c r="IG96" s="242"/>
      <c r="IH96" s="242"/>
      <c r="II96" s="242"/>
      <c r="IJ96" s="242"/>
      <c r="IK96" s="242"/>
      <c r="IL96" s="242"/>
      <c r="IM96" s="242"/>
      <c r="IN96" s="242"/>
      <c r="IO96" s="242"/>
      <c r="IP96" s="242"/>
      <c r="IQ96" s="242"/>
      <c r="IR96" s="242"/>
      <c r="IS96" s="242"/>
      <c r="IT96" s="242"/>
      <c r="IU96" s="242"/>
      <c r="IV96" s="242"/>
      <c r="IW96" s="242"/>
    </row>
    <row r="97" customFormat="false" ht="12.6" hidden="false" customHeight="true" outlineLevel="0" collapsed="false">
      <c r="A97" s="248"/>
      <c r="B97" s="242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AB97" s="242"/>
      <c r="AC97" s="242"/>
      <c r="AD97" s="184"/>
      <c r="AE97" s="242"/>
      <c r="AF97" s="242"/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2"/>
      <c r="AZ97" s="242"/>
      <c r="BA97" s="242"/>
      <c r="BB97" s="242"/>
      <c r="BC97" s="242"/>
      <c r="BD97" s="242"/>
      <c r="BE97" s="242"/>
      <c r="BF97" s="242"/>
      <c r="BG97" s="242"/>
      <c r="BH97" s="242"/>
      <c r="BI97" s="242"/>
      <c r="BJ97" s="242"/>
      <c r="BK97" s="242"/>
      <c r="BL97" s="242"/>
      <c r="BM97" s="242"/>
      <c r="BN97" s="242"/>
      <c r="BO97" s="242"/>
      <c r="BP97" s="242"/>
      <c r="BQ97" s="242"/>
      <c r="BR97" s="242"/>
      <c r="BS97" s="242"/>
      <c r="BT97" s="242"/>
      <c r="BU97" s="242"/>
      <c r="BV97" s="242"/>
      <c r="BW97" s="242"/>
      <c r="BX97" s="242"/>
      <c r="BY97" s="242"/>
      <c r="BZ97" s="242"/>
      <c r="CA97" s="242"/>
      <c r="CB97" s="242"/>
      <c r="CC97" s="242"/>
      <c r="CD97" s="242"/>
      <c r="CE97" s="242"/>
      <c r="CF97" s="242"/>
      <c r="CG97" s="242"/>
      <c r="CH97" s="242"/>
      <c r="CI97" s="242"/>
      <c r="CJ97" s="242"/>
      <c r="CK97" s="242"/>
      <c r="CL97" s="242"/>
      <c r="CM97" s="242"/>
      <c r="CN97" s="242"/>
      <c r="CO97" s="242"/>
      <c r="CP97" s="242"/>
      <c r="CQ97" s="242"/>
      <c r="CR97" s="242"/>
      <c r="CS97" s="242"/>
      <c r="CT97" s="242"/>
      <c r="CU97" s="242"/>
      <c r="CV97" s="242"/>
      <c r="CW97" s="242"/>
      <c r="CX97" s="242"/>
      <c r="CY97" s="242"/>
      <c r="CZ97" s="242"/>
      <c r="DA97" s="242"/>
      <c r="DB97" s="242"/>
      <c r="DC97" s="242"/>
      <c r="DD97" s="242"/>
      <c r="DE97" s="242"/>
      <c r="DF97" s="242"/>
      <c r="DG97" s="242"/>
      <c r="DH97" s="242"/>
      <c r="DI97" s="242"/>
      <c r="DJ97" s="242"/>
      <c r="DK97" s="242"/>
      <c r="DL97" s="242"/>
      <c r="DM97" s="242"/>
      <c r="DN97" s="242"/>
      <c r="DO97" s="242"/>
      <c r="DP97" s="242"/>
      <c r="DQ97" s="242"/>
      <c r="DR97" s="242"/>
      <c r="DS97" s="242"/>
      <c r="DT97" s="242"/>
      <c r="DU97" s="242"/>
      <c r="DV97" s="242"/>
      <c r="DW97" s="242"/>
      <c r="DX97" s="242"/>
      <c r="DY97" s="242"/>
      <c r="DZ97" s="242"/>
      <c r="EA97" s="242"/>
      <c r="EB97" s="242"/>
      <c r="EC97" s="242"/>
      <c r="ED97" s="242"/>
      <c r="EE97" s="242"/>
      <c r="EF97" s="242"/>
      <c r="EG97" s="242"/>
      <c r="EH97" s="242"/>
      <c r="EI97" s="242"/>
      <c r="EJ97" s="242"/>
      <c r="EK97" s="242"/>
      <c r="EL97" s="242"/>
      <c r="EM97" s="242"/>
      <c r="EN97" s="242"/>
      <c r="EO97" s="242"/>
      <c r="EP97" s="242"/>
      <c r="EQ97" s="242"/>
      <c r="ER97" s="242"/>
      <c r="ES97" s="242"/>
      <c r="ET97" s="242"/>
      <c r="EU97" s="242"/>
      <c r="EV97" s="242"/>
      <c r="EW97" s="242"/>
      <c r="EX97" s="242"/>
      <c r="EY97" s="242"/>
      <c r="EZ97" s="242"/>
      <c r="FA97" s="242"/>
      <c r="FB97" s="242"/>
      <c r="FC97" s="242"/>
      <c r="FD97" s="242"/>
      <c r="FE97" s="242"/>
      <c r="FF97" s="242"/>
      <c r="FG97" s="242"/>
      <c r="FH97" s="242"/>
      <c r="FI97" s="242"/>
      <c r="FJ97" s="242"/>
      <c r="FK97" s="242"/>
      <c r="FL97" s="242"/>
      <c r="FM97" s="242"/>
      <c r="FN97" s="242"/>
      <c r="FO97" s="242"/>
      <c r="FP97" s="242"/>
      <c r="FQ97" s="242"/>
      <c r="FR97" s="242"/>
      <c r="FS97" s="242"/>
      <c r="FT97" s="242"/>
      <c r="FU97" s="242"/>
      <c r="FV97" s="242"/>
      <c r="FW97" s="242"/>
      <c r="FX97" s="242"/>
      <c r="FY97" s="242"/>
      <c r="FZ97" s="242"/>
      <c r="GA97" s="242"/>
      <c r="GB97" s="242"/>
      <c r="GC97" s="242"/>
      <c r="GD97" s="242"/>
      <c r="GE97" s="242"/>
      <c r="GF97" s="242"/>
      <c r="GG97" s="242"/>
      <c r="GH97" s="242"/>
      <c r="GI97" s="242"/>
      <c r="GJ97" s="242"/>
      <c r="GK97" s="242"/>
      <c r="GL97" s="242"/>
      <c r="GM97" s="242"/>
      <c r="GN97" s="242"/>
      <c r="GO97" s="242"/>
      <c r="GP97" s="242"/>
      <c r="GQ97" s="242"/>
      <c r="GR97" s="242"/>
      <c r="GS97" s="242"/>
      <c r="GT97" s="242"/>
      <c r="GU97" s="242"/>
      <c r="GV97" s="242"/>
      <c r="GW97" s="242"/>
      <c r="GX97" s="242"/>
      <c r="GY97" s="242"/>
      <c r="GZ97" s="242"/>
      <c r="HA97" s="242"/>
      <c r="HB97" s="242"/>
      <c r="HC97" s="242"/>
      <c r="HD97" s="242"/>
      <c r="HE97" s="242"/>
      <c r="HF97" s="242"/>
      <c r="HG97" s="242"/>
      <c r="HH97" s="242"/>
      <c r="HI97" s="242"/>
      <c r="HJ97" s="242"/>
      <c r="HK97" s="242"/>
      <c r="HL97" s="242"/>
      <c r="HM97" s="242"/>
      <c r="HN97" s="242"/>
      <c r="HO97" s="242"/>
      <c r="HP97" s="242"/>
      <c r="HQ97" s="242"/>
      <c r="HR97" s="242"/>
      <c r="HS97" s="242"/>
      <c r="HT97" s="242"/>
      <c r="HU97" s="242"/>
      <c r="HV97" s="242"/>
      <c r="HW97" s="242"/>
      <c r="HX97" s="242"/>
      <c r="HY97" s="242"/>
      <c r="HZ97" s="242"/>
      <c r="IA97" s="242"/>
      <c r="IB97" s="242"/>
      <c r="IC97" s="242"/>
      <c r="ID97" s="242"/>
      <c r="IE97" s="242"/>
      <c r="IF97" s="242"/>
      <c r="IG97" s="242"/>
      <c r="IH97" s="242"/>
      <c r="II97" s="242"/>
      <c r="IJ97" s="242"/>
      <c r="IK97" s="242"/>
      <c r="IL97" s="242"/>
      <c r="IM97" s="242"/>
      <c r="IN97" s="242"/>
      <c r="IO97" s="242"/>
      <c r="IP97" s="242"/>
      <c r="IQ97" s="242"/>
      <c r="IR97" s="242"/>
      <c r="IS97" s="242"/>
      <c r="IT97" s="242"/>
      <c r="IU97" s="242"/>
      <c r="IV97" s="242"/>
      <c r="IW97" s="242"/>
    </row>
    <row r="98" customFormat="false" ht="12.6" hidden="false" customHeight="true" outlineLevel="0" collapsed="false">
      <c r="A98" s="248"/>
      <c r="B98" s="242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71"/>
      <c r="AB98" s="242"/>
      <c r="AC98" s="242"/>
      <c r="AD98" s="184"/>
      <c r="AE98" s="242"/>
      <c r="AF98" s="242"/>
      <c r="AG98" s="242"/>
      <c r="AH98" s="242"/>
      <c r="AI98" s="242"/>
      <c r="AJ98" s="242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2"/>
      <c r="BD98" s="242"/>
      <c r="BE98" s="242"/>
      <c r="BF98" s="242"/>
      <c r="BG98" s="242"/>
      <c r="BH98" s="242"/>
      <c r="BI98" s="242"/>
      <c r="BJ98" s="242"/>
      <c r="BK98" s="242"/>
      <c r="BL98" s="242"/>
      <c r="BM98" s="242"/>
      <c r="BN98" s="242"/>
      <c r="BO98" s="242"/>
      <c r="BP98" s="242"/>
      <c r="BQ98" s="242"/>
      <c r="BR98" s="242"/>
      <c r="BS98" s="242"/>
      <c r="BT98" s="242"/>
      <c r="BU98" s="242"/>
      <c r="BV98" s="242"/>
      <c r="BW98" s="242"/>
      <c r="BX98" s="242"/>
      <c r="BY98" s="242"/>
      <c r="BZ98" s="242"/>
      <c r="CA98" s="242"/>
      <c r="CB98" s="242"/>
      <c r="CC98" s="242"/>
      <c r="CD98" s="242"/>
      <c r="CE98" s="242"/>
      <c r="CF98" s="242"/>
      <c r="CG98" s="242"/>
      <c r="CH98" s="242"/>
      <c r="CI98" s="242"/>
      <c r="CJ98" s="242"/>
      <c r="CK98" s="242"/>
      <c r="CL98" s="242"/>
      <c r="CM98" s="242"/>
      <c r="CN98" s="242"/>
      <c r="CO98" s="242"/>
      <c r="CP98" s="242"/>
      <c r="CQ98" s="242"/>
      <c r="CR98" s="242"/>
      <c r="CS98" s="242"/>
      <c r="CT98" s="242"/>
      <c r="CU98" s="242"/>
      <c r="CV98" s="242"/>
      <c r="CW98" s="242"/>
      <c r="CX98" s="242"/>
      <c r="CY98" s="242"/>
      <c r="CZ98" s="242"/>
      <c r="DA98" s="242"/>
      <c r="DB98" s="242"/>
      <c r="DC98" s="242"/>
      <c r="DD98" s="242"/>
      <c r="DE98" s="242"/>
      <c r="DF98" s="242"/>
      <c r="DG98" s="242"/>
      <c r="DH98" s="242"/>
      <c r="DI98" s="242"/>
      <c r="DJ98" s="242"/>
      <c r="DK98" s="242"/>
      <c r="DL98" s="242"/>
      <c r="DM98" s="242"/>
      <c r="DN98" s="242"/>
      <c r="DO98" s="242"/>
      <c r="DP98" s="242"/>
      <c r="DQ98" s="242"/>
      <c r="DR98" s="242"/>
      <c r="DS98" s="242"/>
      <c r="DT98" s="242"/>
      <c r="DU98" s="242"/>
      <c r="DV98" s="242"/>
      <c r="DW98" s="242"/>
      <c r="DX98" s="242"/>
      <c r="DY98" s="242"/>
      <c r="DZ98" s="242"/>
      <c r="EA98" s="242"/>
      <c r="EB98" s="242"/>
      <c r="EC98" s="242"/>
      <c r="ED98" s="242"/>
      <c r="EE98" s="242"/>
      <c r="EF98" s="242"/>
      <c r="EG98" s="242"/>
      <c r="EH98" s="242"/>
      <c r="EI98" s="242"/>
      <c r="EJ98" s="242"/>
      <c r="EK98" s="242"/>
      <c r="EL98" s="242"/>
      <c r="EM98" s="242"/>
      <c r="EN98" s="242"/>
      <c r="EO98" s="242"/>
      <c r="EP98" s="242"/>
      <c r="EQ98" s="242"/>
      <c r="ER98" s="242"/>
      <c r="ES98" s="242"/>
      <c r="ET98" s="242"/>
      <c r="EU98" s="242"/>
      <c r="EV98" s="242"/>
      <c r="EW98" s="242"/>
      <c r="EX98" s="242"/>
      <c r="EY98" s="242"/>
      <c r="EZ98" s="242"/>
      <c r="FA98" s="242"/>
      <c r="FB98" s="242"/>
      <c r="FC98" s="242"/>
      <c r="FD98" s="242"/>
      <c r="FE98" s="242"/>
      <c r="FF98" s="242"/>
      <c r="FG98" s="242"/>
      <c r="FH98" s="242"/>
      <c r="FI98" s="242"/>
      <c r="FJ98" s="242"/>
      <c r="FK98" s="242"/>
      <c r="FL98" s="242"/>
      <c r="FM98" s="242"/>
      <c r="FN98" s="242"/>
      <c r="FO98" s="242"/>
      <c r="FP98" s="242"/>
      <c r="FQ98" s="242"/>
      <c r="FR98" s="242"/>
      <c r="FS98" s="242"/>
      <c r="FT98" s="242"/>
      <c r="FU98" s="242"/>
      <c r="FV98" s="242"/>
      <c r="FW98" s="242"/>
      <c r="FX98" s="242"/>
      <c r="FY98" s="242"/>
      <c r="FZ98" s="242"/>
      <c r="GA98" s="242"/>
      <c r="GB98" s="242"/>
      <c r="GC98" s="242"/>
      <c r="GD98" s="242"/>
      <c r="GE98" s="242"/>
      <c r="GF98" s="242"/>
      <c r="GG98" s="242"/>
      <c r="GH98" s="242"/>
      <c r="GI98" s="242"/>
      <c r="GJ98" s="242"/>
      <c r="GK98" s="242"/>
      <c r="GL98" s="242"/>
      <c r="GM98" s="242"/>
      <c r="GN98" s="242"/>
      <c r="GO98" s="242"/>
      <c r="GP98" s="242"/>
      <c r="GQ98" s="242"/>
      <c r="GR98" s="242"/>
      <c r="GS98" s="242"/>
      <c r="GT98" s="242"/>
      <c r="GU98" s="242"/>
      <c r="GV98" s="242"/>
      <c r="GW98" s="242"/>
      <c r="GX98" s="242"/>
      <c r="GY98" s="242"/>
      <c r="GZ98" s="242"/>
      <c r="HA98" s="242"/>
      <c r="HB98" s="242"/>
      <c r="HC98" s="242"/>
      <c r="HD98" s="242"/>
      <c r="HE98" s="242"/>
      <c r="HF98" s="242"/>
      <c r="HG98" s="242"/>
      <c r="HH98" s="242"/>
      <c r="HI98" s="242"/>
      <c r="HJ98" s="242"/>
      <c r="HK98" s="242"/>
      <c r="HL98" s="242"/>
      <c r="HM98" s="242"/>
      <c r="HN98" s="242"/>
      <c r="HO98" s="242"/>
      <c r="HP98" s="242"/>
      <c r="HQ98" s="242"/>
      <c r="HR98" s="242"/>
      <c r="HS98" s="242"/>
      <c r="HT98" s="242"/>
      <c r="HU98" s="242"/>
      <c r="HV98" s="242"/>
      <c r="HW98" s="242"/>
      <c r="HX98" s="242"/>
      <c r="HY98" s="242"/>
      <c r="HZ98" s="242"/>
      <c r="IA98" s="242"/>
      <c r="IB98" s="242"/>
      <c r="IC98" s="242"/>
      <c r="ID98" s="242"/>
      <c r="IE98" s="242"/>
      <c r="IF98" s="242"/>
      <c r="IG98" s="242"/>
      <c r="IH98" s="242"/>
      <c r="II98" s="242"/>
      <c r="IJ98" s="242"/>
      <c r="IK98" s="242"/>
      <c r="IL98" s="242"/>
      <c r="IM98" s="242"/>
      <c r="IN98" s="242"/>
      <c r="IO98" s="242"/>
      <c r="IP98" s="242"/>
      <c r="IQ98" s="242"/>
      <c r="IR98" s="242"/>
      <c r="IS98" s="242"/>
      <c r="IT98" s="242"/>
      <c r="IU98" s="242"/>
      <c r="IV98" s="242"/>
      <c r="IW98" s="242"/>
    </row>
    <row r="99" customFormat="false" ht="12.6" hidden="false" customHeight="true" outlineLevel="0" collapsed="false">
      <c r="A99" s="248"/>
      <c r="B99" s="242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AB99" s="242"/>
      <c r="AC99" s="242"/>
      <c r="AD99" s="184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/>
      <c r="AP99" s="242"/>
      <c r="AQ99" s="242"/>
      <c r="AR99" s="242"/>
      <c r="AS99" s="242"/>
      <c r="AT99" s="242"/>
      <c r="AU99" s="242"/>
      <c r="AV99" s="242"/>
      <c r="AW99" s="242"/>
      <c r="AX99" s="242"/>
      <c r="AY99" s="242"/>
      <c r="AZ99" s="242"/>
      <c r="BA99" s="242"/>
      <c r="BB99" s="242"/>
      <c r="BC99" s="242"/>
      <c r="BD99" s="242"/>
      <c r="BE99" s="242"/>
      <c r="BF99" s="242"/>
      <c r="BG99" s="242"/>
      <c r="BH99" s="242"/>
      <c r="BI99" s="242"/>
      <c r="BJ99" s="242"/>
      <c r="BK99" s="242"/>
      <c r="BL99" s="242"/>
      <c r="BM99" s="242"/>
      <c r="BN99" s="242"/>
      <c r="BO99" s="242"/>
      <c r="BP99" s="242"/>
      <c r="BQ99" s="242"/>
      <c r="BR99" s="242"/>
      <c r="BS99" s="242"/>
      <c r="BT99" s="242"/>
      <c r="BU99" s="242"/>
      <c r="BV99" s="242"/>
      <c r="BW99" s="242"/>
      <c r="BX99" s="242"/>
      <c r="BY99" s="242"/>
      <c r="BZ99" s="242"/>
      <c r="CA99" s="242"/>
      <c r="CB99" s="242"/>
      <c r="CC99" s="242"/>
      <c r="CD99" s="242"/>
      <c r="CE99" s="242"/>
      <c r="CF99" s="242"/>
      <c r="CG99" s="242"/>
      <c r="CH99" s="242"/>
      <c r="CI99" s="242"/>
      <c r="CJ99" s="242"/>
      <c r="CK99" s="242"/>
      <c r="CL99" s="242"/>
      <c r="CM99" s="242"/>
      <c r="CN99" s="242"/>
      <c r="CO99" s="242"/>
      <c r="CP99" s="242"/>
      <c r="CQ99" s="242"/>
      <c r="CR99" s="242"/>
      <c r="CS99" s="242"/>
      <c r="CT99" s="242"/>
      <c r="CU99" s="242"/>
      <c r="CV99" s="242"/>
      <c r="CW99" s="242"/>
      <c r="CX99" s="242"/>
      <c r="CY99" s="242"/>
      <c r="CZ99" s="242"/>
      <c r="DA99" s="242"/>
      <c r="DB99" s="242"/>
      <c r="DC99" s="242"/>
      <c r="DD99" s="242"/>
      <c r="DE99" s="242"/>
      <c r="DF99" s="242"/>
      <c r="DG99" s="242"/>
      <c r="DH99" s="242"/>
      <c r="DI99" s="242"/>
      <c r="DJ99" s="242"/>
      <c r="DK99" s="242"/>
      <c r="DL99" s="242"/>
      <c r="DM99" s="242"/>
      <c r="DN99" s="242"/>
      <c r="DO99" s="242"/>
      <c r="DP99" s="242"/>
      <c r="DQ99" s="242"/>
      <c r="DR99" s="242"/>
      <c r="DS99" s="242"/>
      <c r="DT99" s="242"/>
      <c r="DU99" s="242"/>
      <c r="DV99" s="242"/>
      <c r="DW99" s="242"/>
      <c r="DX99" s="242"/>
      <c r="DY99" s="242"/>
      <c r="DZ99" s="242"/>
      <c r="EA99" s="242"/>
      <c r="EB99" s="242"/>
      <c r="EC99" s="242"/>
      <c r="ED99" s="242"/>
      <c r="EE99" s="242"/>
      <c r="EF99" s="242"/>
      <c r="EG99" s="242"/>
      <c r="EH99" s="242"/>
      <c r="EI99" s="242"/>
      <c r="EJ99" s="242"/>
      <c r="EK99" s="242"/>
      <c r="EL99" s="242"/>
      <c r="EM99" s="242"/>
      <c r="EN99" s="242"/>
      <c r="EO99" s="242"/>
      <c r="EP99" s="242"/>
      <c r="EQ99" s="242"/>
      <c r="ER99" s="242"/>
      <c r="ES99" s="242"/>
      <c r="ET99" s="242"/>
      <c r="EU99" s="242"/>
      <c r="EV99" s="242"/>
      <c r="EW99" s="242"/>
      <c r="EX99" s="242"/>
      <c r="EY99" s="242"/>
      <c r="EZ99" s="242"/>
      <c r="FA99" s="242"/>
      <c r="FB99" s="242"/>
      <c r="FC99" s="242"/>
      <c r="FD99" s="242"/>
      <c r="FE99" s="242"/>
      <c r="FF99" s="242"/>
      <c r="FG99" s="242"/>
      <c r="FH99" s="242"/>
      <c r="FI99" s="242"/>
      <c r="FJ99" s="242"/>
      <c r="FK99" s="242"/>
      <c r="FL99" s="242"/>
      <c r="FM99" s="242"/>
      <c r="FN99" s="242"/>
      <c r="FO99" s="242"/>
      <c r="FP99" s="242"/>
      <c r="FQ99" s="242"/>
      <c r="FR99" s="242"/>
      <c r="FS99" s="242"/>
      <c r="FT99" s="242"/>
      <c r="FU99" s="242"/>
      <c r="FV99" s="242"/>
      <c r="FW99" s="242"/>
      <c r="FX99" s="242"/>
      <c r="FY99" s="242"/>
      <c r="FZ99" s="242"/>
      <c r="GA99" s="242"/>
      <c r="GB99" s="242"/>
      <c r="GC99" s="242"/>
      <c r="GD99" s="242"/>
      <c r="GE99" s="242"/>
      <c r="GF99" s="242"/>
      <c r="GG99" s="242"/>
      <c r="GH99" s="242"/>
      <c r="GI99" s="242"/>
      <c r="GJ99" s="242"/>
      <c r="GK99" s="242"/>
      <c r="GL99" s="242"/>
      <c r="GM99" s="242"/>
      <c r="GN99" s="242"/>
      <c r="GO99" s="242"/>
      <c r="GP99" s="242"/>
      <c r="GQ99" s="242"/>
      <c r="GR99" s="242"/>
      <c r="GS99" s="242"/>
      <c r="GT99" s="242"/>
      <c r="GU99" s="242"/>
      <c r="GV99" s="242"/>
      <c r="GW99" s="242"/>
      <c r="GX99" s="242"/>
      <c r="GY99" s="242"/>
      <c r="GZ99" s="242"/>
      <c r="HA99" s="242"/>
      <c r="HB99" s="242"/>
      <c r="HC99" s="242"/>
      <c r="HD99" s="242"/>
      <c r="HE99" s="242"/>
      <c r="HF99" s="242"/>
      <c r="HG99" s="242"/>
      <c r="HH99" s="242"/>
      <c r="HI99" s="242"/>
      <c r="HJ99" s="242"/>
      <c r="HK99" s="242"/>
      <c r="HL99" s="242"/>
      <c r="HM99" s="242"/>
      <c r="HN99" s="242"/>
      <c r="HO99" s="242"/>
      <c r="HP99" s="242"/>
      <c r="HQ99" s="242"/>
      <c r="HR99" s="242"/>
      <c r="HS99" s="242"/>
      <c r="HT99" s="242"/>
      <c r="HU99" s="242"/>
      <c r="HV99" s="242"/>
      <c r="HW99" s="242"/>
      <c r="HX99" s="242"/>
      <c r="HY99" s="242"/>
      <c r="HZ99" s="242"/>
      <c r="IA99" s="242"/>
      <c r="IB99" s="242"/>
      <c r="IC99" s="242"/>
      <c r="ID99" s="242"/>
      <c r="IE99" s="242"/>
      <c r="IF99" s="242"/>
      <c r="IG99" s="242"/>
      <c r="IH99" s="242"/>
      <c r="II99" s="242"/>
      <c r="IJ99" s="242"/>
      <c r="IK99" s="242"/>
      <c r="IL99" s="242"/>
      <c r="IM99" s="242"/>
      <c r="IN99" s="242"/>
      <c r="IO99" s="242"/>
      <c r="IP99" s="242"/>
      <c r="IQ99" s="242"/>
      <c r="IR99" s="242"/>
      <c r="IS99" s="242"/>
      <c r="IT99" s="242"/>
      <c r="IU99" s="242"/>
      <c r="IV99" s="242"/>
      <c r="IW99" s="242"/>
    </row>
    <row r="100" customFormat="false" ht="12.6" hidden="false" customHeight="true" outlineLevel="0" collapsed="false">
      <c r="A100" s="248"/>
      <c r="B100" s="242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AB100" s="242"/>
      <c r="AC100" s="242"/>
      <c r="AD100" s="184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AY100" s="242"/>
      <c r="AZ100" s="242"/>
      <c r="BA100" s="242"/>
      <c r="BB100" s="242"/>
      <c r="BC100" s="242"/>
      <c r="BD100" s="242"/>
      <c r="BE100" s="242"/>
      <c r="BF100" s="242"/>
      <c r="BG100" s="242"/>
      <c r="BH100" s="242"/>
      <c r="BI100" s="242"/>
      <c r="BJ100" s="242"/>
      <c r="BK100" s="242"/>
      <c r="BL100" s="242"/>
      <c r="BM100" s="242"/>
      <c r="BN100" s="242"/>
      <c r="BO100" s="242"/>
      <c r="BP100" s="242"/>
      <c r="BQ100" s="242"/>
      <c r="BR100" s="242"/>
      <c r="BS100" s="242"/>
      <c r="BT100" s="242"/>
      <c r="BU100" s="242"/>
      <c r="BV100" s="242"/>
      <c r="BW100" s="242"/>
      <c r="BX100" s="242"/>
      <c r="BY100" s="242"/>
      <c r="BZ100" s="242"/>
      <c r="CA100" s="242"/>
      <c r="CB100" s="242"/>
      <c r="CC100" s="242"/>
      <c r="CD100" s="242"/>
      <c r="CE100" s="242"/>
      <c r="CF100" s="242"/>
      <c r="CG100" s="242"/>
      <c r="CH100" s="242"/>
      <c r="CI100" s="242"/>
      <c r="CJ100" s="242"/>
      <c r="CK100" s="242"/>
      <c r="CL100" s="242"/>
      <c r="CM100" s="242"/>
      <c r="CN100" s="242"/>
      <c r="CO100" s="242"/>
      <c r="CP100" s="242"/>
      <c r="CQ100" s="242"/>
      <c r="CR100" s="242"/>
      <c r="CS100" s="242"/>
      <c r="CT100" s="242"/>
      <c r="CU100" s="242"/>
      <c r="CV100" s="242"/>
      <c r="CW100" s="242"/>
      <c r="CX100" s="242"/>
      <c r="CY100" s="242"/>
      <c r="CZ100" s="242"/>
      <c r="DA100" s="242"/>
      <c r="DB100" s="242"/>
      <c r="DC100" s="242"/>
      <c r="DD100" s="242"/>
      <c r="DE100" s="242"/>
      <c r="DF100" s="242"/>
      <c r="DG100" s="242"/>
      <c r="DH100" s="242"/>
      <c r="DI100" s="242"/>
      <c r="DJ100" s="242"/>
      <c r="DK100" s="242"/>
      <c r="DL100" s="242"/>
      <c r="DM100" s="242"/>
      <c r="DN100" s="242"/>
      <c r="DO100" s="242"/>
      <c r="DP100" s="242"/>
      <c r="DQ100" s="242"/>
      <c r="DR100" s="242"/>
      <c r="DS100" s="242"/>
      <c r="DT100" s="242"/>
      <c r="DU100" s="242"/>
      <c r="DV100" s="242"/>
      <c r="DW100" s="242"/>
      <c r="DX100" s="242"/>
      <c r="DY100" s="242"/>
      <c r="DZ100" s="242"/>
      <c r="EA100" s="242"/>
      <c r="EB100" s="242"/>
      <c r="EC100" s="242"/>
      <c r="ED100" s="242"/>
      <c r="EE100" s="242"/>
      <c r="EF100" s="242"/>
      <c r="EG100" s="242"/>
      <c r="EH100" s="242"/>
      <c r="EI100" s="242"/>
      <c r="EJ100" s="242"/>
      <c r="EK100" s="242"/>
      <c r="EL100" s="242"/>
      <c r="EM100" s="242"/>
      <c r="EN100" s="242"/>
      <c r="EO100" s="242"/>
      <c r="EP100" s="242"/>
      <c r="EQ100" s="242"/>
      <c r="ER100" s="242"/>
      <c r="ES100" s="242"/>
      <c r="ET100" s="242"/>
      <c r="EU100" s="242"/>
      <c r="EV100" s="242"/>
      <c r="EW100" s="242"/>
      <c r="EX100" s="242"/>
      <c r="EY100" s="242"/>
      <c r="EZ100" s="242"/>
      <c r="FA100" s="242"/>
      <c r="FB100" s="242"/>
      <c r="FC100" s="242"/>
      <c r="FD100" s="242"/>
      <c r="FE100" s="242"/>
      <c r="FF100" s="242"/>
      <c r="FG100" s="242"/>
      <c r="FH100" s="242"/>
      <c r="FI100" s="242"/>
      <c r="FJ100" s="242"/>
      <c r="FK100" s="242"/>
      <c r="FL100" s="242"/>
      <c r="FM100" s="242"/>
      <c r="FN100" s="242"/>
      <c r="FO100" s="242"/>
      <c r="FP100" s="242"/>
      <c r="FQ100" s="242"/>
      <c r="FR100" s="242"/>
      <c r="FS100" s="242"/>
      <c r="FT100" s="242"/>
      <c r="FU100" s="242"/>
      <c r="FV100" s="242"/>
      <c r="FW100" s="242"/>
      <c r="FX100" s="242"/>
      <c r="FY100" s="242"/>
      <c r="FZ100" s="242"/>
      <c r="GA100" s="242"/>
      <c r="GB100" s="242"/>
      <c r="GC100" s="242"/>
      <c r="GD100" s="242"/>
      <c r="GE100" s="242"/>
      <c r="GF100" s="242"/>
      <c r="GG100" s="242"/>
      <c r="GH100" s="242"/>
      <c r="GI100" s="242"/>
      <c r="GJ100" s="242"/>
      <c r="GK100" s="242"/>
      <c r="GL100" s="242"/>
      <c r="GM100" s="242"/>
      <c r="GN100" s="242"/>
      <c r="GO100" s="242"/>
      <c r="GP100" s="242"/>
      <c r="GQ100" s="242"/>
      <c r="GR100" s="242"/>
      <c r="GS100" s="242"/>
      <c r="GT100" s="242"/>
      <c r="GU100" s="242"/>
      <c r="GV100" s="242"/>
      <c r="GW100" s="242"/>
      <c r="GX100" s="242"/>
      <c r="GY100" s="242"/>
      <c r="GZ100" s="242"/>
      <c r="HA100" s="242"/>
      <c r="HB100" s="242"/>
      <c r="HC100" s="242"/>
      <c r="HD100" s="242"/>
      <c r="HE100" s="242"/>
      <c r="HF100" s="242"/>
      <c r="HG100" s="242"/>
      <c r="HH100" s="242"/>
      <c r="HI100" s="242"/>
      <c r="HJ100" s="242"/>
      <c r="HK100" s="242"/>
      <c r="HL100" s="242"/>
      <c r="HM100" s="242"/>
      <c r="HN100" s="242"/>
      <c r="HO100" s="242"/>
      <c r="HP100" s="242"/>
      <c r="HQ100" s="242"/>
      <c r="HR100" s="242"/>
      <c r="HS100" s="242"/>
      <c r="HT100" s="242"/>
      <c r="HU100" s="242"/>
      <c r="HV100" s="242"/>
      <c r="HW100" s="242"/>
      <c r="HX100" s="242"/>
      <c r="HY100" s="242"/>
      <c r="HZ100" s="242"/>
      <c r="IA100" s="242"/>
      <c r="IB100" s="242"/>
      <c r="IC100" s="242"/>
      <c r="ID100" s="242"/>
      <c r="IE100" s="242"/>
      <c r="IF100" s="242"/>
      <c r="IG100" s="242"/>
      <c r="IH100" s="242"/>
      <c r="II100" s="242"/>
      <c r="IJ100" s="242"/>
      <c r="IK100" s="242"/>
      <c r="IL100" s="242"/>
      <c r="IM100" s="242"/>
      <c r="IN100" s="242"/>
      <c r="IO100" s="242"/>
      <c r="IP100" s="242"/>
      <c r="IQ100" s="242"/>
      <c r="IR100" s="242"/>
      <c r="IS100" s="242"/>
      <c r="IT100" s="242"/>
      <c r="IU100" s="242"/>
      <c r="IV100" s="242"/>
      <c r="IW100" s="242"/>
    </row>
    <row r="101" customFormat="false" ht="12.6" hidden="false" customHeight="true" outlineLevel="0" collapsed="false">
      <c r="A101" s="248"/>
      <c r="B101" s="242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AB101" s="242"/>
      <c r="AC101" s="242"/>
      <c r="AD101" s="184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  <c r="BA101" s="242"/>
      <c r="BB101" s="242"/>
      <c r="BC101" s="242"/>
      <c r="BD101" s="242"/>
      <c r="BE101" s="242"/>
      <c r="BF101" s="242"/>
      <c r="BG101" s="242"/>
      <c r="BH101" s="242"/>
      <c r="BI101" s="242"/>
      <c r="BJ101" s="242"/>
      <c r="BK101" s="242"/>
      <c r="BL101" s="242"/>
      <c r="BM101" s="242"/>
      <c r="BN101" s="242"/>
      <c r="BO101" s="242"/>
      <c r="BP101" s="242"/>
      <c r="BQ101" s="242"/>
      <c r="BR101" s="242"/>
      <c r="BS101" s="242"/>
      <c r="BT101" s="242"/>
      <c r="BU101" s="242"/>
      <c r="BV101" s="242"/>
      <c r="BW101" s="242"/>
      <c r="BX101" s="242"/>
      <c r="BY101" s="242"/>
      <c r="BZ101" s="242"/>
      <c r="CA101" s="242"/>
      <c r="CB101" s="242"/>
      <c r="CC101" s="242"/>
      <c r="CD101" s="242"/>
      <c r="CE101" s="242"/>
      <c r="CF101" s="242"/>
      <c r="CG101" s="242"/>
      <c r="CH101" s="242"/>
      <c r="CI101" s="242"/>
      <c r="CJ101" s="242"/>
      <c r="CK101" s="242"/>
      <c r="CL101" s="242"/>
      <c r="CM101" s="242"/>
      <c r="CN101" s="242"/>
      <c r="CO101" s="242"/>
      <c r="CP101" s="242"/>
      <c r="CQ101" s="242"/>
      <c r="CR101" s="242"/>
      <c r="CS101" s="242"/>
      <c r="CT101" s="242"/>
      <c r="CU101" s="242"/>
      <c r="CV101" s="242"/>
      <c r="CW101" s="242"/>
      <c r="CX101" s="242"/>
      <c r="CY101" s="242"/>
      <c r="CZ101" s="242"/>
      <c r="DA101" s="242"/>
      <c r="DB101" s="242"/>
      <c r="DC101" s="242"/>
      <c r="DD101" s="242"/>
      <c r="DE101" s="242"/>
      <c r="DF101" s="242"/>
      <c r="DG101" s="242"/>
      <c r="DH101" s="242"/>
      <c r="DI101" s="242"/>
      <c r="DJ101" s="242"/>
      <c r="DK101" s="242"/>
      <c r="DL101" s="242"/>
      <c r="DM101" s="242"/>
      <c r="DN101" s="242"/>
      <c r="DO101" s="242"/>
      <c r="DP101" s="242"/>
      <c r="DQ101" s="242"/>
      <c r="DR101" s="242"/>
      <c r="DS101" s="242"/>
      <c r="DT101" s="242"/>
      <c r="DU101" s="242"/>
      <c r="DV101" s="242"/>
      <c r="DW101" s="242"/>
      <c r="DX101" s="242"/>
      <c r="DY101" s="242"/>
      <c r="DZ101" s="242"/>
      <c r="EA101" s="242"/>
      <c r="EB101" s="242"/>
      <c r="EC101" s="242"/>
      <c r="ED101" s="242"/>
      <c r="EE101" s="242"/>
      <c r="EF101" s="242"/>
      <c r="EG101" s="242"/>
      <c r="EH101" s="242"/>
      <c r="EI101" s="242"/>
      <c r="EJ101" s="242"/>
      <c r="EK101" s="242"/>
      <c r="EL101" s="242"/>
      <c r="EM101" s="242"/>
      <c r="EN101" s="242"/>
      <c r="EO101" s="242"/>
      <c r="EP101" s="242"/>
      <c r="EQ101" s="242"/>
      <c r="ER101" s="242"/>
      <c r="ES101" s="242"/>
      <c r="ET101" s="242"/>
      <c r="EU101" s="242"/>
      <c r="EV101" s="242"/>
      <c r="EW101" s="242"/>
      <c r="EX101" s="242"/>
      <c r="EY101" s="242"/>
      <c r="EZ101" s="242"/>
      <c r="FA101" s="242"/>
      <c r="FB101" s="242"/>
      <c r="FC101" s="242"/>
      <c r="FD101" s="242"/>
      <c r="FE101" s="242"/>
      <c r="FF101" s="242"/>
      <c r="FG101" s="242"/>
      <c r="FH101" s="242"/>
      <c r="FI101" s="242"/>
      <c r="FJ101" s="242"/>
      <c r="FK101" s="242"/>
      <c r="FL101" s="242"/>
      <c r="FM101" s="242"/>
      <c r="FN101" s="242"/>
      <c r="FO101" s="242"/>
      <c r="FP101" s="242"/>
      <c r="FQ101" s="242"/>
      <c r="FR101" s="242"/>
      <c r="FS101" s="242"/>
      <c r="FT101" s="242"/>
      <c r="FU101" s="242"/>
      <c r="FV101" s="242"/>
      <c r="FW101" s="242"/>
      <c r="FX101" s="242"/>
      <c r="FY101" s="242"/>
      <c r="FZ101" s="242"/>
      <c r="GA101" s="242"/>
      <c r="GB101" s="242"/>
      <c r="GC101" s="242"/>
      <c r="GD101" s="242"/>
      <c r="GE101" s="242"/>
      <c r="GF101" s="242"/>
      <c r="GG101" s="242"/>
      <c r="GH101" s="242"/>
      <c r="GI101" s="242"/>
      <c r="GJ101" s="242"/>
      <c r="GK101" s="242"/>
      <c r="GL101" s="242"/>
      <c r="GM101" s="242"/>
      <c r="GN101" s="242"/>
      <c r="GO101" s="242"/>
      <c r="GP101" s="242"/>
      <c r="GQ101" s="242"/>
      <c r="GR101" s="242"/>
      <c r="GS101" s="242"/>
      <c r="GT101" s="242"/>
      <c r="GU101" s="242"/>
      <c r="GV101" s="242"/>
      <c r="GW101" s="242"/>
      <c r="GX101" s="242"/>
      <c r="GY101" s="242"/>
      <c r="GZ101" s="242"/>
      <c r="HA101" s="242"/>
      <c r="HB101" s="242"/>
      <c r="HC101" s="242"/>
      <c r="HD101" s="242"/>
      <c r="HE101" s="242"/>
      <c r="HF101" s="242"/>
      <c r="HG101" s="242"/>
      <c r="HH101" s="242"/>
      <c r="HI101" s="242"/>
      <c r="HJ101" s="242"/>
      <c r="HK101" s="242"/>
      <c r="HL101" s="242"/>
      <c r="HM101" s="242"/>
      <c r="HN101" s="242"/>
      <c r="HO101" s="242"/>
      <c r="HP101" s="242"/>
      <c r="HQ101" s="242"/>
      <c r="HR101" s="242"/>
      <c r="HS101" s="242"/>
      <c r="HT101" s="242"/>
      <c r="HU101" s="242"/>
      <c r="HV101" s="242"/>
      <c r="HW101" s="242"/>
      <c r="HX101" s="242"/>
      <c r="HY101" s="242"/>
      <c r="HZ101" s="242"/>
      <c r="IA101" s="242"/>
      <c r="IB101" s="242"/>
      <c r="IC101" s="242"/>
      <c r="ID101" s="242"/>
      <c r="IE101" s="242"/>
      <c r="IF101" s="242"/>
      <c r="IG101" s="242"/>
      <c r="IH101" s="242"/>
      <c r="II101" s="242"/>
      <c r="IJ101" s="242"/>
      <c r="IK101" s="242"/>
      <c r="IL101" s="242"/>
      <c r="IM101" s="242"/>
      <c r="IN101" s="242"/>
      <c r="IO101" s="242"/>
      <c r="IP101" s="242"/>
      <c r="IQ101" s="242"/>
      <c r="IR101" s="242"/>
      <c r="IS101" s="242"/>
      <c r="IT101" s="242"/>
      <c r="IU101" s="242"/>
      <c r="IV101" s="242"/>
      <c r="IW101" s="242"/>
    </row>
    <row r="102" customFormat="false" ht="12.6" hidden="false" customHeight="true" outlineLevel="0" collapsed="false">
      <c r="A102" s="248"/>
      <c r="B102" s="242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AB102" s="242"/>
      <c r="AC102" s="242"/>
      <c r="AD102" s="184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AY102" s="242"/>
      <c r="AZ102" s="242"/>
      <c r="BA102" s="242"/>
      <c r="BB102" s="242"/>
      <c r="BC102" s="242"/>
      <c r="BD102" s="242"/>
      <c r="BE102" s="242"/>
      <c r="BF102" s="242"/>
      <c r="BG102" s="242"/>
      <c r="BH102" s="242"/>
      <c r="BI102" s="242"/>
      <c r="BJ102" s="242"/>
      <c r="BK102" s="242"/>
      <c r="BL102" s="242"/>
      <c r="BM102" s="242"/>
      <c r="BN102" s="242"/>
      <c r="BO102" s="242"/>
      <c r="BP102" s="242"/>
      <c r="BQ102" s="242"/>
      <c r="BR102" s="242"/>
      <c r="BS102" s="242"/>
      <c r="BT102" s="242"/>
      <c r="BU102" s="242"/>
      <c r="BV102" s="242"/>
      <c r="BW102" s="242"/>
      <c r="BX102" s="242"/>
      <c r="BY102" s="242"/>
      <c r="BZ102" s="242"/>
      <c r="CA102" s="242"/>
      <c r="CB102" s="242"/>
      <c r="CC102" s="242"/>
      <c r="CD102" s="242"/>
      <c r="CE102" s="242"/>
      <c r="CF102" s="242"/>
      <c r="CG102" s="242"/>
      <c r="CH102" s="242"/>
      <c r="CI102" s="242"/>
      <c r="CJ102" s="242"/>
      <c r="CK102" s="242"/>
      <c r="CL102" s="242"/>
      <c r="CM102" s="242"/>
      <c r="CN102" s="242"/>
      <c r="CO102" s="242"/>
      <c r="CP102" s="242"/>
      <c r="CQ102" s="242"/>
      <c r="CR102" s="242"/>
      <c r="CS102" s="242"/>
      <c r="CT102" s="242"/>
      <c r="CU102" s="242"/>
      <c r="CV102" s="242"/>
      <c r="CW102" s="242"/>
      <c r="CX102" s="242"/>
      <c r="CY102" s="242"/>
      <c r="CZ102" s="242"/>
      <c r="DA102" s="242"/>
      <c r="DB102" s="242"/>
      <c r="DC102" s="242"/>
      <c r="DD102" s="242"/>
      <c r="DE102" s="242"/>
      <c r="DF102" s="242"/>
      <c r="DG102" s="242"/>
      <c r="DH102" s="242"/>
      <c r="DI102" s="242"/>
      <c r="DJ102" s="242"/>
      <c r="DK102" s="242"/>
      <c r="DL102" s="242"/>
      <c r="DM102" s="242"/>
      <c r="DN102" s="242"/>
      <c r="DO102" s="242"/>
      <c r="DP102" s="242"/>
      <c r="DQ102" s="242"/>
      <c r="DR102" s="242"/>
      <c r="DS102" s="242"/>
      <c r="DT102" s="242"/>
      <c r="DU102" s="242"/>
      <c r="DV102" s="242"/>
      <c r="DW102" s="242"/>
      <c r="DX102" s="242"/>
      <c r="DY102" s="242"/>
      <c r="DZ102" s="242"/>
      <c r="EA102" s="242"/>
      <c r="EB102" s="242"/>
      <c r="EC102" s="242"/>
      <c r="ED102" s="242"/>
      <c r="EE102" s="242"/>
      <c r="EF102" s="242"/>
      <c r="EG102" s="242"/>
      <c r="EH102" s="242"/>
      <c r="EI102" s="242"/>
      <c r="EJ102" s="242"/>
      <c r="EK102" s="242"/>
      <c r="EL102" s="242"/>
      <c r="EM102" s="242"/>
      <c r="EN102" s="242"/>
      <c r="EO102" s="242"/>
      <c r="EP102" s="242"/>
      <c r="EQ102" s="242"/>
      <c r="ER102" s="242"/>
      <c r="ES102" s="242"/>
      <c r="ET102" s="242"/>
      <c r="EU102" s="242"/>
      <c r="EV102" s="242"/>
      <c r="EW102" s="242"/>
      <c r="EX102" s="242"/>
      <c r="EY102" s="242"/>
      <c r="EZ102" s="242"/>
      <c r="FA102" s="242"/>
      <c r="FB102" s="242"/>
      <c r="FC102" s="242"/>
      <c r="FD102" s="242"/>
      <c r="FE102" s="242"/>
      <c r="FF102" s="242"/>
      <c r="FG102" s="242"/>
      <c r="FH102" s="242"/>
      <c r="FI102" s="242"/>
      <c r="FJ102" s="242"/>
      <c r="FK102" s="242"/>
      <c r="FL102" s="242"/>
      <c r="FM102" s="242"/>
      <c r="FN102" s="242"/>
      <c r="FO102" s="242"/>
      <c r="FP102" s="242"/>
      <c r="FQ102" s="242"/>
      <c r="FR102" s="242"/>
      <c r="FS102" s="242"/>
      <c r="FT102" s="242"/>
      <c r="FU102" s="242"/>
      <c r="FV102" s="242"/>
      <c r="FW102" s="242"/>
      <c r="FX102" s="242"/>
      <c r="FY102" s="242"/>
      <c r="FZ102" s="242"/>
      <c r="GA102" s="242"/>
      <c r="GB102" s="242"/>
      <c r="GC102" s="242"/>
      <c r="GD102" s="242"/>
      <c r="GE102" s="242"/>
      <c r="GF102" s="242"/>
      <c r="GG102" s="242"/>
      <c r="GH102" s="242"/>
      <c r="GI102" s="242"/>
      <c r="GJ102" s="242"/>
      <c r="GK102" s="242"/>
      <c r="GL102" s="242"/>
      <c r="GM102" s="242"/>
      <c r="GN102" s="242"/>
      <c r="GO102" s="242"/>
      <c r="GP102" s="242"/>
      <c r="GQ102" s="242"/>
      <c r="GR102" s="242"/>
      <c r="GS102" s="242"/>
      <c r="GT102" s="242"/>
      <c r="GU102" s="242"/>
      <c r="GV102" s="242"/>
      <c r="GW102" s="242"/>
      <c r="GX102" s="242"/>
      <c r="GY102" s="242"/>
      <c r="GZ102" s="242"/>
      <c r="HA102" s="242"/>
      <c r="HB102" s="242"/>
      <c r="HC102" s="242"/>
      <c r="HD102" s="242"/>
      <c r="HE102" s="242"/>
      <c r="HF102" s="242"/>
      <c r="HG102" s="242"/>
      <c r="HH102" s="242"/>
      <c r="HI102" s="242"/>
      <c r="HJ102" s="242"/>
      <c r="HK102" s="242"/>
      <c r="HL102" s="242"/>
      <c r="HM102" s="242"/>
      <c r="HN102" s="242"/>
      <c r="HO102" s="242"/>
      <c r="HP102" s="242"/>
      <c r="HQ102" s="242"/>
      <c r="HR102" s="242"/>
      <c r="HS102" s="242"/>
      <c r="HT102" s="242"/>
      <c r="HU102" s="242"/>
      <c r="HV102" s="242"/>
      <c r="HW102" s="242"/>
      <c r="HX102" s="242"/>
      <c r="HY102" s="242"/>
      <c r="HZ102" s="242"/>
      <c r="IA102" s="242"/>
      <c r="IB102" s="242"/>
      <c r="IC102" s="242"/>
      <c r="ID102" s="242"/>
      <c r="IE102" s="242"/>
      <c r="IF102" s="242"/>
      <c r="IG102" s="242"/>
      <c r="IH102" s="242"/>
      <c r="II102" s="242"/>
      <c r="IJ102" s="242"/>
      <c r="IK102" s="242"/>
      <c r="IL102" s="242"/>
      <c r="IM102" s="242"/>
      <c r="IN102" s="242"/>
      <c r="IO102" s="242"/>
      <c r="IP102" s="242"/>
      <c r="IQ102" s="242"/>
      <c r="IR102" s="242"/>
      <c r="IS102" s="242"/>
      <c r="IT102" s="242"/>
      <c r="IU102" s="242"/>
      <c r="IV102" s="242"/>
      <c r="IW102" s="242"/>
    </row>
    <row r="103" customFormat="false" ht="12.6" hidden="false" customHeight="true" outlineLevel="0" collapsed="false">
      <c r="A103" s="248"/>
      <c r="B103" s="18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84"/>
      <c r="BN103" s="184"/>
      <c r="BO103" s="184"/>
      <c r="BP103" s="184"/>
      <c r="BQ103" s="184"/>
      <c r="BR103" s="184"/>
      <c r="BS103" s="184"/>
      <c r="BT103" s="184"/>
      <c r="BU103" s="184"/>
      <c r="BV103" s="184"/>
      <c r="BW103" s="184"/>
      <c r="BX103" s="184"/>
      <c r="BY103" s="184"/>
      <c r="BZ103" s="184"/>
      <c r="CA103" s="184"/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/>
      <c r="CL103" s="184"/>
      <c r="CM103" s="184"/>
      <c r="CN103" s="184"/>
      <c r="CO103" s="184"/>
      <c r="CP103" s="184"/>
      <c r="CQ103" s="184"/>
      <c r="CR103" s="184"/>
      <c r="CS103" s="184"/>
      <c r="CT103" s="184"/>
      <c r="CU103" s="184"/>
      <c r="CV103" s="184"/>
      <c r="CW103" s="184"/>
      <c r="CX103" s="184"/>
      <c r="CY103" s="184"/>
      <c r="CZ103" s="184"/>
      <c r="DA103" s="184"/>
      <c r="DB103" s="184"/>
      <c r="DC103" s="184"/>
      <c r="DD103" s="184"/>
      <c r="DE103" s="184"/>
      <c r="DF103" s="184"/>
      <c r="DG103" s="184"/>
      <c r="DH103" s="184"/>
      <c r="DI103" s="184"/>
      <c r="DJ103" s="184"/>
      <c r="DK103" s="184"/>
      <c r="DL103" s="184"/>
      <c r="DM103" s="184"/>
      <c r="DN103" s="184"/>
      <c r="DO103" s="184"/>
      <c r="DP103" s="184"/>
      <c r="DQ103" s="184"/>
      <c r="DR103" s="184"/>
      <c r="DS103" s="184"/>
      <c r="DT103" s="184"/>
      <c r="DU103" s="184"/>
      <c r="DV103" s="184"/>
      <c r="DW103" s="184"/>
      <c r="DX103" s="184"/>
      <c r="DY103" s="184"/>
      <c r="DZ103" s="184"/>
      <c r="EA103" s="184"/>
      <c r="EB103" s="184"/>
      <c r="EC103" s="184"/>
      <c r="ED103" s="184"/>
      <c r="EE103" s="184"/>
      <c r="EF103" s="184"/>
      <c r="EG103" s="184"/>
      <c r="EH103" s="184"/>
      <c r="EI103" s="184"/>
      <c r="EJ103" s="184"/>
      <c r="EK103" s="184"/>
      <c r="EL103" s="184"/>
      <c r="EM103" s="184"/>
      <c r="EN103" s="184"/>
      <c r="EO103" s="184"/>
      <c r="EP103" s="184"/>
      <c r="EQ103" s="184"/>
      <c r="ER103" s="184"/>
      <c r="ES103" s="184"/>
      <c r="ET103" s="184"/>
      <c r="EU103" s="184"/>
      <c r="EV103" s="184"/>
      <c r="EW103" s="184"/>
      <c r="EX103" s="184"/>
      <c r="EY103" s="184"/>
      <c r="EZ103" s="184"/>
      <c r="FA103" s="184"/>
      <c r="FB103" s="184"/>
      <c r="FC103" s="184"/>
      <c r="FD103" s="184"/>
      <c r="FE103" s="184"/>
      <c r="FF103" s="184"/>
      <c r="FG103" s="184"/>
      <c r="FH103" s="184"/>
      <c r="FI103" s="184"/>
      <c r="FJ103" s="184"/>
      <c r="FK103" s="184"/>
      <c r="FL103" s="184"/>
      <c r="FM103" s="184"/>
      <c r="FN103" s="184"/>
      <c r="FO103" s="184"/>
      <c r="FP103" s="184"/>
      <c r="FQ103" s="184"/>
      <c r="FR103" s="184"/>
      <c r="FS103" s="184"/>
      <c r="FT103" s="184"/>
      <c r="FU103" s="184"/>
      <c r="FV103" s="184"/>
      <c r="FW103" s="184"/>
      <c r="FX103" s="184"/>
      <c r="FY103" s="184"/>
      <c r="FZ103" s="184"/>
      <c r="GA103" s="184"/>
      <c r="GB103" s="184"/>
      <c r="GC103" s="184"/>
      <c r="GD103" s="184"/>
      <c r="GE103" s="184"/>
      <c r="GF103" s="184"/>
      <c r="GG103" s="184"/>
      <c r="GH103" s="184"/>
      <c r="GI103" s="184"/>
      <c r="GJ103" s="184"/>
      <c r="GK103" s="184"/>
      <c r="GL103" s="184"/>
      <c r="GM103" s="184"/>
      <c r="GN103" s="184"/>
      <c r="GO103" s="184"/>
      <c r="GP103" s="184"/>
      <c r="GQ103" s="184"/>
      <c r="GR103" s="184"/>
      <c r="GS103" s="184"/>
      <c r="GT103" s="184"/>
      <c r="GU103" s="184"/>
      <c r="GV103" s="184"/>
      <c r="GW103" s="184"/>
      <c r="GX103" s="184"/>
      <c r="GY103" s="184"/>
      <c r="GZ103" s="184"/>
      <c r="HA103" s="184"/>
      <c r="HB103" s="184"/>
      <c r="HC103" s="184"/>
      <c r="HD103" s="184"/>
      <c r="HE103" s="184"/>
      <c r="HF103" s="184"/>
      <c r="HG103" s="184"/>
      <c r="HH103" s="184"/>
      <c r="HI103" s="184"/>
      <c r="HJ103" s="184"/>
      <c r="HK103" s="184"/>
      <c r="HL103" s="184"/>
      <c r="HM103" s="184"/>
      <c r="HN103" s="184"/>
      <c r="HO103" s="184"/>
      <c r="HP103" s="184"/>
      <c r="HQ103" s="184"/>
      <c r="HR103" s="184"/>
      <c r="HS103" s="184"/>
      <c r="HT103" s="184"/>
      <c r="HU103" s="184"/>
      <c r="HV103" s="184"/>
      <c r="HW103" s="184"/>
      <c r="HX103" s="184"/>
      <c r="HY103" s="184"/>
      <c r="HZ103" s="184"/>
      <c r="IA103" s="184"/>
      <c r="IB103" s="184"/>
      <c r="IC103" s="184"/>
      <c r="ID103" s="184"/>
      <c r="IE103" s="184"/>
      <c r="IF103" s="184"/>
      <c r="IG103" s="184"/>
      <c r="IH103" s="184"/>
      <c r="II103" s="184"/>
      <c r="IJ103" s="184"/>
      <c r="IK103" s="184"/>
      <c r="IL103" s="184"/>
      <c r="IM103" s="184"/>
      <c r="IN103" s="184"/>
      <c r="IO103" s="184"/>
      <c r="IP103" s="184"/>
      <c r="IQ103" s="184"/>
      <c r="IR103" s="184"/>
      <c r="IS103" s="184"/>
      <c r="IT103" s="184"/>
      <c r="IU103" s="184"/>
      <c r="IV103" s="184"/>
      <c r="IW103" s="184"/>
    </row>
    <row r="104" customFormat="false" ht="12.6" hidden="false" customHeight="true" outlineLevel="0" collapsed="false">
      <c r="A104" s="248"/>
      <c r="B104" s="18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/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  <c r="CN104" s="184"/>
      <c r="CO104" s="184"/>
      <c r="CP104" s="184"/>
      <c r="CQ104" s="184"/>
      <c r="CR104" s="184"/>
      <c r="CS104" s="184"/>
      <c r="CT104" s="184"/>
      <c r="CU104" s="184"/>
      <c r="CV104" s="184"/>
      <c r="CW104" s="184"/>
      <c r="CX104" s="184"/>
      <c r="CY104" s="184"/>
      <c r="CZ104" s="184"/>
      <c r="DA104" s="184"/>
      <c r="DB104" s="184"/>
      <c r="DC104" s="184"/>
      <c r="DD104" s="184"/>
      <c r="DE104" s="184"/>
      <c r="DF104" s="184"/>
      <c r="DG104" s="184"/>
      <c r="DH104" s="184"/>
      <c r="DI104" s="184"/>
      <c r="DJ104" s="184"/>
      <c r="DK104" s="184"/>
      <c r="DL104" s="184"/>
      <c r="DM104" s="184"/>
      <c r="DN104" s="184"/>
      <c r="DO104" s="184"/>
      <c r="DP104" s="184"/>
      <c r="DQ104" s="184"/>
      <c r="DR104" s="184"/>
      <c r="DS104" s="184"/>
      <c r="DT104" s="184"/>
      <c r="DU104" s="184"/>
      <c r="DV104" s="184"/>
      <c r="DW104" s="184"/>
      <c r="DX104" s="184"/>
      <c r="DY104" s="184"/>
      <c r="DZ104" s="184"/>
      <c r="EA104" s="184"/>
      <c r="EB104" s="184"/>
      <c r="EC104" s="184"/>
      <c r="ED104" s="184"/>
      <c r="EE104" s="184"/>
      <c r="EF104" s="184"/>
      <c r="EG104" s="184"/>
      <c r="EH104" s="184"/>
      <c r="EI104" s="184"/>
      <c r="EJ104" s="184"/>
      <c r="EK104" s="184"/>
      <c r="EL104" s="184"/>
      <c r="EM104" s="184"/>
      <c r="EN104" s="184"/>
      <c r="EO104" s="184"/>
      <c r="EP104" s="184"/>
      <c r="EQ104" s="184"/>
      <c r="ER104" s="184"/>
      <c r="ES104" s="184"/>
      <c r="ET104" s="184"/>
      <c r="EU104" s="184"/>
      <c r="EV104" s="184"/>
      <c r="EW104" s="184"/>
      <c r="EX104" s="184"/>
      <c r="EY104" s="184"/>
      <c r="EZ104" s="184"/>
      <c r="FA104" s="184"/>
      <c r="FB104" s="184"/>
      <c r="FC104" s="184"/>
      <c r="FD104" s="184"/>
      <c r="FE104" s="184"/>
      <c r="FF104" s="184"/>
      <c r="FG104" s="184"/>
      <c r="FH104" s="184"/>
      <c r="FI104" s="184"/>
      <c r="FJ104" s="184"/>
      <c r="FK104" s="184"/>
      <c r="FL104" s="184"/>
      <c r="FM104" s="184"/>
      <c r="FN104" s="184"/>
      <c r="FO104" s="184"/>
      <c r="FP104" s="184"/>
      <c r="FQ104" s="184"/>
      <c r="FR104" s="184"/>
      <c r="FS104" s="184"/>
      <c r="FT104" s="184"/>
      <c r="FU104" s="184"/>
      <c r="FV104" s="184"/>
      <c r="FW104" s="184"/>
      <c r="FX104" s="184"/>
      <c r="FY104" s="184"/>
      <c r="FZ104" s="184"/>
      <c r="GA104" s="184"/>
      <c r="GB104" s="184"/>
      <c r="GC104" s="184"/>
      <c r="GD104" s="184"/>
      <c r="GE104" s="184"/>
      <c r="GF104" s="184"/>
      <c r="GG104" s="184"/>
      <c r="GH104" s="184"/>
      <c r="GI104" s="184"/>
      <c r="GJ104" s="184"/>
      <c r="GK104" s="184"/>
      <c r="GL104" s="184"/>
      <c r="GM104" s="184"/>
      <c r="GN104" s="184"/>
      <c r="GO104" s="184"/>
      <c r="GP104" s="184"/>
      <c r="GQ104" s="184"/>
      <c r="GR104" s="184"/>
      <c r="GS104" s="184"/>
      <c r="GT104" s="184"/>
      <c r="GU104" s="184"/>
      <c r="GV104" s="184"/>
      <c r="GW104" s="184"/>
      <c r="GX104" s="184"/>
      <c r="GY104" s="184"/>
      <c r="GZ104" s="184"/>
      <c r="HA104" s="184"/>
      <c r="HB104" s="184"/>
      <c r="HC104" s="184"/>
      <c r="HD104" s="184"/>
      <c r="HE104" s="184"/>
      <c r="HF104" s="184"/>
      <c r="HG104" s="184"/>
      <c r="HH104" s="184"/>
      <c r="HI104" s="184"/>
      <c r="HJ104" s="184"/>
      <c r="HK104" s="184"/>
      <c r="HL104" s="184"/>
      <c r="HM104" s="184"/>
      <c r="HN104" s="184"/>
      <c r="HO104" s="184"/>
      <c r="HP104" s="184"/>
      <c r="HQ104" s="184"/>
      <c r="HR104" s="184"/>
      <c r="HS104" s="184"/>
      <c r="HT104" s="184"/>
      <c r="HU104" s="184"/>
      <c r="HV104" s="184"/>
      <c r="HW104" s="184"/>
      <c r="HX104" s="184"/>
      <c r="HY104" s="184"/>
      <c r="HZ104" s="184"/>
      <c r="IA104" s="184"/>
      <c r="IB104" s="184"/>
      <c r="IC104" s="184"/>
      <c r="ID104" s="184"/>
      <c r="IE104" s="184"/>
      <c r="IF104" s="184"/>
      <c r="IG104" s="184"/>
      <c r="IH104" s="184"/>
      <c r="II104" s="184"/>
      <c r="IJ104" s="184"/>
      <c r="IK104" s="184"/>
      <c r="IL104" s="184"/>
      <c r="IM104" s="184"/>
      <c r="IN104" s="184"/>
      <c r="IO104" s="184"/>
      <c r="IP104" s="184"/>
      <c r="IQ104" s="184"/>
      <c r="IR104" s="184"/>
      <c r="IS104" s="184"/>
      <c r="IT104" s="184"/>
      <c r="IU104" s="184"/>
      <c r="IV104" s="184"/>
      <c r="IW104" s="184"/>
    </row>
    <row r="105" customFormat="false" ht="12.6" hidden="false" customHeight="true" outlineLevel="0" collapsed="false">
      <c r="A105" s="248"/>
      <c r="B105" s="184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184"/>
      <c r="BN105" s="184"/>
      <c r="BO105" s="184"/>
      <c r="BP105" s="184"/>
      <c r="BQ105" s="184"/>
      <c r="BR105" s="184"/>
      <c r="BS105" s="184"/>
      <c r="BT105" s="184"/>
      <c r="BU105" s="184"/>
      <c r="BV105" s="184"/>
      <c r="BW105" s="184"/>
      <c r="BX105" s="184"/>
      <c r="BY105" s="184"/>
      <c r="BZ105" s="184"/>
      <c r="CA105" s="184"/>
      <c r="CB105" s="184"/>
      <c r="CC105" s="184"/>
      <c r="CD105" s="184"/>
      <c r="CE105" s="184"/>
      <c r="CF105" s="184"/>
      <c r="CG105" s="184"/>
      <c r="CH105" s="184"/>
      <c r="CI105" s="184"/>
      <c r="CJ105" s="184"/>
      <c r="CK105" s="184"/>
      <c r="CL105" s="184"/>
      <c r="CM105" s="184"/>
      <c r="CN105" s="184"/>
      <c r="CO105" s="184"/>
      <c r="CP105" s="184"/>
      <c r="CQ105" s="184"/>
      <c r="CR105" s="184"/>
      <c r="CS105" s="184"/>
      <c r="CT105" s="184"/>
      <c r="CU105" s="184"/>
      <c r="CV105" s="184"/>
      <c r="CW105" s="184"/>
      <c r="CX105" s="184"/>
      <c r="CY105" s="184"/>
      <c r="CZ105" s="184"/>
      <c r="DA105" s="184"/>
      <c r="DB105" s="184"/>
      <c r="DC105" s="184"/>
      <c r="DD105" s="184"/>
      <c r="DE105" s="184"/>
      <c r="DF105" s="184"/>
      <c r="DG105" s="184"/>
      <c r="DH105" s="184"/>
      <c r="DI105" s="184"/>
      <c r="DJ105" s="184"/>
      <c r="DK105" s="184"/>
      <c r="DL105" s="184"/>
      <c r="DM105" s="184"/>
      <c r="DN105" s="184"/>
      <c r="DO105" s="184"/>
      <c r="DP105" s="184"/>
      <c r="DQ105" s="184"/>
      <c r="DR105" s="184"/>
      <c r="DS105" s="184"/>
      <c r="DT105" s="184"/>
      <c r="DU105" s="184"/>
      <c r="DV105" s="184"/>
      <c r="DW105" s="184"/>
      <c r="DX105" s="184"/>
      <c r="DY105" s="184"/>
      <c r="DZ105" s="184"/>
      <c r="EA105" s="184"/>
      <c r="EB105" s="184"/>
      <c r="EC105" s="184"/>
      <c r="ED105" s="184"/>
      <c r="EE105" s="184"/>
      <c r="EF105" s="184"/>
      <c r="EG105" s="184"/>
      <c r="EH105" s="184"/>
      <c r="EI105" s="184"/>
      <c r="EJ105" s="184"/>
      <c r="EK105" s="184"/>
      <c r="EL105" s="184"/>
      <c r="EM105" s="184"/>
      <c r="EN105" s="184"/>
      <c r="EO105" s="184"/>
      <c r="EP105" s="184"/>
      <c r="EQ105" s="184"/>
      <c r="ER105" s="184"/>
      <c r="ES105" s="184"/>
      <c r="ET105" s="184"/>
      <c r="EU105" s="184"/>
      <c r="EV105" s="184"/>
      <c r="EW105" s="184"/>
      <c r="EX105" s="184"/>
      <c r="EY105" s="184"/>
      <c r="EZ105" s="184"/>
      <c r="FA105" s="184"/>
      <c r="FB105" s="184"/>
      <c r="FC105" s="184"/>
      <c r="FD105" s="184"/>
      <c r="FE105" s="184"/>
      <c r="FF105" s="184"/>
      <c r="FG105" s="184"/>
      <c r="FH105" s="184"/>
      <c r="FI105" s="184"/>
      <c r="FJ105" s="184"/>
      <c r="FK105" s="184"/>
      <c r="FL105" s="184"/>
      <c r="FM105" s="184"/>
      <c r="FN105" s="184"/>
      <c r="FO105" s="184"/>
      <c r="FP105" s="184"/>
      <c r="FQ105" s="184"/>
      <c r="FR105" s="184"/>
      <c r="FS105" s="184"/>
      <c r="FT105" s="184"/>
      <c r="FU105" s="184"/>
      <c r="FV105" s="184"/>
      <c r="FW105" s="184"/>
      <c r="FX105" s="184"/>
      <c r="FY105" s="184"/>
      <c r="FZ105" s="184"/>
      <c r="GA105" s="184"/>
      <c r="GB105" s="184"/>
      <c r="GC105" s="184"/>
      <c r="GD105" s="184"/>
      <c r="GE105" s="184"/>
      <c r="GF105" s="184"/>
      <c r="GG105" s="184"/>
      <c r="GH105" s="184"/>
      <c r="GI105" s="184"/>
      <c r="GJ105" s="184"/>
      <c r="GK105" s="184"/>
      <c r="GL105" s="184"/>
      <c r="GM105" s="184"/>
      <c r="GN105" s="184"/>
      <c r="GO105" s="184"/>
      <c r="GP105" s="184"/>
      <c r="GQ105" s="184"/>
      <c r="GR105" s="184"/>
      <c r="GS105" s="184"/>
      <c r="GT105" s="184"/>
      <c r="GU105" s="184"/>
      <c r="GV105" s="184"/>
      <c r="GW105" s="184"/>
      <c r="GX105" s="184"/>
      <c r="GY105" s="184"/>
      <c r="GZ105" s="184"/>
      <c r="HA105" s="184"/>
      <c r="HB105" s="184"/>
      <c r="HC105" s="184"/>
      <c r="HD105" s="184"/>
      <c r="HE105" s="184"/>
      <c r="HF105" s="184"/>
      <c r="HG105" s="184"/>
      <c r="HH105" s="184"/>
      <c r="HI105" s="184"/>
      <c r="HJ105" s="184"/>
      <c r="HK105" s="184"/>
      <c r="HL105" s="184"/>
      <c r="HM105" s="184"/>
      <c r="HN105" s="184"/>
      <c r="HO105" s="184"/>
      <c r="HP105" s="184"/>
      <c r="HQ105" s="184"/>
      <c r="HR105" s="184"/>
      <c r="HS105" s="184"/>
      <c r="HT105" s="184"/>
      <c r="HU105" s="184"/>
      <c r="HV105" s="184"/>
      <c r="HW105" s="184"/>
      <c r="HX105" s="184"/>
      <c r="HY105" s="184"/>
      <c r="HZ105" s="184"/>
      <c r="IA105" s="184"/>
      <c r="IB105" s="184"/>
      <c r="IC105" s="184"/>
      <c r="ID105" s="184"/>
      <c r="IE105" s="184"/>
      <c r="IF105" s="184"/>
      <c r="IG105" s="184"/>
      <c r="IH105" s="184"/>
      <c r="II105" s="184"/>
      <c r="IJ105" s="184"/>
      <c r="IK105" s="184"/>
      <c r="IL105" s="184"/>
      <c r="IM105" s="184"/>
      <c r="IN105" s="184"/>
      <c r="IO105" s="184"/>
      <c r="IP105" s="184"/>
      <c r="IQ105" s="184"/>
      <c r="IR105" s="184"/>
      <c r="IS105" s="184"/>
      <c r="IT105" s="184"/>
      <c r="IU105" s="184"/>
      <c r="IV105" s="184"/>
      <c r="IW105" s="184"/>
    </row>
    <row r="106" customFormat="false" ht="12.6" hidden="false" customHeight="true" outlineLevel="0" collapsed="false">
      <c r="A106" s="248"/>
      <c r="B106" s="24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3"/>
      <c r="AB106" s="242"/>
      <c r="AC106" s="242"/>
      <c r="AD106" s="184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AY106" s="242"/>
      <c r="AZ106" s="242"/>
      <c r="BA106" s="242"/>
      <c r="BB106" s="242"/>
      <c r="BC106" s="242"/>
      <c r="BD106" s="242"/>
      <c r="BE106" s="242"/>
      <c r="BF106" s="242"/>
      <c r="BG106" s="242"/>
      <c r="BH106" s="242"/>
      <c r="BI106" s="242"/>
      <c r="BJ106" s="242"/>
      <c r="BK106" s="242"/>
      <c r="BL106" s="242"/>
      <c r="BM106" s="242"/>
      <c r="BN106" s="242"/>
      <c r="BO106" s="242"/>
      <c r="BP106" s="242"/>
      <c r="BQ106" s="242"/>
      <c r="BR106" s="242"/>
      <c r="BS106" s="242"/>
      <c r="BT106" s="242"/>
      <c r="BU106" s="242"/>
      <c r="BV106" s="242"/>
      <c r="BW106" s="242"/>
      <c r="BX106" s="242"/>
      <c r="BY106" s="242"/>
      <c r="BZ106" s="242"/>
      <c r="CA106" s="242"/>
      <c r="CB106" s="242"/>
      <c r="CC106" s="242"/>
      <c r="CD106" s="242"/>
      <c r="CE106" s="242"/>
      <c r="CF106" s="242"/>
      <c r="CG106" s="242"/>
      <c r="CH106" s="242"/>
      <c r="CI106" s="242"/>
      <c r="CJ106" s="242"/>
      <c r="CK106" s="242"/>
      <c r="CL106" s="242"/>
      <c r="CM106" s="242"/>
      <c r="CN106" s="242"/>
      <c r="CO106" s="242"/>
      <c r="CP106" s="242"/>
      <c r="CQ106" s="242"/>
      <c r="CR106" s="242"/>
      <c r="CS106" s="242"/>
      <c r="CT106" s="242"/>
      <c r="CU106" s="242"/>
      <c r="CV106" s="242"/>
      <c r="CW106" s="242"/>
      <c r="CX106" s="242"/>
      <c r="CY106" s="242"/>
      <c r="CZ106" s="242"/>
      <c r="DA106" s="242"/>
      <c r="DB106" s="242"/>
      <c r="DC106" s="242"/>
      <c r="DD106" s="242"/>
      <c r="DE106" s="242"/>
      <c r="DF106" s="242"/>
      <c r="DG106" s="242"/>
      <c r="DH106" s="242"/>
      <c r="DI106" s="242"/>
      <c r="DJ106" s="242"/>
      <c r="DK106" s="242"/>
      <c r="DL106" s="242"/>
      <c r="DM106" s="242"/>
      <c r="DN106" s="242"/>
      <c r="DO106" s="242"/>
      <c r="DP106" s="242"/>
      <c r="DQ106" s="242"/>
      <c r="DR106" s="242"/>
      <c r="DS106" s="242"/>
      <c r="DT106" s="242"/>
      <c r="DU106" s="242"/>
      <c r="DV106" s="242"/>
      <c r="DW106" s="242"/>
      <c r="DX106" s="242"/>
      <c r="DY106" s="242"/>
      <c r="DZ106" s="242"/>
      <c r="EA106" s="242"/>
      <c r="EB106" s="242"/>
      <c r="EC106" s="242"/>
      <c r="ED106" s="242"/>
      <c r="EE106" s="242"/>
      <c r="EF106" s="242"/>
      <c r="EG106" s="242"/>
      <c r="EH106" s="242"/>
      <c r="EI106" s="242"/>
      <c r="EJ106" s="242"/>
      <c r="EK106" s="242"/>
      <c r="EL106" s="242"/>
      <c r="EM106" s="242"/>
      <c r="EN106" s="242"/>
      <c r="EO106" s="242"/>
      <c r="EP106" s="242"/>
      <c r="EQ106" s="242"/>
      <c r="ER106" s="242"/>
      <c r="ES106" s="242"/>
      <c r="ET106" s="242"/>
      <c r="EU106" s="242"/>
      <c r="EV106" s="242"/>
      <c r="EW106" s="242"/>
      <c r="EX106" s="242"/>
      <c r="EY106" s="242"/>
      <c r="EZ106" s="242"/>
      <c r="FA106" s="242"/>
      <c r="FB106" s="242"/>
      <c r="FC106" s="242"/>
      <c r="FD106" s="242"/>
      <c r="FE106" s="242"/>
      <c r="FF106" s="242"/>
      <c r="FG106" s="242"/>
      <c r="FH106" s="242"/>
      <c r="FI106" s="242"/>
      <c r="FJ106" s="242"/>
      <c r="FK106" s="242"/>
      <c r="FL106" s="242"/>
      <c r="FM106" s="242"/>
      <c r="FN106" s="242"/>
      <c r="FO106" s="242"/>
      <c r="FP106" s="242"/>
      <c r="FQ106" s="242"/>
      <c r="FR106" s="242"/>
      <c r="FS106" s="242"/>
      <c r="FT106" s="242"/>
      <c r="FU106" s="242"/>
      <c r="FV106" s="242"/>
      <c r="FW106" s="242"/>
      <c r="FX106" s="242"/>
      <c r="FY106" s="242"/>
      <c r="FZ106" s="242"/>
      <c r="GA106" s="242"/>
      <c r="GB106" s="242"/>
      <c r="GC106" s="242"/>
      <c r="GD106" s="242"/>
      <c r="GE106" s="242"/>
      <c r="GF106" s="242"/>
      <c r="GG106" s="242"/>
      <c r="GH106" s="242"/>
      <c r="GI106" s="242"/>
      <c r="GJ106" s="242"/>
      <c r="GK106" s="242"/>
      <c r="GL106" s="242"/>
      <c r="GM106" s="242"/>
      <c r="GN106" s="242"/>
      <c r="GO106" s="242"/>
      <c r="GP106" s="242"/>
      <c r="GQ106" s="242"/>
      <c r="GR106" s="242"/>
      <c r="GS106" s="242"/>
      <c r="GT106" s="242"/>
      <c r="GU106" s="242"/>
      <c r="GV106" s="242"/>
      <c r="GW106" s="242"/>
      <c r="GX106" s="242"/>
      <c r="GY106" s="242"/>
      <c r="GZ106" s="242"/>
      <c r="HA106" s="242"/>
      <c r="HB106" s="242"/>
      <c r="HC106" s="242"/>
      <c r="HD106" s="242"/>
      <c r="HE106" s="242"/>
      <c r="HF106" s="242"/>
      <c r="HG106" s="242"/>
      <c r="HH106" s="242"/>
      <c r="HI106" s="242"/>
      <c r="HJ106" s="242"/>
      <c r="HK106" s="242"/>
      <c r="HL106" s="242"/>
      <c r="HM106" s="242"/>
      <c r="HN106" s="242"/>
      <c r="HO106" s="242"/>
      <c r="HP106" s="242"/>
      <c r="HQ106" s="242"/>
      <c r="HR106" s="242"/>
      <c r="HS106" s="242"/>
      <c r="HT106" s="242"/>
      <c r="HU106" s="242"/>
      <c r="HV106" s="242"/>
      <c r="HW106" s="242"/>
      <c r="HX106" s="242"/>
      <c r="HY106" s="242"/>
      <c r="HZ106" s="242"/>
      <c r="IA106" s="242"/>
      <c r="IB106" s="242"/>
      <c r="IC106" s="242"/>
      <c r="ID106" s="242"/>
      <c r="IE106" s="242"/>
      <c r="IF106" s="242"/>
      <c r="IG106" s="242"/>
      <c r="IH106" s="242"/>
      <c r="II106" s="242"/>
      <c r="IJ106" s="242"/>
      <c r="IK106" s="242"/>
      <c r="IL106" s="242"/>
      <c r="IM106" s="242"/>
      <c r="IN106" s="242"/>
      <c r="IO106" s="242"/>
      <c r="IP106" s="242"/>
      <c r="IQ106" s="242"/>
      <c r="IR106" s="242"/>
      <c r="IS106" s="242"/>
      <c r="IT106" s="242"/>
      <c r="IU106" s="242"/>
      <c r="IV106" s="242"/>
      <c r="IW106" s="242"/>
    </row>
    <row r="107" customFormat="false" ht="12.6" hidden="false" customHeight="true" outlineLevel="0" collapsed="false">
      <c r="A107" s="245"/>
      <c r="B107" s="242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4"/>
      <c r="AB107" s="242"/>
      <c r="AC107" s="242"/>
      <c r="AD107" s="184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2"/>
      <c r="AY107" s="242"/>
      <c r="AZ107" s="242"/>
      <c r="BA107" s="242"/>
      <c r="BB107" s="242"/>
      <c r="BC107" s="242"/>
      <c r="BD107" s="242"/>
      <c r="BE107" s="242"/>
      <c r="BF107" s="242"/>
      <c r="BG107" s="242"/>
      <c r="BH107" s="242"/>
      <c r="BI107" s="242"/>
      <c r="BJ107" s="242"/>
      <c r="BK107" s="242"/>
      <c r="BL107" s="242"/>
      <c r="BM107" s="242"/>
      <c r="BN107" s="242"/>
      <c r="BO107" s="242"/>
      <c r="BP107" s="242"/>
      <c r="BQ107" s="242"/>
      <c r="BR107" s="242"/>
      <c r="BS107" s="242"/>
      <c r="BT107" s="242"/>
      <c r="BU107" s="242"/>
      <c r="BV107" s="242"/>
      <c r="BW107" s="242"/>
      <c r="BX107" s="242"/>
      <c r="BY107" s="242"/>
      <c r="BZ107" s="242"/>
      <c r="CA107" s="242"/>
      <c r="CB107" s="242"/>
      <c r="CC107" s="242"/>
      <c r="CD107" s="242"/>
      <c r="CE107" s="242"/>
      <c r="CF107" s="242"/>
      <c r="CG107" s="242"/>
      <c r="CH107" s="242"/>
      <c r="CI107" s="242"/>
      <c r="CJ107" s="242"/>
      <c r="CK107" s="242"/>
      <c r="CL107" s="242"/>
      <c r="CM107" s="242"/>
      <c r="CN107" s="242"/>
      <c r="CO107" s="242"/>
      <c r="CP107" s="242"/>
      <c r="CQ107" s="242"/>
      <c r="CR107" s="242"/>
      <c r="CS107" s="242"/>
      <c r="CT107" s="242"/>
      <c r="CU107" s="242"/>
      <c r="CV107" s="242"/>
      <c r="CW107" s="242"/>
      <c r="CX107" s="242"/>
      <c r="CY107" s="242"/>
      <c r="CZ107" s="242"/>
      <c r="DA107" s="242"/>
      <c r="DB107" s="242"/>
      <c r="DC107" s="242"/>
      <c r="DD107" s="242"/>
      <c r="DE107" s="242"/>
      <c r="DF107" s="242"/>
      <c r="DG107" s="242"/>
      <c r="DH107" s="242"/>
      <c r="DI107" s="242"/>
      <c r="DJ107" s="242"/>
      <c r="DK107" s="242"/>
      <c r="DL107" s="242"/>
      <c r="DM107" s="242"/>
      <c r="DN107" s="242"/>
      <c r="DO107" s="242"/>
      <c r="DP107" s="242"/>
      <c r="DQ107" s="242"/>
      <c r="DR107" s="242"/>
      <c r="DS107" s="242"/>
      <c r="DT107" s="242"/>
      <c r="DU107" s="242"/>
      <c r="DV107" s="242"/>
      <c r="DW107" s="242"/>
      <c r="DX107" s="242"/>
      <c r="DY107" s="242"/>
      <c r="DZ107" s="242"/>
      <c r="EA107" s="242"/>
      <c r="EB107" s="242"/>
      <c r="EC107" s="242"/>
      <c r="ED107" s="242"/>
      <c r="EE107" s="242"/>
      <c r="EF107" s="242"/>
      <c r="EG107" s="242"/>
      <c r="EH107" s="242"/>
      <c r="EI107" s="242"/>
      <c r="EJ107" s="242"/>
      <c r="EK107" s="242"/>
      <c r="EL107" s="242"/>
      <c r="EM107" s="242"/>
      <c r="EN107" s="242"/>
      <c r="EO107" s="242"/>
      <c r="EP107" s="242"/>
      <c r="EQ107" s="242"/>
      <c r="ER107" s="242"/>
      <c r="ES107" s="242"/>
      <c r="ET107" s="242"/>
      <c r="EU107" s="242"/>
      <c r="EV107" s="242"/>
      <c r="EW107" s="242"/>
      <c r="EX107" s="242"/>
      <c r="EY107" s="242"/>
      <c r="EZ107" s="242"/>
      <c r="FA107" s="242"/>
      <c r="FB107" s="242"/>
      <c r="FC107" s="242"/>
      <c r="FD107" s="242"/>
      <c r="FE107" s="242"/>
      <c r="FF107" s="242"/>
      <c r="FG107" s="242"/>
      <c r="FH107" s="242"/>
      <c r="FI107" s="242"/>
      <c r="FJ107" s="242"/>
      <c r="FK107" s="242"/>
      <c r="FL107" s="242"/>
      <c r="FM107" s="242"/>
      <c r="FN107" s="242"/>
      <c r="FO107" s="242"/>
      <c r="FP107" s="242"/>
      <c r="FQ107" s="242"/>
      <c r="FR107" s="242"/>
      <c r="FS107" s="242"/>
      <c r="FT107" s="242"/>
      <c r="FU107" s="242"/>
      <c r="FV107" s="242"/>
      <c r="FW107" s="242"/>
      <c r="FX107" s="242"/>
      <c r="FY107" s="242"/>
      <c r="FZ107" s="242"/>
      <c r="GA107" s="242"/>
      <c r="GB107" s="242"/>
      <c r="GC107" s="242"/>
      <c r="GD107" s="242"/>
      <c r="GE107" s="242"/>
      <c r="GF107" s="242"/>
      <c r="GG107" s="242"/>
      <c r="GH107" s="242"/>
      <c r="GI107" s="242"/>
      <c r="GJ107" s="242"/>
      <c r="GK107" s="242"/>
      <c r="GL107" s="242"/>
      <c r="GM107" s="242"/>
      <c r="GN107" s="242"/>
      <c r="GO107" s="242"/>
      <c r="GP107" s="242"/>
      <c r="GQ107" s="242"/>
      <c r="GR107" s="242"/>
      <c r="GS107" s="242"/>
      <c r="GT107" s="242"/>
      <c r="GU107" s="242"/>
      <c r="GV107" s="242"/>
      <c r="GW107" s="242"/>
      <c r="GX107" s="242"/>
      <c r="GY107" s="242"/>
      <c r="GZ107" s="242"/>
      <c r="HA107" s="242"/>
      <c r="HB107" s="242"/>
      <c r="HC107" s="242"/>
      <c r="HD107" s="242"/>
      <c r="HE107" s="242"/>
      <c r="HF107" s="242"/>
      <c r="HG107" s="242"/>
      <c r="HH107" s="242"/>
      <c r="HI107" s="242"/>
      <c r="HJ107" s="242"/>
      <c r="HK107" s="242"/>
      <c r="HL107" s="242"/>
      <c r="HM107" s="242"/>
      <c r="HN107" s="242"/>
      <c r="HO107" s="242"/>
      <c r="HP107" s="242"/>
      <c r="HQ107" s="242"/>
      <c r="HR107" s="242"/>
      <c r="HS107" s="242"/>
      <c r="HT107" s="242"/>
      <c r="HU107" s="242"/>
      <c r="HV107" s="242"/>
      <c r="HW107" s="242"/>
      <c r="HX107" s="242"/>
      <c r="HY107" s="242"/>
      <c r="HZ107" s="242"/>
      <c r="IA107" s="242"/>
      <c r="IB107" s="242"/>
      <c r="IC107" s="242"/>
      <c r="ID107" s="242"/>
      <c r="IE107" s="242"/>
      <c r="IF107" s="242"/>
      <c r="IG107" s="242"/>
      <c r="IH107" s="242"/>
      <c r="II107" s="242"/>
      <c r="IJ107" s="242"/>
      <c r="IK107" s="242"/>
      <c r="IL107" s="242"/>
      <c r="IM107" s="242"/>
      <c r="IN107" s="242"/>
      <c r="IO107" s="242"/>
      <c r="IP107" s="242"/>
      <c r="IQ107" s="242"/>
      <c r="IR107" s="242"/>
      <c r="IS107" s="242"/>
      <c r="IT107" s="242"/>
      <c r="IU107" s="242"/>
      <c r="IV107" s="242"/>
      <c r="IW107" s="242"/>
    </row>
    <row r="108" customFormat="false" ht="12.6" hidden="false" customHeight="true" outlineLevel="0" collapsed="false">
      <c r="A108" s="242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AB108" s="242"/>
      <c r="AC108" s="242"/>
      <c r="AD108" s="184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AY108" s="242"/>
      <c r="AZ108" s="242"/>
      <c r="BA108" s="242"/>
      <c r="BB108" s="242"/>
      <c r="BC108" s="242"/>
      <c r="BD108" s="242"/>
      <c r="BE108" s="242"/>
      <c r="BF108" s="242"/>
      <c r="BG108" s="242"/>
      <c r="BH108" s="242"/>
      <c r="BI108" s="242"/>
      <c r="BJ108" s="242"/>
      <c r="BK108" s="242"/>
      <c r="BL108" s="242"/>
      <c r="BM108" s="242"/>
      <c r="BN108" s="242"/>
      <c r="BO108" s="242"/>
      <c r="BP108" s="242"/>
      <c r="BQ108" s="242"/>
      <c r="BR108" s="242"/>
      <c r="BS108" s="242"/>
      <c r="BT108" s="242"/>
      <c r="BU108" s="242"/>
      <c r="BV108" s="242"/>
      <c r="BW108" s="242"/>
      <c r="BX108" s="242"/>
      <c r="BY108" s="242"/>
      <c r="BZ108" s="242"/>
      <c r="CA108" s="242"/>
      <c r="CB108" s="242"/>
      <c r="CC108" s="242"/>
      <c r="CD108" s="242"/>
      <c r="CE108" s="242"/>
      <c r="CF108" s="242"/>
      <c r="CG108" s="242"/>
      <c r="CH108" s="242"/>
      <c r="CI108" s="242"/>
      <c r="CJ108" s="242"/>
      <c r="CK108" s="242"/>
      <c r="CL108" s="242"/>
      <c r="CM108" s="242"/>
      <c r="CN108" s="242"/>
      <c r="CO108" s="242"/>
      <c r="CP108" s="242"/>
      <c r="CQ108" s="242"/>
      <c r="CR108" s="242"/>
      <c r="CS108" s="242"/>
      <c r="CT108" s="242"/>
      <c r="CU108" s="242"/>
      <c r="CV108" s="242"/>
      <c r="CW108" s="242"/>
      <c r="CX108" s="242"/>
      <c r="CY108" s="242"/>
      <c r="CZ108" s="242"/>
      <c r="DA108" s="242"/>
      <c r="DB108" s="242"/>
      <c r="DC108" s="242"/>
      <c r="DD108" s="242"/>
      <c r="DE108" s="242"/>
      <c r="DF108" s="242"/>
      <c r="DG108" s="242"/>
      <c r="DH108" s="242"/>
      <c r="DI108" s="242"/>
      <c r="DJ108" s="242"/>
      <c r="DK108" s="242"/>
      <c r="DL108" s="242"/>
      <c r="DM108" s="242"/>
      <c r="DN108" s="242"/>
      <c r="DO108" s="242"/>
      <c r="DP108" s="242"/>
      <c r="DQ108" s="242"/>
      <c r="DR108" s="242"/>
      <c r="DS108" s="242"/>
      <c r="DT108" s="242"/>
      <c r="DU108" s="242"/>
      <c r="DV108" s="242"/>
      <c r="DW108" s="242"/>
      <c r="DX108" s="242"/>
      <c r="DY108" s="242"/>
      <c r="DZ108" s="242"/>
      <c r="EA108" s="242"/>
      <c r="EB108" s="242"/>
      <c r="EC108" s="242"/>
      <c r="ED108" s="242"/>
      <c r="EE108" s="242"/>
      <c r="EF108" s="242"/>
      <c r="EG108" s="242"/>
      <c r="EH108" s="242"/>
      <c r="EI108" s="242"/>
      <c r="EJ108" s="242"/>
      <c r="EK108" s="242"/>
      <c r="EL108" s="242"/>
      <c r="EM108" s="242"/>
      <c r="EN108" s="242"/>
      <c r="EO108" s="242"/>
      <c r="EP108" s="242"/>
      <c r="EQ108" s="242"/>
      <c r="ER108" s="242"/>
      <c r="ES108" s="242"/>
      <c r="ET108" s="242"/>
      <c r="EU108" s="242"/>
      <c r="EV108" s="242"/>
      <c r="EW108" s="242"/>
      <c r="EX108" s="242"/>
      <c r="EY108" s="242"/>
      <c r="EZ108" s="242"/>
      <c r="FA108" s="242"/>
      <c r="FB108" s="242"/>
      <c r="FC108" s="242"/>
      <c r="FD108" s="242"/>
      <c r="FE108" s="242"/>
      <c r="FF108" s="242"/>
      <c r="FG108" s="242"/>
      <c r="FH108" s="242"/>
      <c r="FI108" s="242"/>
      <c r="FJ108" s="242"/>
      <c r="FK108" s="242"/>
      <c r="FL108" s="242"/>
      <c r="FM108" s="242"/>
      <c r="FN108" s="242"/>
      <c r="FO108" s="242"/>
      <c r="FP108" s="242"/>
      <c r="FQ108" s="242"/>
      <c r="FR108" s="242"/>
      <c r="FS108" s="242"/>
      <c r="FT108" s="242"/>
      <c r="FU108" s="242"/>
      <c r="FV108" s="242"/>
      <c r="FW108" s="242"/>
      <c r="FX108" s="242"/>
      <c r="FY108" s="242"/>
      <c r="FZ108" s="242"/>
      <c r="GA108" s="242"/>
      <c r="GB108" s="242"/>
      <c r="GC108" s="242"/>
      <c r="GD108" s="242"/>
      <c r="GE108" s="242"/>
      <c r="GF108" s="242"/>
      <c r="GG108" s="242"/>
      <c r="GH108" s="242"/>
      <c r="GI108" s="242"/>
      <c r="GJ108" s="242"/>
      <c r="GK108" s="242"/>
      <c r="GL108" s="242"/>
      <c r="GM108" s="242"/>
      <c r="GN108" s="242"/>
      <c r="GO108" s="242"/>
      <c r="GP108" s="242"/>
      <c r="GQ108" s="242"/>
      <c r="GR108" s="242"/>
      <c r="GS108" s="242"/>
      <c r="GT108" s="242"/>
      <c r="GU108" s="242"/>
      <c r="GV108" s="242"/>
      <c r="GW108" s="242"/>
      <c r="GX108" s="242"/>
      <c r="GY108" s="242"/>
      <c r="GZ108" s="242"/>
      <c r="HA108" s="242"/>
      <c r="HB108" s="242"/>
      <c r="HC108" s="242"/>
      <c r="HD108" s="242"/>
      <c r="HE108" s="242"/>
      <c r="HF108" s="242"/>
      <c r="HG108" s="242"/>
      <c r="HH108" s="242"/>
      <c r="HI108" s="242"/>
      <c r="HJ108" s="242"/>
      <c r="HK108" s="242"/>
      <c r="HL108" s="242"/>
      <c r="HM108" s="242"/>
      <c r="HN108" s="242"/>
      <c r="HO108" s="242"/>
      <c r="HP108" s="242"/>
      <c r="HQ108" s="242"/>
      <c r="HR108" s="242"/>
      <c r="HS108" s="242"/>
      <c r="HT108" s="242"/>
      <c r="HU108" s="242"/>
      <c r="HV108" s="242"/>
      <c r="HW108" s="242"/>
      <c r="HX108" s="242"/>
      <c r="HY108" s="242"/>
      <c r="HZ108" s="242"/>
      <c r="IA108" s="242"/>
      <c r="IB108" s="242"/>
      <c r="IC108" s="242"/>
      <c r="ID108" s="242"/>
      <c r="IE108" s="242"/>
      <c r="IF108" s="242"/>
      <c r="IG108" s="242"/>
      <c r="IH108" s="242"/>
      <c r="II108" s="242"/>
      <c r="IJ108" s="242"/>
      <c r="IK108" s="242"/>
      <c r="IL108" s="242"/>
      <c r="IM108" s="242"/>
      <c r="IN108" s="242"/>
      <c r="IO108" s="242"/>
      <c r="IP108" s="242"/>
      <c r="IQ108" s="242"/>
      <c r="IR108" s="242"/>
      <c r="IS108" s="242"/>
      <c r="IT108" s="242"/>
      <c r="IU108" s="242"/>
      <c r="IV108" s="242"/>
      <c r="IW108" s="242"/>
    </row>
    <row r="109" customFormat="false" ht="12.6" hidden="false" customHeight="true" outlineLevel="0" collapsed="false">
      <c r="A109" s="242"/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AB109" s="242"/>
      <c r="AC109" s="242"/>
      <c r="AD109" s="184"/>
      <c r="AE109" s="242"/>
      <c r="AF109" s="242"/>
      <c r="AG109" s="242"/>
      <c r="AH109" s="242"/>
      <c r="AI109" s="242"/>
      <c r="AJ109" s="242"/>
      <c r="AK109" s="242"/>
      <c r="AL109" s="242"/>
      <c r="AM109" s="242"/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AY109" s="242"/>
      <c r="AZ109" s="242"/>
      <c r="BA109" s="242"/>
      <c r="BB109" s="242"/>
      <c r="BC109" s="242"/>
      <c r="BD109" s="242"/>
      <c r="BE109" s="242"/>
      <c r="BF109" s="242"/>
      <c r="BG109" s="242"/>
      <c r="BH109" s="242"/>
      <c r="BI109" s="242"/>
      <c r="BJ109" s="242"/>
      <c r="BK109" s="242"/>
      <c r="BL109" s="242"/>
      <c r="BM109" s="242"/>
      <c r="BN109" s="242"/>
      <c r="BO109" s="242"/>
      <c r="BP109" s="242"/>
      <c r="BQ109" s="242"/>
      <c r="BR109" s="242"/>
      <c r="BS109" s="242"/>
      <c r="BT109" s="242"/>
      <c r="BU109" s="242"/>
      <c r="BV109" s="242"/>
      <c r="BW109" s="242"/>
      <c r="BX109" s="242"/>
      <c r="BY109" s="242"/>
      <c r="BZ109" s="242"/>
      <c r="CA109" s="242"/>
      <c r="CB109" s="242"/>
      <c r="CC109" s="242"/>
      <c r="CD109" s="242"/>
      <c r="CE109" s="242"/>
      <c r="CF109" s="242"/>
      <c r="CG109" s="242"/>
      <c r="CH109" s="242"/>
      <c r="CI109" s="242"/>
      <c r="CJ109" s="242"/>
      <c r="CK109" s="242"/>
      <c r="CL109" s="242"/>
      <c r="CM109" s="242"/>
      <c r="CN109" s="242"/>
      <c r="CO109" s="242"/>
      <c r="CP109" s="242"/>
      <c r="CQ109" s="242"/>
      <c r="CR109" s="242"/>
      <c r="CS109" s="242"/>
      <c r="CT109" s="242"/>
      <c r="CU109" s="242"/>
      <c r="CV109" s="242"/>
      <c r="CW109" s="242"/>
      <c r="CX109" s="242"/>
      <c r="CY109" s="242"/>
      <c r="CZ109" s="242"/>
      <c r="DA109" s="242"/>
      <c r="DB109" s="242"/>
      <c r="DC109" s="242"/>
      <c r="DD109" s="242"/>
      <c r="DE109" s="242"/>
      <c r="DF109" s="242"/>
      <c r="DG109" s="242"/>
      <c r="DH109" s="242"/>
      <c r="DI109" s="242"/>
      <c r="DJ109" s="242"/>
      <c r="DK109" s="242"/>
      <c r="DL109" s="242"/>
      <c r="DM109" s="242"/>
      <c r="DN109" s="242"/>
      <c r="DO109" s="242"/>
      <c r="DP109" s="242"/>
      <c r="DQ109" s="242"/>
      <c r="DR109" s="242"/>
      <c r="DS109" s="242"/>
      <c r="DT109" s="242"/>
      <c r="DU109" s="242"/>
      <c r="DV109" s="242"/>
      <c r="DW109" s="242"/>
      <c r="DX109" s="242"/>
      <c r="DY109" s="242"/>
      <c r="DZ109" s="242"/>
      <c r="EA109" s="242"/>
      <c r="EB109" s="242"/>
      <c r="EC109" s="242"/>
      <c r="ED109" s="242"/>
      <c r="EE109" s="242"/>
      <c r="EF109" s="242"/>
      <c r="EG109" s="242"/>
      <c r="EH109" s="242"/>
      <c r="EI109" s="242"/>
      <c r="EJ109" s="242"/>
      <c r="EK109" s="242"/>
      <c r="EL109" s="242"/>
      <c r="EM109" s="242"/>
      <c r="EN109" s="242"/>
      <c r="EO109" s="242"/>
      <c r="EP109" s="242"/>
      <c r="EQ109" s="242"/>
      <c r="ER109" s="242"/>
      <c r="ES109" s="242"/>
      <c r="ET109" s="242"/>
      <c r="EU109" s="242"/>
      <c r="EV109" s="242"/>
      <c r="EW109" s="242"/>
      <c r="EX109" s="242"/>
      <c r="EY109" s="242"/>
      <c r="EZ109" s="242"/>
      <c r="FA109" s="242"/>
      <c r="FB109" s="242"/>
      <c r="FC109" s="242"/>
      <c r="FD109" s="242"/>
      <c r="FE109" s="242"/>
      <c r="FF109" s="242"/>
      <c r="FG109" s="242"/>
      <c r="FH109" s="242"/>
      <c r="FI109" s="242"/>
      <c r="FJ109" s="242"/>
      <c r="FK109" s="242"/>
      <c r="FL109" s="242"/>
      <c r="FM109" s="242"/>
      <c r="FN109" s="242"/>
      <c r="FO109" s="242"/>
      <c r="FP109" s="242"/>
      <c r="FQ109" s="242"/>
      <c r="FR109" s="242"/>
      <c r="FS109" s="242"/>
      <c r="FT109" s="242"/>
      <c r="FU109" s="242"/>
      <c r="FV109" s="242"/>
      <c r="FW109" s="242"/>
      <c r="FX109" s="242"/>
      <c r="FY109" s="242"/>
      <c r="FZ109" s="242"/>
      <c r="GA109" s="242"/>
      <c r="GB109" s="242"/>
      <c r="GC109" s="242"/>
      <c r="GD109" s="242"/>
      <c r="GE109" s="242"/>
      <c r="GF109" s="242"/>
      <c r="GG109" s="242"/>
      <c r="GH109" s="242"/>
      <c r="GI109" s="242"/>
      <c r="GJ109" s="242"/>
      <c r="GK109" s="242"/>
      <c r="GL109" s="242"/>
      <c r="GM109" s="242"/>
      <c r="GN109" s="242"/>
      <c r="GO109" s="242"/>
      <c r="GP109" s="242"/>
      <c r="GQ109" s="242"/>
      <c r="GR109" s="242"/>
      <c r="GS109" s="242"/>
      <c r="GT109" s="242"/>
      <c r="GU109" s="242"/>
      <c r="GV109" s="242"/>
      <c r="GW109" s="242"/>
      <c r="GX109" s="242"/>
      <c r="GY109" s="242"/>
      <c r="GZ109" s="242"/>
      <c r="HA109" s="242"/>
      <c r="HB109" s="242"/>
      <c r="HC109" s="242"/>
      <c r="HD109" s="242"/>
      <c r="HE109" s="242"/>
      <c r="HF109" s="242"/>
      <c r="HG109" s="242"/>
      <c r="HH109" s="242"/>
      <c r="HI109" s="242"/>
      <c r="HJ109" s="242"/>
      <c r="HK109" s="242"/>
      <c r="HL109" s="242"/>
      <c r="HM109" s="242"/>
      <c r="HN109" s="242"/>
      <c r="HO109" s="242"/>
      <c r="HP109" s="242"/>
      <c r="HQ109" s="242"/>
      <c r="HR109" s="242"/>
      <c r="HS109" s="242"/>
      <c r="HT109" s="242"/>
      <c r="HU109" s="242"/>
      <c r="HV109" s="242"/>
      <c r="HW109" s="242"/>
      <c r="HX109" s="242"/>
      <c r="HY109" s="242"/>
      <c r="HZ109" s="242"/>
      <c r="IA109" s="242"/>
      <c r="IB109" s="242"/>
      <c r="IC109" s="242"/>
      <c r="ID109" s="242"/>
      <c r="IE109" s="242"/>
      <c r="IF109" s="242"/>
      <c r="IG109" s="242"/>
      <c r="IH109" s="242"/>
      <c r="II109" s="242"/>
      <c r="IJ109" s="242"/>
      <c r="IK109" s="242"/>
      <c r="IL109" s="242"/>
      <c r="IM109" s="242"/>
      <c r="IN109" s="242"/>
      <c r="IO109" s="242"/>
      <c r="IP109" s="242"/>
      <c r="IQ109" s="242"/>
      <c r="IR109" s="242"/>
      <c r="IS109" s="242"/>
      <c r="IT109" s="242"/>
      <c r="IU109" s="242"/>
      <c r="IV109" s="242"/>
      <c r="IW109" s="242"/>
    </row>
    <row r="110" customFormat="false" ht="12.6" hidden="false" customHeight="true" outlineLevel="0" collapsed="false">
      <c r="A110" s="242"/>
      <c r="B110" s="242"/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AB110" s="242"/>
      <c r="AC110" s="242"/>
      <c r="AD110" s="184"/>
      <c r="AE110" s="242"/>
      <c r="AF110" s="242"/>
      <c r="AG110" s="242"/>
      <c r="AH110" s="242"/>
      <c r="AI110" s="242"/>
      <c r="AJ110" s="242"/>
      <c r="AK110" s="242"/>
      <c r="AL110" s="242"/>
      <c r="AM110" s="242"/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  <c r="BA110" s="242"/>
      <c r="BB110" s="242"/>
      <c r="BC110" s="242"/>
      <c r="BD110" s="242"/>
      <c r="BE110" s="242"/>
      <c r="BF110" s="242"/>
      <c r="BG110" s="242"/>
      <c r="BH110" s="242"/>
      <c r="BI110" s="242"/>
      <c r="BJ110" s="242"/>
      <c r="BK110" s="242"/>
      <c r="BL110" s="242"/>
      <c r="BM110" s="242"/>
      <c r="BN110" s="242"/>
      <c r="BO110" s="242"/>
      <c r="BP110" s="242"/>
      <c r="BQ110" s="242"/>
      <c r="BR110" s="242"/>
      <c r="BS110" s="242"/>
      <c r="BT110" s="242"/>
      <c r="BU110" s="242"/>
      <c r="BV110" s="242"/>
      <c r="BW110" s="242"/>
      <c r="BX110" s="242"/>
      <c r="BY110" s="242"/>
      <c r="BZ110" s="242"/>
      <c r="CA110" s="242"/>
      <c r="CB110" s="242"/>
      <c r="CC110" s="242"/>
      <c r="CD110" s="242"/>
      <c r="CE110" s="242"/>
      <c r="CF110" s="242"/>
      <c r="CG110" s="242"/>
      <c r="CH110" s="242"/>
      <c r="CI110" s="242"/>
      <c r="CJ110" s="242"/>
      <c r="CK110" s="242"/>
      <c r="CL110" s="242"/>
      <c r="CM110" s="242"/>
      <c r="CN110" s="242"/>
      <c r="CO110" s="242"/>
      <c r="CP110" s="242"/>
      <c r="CQ110" s="242"/>
      <c r="CR110" s="242"/>
      <c r="CS110" s="242"/>
      <c r="CT110" s="242"/>
      <c r="CU110" s="242"/>
      <c r="CV110" s="242"/>
      <c r="CW110" s="242"/>
      <c r="CX110" s="242"/>
      <c r="CY110" s="242"/>
      <c r="CZ110" s="242"/>
      <c r="DA110" s="242"/>
      <c r="DB110" s="242"/>
      <c r="DC110" s="242"/>
      <c r="DD110" s="242"/>
      <c r="DE110" s="242"/>
      <c r="DF110" s="242"/>
      <c r="DG110" s="242"/>
      <c r="DH110" s="242"/>
      <c r="DI110" s="242"/>
      <c r="DJ110" s="242"/>
      <c r="DK110" s="242"/>
      <c r="DL110" s="242"/>
      <c r="DM110" s="242"/>
      <c r="DN110" s="242"/>
      <c r="DO110" s="242"/>
      <c r="DP110" s="242"/>
      <c r="DQ110" s="242"/>
      <c r="DR110" s="242"/>
      <c r="DS110" s="242"/>
      <c r="DT110" s="242"/>
      <c r="DU110" s="242"/>
      <c r="DV110" s="242"/>
      <c r="DW110" s="242"/>
      <c r="DX110" s="242"/>
      <c r="DY110" s="242"/>
      <c r="DZ110" s="242"/>
      <c r="EA110" s="242"/>
      <c r="EB110" s="242"/>
      <c r="EC110" s="242"/>
      <c r="ED110" s="242"/>
      <c r="EE110" s="242"/>
      <c r="EF110" s="242"/>
      <c r="EG110" s="242"/>
      <c r="EH110" s="242"/>
      <c r="EI110" s="242"/>
      <c r="EJ110" s="242"/>
      <c r="EK110" s="242"/>
      <c r="EL110" s="242"/>
      <c r="EM110" s="242"/>
      <c r="EN110" s="242"/>
      <c r="EO110" s="242"/>
      <c r="EP110" s="242"/>
      <c r="EQ110" s="242"/>
      <c r="ER110" s="242"/>
      <c r="ES110" s="242"/>
      <c r="ET110" s="242"/>
      <c r="EU110" s="242"/>
      <c r="EV110" s="242"/>
      <c r="EW110" s="242"/>
      <c r="EX110" s="242"/>
      <c r="EY110" s="242"/>
      <c r="EZ110" s="242"/>
      <c r="FA110" s="242"/>
      <c r="FB110" s="242"/>
      <c r="FC110" s="242"/>
      <c r="FD110" s="242"/>
      <c r="FE110" s="242"/>
      <c r="FF110" s="242"/>
      <c r="FG110" s="242"/>
      <c r="FH110" s="242"/>
      <c r="FI110" s="242"/>
      <c r="FJ110" s="242"/>
      <c r="FK110" s="242"/>
      <c r="FL110" s="242"/>
      <c r="FM110" s="242"/>
      <c r="FN110" s="242"/>
      <c r="FO110" s="242"/>
      <c r="FP110" s="242"/>
      <c r="FQ110" s="242"/>
      <c r="FR110" s="242"/>
      <c r="FS110" s="242"/>
      <c r="FT110" s="242"/>
      <c r="FU110" s="242"/>
      <c r="FV110" s="242"/>
      <c r="FW110" s="242"/>
      <c r="FX110" s="242"/>
      <c r="FY110" s="242"/>
      <c r="FZ110" s="242"/>
      <c r="GA110" s="242"/>
      <c r="GB110" s="242"/>
      <c r="GC110" s="242"/>
      <c r="GD110" s="242"/>
      <c r="GE110" s="242"/>
      <c r="GF110" s="242"/>
      <c r="GG110" s="242"/>
      <c r="GH110" s="242"/>
      <c r="GI110" s="242"/>
      <c r="GJ110" s="242"/>
      <c r="GK110" s="242"/>
      <c r="GL110" s="242"/>
      <c r="GM110" s="242"/>
      <c r="GN110" s="242"/>
      <c r="GO110" s="242"/>
      <c r="GP110" s="242"/>
      <c r="GQ110" s="242"/>
      <c r="GR110" s="242"/>
      <c r="GS110" s="242"/>
      <c r="GT110" s="242"/>
      <c r="GU110" s="242"/>
      <c r="GV110" s="242"/>
      <c r="GW110" s="242"/>
      <c r="GX110" s="242"/>
      <c r="GY110" s="242"/>
      <c r="GZ110" s="242"/>
      <c r="HA110" s="242"/>
      <c r="HB110" s="242"/>
      <c r="HC110" s="242"/>
      <c r="HD110" s="242"/>
      <c r="HE110" s="242"/>
      <c r="HF110" s="242"/>
      <c r="HG110" s="242"/>
      <c r="HH110" s="242"/>
      <c r="HI110" s="242"/>
      <c r="HJ110" s="242"/>
      <c r="HK110" s="242"/>
      <c r="HL110" s="242"/>
      <c r="HM110" s="242"/>
      <c r="HN110" s="242"/>
      <c r="HO110" s="242"/>
      <c r="HP110" s="242"/>
      <c r="HQ110" s="242"/>
      <c r="HR110" s="242"/>
      <c r="HS110" s="242"/>
      <c r="HT110" s="242"/>
      <c r="HU110" s="242"/>
      <c r="HV110" s="242"/>
      <c r="HW110" s="242"/>
      <c r="HX110" s="242"/>
      <c r="HY110" s="242"/>
      <c r="HZ110" s="242"/>
      <c r="IA110" s="242"/>
      <c r="IB110" s="242"/>
      <c r="IC110" s="242"/>
      <c r="ID110" s="242"/>
      <c r="IE110" s="242"/>
      <c r="IF110" s="242"/>
      <c r="IG110" s="242"/>
      <c r="IH110" s="242"/>
      <c r="II110" s="242"/>
      <c r="IJ110" s="242"/>
      <c r="IK110" s="242"/>
      <c r="IL110" s="242"/>
      <c r="IM110" s="242"/>
      <c r="IN110" s="242"/>
      <c r="IO110" s="242"/>
      <c r="IP110" s="242"/>
      <c r="IQ110" s="242"/>
      <c r="IR110" s="242"/>
      <c r="IS110" s="242"/>
      <c r="IT110" s="242"/>
      <c r="IU110" s="242"/>
      <c r="IV110" s="242"/>
      <c r="IW110" s="242"/>
    </row>
    <row r="111" customFormat="false" ht="12.6" hidden="false" customHeight="true" outlineLevel="0" collapsed="false">
      <c r="A111" s="242"/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AB111" s="242"/>
      <c r="AC111" s="242"/>
      <c r="AD111" s="184"/>
      <c r="AE111" s="242"/>
      <c r="AF111" s="242"/>
      <c r="AG111" s="242"/>
      <c r="AH111" s="242"/>
      <c r="AI111" s="242"/>
      <c r="AJ111" s="242"/>
      <c r="AK111" s="242"/>
      <c r="AL111" s="242"/>
      <c r="AM111" s="242"/>
      <c r="AN111" s="242"/>
      <c r="AO111" s="242"/>
      <c r="AP111" s="242"/>
      <c r="AQ111" s="242"/>
      <c r="AR111" s="242"/>
      <c r="AS111" s="242"/>
      <c r="AT111" s="242"/>
      <c r="AU111" s="242"/>
      <c r="AV111" s="242"/>
      <c r="AW111" s="242"/>
      <c r="AX111" s="242"/>
      <c r="AY111" s="242"/>
      <c r="AZ111" s="242"/>
      <c r="BA111" s="242"/>
      <c r="BB111" s="242"/>
      <c r="BC111" s="242"/>
      <c r="BD111" s="242"/>
      <c r="BE111" s="242"/>
      <c r="BF111" s="242"/>
      <c r="BG111" s="242"/>
      <c r="BH111" s="242"/>
      <c r="BI111" s="242"/>
      <c r="BJ111" s="242"/>
      <c r="BK111" s="242"/>
      <c r="BL111" s="242"/>
      <c r="BM111" s="242"/>
      <c r="BN111" s="242"/>
      <c r="BO111" s="242"/>
      <c r="BP111" s="242"/>
      <c r="BQ111" s="242"/>
      <c r="BR111" s="242"/>
      <c r="BS111" s="242"/>
      <c r="BT111" s="242"/>
      <c r="BU111" s="242"/>
      <c r="BV111" s="242"/>
      <c r="BW111" s="242"/>
      <c r="BX111" s="242"/>
      <c r="BY111" s="242"/>
      <c r="BZ111" s="242"/>
      <c r="CA111" s="242"/>
      <c r="CB111" s="242"/>
      <c r="CC111" s="242"/>
      <c r="CD111" s="242"/>
      <c r="CE111" s="242"/>
      <c r="CF111" s="242"/>
      <c r="CG111" s="242"/>
      <c r="CH111" s="242"/>
      <c r="CI111" s="242"/>
      <c r="CJ111" s="242"/>
      <c r="CK111" s="242"/>
      <c r="CL111" s="242"/>
      <c r="CM111" s="242"/>
      <c r="CN111" s="242"/>
      <c r="CO111" s="242"/>
      <c r="CP111" s="242"/>
      <c r="CQ111" s="242"/>
      <c r="CR111" s="242"/>
      <c r="CS111" s="242"/>
      <c r="CT111" s="242"/>
      <c r="CU111" s="242"/>
      <c r="CV111" s="242"/>
      <c r="CW111" s="242"/>
      <c r="CX111" s="242"/>
      <c r="CY111" s="242"/>
      <c r="CZ111" s="242"/>
      <c r="DA111" s="242"/>
      <c r="DB111" s="242"/>
      <c r="DC111" s="242"/>
      <c r="DD111" s="242"/>
      <c r="DE111" s="242"/>
      <c r="DF111" s="242"/>
      <c r="DG111" s="242"/>
      <c r="DH111" s="242"/>
      <c r="DI111" s="242"/>
      <c r="DJ111" s="242"/>
      <c r="DK111" s="242"/>
      <c r="DL111" s="242"/>
      <c r="DM111" s="242"/>
      <c r="DN111" s="242"/>
      <c r="DO111" s="242"/>
      <c r="DP111" s="242"/>
      <c r="DQ111" s="242"/>
      <c r="DR111" s="242"/>
      <c r="DS111" s="242"/>
      <c r="DT111" s="242"/>
      <c r="DU111" s="242"/>
      <c r="DV111" s="242"/>
      <c r="DW111" s="242"/>
      <c r="DX111" s="242"/>
      <c r="DY111" s="242"/>
      <c r="DZ111" s="242"/>
      <c r="EA111" s="242"/>
      <c r="EB111" s="242"/>
      <c r="EC111" s="242"/>
      <c r="ED111" s="242"/>
      <c r="EE111" s="242"/>
      <c r="EF111" s="242"/>
      <c r="EG111" s="242"/>
      <c r="EH111" s="242"/>
      <c r="EI111" s="242"/>
      <c r="EJ111" s="242"/>
      <c r="EK111" s="242"/>
      <c r="EL111" s="242"/>
      <c r="EM111" s="242"/>
      <c r="EN111" s="242"/>
      <c r="EO111" s="242"/>
      <c r="EP111" s="242"/>
      <c r="EQ111" s="242"/>
      <c r="ER111" s="242"/>
      <c r="ES111" s="242"/>
      <c r="ET111" s="242"/>
      <c r="EU111" s="242"/>
      <c r="EV111" s="242"/>
      <c r="EW111" s="242"/>
      <c r="EX111" s="242"/>
      <c r="EY111" s="242"/>
      <c r="EZ111" s="242"/>
      <c r="FA111" s="242"/>
      <c r="FB111" s="242"/>
      <c r="FC111" s="242"/>
      <c r="FD111" s="242"/>
      <c r="FE111" s="242"/>
      <c r="FF111" s="242"/>
      <c r="FG111" s="242"/>
      <c r="FH111" s="242"/>
      <c r="FI111" s="242"/>
      <c r="FJ111" s="242"/>
      <c r="FK111" s="242"/>
      <c r="FL111" s="242"/>
      <c r="FM111" s="242"/>
      <c r="FN111" s="242"/>
      <c r="FO111" s="242"/>
      <c r="FP111" s="242"/>
      <c r="FQ111" s="242"/>
      <c r="FR111" s="242"/>
      <c r="FS111" s="242"/>
      <c r="FT111" s="242"/>
      <c r="FU111" s="242"/>
      <c r="FV111" s="242"/>
      <c r="FW111" s="242"/>
      <c r="FX111" s="242"/>
      <c r="FY111" s="242"/>
      <c r="FZ111" s="242"/>
      <c r="GA111" s="242"/>
      <c r="GB111" s="242"/>
      <c r="GC111" s="242"/>
      <c r="GD111" s="242"/>
      <c r="GE111" s="242"/>
      <c r="GF111" s="242"/>
      <c r="GG111" s="242"/>
      <c r="GH111" s="242"/>
      <c r="GI111" s="242"/>
      <c r="GJ111" s="242"/>
      <c r="GK111" s="242"/>
      <c r="GL111" s="242"/>
      <c r="GM111" s="242"/>
      <c r="GN111" s="242"/>
      <c r="GO111" s="242"/>
      <c r="GP111" s="242"/>
      <c r="GQ111" s="242"/>
      <c r="GR111" s="242"/>
      <c r="GS111" s="242"/>
      <c r="GT111" s="242"/>
      <c r="GU111" s="242"/>
      <c r="GV111" s="242"/>
      <c r="GW111" s="242"/>
      <c r="GX111" s="242"/>
      <c r="GY111" s="242"/>
      <c r="GZ111" s="242"/>
      <c r="HA111" s="242"/>
      <c r="HB111" s="242"/>
      <c r="HC111" s="242"/>
      <c r="HD111" s="242"/>
      <c r="HE111" s="242"/>
      <c r="HF111" s="242"/>
      <c r="HG111" s="242"/>
      <c r="HH111" s="242"/>
      <c r="HI111" s="242"/>
      <c r="HJ111" s="242"/>
      <c r="HK111" s="242"/>
      <c r="HL111" s="242"/>
      <c r="HM111" s="242"/>
      <c r="HN111" s="242"/>
      <c r="HO111" s="242"/>
      <c r="HP111" s="242"/>
      <c r="HQ111" s="242"/>
      <c r="HR111" s="242"/>
      <c r="HS111" s="242"/>
      <c r="HT111" s="242"/>
      <c r="HU111" s="242"/>
      <c r="HV111" s="242"/>
      <c r="HW111" s="242"/>
      <c r="HX111" s="242"/>
      <c r="HY111" s="242"/>
      <c r="HZ111" s="242"/>
      <c r="IA111" s="242"/>
      <c r="IB111" s="242"/>
      <c r="IC111" s="242"/>
      <c r="ID111" s="242"/>
      <c r="IE111" s="242"/>
      <c r="IF111" s="242"/>
      <c r="IG111" s="242"/>
      <c r="IH111" s="242"/>
      <c r="II111" s="242"/>
      <c r="IJ111" s="242"/>
      <c r="IK111" s="242"/>
      <c r="IL111" s="242"/>
      <c r="IM111" s="242"/>
      <c r="IN111" s="242"/>
      <c r="IO111" s="242"/>
      <c r="IP111" s="242"/>
      <c r="IQ111" s="242"/>
      <c r="IR111" s="242"/>
      <c r="IS111" s="242"/>
      <c r="IT111" s="242"/>
      <c r="IU111" s="242"/>
      <c r="IV111" s="242"/>
      <c r="IW111" s="242"/>
    </row>
    <row r="112" customFormat="false" ht="12.6" hidden="false" customHeight="true" outlineLevel="0" collapsed="false">
      <c r="A112" s="242"/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AB112" s="242"/>
      <c r="AC112" s="242"/>
      <c r="AD112" s="184"/>
      <c r="AE112" s="242"/>
      <c r="AF112" s="242"/>
      <c r="AG112" s="242"/>
      <c r="AH112" s="242"/>
      <c r="AI112" s="242"/>
      <c r="AJ112" s="242"/>
      <c r="AK112" s="242"/>
      <c r="AL112" s="242"/>
      <c r="AM112" s="242"/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AY112" s="242"/>
      <c r="AZ112" s="242"/>
      <c r="BA112" s="242"/>
      <c r="BB112" s="242"/>
      <c r="BC112" s="242"/>
      <c r="BD112" s="242"/>
      <c r="BE112" s="242"/>
      <c r="BF112" s="242"/>
      <c r="BG112" s="242"/>
      <c r="BH112" s="242"/>
      <c r="BI112" s="242"/>
      <c r="BJ112" s="242"/>
      <c r="BK112" s="242"/>
      <c r="BL112" s="242"/>
      <c r="BM112" s="242"/>
      <c r="BN112" s="242"/>
      <c r="BO112" s="242"/>
      <c r="BP112" s="242"/>
      <c r="BQ112" s="242"/>
      <c r="BR112" s="242"/>
      <c r="BS112" s="242"/>
      <c r="BT112" s="242"/>
      <c r="BU112" s="242"/>
      <c r="BV112" s="242"/>
      <c r="BW112" s="242"/>
      <c r="BX112" s="242"/>
      <c r="BY112" s="242"/>
      <c r="BZ112" s="242"/>
      <c r="CA112" s="242"/>
      <c r="CB112" s="242"/>
      <c r="CC112" s="242"/>
      <c r="CD112" s="242"/>
      <c r="CE112" s="242"/>
      <c r="CF112" s="242"/>
      <c r="CG112" s="242"/>
      <c r="CH112" s="242"/>
      <c r="CI112" s="242"/>
      <c r="CJ112" s="242"/>
      <c r="CK112" s="242"/>
      <c r="CL112" s="242"/>
      <c r="CM112" s="242"/>
      <c r="CN112" s="242"/>
      <c r="CO112" s="242"/>
      <c r="CP112" s="242"/>
      <c r="CQ112" s="242"/>
      <c r="CR112" s="242"/>
      <c r="CS112" s="242"/>
      <c r="CT112" s="242"/>
      <c r="CU112" s="242"/>
      <c r="CV112" s="242"/>
      <c r="CW112" s="242"/>
      <c r="CX112" s="242"/>
      <c r="CY112" s="242"/>
      <c r="CZ112" s="242"/>
      <c r="DA112" s="242"/>
      <c r="DB112" s="242"/>
      <c r="DC112" s="242"/>
      <c r="DD112" s="242"/>
      <c r="DE112" s="242"/>
      <c r="DF112" s="242"/>
      <c r="DG112" s="242"/>
      <c r="DH112" s="242"/>
      <c r="DI112" s="242"/>
      <c r="DJ112" s="242"/>
      <c r="DK112" s="242"/>
      <c r="DL112" s="242"/>
      <c r="DM112" s="242"/>
      <c r="DN112" s="242"/>
      <c r="DO112" s="242"/>
      <c r="DP112" s="242"/>
      <c r="DQ112" s="242"/>
      <c r="DR112" s="242"/>
      <c r="DS112" s="242"/>
      <c r="DT112" s="242"/>
      <c r="DU112" s="242"/>
      <c r="DV112" s="242"/>
      <c r="DW112" s="242"/>
      <c r="DX112" s="242"/>
      <c r="DY112" s="242"/>
      <c r="DZ112" s="242"/>
      <c r="EA112" s="242"/>
      <c r="EB112" s="242"/>
      <c r="EC112" s="242"/>
      <c r="ED112" s="242"/>
      <c r="EE112" s="242"/>
      <c r="EF112" s="242"/>
      <c r="EG112" s="242"/>
      <c r="EH112" s="242"/>
      <c r="EI112" s="242"/>
      <c r="EJ112" s="242"/>
      <c r="EK112" s="242"/>
      <c r="EL112" s="242"/>
      <c r="EM112" s="242"/>
      <c r="EN112" s="242"/>
      <c r="EO112" s="242"/>
      <c r="EP112" s="242"/>
      <c r="EQ112" s="242"/>
      <c r="ER112" s="242"/>
      <c r="ES112" s="242"/>
      <c r="ET112" s="242"/>
      <c r="EU112" s="242"/>
      <c r="EV112" s="242"/>
      <c r="EW112" s="242"/>
      <c r="EX112" s="242"/>
      <c r="EY112" s="242"/>
      <c r="EZ112" s="242"/>
      <c r="FA112" s="242"/>
      <c r="FB112" s="242"/>
      <c r="FC112" s="242"/>
      <c r="FD112" s="242"/>
      <c r="FE112" s="242"/>
      <c r="FF112" s="242"/>
      <c r="FG112" s="242"/>
      <c r="FH112" s="242"/>
      <c r="FI112" s="242"/>
      <c r="FJ112" s="242"/>
      <c r="FK112" s="242"/>
      <c r="FL112" s="242"/>
      <c r="FM112" s="242"/>
      <c r="FN112" s="242"/>
      <c r="FO112" s="242"/>
      <c r="FP112" s="242"/>
      <c r="FQ112" s="242"/>
      <c r="FR112" s="242"/>
      <c r="FS112" s="242"/>
      <c r="FT112" s="242"/>
      <c r="FU112" s="242"/>
      <c r="FV112" s="242"/>
      <c r="FW112" s="242"/>
      <c r="FX112" s="242"/>
      <c r="FY112" s="242"/>
      <c r="FZ112" s="242"/>
      <c r="GA112" s="242"/>
      <c r="GB112" s="242"/>
      <c r="GC112" s="242"/>
      <c r="GD112" s="242"/>
      <c r="GE112" s="242"/>
      <c r="GF112" s="242"/>
      <c r="GG112" s="242"/>
      <c r="GH112" s="242"/>
      <c r="GI112" s="242"/>
      <c r="GJ112" s="242"/>
      <c r="GK112" s="242"/>
      <c r="GL112" s="242"/>
      <c r="GM112" s="242"/>
      <c r="GN112" s="242"/>
      <c r="GO112" s="242"/>
      <c r="GP112" s="242"/>
      <c r="GQ112" s="242"/>
      <c r="GR112" s="242"/>
      <c r="GS112" s="242"/>
      <c r="GT112" s="242"/>
      <c r="GU112" s="242"/>
      <c r="GV112" s="242"/>
      <c r="GW112" s="242"/>
      <c r="GX112" s="242"/>
      <c r="GY112" s="242"/>
      <c r="GZ112" s="242"/>
      <c r="HA112" s="242"/>
      <c r="HB112" s="242"/>
      <c r="HC112" s="242"/>
      <c r="HD112" s="242"/>
      <c r="HE112" s="242"/>
      <c r="HF112" s="242"/>
      <c r="HG112" s="242"/>
      <c r="HH112" s="242"/>
      <c r="HI112" s="242"/>
      <c r="HJ112" s="242"/>
      <c r="HK112" s="242"/>
      <c r="HL112" s="242"/>
      <c r="HM112" s="242"/>
      <c r="HN112" s="242"/>
      <c r="HO112" s="242"/>
      <c r="HP112" s="242"/>
      <c r="HQ112" s="242"/>
      <c r="HR112" s="242"/>
      <c r="HS112" s="242"/>
      <c r="HT112" s="242"/>
      <c r="HU112" s="242"/>
      <c r="HV112" s="242"/>
      <c r="HW112" s="242"/>
      <c r="HX112" s="242"/>
      <c r="HY112" s="242"/>
      <c r="HZ112" s="242"/>
      <c r="IA112" s="242"/>
      <c r="IB112" s="242"/>
      <c r="IC112" s="242"/>
      <c r="ID112" s="242"/>
      <c r="IE112" s="242"/>
      <c r="IF112" s="242"/>
      <c r="IG112" s="242"/>
      <c r="IH112" s="242"/>
      <c r="II112" s="242"/>
      <c r="IJ112" s="242"/>
      <c r="IK112" s="242"/>
      <c r="IL112" s="242"/>
      <c r="IM112" s="242"/>
      <c r="IN112" s="242"/>
      <c r="IO112" s="242"/>
      <c r="IP112" s="242"/>
      <c r="IQ112" s="242"/>
      <c r="IR112" s="242"/>
      <c r="IS112" s="242"/>
      <c r="IT112" s="242"/>
      <c r="IU112" s="242"/>
      <c r="IV112" s="242"/>
      <c r="IW112" s="242"/>
    </row>
    <row r="113" customFormat="false" ht="12.6" hidden="false" customHeight="true" outlineLevel="0" collapsed="false">
      <c r="A113" s="242"/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AB113" s="242"/>
      <c r="AC113" s="242"/>
      <c r="AD113" s="184"/>
      <c r="AE113" s="242"/>
      <c r="AF113" s="242"/>
      <c r="AG113" s="242"/>
      <c r="AH113" s="242"/>
      <c r="AI113" s="242"/>
      <c r="AJ113" s="242"/>
      <c r="AK113" s="242"/>
      <c r="AL113" s="242"/>
      <c r="AM113" s="242"/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AY113" s="242"/>
      <c r="AZ113" s="242"/>
      <c r="BA113" s="242"/>
      <c r="BB113" s="242"/>
      <c r="BC113" s="242"/>
      <c r="BD113" s="242"/>
      <c r="BE113" s="242"/>
      <c r="BF113" s="242"/>
      <c r="BG113" s="242"/>
      <c r="BH113" s="242"/>
      <c r="BI113" s="242"/>
      <c r="BJ113" s="242"/>
      <c r="BK113" s="242"/>
      <c r="BL113" s="242"/>
      <c r="BM113" s="242"/>
      <c r="BN113" s="242"/>
      <c r="BO113" s="242"/>
      <c r="BP113" s="242"/>
      <c r="BQ113" s="242"/>
      <c r="BR113" s="242"/>
      <c r="BS113" s="242"/>
      <c r="BT113" s="242"/>
      <c r="BU113" s="242"/>
      <c r="BV113" s="242"/>
      <c r="BW113" s="242"/>
      <c r="BX113" s="242"/>
      <c r="BY113" s="242"/>
      <c r="BZ113" s="242"/>
      <c r="CA113" s="242"/>
      <c r="CB113" s="242"/>
      <c r="CC113" s="242"/>
      <c r="CD113" s="242"/>
      <c r="CE113" s="242"/>
      <c r="CF113" s="242"/>
      <c r="CG113" s="242"/>
      <c r="CH113" s="242"/>
      <c r="CI113" s="242"/>
      <c r="CJ113" s="242"/>
      <c r="CK113" s="242"/>
      <c r="CL113" s="242"/>
      <c r="CM113" s="242"/>
      <c r="CN113" s="242"/>
      <c r="CO113" s="242"/>
      <c r="CP113" s="242"/>
      <c r="CQ113" s="242"/>
      <c r="CR113" s="242"/>
      <c r="CS113" s="242"/>
      <c r="CT113" s="242"/>
      <c r="CU113" s="242"/>
      <c r="CV113" s="242"/>
      <c r="CW113" s="242"/>
      <c r="CX113" s="242"/>
      <c r="CY113" s="242"/>
      <c r="CZ113" s="242"/>
      <c r="DA113" s="242"/>
      <c r="DB113" s="242"/>
      <c r="DC113" s="242"/>
      <c r="DD113" s="242"/>
      <c r="DE113" s="242"/>
      <c r="DF113" s="242"/>
      <c r="DG113" s="242"/>
      <c r="DH113" s="242"/>
      <c r="DI113" s="242"/>
      <c r="DJ113" s="242"/>
      <c r="DK113" s="242"/>
      <c r="DL113" s="242"/>
      <c r="DM113" s="242"/>
      <c r="DN113" s="242"/>
      <c r="DO113" s="242"/>
      <c r="DP113" s="242"/>
      <c r="DQ113" s="242"/>
      <c r="DR113" s="242"/>
      <c r="DS113" s="242"/>
      <c r="DT113" s="242"/>
      <c r="DU113" s="242"/>
      <c r="DV113" s="242"/>
      <c r="DW113" s="242"/>
      <c r="DX113" s="242"/>
      <c r="DY113" s="242"/>
      <c r="DZ113" s="242"/>
      <c r="EA113" s="242"/>
      <c r="EB113" s="242"/>
      <c r="EC113" s="242"/>
      <c r="ED113" s="242"/>
      <c r="EE113" s="242"/>
      <c r="EF113" s="242"/>
      <c r="EG113" s="242"/>
      <c r="EH113" s="242"/>
      <c r="EI113" s="242"/>
      <c r="EJ113" s="242"/>
      <c r="EK113" s="242"/>
      <c r="EL113" s="242"/>
      <c r="EM113" s="242"/>
      <c r="EN113" s="242"/>
      <c r="EO113" s="242"/>
      <c r="EP113" s="242"/>
      <c r="EQ113" s="242"/>
      <c r="ER113" s="242"/>
      <c r="ES113" s="242"/>
      <c r="ET113" s="242"/>
      <c r="EU113" s="242"/>
      <c r="EV113" s="242"/>
      <c r="EW113" s="242"/>
      <c r="EX113" s="242"/>
      <c r="EY113" s="242"/>
      <c r="EZ113" s="242"/>
      <c r="FA113" s="242"/>
      <c r="FB113" s="242"/>
      <c r="FC113" s="242"/>
      <c r="FD113" s="242"/>
      <c r="FE113" s="242"/>
      <c r="FF113" s="242"/>
      <c r="FG113" s="242"/>
      <c r="FH113" s="242"/>
      <c r="FI113" s="242"/>
      <c r="FJ113" s="242"/>
      <c r="FK113" s="242"/>
      <c r="FL113" s="242"/>
      <c r="FM113" s="242"/>
      <c r="FN113" s="242"/>
      <c r="FO113" s="242"/>
      <c r="FP113" s="242"/>
      <c r="FQ113" s="242"/>
      <c r="FR113" s="242"/>
      <c r="FS113" s="242"/>
      <c r="FT113" s="242"/>
      <c r="FU113" s="242"/>
      <c r="FV113" s="242"/>
      <c r="FW113" s="242"/>
      <c r="FX113" s="242"/>
      <c r="FY113" s="242"/>
      <c r="FZ113" s="242"/>
      <c r="GA113" s="242"/>
      <c r="GB113" s="242"/>
      <c r="GC113" s="242"/>
      <c r="GD113" s="242"/>
      <c r="GE113" s="242"/>
      <c r="GF113" s="242"/>
      <c r="GG113" s="242"/>
      <c r="GH113" s="242"/>
      <c r="GI113" s="242"/>
      <c r="GJ113" s="242"/>
      <c r="GK113" s="242"/>
      <c r="GL113" s="242"/>
      <c r="GM113" s="242"/>
      <c r="GN113" s="242"/>
      <c r="GO113" s="242"/>
      <c r="GP113" s="242"/>
      <c r="GQ113" s="242"/>
      <c r="GR113" s="242"/>
      <c r="GS113" s="242"/>
      <c r="GT113" s="242"/>
      <c r="GU113" s="242"/>
      <c r="GV113" s="242"/>
      <c r="GW113" s="242"/>
      <c r="GX113" s="242"/>
      <c r="GY113" s="242"/>
      <c r="GZ113" s="242"/>
      <c r="HA113" s="242"/>
      <c r="HB113" s="242"/>
      <c r="HC113" s="242"/>
      <c r="HD113" s="242"/>
      <c r="HE113" s="242"/>
      <c r="HF113" s="242"/>
      <c r="HG113" s="242"/>
      <c r="HH113" s="242"/>
      <c r="HI113" s="242"/>
      <c r="HJ113" s="242"/>
      <c r="HK113" s="242"/>
      <c r="HL113" s="242"/>
      <c r="HM113" s="242"/>
      <c r="HN113" s="242"/>
      <c r="HO113" s="242"/>
      <c r="HP113" s="242"/>
      <c r="HQ113" s="242"/>
      <c r="HR113" s="242"/>
      <c r="HS113" s="242"/>
      <c r="HT113" s="242"/>
      <c r="HU113" s="242"/>
      <c r="HV113" s="242"/>
      <c r="HW113" s="242"/>
      <c r="HX113" s="242"/>
      <c r="HY113" s="242"/>
      <c r="HZ113" s="242"/>
      <c r="IA113" s="242"/>
      <c r="IB113" s="242"/>
      <c r="IC113" s="242"/>
      <c r="ID113" s="242"/>
      <c r="IE113" s="242"/>
      <c r="IF113" s="242"/>
      <c r="IG113" s="242"/>
      <c r="IH113" s="242"/>
      <c r="II113" s="242"/>
      <c r="IJ113" s="242"/>
      <c r="IK113" s="242"/>
      <c r="IL113" s="242"/>
      <c r="IM113" s="242"/>
      <c r="IN113" s="242"/>
      <c r="IO113" s="242"/>
      <c r="IP113" s="242"/>
      <c r="IQ113" s="242"/>
      <c r="IR113" s="242"/>
      <c r="IS113" s="242"/>
      <c r="IT113" s="242"/>
      <c r="IU113" s="242"/>
      <c r="IV113" s="242"/>
      <c r="IW113" s="242"/>
    </row>
    <row r="114" customFormat="false" ht="12.6" hidden="false" customHeight="true" outlineLevel="0" collapsed="false">
      <c r="A114" s="242"/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AB114" s="242"/>
      <c r="AC114" s="242"/>
      <c r="AD114" s="184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C114" s="242"/>
      <c r="BD114" s="242"/>
      <c r="BE114" s="242"/>
      <c r="BF114" s="242"/>
      <c r="BG114" s="242"/>
      <c r="BH114" s="242"/>
      <c r="BI114" s="242"/>
      <c r="BJ114" s="242"/>
      <c r="BK114" s="242"/>
      <c r="BL114" s="242"/>
      <c r="BM114" s="242"/>
      <c r="BN114" s="242"/>
      <c r="BO114" s="242"/>
      <c r="BP114" s="242"/>
      <c r="BQ114" s="242"/>
      <c r="BR114" s="242"/>
      <c r="BS114" s="242"/>
      <c r="BT114" s="242"/>
      <c r="BU114" s="242"/>
      <c r="BV114" s="242"/>
      <c r="BW114" s="242"/>
      <c r="BX114" s="242"/>
      <c r="BY114" s="242"/>
      <c r="BZ114" s="242"/>
      <c r="CA114" s="242"/>
      <c r="CB114" s="242"/>
      <c r="CC114" s="242"/>
      <c r="CD114" s="242"/>
      <c r="CE114" s="242"/>
      <c r="CF114" s="242"/>
      <c r="CG114" s="242"/>
      <c r="CH114" s="242"/>
      <c r="CI114" s="242"/>
      <c r="CJ114" s="242"/>
      <c r="CK114" s="242"/>
      <c r="CL114" s="242"/>
      <c r="CM114" s="242"/>
      <c r="CN114" s="242"/>
      <c r="CO114" s="242"/>
      <c r="CP114" s="242"/>
      <c r="CQ114" s="242"/>
      <c r="CR114" s="242"/>
      <c r="CS114" s="242"/>
      <c r="CT114" s="242"/>
      <c r="CU114" s="242"/>
      <c r="CV114" s="242"/>
      <c r="CW114" s="242"/>
      <c r="CX114" s="242"/>
      <c r="CY114" s="242"/>
      <c r="CZ114" s="242"/>
      <c r="DA114" s="242"/>
      <c r="DB114" s="242"/>
      <c r="DC114" s="242"/>
      <c r="DD114" s="242"/>
      <c r="DE114" s="242"/>
      <c r="DF114" s="242"/>
      <c r="DG114" s="242"/>
      <c r="DH114" s="242"/>
      <c r="DI114" s="242"/>
      <c r="DJ114" s="242"/>
      <c r="DK114" s="242"/>
      <c r="DL114" s="242"/>
      <c r="DM114" s="242"/>
      <c r="DN114" s="242"/>
      <c r="DO114" s="242"/>
      <c r="DP114" s="242"/>
      <c r="DQ114" s="242"/>
      <c r="DR114" s="242"/>
      <c r="DS114" s="242"/>
      <c r="DT114" s="242"/>
      <c r="DU114" s="242"/>
      <c r="DV114" s="242"/>
      <c r="DW114" s="242"/>
      <c r="DX114" s="242"/>
      <c r="DY114" s="242"/>
      <c r="DZ114" s="242"/>
      <c r="EA114" s="242"/>
      <c r="EB114" s="242"/>
      <c r="EC114" s="242"/>
      <c r="ED114" s="242"/>
      <c r="EE114" s="242"/>
      <c r="EF114" s="242"/>
      <c r="EG114" s="242"/>
      <c r="EH114" s="242"/>
      <c r="EI114" s="242"/>
      <c r="EJ114" s="242"/>
      <c r="EK114" s="242"/>
      <c r="EL114" s="242"/>
      <c r="EM114" s="242"/>
      <c r="EN114" s="242"/>
      <c r="EO114" s="242"/>
      <c r="EP114" s="242"/>
      <c r="EQ114" s="242"/>
      <c r="ER114" s="242"/>
      <c r="ES114" s="242"/>
      <c r="ET114" s="242"/>
      <c r="EU114" s="242"/>
      <c r="EV114" s="242"/>
      <c r="EW114" s="242"/>
      <c r="EX114" s="242"/>
      <c r="EY114" s="242"/>
      <c r="EZ114" s="242"/>
      <c r="FA114" s="242"/>
      <c r="FB114" s="242"/>
      <c r="FC114" s="242"/>
      <c r="FD114" s="242"/>
      <c r="FE114" s="242"/>
      <c r="FF114" s="242"/>
      <c r="FG114" s="242"/>
      <c r="FH114" s="242"/>
      <c r="FI114" s="242"/>
      <c r="FJ114" s="242"/>
      <c r="FK114" s="242"/>
      <c r="FL114" s="242"/>
      <c r="FM114" s="242"/>
      <c r="FN114" s="242"/>
      <c r="FO114" s="242"/>
      <c r="FP114" s="242"/>
      <c r="FQ114" s="242"/>
      <c r="FR114" s="242"/>
      <c r="FS114" s="242"/>
      <c r="FT114" s="242"/>
      <c r="FU114" s="242"/>
      <c r="FV114" s="242"/>
      <c r="FW114" s="242"/>
      <c r="FX114" s="242"/>
      <c r="FY114" s="242"/>
      <c r="FZ114" s="242"/>
      <c r="GA114" s="242"/>
      <c r="GB114" s="242"/>
      <c r="GC114" s="242"/>
      <c r="GD114" s="242"/>
      <c r="GE114" s="242"/>
      <c r="GF114" s="242"/>
      <c r="GG114" s="242"/>
      <c r="GH114" s="242"/>
      <c r="GI114" s="242"/>
      <c r="GJ114" s="242"/>
      <c r="GK114" s="242"/>
      <c r="GL114" s="242"/>
      <c r="GM114" s="242"/>
      <c r="GN114" s="242"/>
      <c r="GO114" s="242"/>
      <c r="GP114" s="242"/>
      <c r="GQ114" s="242"/>
      <c r="GR114" s="242"/>
      <c r="GS114" s="242"/>
      <c r="GT114" s="242"/>
      <c r="GU114" s="242"/>
      <c r="GV114" s="242"/>
      <c r="GW114" s="242"/>
      <c r="GX114" s="242"/>
      <c r="GY114" s="242"/>
      <c r="GZ114" s="242"/>
      <c r="HA114" s="242"/>
      <c r="HB114" s="242"/>
      <c r="HC114" s="242"/>
      <c r="HD114" s="242"/>
      <c r="HE114" s="242"/>
      <c r="HF114" s="242"/>
      <c r="HG114" s="242"/>
      <c r="HH114" s="242"/>
      <c r="HI114" s="242"/>
      <c r="HJ114" s="242"/>
      <c r="HK114" s="242"/>
      <c r="HL114" s="242"/>
      <c r="HM114" s="242"/>
      <c r="HN114" s="242"/>
      <c r="HO114" s="242"/>
      <c r="HP114" s="242"/>
      <c r="HQ114" s="242"/>
      <c r="HR114" s="242"/>
      <c r="HS114" s="242"/>
      <c r="HT114" s="242"/>
      <c r="HU114" s="242"/>
      <c r="HV114" s="242"/>
      <c r="HW114" s="242"/>
      <c r="HX114" s="242"/>
      <c r="HY114" s="242"/>
      <c r="HZ114" s="242"/>
      <c r="IA114" s="242"/>
      <c r="IB114" s="242"/>
      <c r="IC114" s="242"/>
      <c r="ID114" s="242"/>
      <c r="IE114" s="242"/>
      <c r="IF114" s="242"/>
      <c r="IG114" s="242"/>
      <c r="IH114" s="242"/>
      <c r="II114" s="242"/>
      <c r="IJ114" s="242"/>
      <c r="IK114" s="242"/>
      <c r="IL114" s="242"/>
      <c r="IM114" s="242"/>
      <c r="IN114" s="242"/>
      <c r="IO114" s="242"/>
      <c r="IP114" s="242"/>
      <c r="IQ114" s="242"/>
      <c r="IR114" s="242"/>
      <c r="IS114" s="242"/>
      <c r="IT114" s="242"/>
      <c r="IU114" s="242"/>
      <c r="IV114" s="242"/>
      <c r="IW114" s="242"/>
    </row>
    <row r="115" customFormat="false" ht="12.6" hidden="false" customHeight="true" outlineLevel="0" collapsed="false">
      <c r="A115" s="242"/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AB115" s="242"/>
      <c r="AC115" s="242"/>
      <c r="AD115" s="184"/>
      <c r="AE115" s="242"/>
      <c r="AF115" s="242"/>
      <c r="AG115" s="242"/>
      <c r="AH115" s="242"/>
      <c r="AI115" s="242"/>
      <c r="AJ115" s="242"/>
      <c r="AK115" s="242"/>
      <c r="AL115" s="242"/>
      <c r="AM115" s="242"/>
      <c r="AN115" s="242"/>
      <c r="AO115" s="242"/>
      <c r="AP115" s="242"/>
      <c r="AQ115" s="242"/>
      <c r="AR115" s="242"/>
      <c r="AS115" s="242"/>
      <c r="AT115" s="242"/>
      <c r="AU115" s="242"/>
      <c r="AV115" s="242"/>
      <c r="AW115" s="242"/>
      <c r="AX115" s="242"/>
      <c r="AY115" s="242"/>
      <c r="AZ115" s="242"/>
      <c r="BA115" s="242"/>
      <c r="BB115" s="242"/>
      <c r="BC115" s="242"/>
      <c r="BD115" s="242"/>
      <c r="BE115" s="242"/>
      <c r="BF115" s="242"/>
      <c r="BG115" s="242"/>
      <c r="BH115" s="242"/>
      <c r="BI115" s="242"/>
      <c r="BJ115" s="242"/>
      <c r="BK115" s="242"/>
      <c r="BL115" s="242"/>
      <c r="BM115" s="242"/>
      <c r="BN115" s="242"/>
      <c r="BO115" s="242"/>
      <c r="BP115" s="242"/>
      <c r="BQ115" s="242"/>
      <c r="BR115" s="242"/>
      <c r="BS115" s="242"/>
      <c r="BT115" s="242"/>
      <c r="BU115" s="242"/>
      <c r="BV115" s="242"/>
      <c r="BW115" s="242"/>
      <c r="BX115" s="242"/>
      <c r="BY115" s="242"/>
      <c r="BZ115" s="242"/>
      <c r="CA115" s="242"/>
      <c r="CB115" s="242"/>
      <c r="CC115" s="242"/>
      <c r="CD115" s="242"/>
      <c r="CE115" s="242"/>
      <c r="CF115" s="242"/>
      <c r="CG115" s="242"/>
      <c r="CH115" s="242"/>
      <c r="CI115" s="242"/>
      <c r="CJ115" s="242"/>
      <c r="CK115" s="242"/>
      <c r="CL115" s="242"/>
      <c r="CM115" s="242"/>
      <c r="CN115" s="242"/>
      <c r="CO115" s="242"/>
      <c r="CP115" s="242"/>
      <c r="CQ115" s="242"/>
      <c r="CR115" s="242"/>
      <c r="CS115" s="242"/>
      <c r="CT115" s="242"/>
      <c r="CU115" s="242"/>
      <c r="CV115" s="242"/>
      <c r="CW115" s="242"/>
      <c r="CX115" s="242"/>
      <c r="CY115" s="242"/>
      <c r="CZ115" s="242"/>
      <c r="DA115" s="242"/>
      <c r="DB115" s="242"/>
      <c r="DC115" s="242"/>
      <c r="DD115" s="242"/>
      <c r="DE115" s="242"/>
      <c r="DF115" s="242"/>
      <c r="DG115" s="242"/>
      <c r="DH115" s="242"/>
      <c r="DI115" s="242"/>
      <c r="DJ115" s="242"/>
      <c r="DK115" s="242"/>
      <c r="DL115" s="242"/>
      <c r="DM115" s="242"/>
      <c r="DN115" s="242"/>
      <c r="DO115" s="242"/>
      <c r="DP115" s="242"/>
      <c r="DQ115" s="242"/>
      <c r="DR115" s="242"/>
      <c r="DS115" s="242"/>
      <c r="DT115" s="242"/>
      <c r="DU115" s="242"/>
      <c r="DV115" s="242"/>
      <c r="DW115" s="242"/>
      <c r="DX115" s="242"/>
      <c r="DY115" s="242"/>
      <c r="DZ115" s="242"/>
      <c r="EA115" s="242"/>
      <c r="EB115" s="242"/>
      <c r="EC115" s="242"/>
      <c r="ED115" s="242"/>
      <c r="EE115" s="242"/>
      <c r="EF115" s="242"/>
      <c r="EG115" s="242"/>
      <c r="EH115" s="242"/>
      <c r="EI115" s="242"/>
      <c r="EJ115" s="242"/>
      <c r="EK115" s="242"/>
      <c r="EL115" s="242"/>
      <c r="EM115" s="242"/>
      <c r="EN115" s="242"/>
      <c r="EO115" s="242"/>
      <c r="EP115" s="242"/>
      <c r="EQ115" s="242"/>
      <c r="ER115" s="242"/>
      <c r="ES115" s="242"/>
      <c r="ET115" s="242"/>
      <c r="EU115" s="242"/>
      <c r="EV115" s="242"/>
      <c r="EW115" s="242"/>
      <c r="EX115" s="242"/>
      <c r="EY115" s="242"/>
      <c r="EZ115" s="242"/>
      <c r="FA115" s="242"/>
      <c r="FB115" s="242"/>
      <c r="FC115" s="242"/>
      <c r="FD115" s="242"/>
      <c r="FE115" s="242"/>
      <c r="FF115" s="242"/>
      <c r="FG115" s="242"/>
      <c r="FH115" s="242"/>
      <c r="FI115" s="242"/>
      <c r="FJ115" s="242"/>
      <c r="FK115" s="242"/>
      <c r="FL115" s="242"/>
      <c r="FM115" s="242"/>
      <c r="FN115" s="242"/>
      <c r="FO115" s="242"/>
      <c r="FP115" s="242"/>
      <c r="FQ115" s="242"/>
      <c r="FR115" s="242"/>
      <c r="FS115" s="242"/>
      <c r="FT115" s="242"/>
      <c r="FU115" s="242"/>
      <c r="FV115" s="242"/>
      <c r="FW115" s="242"/>
      <c r="FX115" s="242"/>
      <c r="FY115" s="242"/>
      <c r="FZ115" s="242"/>
      <c r="GA115" s="242"/>
      <c r="GB115" s="242"/>
      <c r="GC115" s="242"/>
      <c r="GD115" s="242"/>
      <c r="GE115" s="242"/>
      <c r="GF115" s="242"/>
      <c r="GG115" s="242"/>
      <c r="GH115" s="242"/>
      <c r="GI115" s="242"/>
      <c r="GJ115" s="242"/>
      <c r="GK115" s="242"/>
      <c r="GL115" s="242"/>
      <c r="GM115" s="242"/>
      <c r="GN115" s="242"/>
      <c r="GO115" s="242"/>
      <c r="GP115" s="242"/>
      <c r="GQ115" s="242"/>
      <c r="GR115" s="242"/>
      <c r="GS115" s="242"/>
      <c r="GT115" s="242"/>
      <c r="GU115" s="242"/>
      <c r="GV115" s="242"/>
      <c r="GW115" s="242"/>
      <c r="GX115" s="242"/>
      <c r="GY115" s="242"/>
      <c r="GZ115" s="242"/>
      <c r="HA115" s="242"/>
      <c r="HB115" s="242"/>
      <c r="HC115" s="242"/>
      <c r="HD115" s="242"/>
      <c r="HE115" s="242"/>
      <c r="HF115" s="242"/>
      <c r="HG115" s="242"/>
      <c r="HH115" s="242"/>
      <c r="HI115" s="242"/>
      <c r="HJ115" s="242"/>
      <c r="HK115" s="242"/>
      <c r="HL115" s="242"/>
      <c r="HM115" s="242"/>
      <c r="HN115" s="242"/>
      <c r="HO115" s="242"/>
      <c r="HP115" s="242"/>
      <c r="HQ115" s="242"/>
      <c r="HR115" s="242"/>
      <c r="HS115" s="242"/>
      <c r="HT115" s="242"/>
      <c r="HU115" s="242"/>
      <c r="HV115" s="242"/>
      <c r="HW115" s="242"/>
      <c r="HX115" s="242"/>
      <c r="HY115" s="242"/>
      <c r="HZ115" s="242"/>
      <c r="IA115" s="242"/>
      <c r="IB115" s="242"/>
      <c r="IC115" s="242"/>
      <c r="ID115" s="242"/>
      <c r="IE115" s="242"/>
      <c r="IF115" s="242"/>
      <c r="IG115" s="242"/>
      <c r="IH115" s="242"/>
      <c r="II115" s="242"/>
      <c r="IJ115" s="242"/>
      <c r="IK115" s="242"/>
      <c r="IL115" s="242"/>
      <c r="IM115" s="242"/>
      <c r="IN115" s="242"/>
      <c r="IO115" s="242"/>
      <c r="IP115" s="242"/>
      <c r="IQ115" s="242"/>
      <c r="IR115" s="242"/>
      <c r="IS115" s="242"/>
      <c r="IT115" s="242"/>
      <c r="IU115" s="242"/>
      <c r="IV115" s="242"/>
      <c r="IW115" s="242"/>
    </row>
    <row r="116" customFormat="false" ht="12.6" hidden="false" customHeight="true" outlineLevel="0" collapsed="false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4"/>
      <c r="CL116" s="184"/>
      <c r="CM116" s="184"/>
      <c r="CN116" s="184"/>
      <c r="CO116" s="184"/>
      <c r="CP116" s="184"/>
      <c r="CQ116" s="184"/>
      <c r="CR116" s="184"/>
      <c r="CS116" s="184"/>
      <c r="CT116" s="184"/>
      <c r="CU116" s="184"/>
      <c r="CV116" s="184"/>
      <c r="CW116" s="184"/>
      <c r="CX116" s="184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4"/>
      <c r="DM116" s="184"/>
      <c r="DN116" s="184"/>
      <c r="DO116" s="184"/>
      <c r="DP116" s="184"/>
      <c r="DQ116" s="184"/>
      <c r="DR116" s="184"/>
      <c r="DS116" s="184"/>
      <c r="DT116" s="184"/>
      <c r="DU116" s="184"/>
      <c r="DV116" s="184"/>
      <c r="DW116" s="184"/>
      <c r="DX116" s="184"/>
      <c r="DY116" s="184"/>
      <c r="DZ116" s="184"/>
      <c r="EA116" s="184"/>
      <c r="EB116" s="184"/>
      <c r="EC116" s="184"/>
      <c r="ED116" s="184"/>
      <c r="EE116" s="184"/>
      <c r="EF116" s="184"/>
      <c r="EG116" s="184"/>
      <c r="EH116" s="184"/>
      <c r="EI116" s="184"/>
      <c r="EJ116" s="184"/>
      <c r="EK116" s="184"/>
      <c r="EL116" s="184"/>
      <c r="EM116" s="184"/>
      <c r="EN116" s="184"/>
      <c r="EO116" s="184"/>
      <c r="EP116" s="184"/>
      <c r="EQ116" s="184"/>
      <c r="ER116" s="184"/>
      <c r="ES116" s="184"/>
      <c r="ET116" s="184"/>
      <c r="EU116" s="184"/>
      <c r="EV116" s="184"/>
      <c r="EW116" s="184"/>
      <c r="EX116" s="184"/>
      <c r="EY116" s="184"/>
      <c r="EZ116" s="184"/>
      <c r="FA116" s="184"/>
      <c r="FB116" s="184"/>
      <c r="FC116" s="184"/>
      <c r="FD116" s="184"/>
      <c r="FE116" s="184"/>
      <c r="FF116" s="184"/>
      <c r="FG116" s="184"/>
      <c r="FH116" s="184"/>
      <c r="FI116" s="184"/>
      <c r="FJ116" s="184"/>
      <c r="FK116" s="184"/>
      <c r="FL116" s="184"/>
      <c r="FM116" s="184"/>
      <c r="FN116" s="184"/>
      <c r="FO116" s="184"/>
      <c r="FP116" s="184"/>
      <c r="FQ116" s="184"/>
      <c r="FR116" s="184"/>
      <c r="FS116" s="184"/>
      <c r="FT116" s="184"/>
      <c r="FU116" s="184"/>
      <c r="FV116" s="184"/>
      <c r="FW116" s="184"/>
      <c r="FX116" s="184"/>
      <c r="FY116" s="184"/>
      <c r="FZ116" s="184"/>
      <c r="GA116" s="184"/>
      <c r="GB116" s="184"/>
      <c r="GC116" s="184"/>
      <c r="GD116" s="184"/>
      <c r="GE116" s="184"/>
      <c r="GF116" s="184"/>
      <c r="GG116" s="184"/>
      <c r="GH116" s="184"/>
      <c r="GI116" s="184"/>
      <c r="GJ116" s="184"/>
      <c r="GK116" s="184"/>
      <c r="GL116" s="184"/>
      <c r="GM116" s="184"/>
      <c r="GN116" s="184"/>
      <c r="GO116" s="184"/>
      <c r="GP116" s="184"/>
      <c r="GQ116" s="184"/>
      <c r="GR116" s="184"/>
      <c r="GS116" s="184"/>
      <c r="GT116" s="184"/>
      <c r="GU116" s="184"/>
      <c r="GV116" s="184"/>
      <c r="GW116" s="184"/>
      <c r="GX116" s="184"/>
      <c r="GY116" s="184"/>
      <c r="GZ116" s="184"/>
      <c r="HA116" s="184"/>
      <c r="HB116" s="184"/>
      <c r="HC116" s="184"/>
      <c r="HD116" s="184"/>
      <c r="HE116" s="184"/>
      <c r="HF116" s="184"/>
      <c r="HG116" s="184"/>
      <c r="HH116" s="184"/>
      <c r="HI116" s="184"/>
      <c r="HJ116" s="184"/>
      <c r="HK116" s="184"/>
      <c r="HL116" s="184"/>
      <c r="HM116" s="184"/>
      <c r="HN116" s="184"/>
      <c r="HO116" s="184"/>
      <c r="HP116" s="184"/>
      <c r="HQ116" s="184"/>
      <c r="HR116" s="184"/>
      <c r="HS116" s="184"/>
      <c r="HT116" s="184"/>
      <c r="HU116" s="184"/>
      <c r="HV116" s="184"/>
      <c r="HW116" s="184"/>
      <c r="HX116" s="184"/>
      <c r="HY116" s="184"/>
      <c r="HZ116" s="184"/>
      <c r="IA116" s="184"/>
      <c r="IB116" s="184"/>
      <c r="IC116" s="184"/>
      <c r="ID116" s="184"/>
      <c r="IE116" s="184"/>
      <c r="IF116" s="184"/>
      <c r="IG116" s="184"/>
      <c r="IH116" s="184"/>
      <c r="II116" s="184"/>
      <c r="IJ116" s="184"/>
      <c r="IK116" s="184"/>
      <c r="IL116" s="184"/>
      <c r="IM116" s="184"/>
      <c r="IN116" s="184"/>
      <c r="IO116" s="184"/>
      <c r="IP116" s="184"/>
      <c r="IQ116" s="184"/>
      <c r="IR116" s="184"/>
      <c r="IS116" s="184"/>
      <c r="IT116" s="184"/>
      <c r="IU116" s="184"/>
      <c r="IV116" s="184"/>
      <c r="IW116" s="184"/>
    </row>
    <row r="117" customFormat="false" ht="12.6" hidden="false" customHeight="true" outlineLevel="0" collapsed="false">
      <c r="A117" s="184"/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84"/>
      <c r="BI117" s="184"/>
      <c r="BJ117" s="184"/>
      <c r="BK117" s="184"/>
      <c r="BL117" s="184"/>
      <c r="BM117" s="184"/>
      <c r="BN117" s="184"/>
      <c r="BO117" s="184"/>
      <c r="BP117" s="184"/>
      <c r="BQ117" s="184"/>
      <c r="BR117" s="184"/>
      <c r="BS117" s="184"/>
      <c r="BT117" s="184"/>
      <c r="BU117" s="184"/>
      <c r="BV117" s="184"/>
      <c r="BW117" s="184"/>
      <c r="BX117" s="184"/>
      <c r="BY117" s="184"/>
      <c r="BZ117" s="184"/>
      <c r="CA117" s="184"/>
      <c r="CB117" s="184"/>
      <c r="CC117" s="184"/>
      <c r="CD117" s="184"/>
      <c r="CE117" s="184"/>
      <c r="CF117" s="184"/>
      <c r="CG117" s="184"/>
      <c r="CH117" s="184"/>
      <c r="CI117" s="184"/>
      <c r="CJ117" s="184"/>
      <c r="CK117" s="184"/>
      <c r="CL117" s="184"/>
      <c r="CM117" s="184"/>
      <c r="CN117" s="184"/>
      <c r="CO117" s="184"/>
      <c r="CP117" s="184"/>
      <c r="CQ117" s="184"/>
      <c r="CR117" s="184"/>
      <c r="CS117" s="184"/>
      <c r="CT117" s="184"/>
      <c r="CU117" s="184"/>
      <c r="CV117" s="184"/>
      <c r="CW117" s="184"/>
      <c r="CX117" s="184"/>
      <c r="CY117" s="184"/>
      <c r="CZ117" s="184"/>
      <c r="DA117" s="184"/>
      <c r="DB117" s="184"/>
      <c r="DC117" s="184"/>
      <c r="DD117" s="184"/>
      <c r="DE117" s="184"/>
      <c r="DF117" s="184"/>
      <c r="DG117" s="184"/>
      <c r="DH117" s="184"/>
      <c r="DI117" s="184"/>
      <c r="DJ117" s="184"/>
      <c r="DK117" s="184"/>
      <c r="DL117" s="184"/>
      <c r="DM117" s="184"/>
      <c r="DN117" s="184"/>
      <c r="DO117" s="184"/>
      <c r="DP117" s="184"/>
      <c r="DQ117" s="184"/>
      <c r="DR117" s="184"/>
      <c r="DS117" s="184"/>
      <c r="DT117" s="184"/>
      <c r="DU117" s="184"/>
      <c r="DV117" s="184"/>
      <c r="DW117" s="184"/>
      <c r="DX117" s="184"/>
      <c r="DY117" s="184"/>
      <c r="DZ117" s="184"/>
      <c r="EA117" s="184"/>
      <c r="EB117" s="184"/>
      <c r="EC117" s="184"/>
      <c r="ED117" s="184"/>
      <c r="EE117" s="184"/>
      <c r="EF117" s="184"/>
      <c r="EG117" s="184"/>
      <c r="EH117" s="184"/>
      <c r="EI117" s="184"/>
      <c r="EJ117" s="184"/>
      <c r="EK117" s="184"/>
      <c r="EL117" s="184"/>
      <c r="EM117" s="184"/>
      <c r="EN117" s="184"/>
      <c r="EO117" s="184"/>
      <c r="EP117" s="184"/>
      <c r="EQ117" s="184"/>
      <c r="ER117" s="184"/>
      <c r="ES117" s="184"/>
      <c r="ET117" s="184"/>
      <c r="EU117" s="184"/>
      <c r="EV117" s="184"/>
      <c r="EW117" s="184"/>
      <c r="EX117" s="184"/>
      <c r="EY117" s="184"/>
      <c r="EZ117" s="184"/>
      <c r="FA117" s="184"/>
      <c r="FB117" s="184"/>
      <c r="FC117" s="184"/>
      <c r="FD117" s="184"/>
      <c r="FE117" s="184"/>
      <c r="FF117" s="184"/>
      <c r="FG117" s="184"/>
      <c r="FH117" s="184"/>
      <c r="FI117" s="184"/>
      <c r="FJ117" s="184"/>
      <c r="FK117" s="184"/>
      <c r="FL117" s="184"/>
      <c r="FM117" s="184"/>
      <c r="FN117" s="184"/>
      <c r="FO117" s="184"/>
      <c r="FP117" s="184"/>
      <c r="FQ117" s="184"/>
      <c r="FR117" s="184"/>
      <c r="FS117" s="184"/>
      <c r="FT117" s="184"/>
      <c r="FU117" s="184"/>
      <c r="FV117" s="184"/>
      <c r="FW117" s="184"/>
      <c r="FX117" s="184"/>
      <c r="FY117" s="184"/>
      <c r="FZ117" s="184"/>
      <c r="GA117" s="184"/>
      <c r="GB117" s="184"/>
      <c r="GC117" s="184"/>
      <c r="GD117" s="184"/>
      <c r="GE117" s="184"/>
      <c r="GF117" s="184"/>
      <c r="GG117" s="184"/>
      <c r="GH117" s="184"/>
      <c r="GI117" s="184"/>
      <c r="GJ117" s="184"/>
      <c r="GK117" s="184"/>
      <c r="GL117" s="184"/>
      <c r="GM117" s="184"/>
      <c r="GN117" s="184"/>
      <c r="GO117" s="184"/>
      <c r="GP117" s="184"/>
      <c r="GQ117" s="184"/>
      <c r="GR117" s="184"/>
      <c r="GS117" s="184"/>
      <c r="GT117" s="184"/>
      <c r="GU117" s="184"/>
      <c r="GV117" s="184"/>
      <c r="GW117" s="184"/>
      <c r="GX117" s="184"/>
      <c r="GY117" s="184"/>
      <c r="GZ117" s="184"/>
      <c r="HA117" s="184"/>
      <c r="HB117" s="184"/>
      <c r="HC117" s="184"/>
      <c r="HD117" s="184"/>
      <c r="HE117" s="184"/>
      <c r="HF117" s="184"/>
      <c r="HG117" s="184"/>
      <c r="HH117" s="184"/>
      <c r="HI117" s="184"/>
      <c r="HJ117" s="184"/>
      <c r="HK117" s="184"/>
      <c r="HL117" s="184"/>
      <c r="HM117" s="184"/>
      <c r="HN117" s="184"/>
      <c r="HO117" s="184"/>
      <c r="HP117" s="184"/>
      <c r="HQ117" s="184"/>
      <c r="HR117" s="184"/>
      <c r="HS117" s="184"/>
      <c r="HT117" s="184"/>
      <c r="HU117" s="184"/>
      <c r="HV117" s="184"/>
      <c r="HW117" s="184"/>
      <c r="HX117" s="184"/>
      <c r="HY117" s="184"/>
      <c r="HZ117" s="184"/>
      <c r="IA117" s="184"/>
      <c r="IB117" s="184"/>
      <c r="IC117" s="184"/>
      <c r="ID117" s="184"/>
      <c r="IE117" s="184"/>
      <c r="IF117" s="184"/>
      <c r="IG117" s="184"/>
      <c r="IH117" s="184"/>
      <c r="II117" s="184"/>
      <c r="IJ117" s="184"/>
      <c r="IK117" s="184"/>
      <c r="IL117" s="184"/>
      <c r="IM117" s="184"/>
      <c r="IN117" s="184"/>
      <c r="IO117" s="184"/>
      <c r="IP117" s="184"/>
      <c r="IQ117" s="184"/>
      <c r="IR117" s="184"/>
      <c r="IS117" s="184"/>
      <c r="IT117" s="184"/>
      <c r="IU117" s="184"/>
      <c r="IV117" s="184"/>
      <c r="IW117" s="184"/>
    </row>
    <row r="118" customFormat="false" ht="12.6" hidden="false" customHeight="true" outlineLevel="0" collapsed="false">
      <c r="A118" s="18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  <c r="BI118" s="184"/>
      <c r="BJ118" s="184"/>
      <c r="BK118" s="184"/>
      <c r="BL118" s="184"/>
      <c r="BM118" s="184"/>
      <c r="BN118" s="184"/>
      <c r="BO118" s="184"/>
      <c r="BP118" s="184"/>
      <c r="BQ118" s="184"/>
      <c r="BR118" s="184"/>
      <c r="BS118" s="184"/>
      <c r="BT118" s="184"/>
      <c r="BU118" s="184"/>
      <c r="BV118" s="184"/>
      <c r="BW118" s="184"/>
      <c r="BX118" s="184"/>
      <c r="BY118" s="184"/>
      <c r="BZ118" s="184"/>
      <c r="CA118" s="184"/>
      <c r="CB118" s="184"/>
      <c r="CC118" s="184"/>
      <c r="CD118" s="184"/>
      <c r="CE118" s="184"/>
      <c r="CF118" s="184"/>
      <c r="CG118" s="184"/>
      <c r="CH118" s="184"/>
      <c r="CI118" s="184"/>
      <c r="CJ118" s="184"/>
      <c r="CK118" s="184"/>
      <c r="CL118" s="184"/>
      <c r="CM118" s="184"/>
      <c r="CN118" s="184"/>
      <c r="CO118" s="184"/>
      <c r="CP118" s="184"/>
      <c r="CQ118" s="184"/>
      <c r="CR118" s="184"/>
      <c r="CS118" s="184"/>
      <c r="CT118" s="184"/>
      <c r="CU118" s="184"/>
      <c r="CV118" s="184"/>
      <c r="CW118" s="184"/>
      <c r="CX118" s="184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4"/>
      <c r="DM118" s="184"/>
      <c r="DN118" s="184"/>
      <c r="DO118" s="184"/>
      <c r="DP118" s="184"/>
      <c r="DQ118" s="184"/>
      <c r="DR118" s="184"/>
      <c r="DS118" s="184"/>
      <c r="DT118" s="184"/>
      <c r="DU118" s="184"/>
      <c r="DV118" s="184"/>
      <c r="DW118" s="184"/>
      <c r="DX118" s="184"/>
      <c r="DY118" s="184"/>
      <c r="DZ118" s="184"/>
      <c r="EA118" s="184"/>
      <c r="EB118" s="184"/>
      <c r="EC118" s="184"/>
      <c r="ED118" s="184"/>
      <c r="EE118" s="184"/>
      <c r="EF118" s="184"/>
      <c r="EG118" s="184"/>
      <c r="EH118" s="184"/>
      <c r="EI118" s="184"/>
      <c r="EJ118" s="184"/>
      <c r="EK118" s="184"/>
      <c r="EL118" s="184"/>
      <c r="EM118" s="184"/>
      <c r="EN118" s="184"/>
      <c r="EO118" s="184"/>
      <c r="EP118" s="184"/>
      <c r="EQ118" s="184"/>
      <c r="ER118" s="184"/>
      <c r="ES118" s="184"/>
      <c r="ET118" s="184"/>
      <c r="EU118" s="184"/>
      <c r="EV118" s="184"/>
      <c r="EW118" s="184"/>
      <c r="EX118" s="184"/>
      <c r="EY118" s="184"/>
      <c r="EZ118" s="184"/>
      <c r="FA118" s="184"/>
      <c r="FB118" s="184"/>
      <c r="FC118" s="184"/>
      <c r="FD118" s="184"/>
      <c r="FE118" s="184"/>
      <c r="FF118" s="184"/>
      <c r="FG118" s="184"/>
      <c r="FH118" s="184"/>
      <c r="FI118" s="184"/>
      <c r="FJ118" s="184"/>
      <c r="FK118" s="184"/>
      <c r="FL118" s="184"/>
      <c r="FM118" s="184"/>
      <c r="FN118" s="184"/>
      <c r="FO118" s="184"/>
      <c r="FP118" s="184"/>
      <c r="FQ118" s="184"/>
      <c r="FR118" s="184"/>
      <c r="FS118" s="184"/>
      <c r="FT118" s="184"/>
      <c r="FU118" s="184"/>
      <c r="FV118" s="184"/>
      <c r="FW118" s="184"/>
      <c r="FX118" s="184"/>
      <c r="FY118" s="184"/>
      <c r="FZ118" s="184"/>
      <c r="GA118" s="184"/>
      <c r="GB118" s="184"/>
      <c r="GC118" s="184"/>
      <c r="GD118" s="184"/>
      <c r="GE118" s="184"/>
      <c r="GF118" s="184"/>
      <c r="GG118" s="184"/>
      <c r="GH118" s="184"/>
      <c r="GI118" s="184"/>
      <c r="GJ118" s="184"/>
      <c r="GK118" s="184"/>
      <c r="GL118" s="184"/>
      <c r="GM118" s="184"/>
      <c r="GN118" s="184"/>
      <c r="GO118" s="184"/>
      <c r="GP118" s="184"/>
      <c r="GQ118" s="184"/>
      <c r="GR118" s="184"/>
      <c r="GS118" s="184"/>
      <c r="GT118" s="184"/>
      <c r="GU118" s="184"/>
      <c r="GV118" s="184"/>
      <c r="GW118" s="184"/>
      <c r="GX118" s="184"/>
      <c r="GY118" s="184"/>
      <c r="GZ118" s="184"/>
      <c r="HA118" s="184"/>
      <c r="HB118" s="184"/>
      <c r="HC118" s="184"/>
      <c r="HD118" s="184"/>
      <c r="HE118" s="184"/>
      <c r="HF118" s="184"/>
      <c r="HG118" s="184"/>
      <c r="HH118" s="184"/>
      <c r="HI118" s="184"/>
      <c r="HJ118" s="184"/>
      <c r="HK118" s="184"/>
      <c r="HL118" s="184"/>
      <c r="HM118" s="184"/>
      <c r="HN118" s="184"/>
      <c r="HO118" s="184"/>
      <c r="HP118" s="184"/>
      <c r="HQ118" s="184"/>
      <c r="HR118" s="184"/>
      <c r="HS118" s="184"/>
      <c r="HT118" s="184"/>
      <c r="HU118" s="184"/>
      <c r="HV118" s="184"/>
      <c r="HW118" s="184"/>
      <c r="HX118" s="184"/>
      <c r="HY118" s="184"/>
      <c r="HZ118" s="184"/>
      <c r="IA118" s="184"/>
      <c r="IB118" s="184"/>
      <c r="IC118" s="184"/>
      <c r="ID118" s="184"/>
      <c r="IE118" s="184"/>
      <c r="IF118" s="184"/>
      <c r="IG118" s="184"/>
      <c r="IH118" s="184"/>
      <c r="II118" s="184"/>
      <c r="IJ118" s="184"/>
      <c r="IK118" s="184"/>
      <c r="IL118" s="184"/>
      <c r="IM118" s="184"/>
      <c r="IN118" s="184"/>
      <c r="IO118" s="184"/>
      <c r="IP118" s="184"/>
      <c r="IQ118" s="184"/>
      <c r="IR118" s="184"/>
      <c r="IS118" s="184"/>
      <c r="IT118" s="184"/>
      <c r="IU118" s="184"/>
      <c r="IV118" s="184"/>
      <c r="IW118" s="184"/>
    </row>
    <row r="119" customFormat="false" ht="12.6" hidden="false" customHeight="true" outlineLevel="0" collapsed="false">
      <c r="A119" s="184"/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4"/>
      <c r="BN119" s="184"/>
      <c r="BO119" s="184"/>
      <c r="BP119" s="184"/>
      <c r="BQ119" s="184"/>
      <c r="BR119" s="184"/>
      <c r="BS119" s="184"/>
      <c r="BT119" s="184"/>
      <c r="BU119" s="184"/>
      <c r="BV119" s="184"/>
      <c r="BW119" s="184"/>
      <c r="BX119" s="184"/>
      <c r="BY119" s="184"/>
      <c r="BZ119" s="184"/>
      <c r="CA119" s="184"/>
      <c r="CB119" s="184"/>
      <c r="CC119" s="184"/>
      <c r="CD119" s="184"/>
      <c r="CE119" s="184"/>
      <c r="CF119" s="184"/>
      <c r="CG119" s="184"/>
      <c r="CH119" s="184"/>
      <c r="CI119" s="184"/>
      <c r="CJ119" s="184"/>
      <c r="CK119" s="184"/>
      <c r="CL119" s="184"/>
      <c r="CM119" s="184"/>
      <c r="CN119" s="184"/>
      <c r="CO119" s="184"/>
      <c r="CP119" s="184"/>
      <c r="CQ119" s="184"/>
      <c r="CR119" s="184"/>
      <c r="CS119" s="184"/>
      <c r="CT119" s="184"/>
      <c r="CU119" s="184"/>
      <c r="CV119" s="184"/>
      <c r="CW119" s="184"/>
      <c r="CX119" s="184"/>
      <c r="CY119" s="184"/>
      <c r="CZ119" s="184"/>
      <c r="DA119" s="184"/>
      <c r="DB119" s="184"/>
      <c r="DC119" s="184"/>
      <c r="DD119" s="184"/>
      <c r="DE119" s="184"/>
      <c r="DF119" s="184"/>
      <c r="DG119" s="184"/>
      <c r="DH119" s="184"/>
      <c r="DI119" s="184"/>
      <c r="DJ119" s="184"/>
      <c r="DK119" s="184"/>
      <c r="DL119" s="184"/>
      <c r="DM119" s="184"/>
      <c r="DN119" s="184"/>
      <c r="DO119" s="184"/>
      <c r="DP119" s="184"/>
      <c r="DQ119" s="184"/>
      <c r="DR119" s="184"/>
      <c r="DS119" s="184"/>
      <c r="DT119" s="184"/>
      <c r="DU119" s="184"/>
      <c r="DV119" s="184"/>
      <c r="DW119" s="184"/>
      <c r="DX119" s="184"/>
      <c r="DY119" s="184"/>
      <c r="DZ119" s="184"/>
      <c r="EA119" s="184"/>
      <c r="EB119" s="184"/>
      <c r="EC119" s="184"/>
      <c r="ED119" s="184"/>
      <c r="EE119" s="184"/>
      <c r="EF119" s="184"/>
      <c r="EG119" s="184"/>
      <c r="EH119" s="184"/>
      <c r="EI119" s="184"/>
      <c r="EJ119" s="184"/>
      <c r="EK119" s="184"/>
      <c r="EL119" s="184"/>
      <c r="EM119" s="184"/>
      <c r="EN119" s="184"/>
      <c r="EO119" s="184"/>
      <c r="EP119" s="184"/>
      <c r="EQ119" s="184"/>
      <c r="ER119" s="184"/>
      <c r="ES119" s="184"/>
      <c r="ET119" s="184"/>
      <c r="EU119" s="184"/>
      <c r="EV119" s="184"/>
      <c r="EW119" s="184"/>
      <c r="EX119" s="184"/>
      <c r="EY119" s="184"/>
      <c r="EZ119" s="184"/>
      <c r="FA119" s="184"/>
      <c r="FB119" s="184"/>
      <c r="FC119" s="184"/>
      <c r="FD119" s="184"/>
      <c r="FE119" s="184"/>
      <c r="FF119" s="184"/>
      <c r="FG119" s="184"/>
      <c r="FH119" s="184"/>
      <c r="FI119" s="184"/>
      <c r="FJ119" s="184"/>
      <c r="FK119" s="184"/>
      <c r="FL119" s="184"/>
      <c r="FM119" s="184"/>
      <c r="FN119" s="184"/>
      <c r="FO119" s="184"/>
      <c r="FP119" s="184"/>
      <c r="FQ119" s="184"/>
      <c r="FR119" s="184"/>
      <c r="FS119" s="184"/>
      <c r="FT119" s="184"/>
      <c r="FU119" s="184"/>
      <c r="FV119" s="184"/>
      <c r="FW119" s="184"/>
      <c r="FX119" s="184"/>
      <c r="FY119" s="184"/>
      <c r="FZ119" s="184"/>
      <c r="GA119" s="184"/>
      <c r="GB119" s="184"/>
      <c r="GC119" s="184"/>
      <c r="GD119" s="184"/>
      <c r="GE119" s="184"/>
      <c r="GF119" s="184"/>
      <c r="GG119" s="184"/>
      <c r="GH119" s="184"/>
      <c r="GI119" s="184"/>
      <c r="GJ119" s="184"/>
      <c r="GK119" s="184"/>
      <c r="GL119" s="184"/>
      <c r="GM119" s="184"/>
      <c r="GN119" s="184"/>
      <c r="GO119" s="184"/>
      <c r="GP119" s="184"/>
      <c r="GQ119" s="184"/>
      <c r="GR119" s="184"/>
      <c r="GS119" s="184"/>
      <c r="GT119" s="184"/>
      <c r="GU119" s="184"/>
      <c r="GV119" s="184"/>
      <c r="GW119" s="184"/>
      <c r="GX119" s="184"/>
      <c r="GY119" s="184"/>
      <c r="GZ119" s="184"/>
      <c r="HA119" s="184"/>
      <c r="HB119" s="184"/>
      <c r="HC119" s="184"/>
      <c r="HD119" s="184"/>
      <c r="HE119" s="184"/>
      <c r="HF119" s="184"/>
      <c r="HG119" s="184"/>
      <c r="HH119" s="184"/>
      <c r="HI119" s="184"/>
      <c r="HJ119" s="184"/>
      <c r="HK119" s="184"/>
      <c r="HL119" s="184"/>
      <c r="HM119" s="184"/>
      <c r="HN119" s="184"/>
      <c r="HO119" s="184"/>
      <c r="HP119" s="184"/>
      <c r="HQ119" s="184"/>
      <c r="HR119" s="184"/>
      <c r="HS119" s="184"/>
      <c r="HT119" s="184"/>
      <c r="HU119" s="184"/>
      <c r="HV119" s="184"/>
      <c r="HW119" s="184"/>
      <c r="HX119" s="184"/>
      <c r="HY119" s="184"/>
      <c r="HZ119" s="184"/>
      <c r="IA119" s="184"/>
      <c r="IB119" s="184"/>
      <c r="IC119" s="184"/>
      <c r="ID119" s="184"/>
      <c r="IE119" s="184"/>
      <c r="IF119" s="184"/>
      <c r="IG119" s="184"/>
      <c r="IH119" s="184"/>
      <c r="II119" s="184"/>
      <c r="IJ119" s="184"/>
      <c r="IK119" s="184"/>
      <c r="IL119" s="184"/>
      <c r="IM119" s="184"/>
      <c r="IN119" s="184"/>
      <c r="IO119" s="184"/>
      <c r="IP119" s="184"/>
      <c r="IQ119" s="184"/>
      <c r="IR119" s="184"/>
      <c r="IS119" s="184"/>
      <c r="IT119" s="184"/>
      <c r="IU119" s="184"/>
      <c r="IV119" s="184"/>
      <c r="IW119" s="184"/>
    </row>
    <row r="120" customFormat="false" ht="12.6" hidden="false" customHeight="true" outlineLevel="0" collapsed="false">
      <c r="A120" s="184"/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84"/>
      <c r="BN120" s="184"/>
      <c r="BO120" s="184"/>
      <c r="BP120" s="184"/>
      <c r="BQ120" s="184"/>
      <c r="BR120" s="184"/>
      <c r="BS120" s="184"/>
      <c r="BT120" s="184"/>
      <c r="BU120" s="184"/>
      <c r="BV120" s="184"/>
      <c r="BW120" s="184"/>
      <c r="BX120" s="184"/>
      <c r="BY120" s="184"/>
      <c r="BZ120" s="184"/>
      <c r="CA120" s="184"/>
      <c r="CB120" s="184"/>
      <c r="CC120" s="184"/>
      <c r="CD120" s="184"/>
      <c r="CE120" s="184"/>
      <c r="CF120" s="184"/>
      <c r="CG120" s="184"/>
      <c r="CH120" s="184"/>
      <c r="CI120" s="184"/>
      <c r="CJ120" s="184"/>
      <c r="CK120" s="184"/>
      <c r="CL120" s="184"/>
      <c r="CM120" s="184"/>
      <c r="CN120" s="184"/>
      <c r="CO120" s="184"/>
      <c r="CP120" s="184"/>
      <c r="CQ120" s="184"/>
      <c r="CR120" s="184"/>
      <c r="CS120" s="184"/>
      <c r="CT120" s="184"/>
      <c r="CU120" s="184"/>
      <c r="CV120" s="184"/>
      <c r="CW120" s="184"/>
      <c r="CX120" s="184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4"/>
      <c r="DM120" s="184"/>
      <c r="DN120" s="184"/>
      <c r="DO120" s="184"/>
      <c r="DP120" s="184"/>
      <c r="DQ120" s="184"/>
      <c r="DR120" s="184"/>
      <c r="DS120" s="184"/>
      <c r="DT120" s="184"/>
      <c r="DU120" s="184"/>
      <c r="DV120" s="184"/>
      <c r="DW120" s="184"/>
      <c r="DX120" s="184"/>
      <c r="DY120" s="184"/>
      <c r="DZ120" s="184"/>
      <c r="EA120" s="184"/>
      <c r="EB120" s="184"/>
      <c r="EC120" s="184"/>
      <c r="ED120" s="184"/>
      <c r="EE120" s="184"/>
      <c r="EF120" s="184"/>
      <c r="EG120" s="184"/>
      <c r="EH120" s="184"/>
      <c r="EI120" s="184"/>
      <c r="EJ120" s="184"/>
      <c r="EK120" s="184"/>
      <c r="EL120" s="184"/>
      <c r="EM120" s="184"/>
      <c r="EN120" s="184"/>
      <c r="EO120" s="184"/>
      <c r="EP120" s="184"/>
      <c r="EQ120" s="184"/>
      <c r="ER120" s="184"/>
      <c r="ES120" s="184"/>
      <c r="ET120" s="184"/>
      <c r="EU120" s="184"/>
      <c r="EV120" s="184"/>
      <c r="EW120" s="184"/>
      <c r="EX120" s="184"/>
      <c r="EY120" s="184"/>
      <c r="EZ120" s="184"/>
      <c r="FA120" s="184"/>
      <c r="FB120" s="184"/>
      <c r="FC120" s="184"/>
      <c r="FD120" s="184"/>
      <c r="FE120" s="184"/>
      <c r="FF120" s="184"/>
      <c r="FG120" s="184"/>
      <c r="FH120" s="184"/>
      <c r="FI120" s="184"/>
      <c r="FJ120" s="184"/>
      <c r="FK120" s="184"/>
      <c r="FL120" s="184"/>
      <c r="FM120" s="184"/>
      <c r="FN120" s="184"/>
      <c r="FO120" s="184"/>
      <c r="FP120" s="184"/>
      <c r="FQ120" s="184"/>
      <c r="FR120" s="184"/>
      <c r="FS120" s="184"/>
      <c r="FT120" s="184"/>
      <c r="FU120" s="184"/>
      <c r="FV120" s="184"/>
      <c r="FW120" s="184"/>
      <c r="FX120" s="184"/>
      <c r="FY120" s="184"/>
      <c r="FZ120" s="184"/>
      <c r="GA120" s="184"/>
      <c r="GB120" s="184"/>
      <c r="GC120" s="184"/>
      <c r="GD120" s="184"/>
      <c r="GE120" s="184"/>
      <c r="GF120" s="184"/>
      <c r="GG120" s="184"/>
      <c r="GH120" s="184"/>
      <c r="GI120" s="184"/>
      <c r="GJ120" s="184"/>
      <c r="GK120" s="184"/>
      <c r="GL120" s="184"/>
      <c r="GM120" s="184"/>
      <c r="GN120" s="184"/>
      <c r="GO120" s="184"/>
      <c r="GP120" s="184"/>
      <c r="GQ120" s="184"/>
      <c r="GR120" s="184"/>
      <c r="GS120" s="184"/>
      <c r="GT120" s="184"/>
      <c r="GU120" s="184"/>
      <c r="GV120" s="184"/>
      <c r="GW120" s="184"/>
      <c r="GX120" s="184"/>
      <c r="GY120" s="184"/>
      <c r="GZ120" s="184"/>
      <c r="HA120" s="184"/>
      <c r="HB120" s="184"/>
      <c r="HC120" s="184"/>
      <c r="HD120" s="184"/>
      <c r="HE120" s="184"/>
      <c r="HF120" s="184"/>
      <c r="HG120" s="184"/>
      <c r="HH120" s="184"/>
      <c r="HI120" s="184"/>
      <c r="HJ120" s="184"/>
      <c r="HK120" s="184"/>
      <c r="HL120" s="184"/>
      <c r="HM120" s="184"/>
      <c r="HN120" s="184"/>
      <c r="HO120" s="184"/>
      <c r="HP120" s="184"/>
      <c r="HQ120" s="184"/>
      <c r="HR120" s="184"/>
      <c r="HS120" s="184"/>
      <c r="HT120" s="184"/>
      <c r="HU120" s="184"/>
      <c r="HV120" s="184"/>
      <c r="HW120" s="184"/>
      <c r="HX120" s="184"/>
      <c r="HY120" s="184"/>
      <c r="HZ120" s="184"/>
      <c r="IA120" s="184"/>
      <c r="IB120" s="184"/>
      <c r="IC120" s="184"/>
      <c r="ID120" s="184"/>
      <c r="IE120" s="184"/>
      <c r="IF120" s="184"/>
      <c r="IG120" s="184"/>
      <c r="IH120" s="184"/>
      <c r="II120" s="184"/>
      <c r="IJ120" s="184"/>
      <c r="IK120" s="184"/>
      <c r="IL120" s="184"/>
      <c r="IM120" s="184"/>
      <c r="IN120" s="184"/>
      <c r="IO120" s="184"/>
      <c r="IP120" s="184"/>
      <c r="IQ120" s="184"/>
      <c r="IR120" s="184"/>
      <c r="IS120" s="184"/>
      <c r="IT120" s="184"/>
      <c r="IU120" s="184"/>
      <c r="IV120" s="184"/>
      <c r="IW120" s="184"/>
    </row>
    <row r="121" customFormat="false" ht="12.6" hidden="false" customHeight="true" outlineLevel="0" collapsed="false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4"/>
      <c r="BN121" s="184"/>
      <c r="BO121" s="184"/>
      <c r="BP121" s="184"/>
      <c r="BQ121" s="184"/>
      <c r="BR121" s="184"/>
      <c r="BS121" s="184"/>
      <c r="BT121" s="184"/>
      <c r="BU121" s="184"/>
      <c r="BV121" s="184"/>
      <c r="BW121" s="184"/>
      <c r="BX121" s="184"/>
      <c r="BY121" s="184"/>
      <c r="BZ121" s="184"/>
      <c r="CA121" s="184"/>
      <c r="CB121" s="184"/>
      <c r="CC121" s="184"/>
      <c r="CD121" s="184"/>
      <c r="CE121" s="184"/>
      <c r="CF121" s="184"/>
      <c r="CG121" s="184"/>
      <c r="CH121" s="184"/>
      <c r="CI121" s="184"/>
      <c r="CJ121" s="184"/>
      <c r="CK121" s="184"/>
      <c r="CL121" s="184"/>
      <c r="CM121" s="184"/>
      <c r="CN121" s="184"/>
      <c r="CO121" s="184"/>
      <c r="CP121" s="184"/>
      <c r="CQ121" s="184"/>
      <c r="CR121" s="184"/>
      <c r="CS121" s="184"/>
      <c r="CT121" s="184"/>
      <c r="CU121" s="184"/>
      <c r="CV121" s="184"/>
      <c r="CW121" s="184"/>
      <c r="CX121" s="184"/>
      <c r="CY121" s="184"/>
      <c r="CZ121" s="184"/>
      <c r="DA121" s="184"/>
      <c r="DB121" s="184"/>
      <c r="DC121" s="184"/>
      <c r="DD121" s="184"/>
      <c r="DE121" s="184"/>
      <c r="DF121" s="184"/>
      <c r="DG121" s="184"/>
      <c r="DH121" s="184"/>
      <c r="DI121" s="184"/>
      <c r="DJ121" s="184"/>
      <c r="DK121" s="184"/>
      <c r="DL121" s="184"/>
      <c r="DM121" s="184"/>
      <c r="DN121" s="184"/>
      <c r="DO121" s="184"/>
      <c r="DP121" s="184"/>
      <c r="DQ121" s="184"/>
      <c r="DR121" s="184"/>
      <c r="DS121" s="184"/>
      <c r="DT121" s="184"/>
      <c r="DU121" s="184"/>
      <c r="DV121" s="184"/>
      <c r="DW121" s="184"/>
      <c r="DX121" s="184"/>
      <c r="DY121" s="184"/>
      <c r="DZ121" s="184"/>
      <c r="EA121" s="184"/>
      <c r="EB121" s="184"/>
      <c r="EC121" s="184"/>
      <c r="ED121" s="184"/>
      <c r="EE121" s="184"/>
      <c r="EF121" s="184"/>
      <c r="EG121" s="184"/>
      <c r="EH121" s="184"/>
      <c r="EI121" s="184"/>
      <c r="EJ121" s="184"/>
      <c r="EK121" s="184"/>
      <c r="EL121" s="184"/>
      <c r="EM121" s="184"/>
      <c r="EN121" s="184"/>
      <c r="EO121" s="184"/>
      <c r="EP121" s="184"/>
      <c r="EQ121" s="184"/>
      <c r="ER121" s="184"/>
      <c r="ES121" s="184"/>
      <c r="ET121" s="184"/>
      <c r="EU121" s="184"/>
      <c r="EV121" s="184"/>
      <c r="EW121" s="184"/>
      <c r="EX121" s="184"/>
      <c r="EY121" s="184"/>
      <c r="EZ121" s="184"/>
      <c r="FA121" s="184"/>
      <c r="FB121" s="184"/>
      <c r="FC121" s="184"/>
      <c r="FD121" s="184"/>
      <c r="FE121" s="184"/>
      <c r="FF121" s="184"/>
      <c r="FG121" s="184"/>
      <c r="FH121" s="184"/>
      <c r="FI121" s="184"/>
      <c r="FJ121" s="184"/>
      <c r="FK121" s="184"/>
      <c r="FL121" s="184"/>
      <c r="FM121" s="184"/>
      <c r="FN121" s="184"/>
      <c r="FO121" s="184"/>
      <c r="FP121" s="184"/>
      <c r="FQ121" s="184"/>
      <c r="FR121" s="184"/>
      <c r="FS121" s="184"/>
      <c r="FT121" s="184"/>
      <c r="FU121" s="184"/>
      <c r="FV121" s="184"/>
      <c r="FW121" s="184"/>
      <c r="FX121" s="184"/>
      <c r="FY121" s="184"/>
      <c r="FZ121" s="184"/>
      <c r="GA121" s="184"/>
      <c r="GB121" s="184"/>
      <c r="GC121" s="184"/>
      <c r="GD121" s="184"/>
      <c r="GE121" s="184"/>
      <c r="GF121" s="184"/>
      <c r="GG121" s="184"/>
      <c r="GH121" s="184"/>
      <c r="GI121" s="184"/>
      <c r="GJ121" s="184"/>
      <c r="GK121" s="184"/>
      <c r="GL121" s="184"/>
      <c r="GM121" s="184"/>
      <c r="GN121" s="184"/>
      <c r="GO121" s="184"/>
      <c r="GP121" s="184"/>
      <c r="GQ121" s="184"/>
      <c r="GR121" s="184"/>
      <c r="GS121" s="184"/>
      <c r="GT121" s="184"/>
      <c r="GU121" s="184"/>
      <c r="GV121" s="184"/>
      <c r="GW121" s="184"/>
      <c r="GX121" s="184"/>
      <c r="GY121" s="184"/>
      <c r="GZ121" s="184"/>
      <c r="HA121" s="184"/>
      <c r="HB121" s="184"/>
      <c r="HC121" s="184"/>
      <c r="HD121" s="184"/>
      <c r="HE121" s="184"/>
      <c r="HF121" s="184"/>
      <c r="HG121" s="184"/>
      <c r="HH121" s="184"/>
      <c r="HI121" s="184"/>
      <c r="HJ121" s="184"/>
      <c r="HK121" s="184"/>
      <c r="HL121" s="184"/>
      <c r="HM121" s="184"/>
      <c r="HN121" s="184"/>
      <c r="HO121" s="184"/>
      <c r="HP121" s="184"/>
      <c r="HQ121" s="184"/>
      <c r="HR121" s="184"/>
      <c r="HS121" s="184"/>
      <c r="HT121" s="184"/>
      <c r="HU121" s="184"/>
      <c r="HV121" s="184"/>
      <c r="HW121" s="184"/>
      <c r="HX121" s="184"/>
      <c r="HY121" s="184"/>
      <c r="HZ121" s="184"/>
      <c r="IA121" s="184"/>
      <c r="IB121" s="184"/>
      <c r="IC121" s="184"/>
      <c r="ID121" s="184"/>
      <c r="IE121" s="184"/>
      <c r="IF121" s="184"/>
      <c r="IG121" s="184"/>
      <c r="IH121" s="184"/>
      <c r="II121" s="184"/>
      <c r="IJ121" s="184"/>
      <c r="IK121" s="184"/>
      <c r="IL121" s="184"/>
      <c r="IM121" s="184"/>
      <c r="IN121" s="184"/>
      <c r="IO121" s="184"/>
      <c r="IP121" s="184"/>
      <c r="IQ121" s="184"/>
      <c r="IR121" s="184"/>
      <c r="IS121" s="184"/>
      <c r="IT121" s="184"/>
      <c r="IU121" s="184"/>
      <c r="IV121" s="184"/>
      <c r="IW121" s="184"/>
    </row>
    <row r="122" customFormat="false" ht="12.6" hidden="false" customHeight="true" outlineLevel="0" collapsed="false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  <c r="GW122" s="184"/>
      <c r="GX122" s="184"/>
      <c r="GY122" s="184"/>
      <c r="GZ122" s="184"/>
      <c r="HA122" s="184"/>
      <c r="HB122" s="184"/>
      <c r="HC122" s="184"/>
      <c r="HD122" s="184"/>
      <c r="HE122" s="184"/>
      <c r="HF122" s="184"/>
      <c r="HG122" s="184"/>
      <c r="HH122" s="184"/>
      <c r="HI122" s="184"/>
      <c r="HJ122" s="184"/>
      <c r="HK122" s="184"/>
      <c r="HL122" s="184"/>
      <c r="HM122" s="184"/>
      <c r="HN122" s="184"/>
      <c r="HO122" s="184"/>
      <c r="HP122" s="184"/>
      <c r="HQ122" s="184"/>
      <c r="HR122" s="184"/>
      <c r="HS122" s="184"/>
      <c r="HT122" s="184"/>
      <c r="HU122" s="184"/>
      <c r="HV122" s="184"/>
      <c r="HW122" s="184"/>
      <c r="HX122" s="184"/>
      <c r="HY122" s="184"/>
      <c r="HZ122" s="184"/>
      <c r="IA122" s="184"/>
      <c r="IB122" s="184"/>
      <c r="IC122" s="184"/>
      <c r="ID122" s="184"/>
      <c r="IE122" s="184"/>
      <c r="IF122" s="184"/>
      <c r="IG122" s="184"/>
      <c r="IH122" s="184"/>
      <c r="II122" s="184"/>
      <c r="IJ122" s="184"/>
      <c r="IK122" s="184"/>
      <c r="IL122" s="184"/>
      <c r="IM122" s="184"/>
      <c r="IN122" s="184"/>
      <c r="IO122" s="184"/>
      <c r="IP122" s="184"/>
      <c r="IQ122" s="184"/>
      <c r="IR122" s="184"/>
      <c r="IS122" s="184"/>
      <c r="IT122" s="184"/>
      <c r="IU122" s="184"/>
      <c r="IV122" s="184"/>
      <c r="IW122" s="184"/>
    </row>
    <row r="123" customFormat="false" ht="12.6" hidden="false" customHeight="true" outlineLevel="0" collapsed="false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84"/>
      <c r="CV123" s="184"/>
      <c r="CW123" s="184"/>
      <c r="CX123" s="184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4"/>
      <c r="DM123" s="184"/>
      <c r="DN123" s="184"/>
      <c r="DO123" s="184"/>
      <c r="DP123" s="184"/>
      <c r="DQ123" s="184"/>
      <c r="DR123" s="184"/>
      <c r="DS123" s="184"/>
      <c r="DT123" s="184"/>
      <c r="DU123" s="184"/>
      <c r="DV123" s="184"/>
      <c r="DW123" s="184"/>
      <c r="DX123" s="184"/>
      <c r="DY123" s="184"/>
      <c r="DZ123" s="184"/>
      <c r="EA123" s="184"/>
      <c r="EB123" s="184"/>
      <c r="EC123" s="184"/>
      <c r="ED123" s="184"/>
      <c r="EE123" s="184"/>
      <c r="EF123" s="184"/>
      <c r="EG123" s="184"/>
      <c r="EH123" s="184"/>
      <c r="EI123" s="184"/>
      <c r="EJ123" s="184"/>
      <c r="EK123" s="184"/>
      <c r="EL123" s="184"/>
      <c r="EM123" s="184"/>
      <c r="EN123" s="184"/>
      <c r="EO123" s="184"/>
      <c r="EP123" s="184"/>
      <c r="EQ123" s="184"/>
      <c r="ER123" s="184"/>
      <c r="ES123" s="184"/>
      <c r="ET123" s="184"/>
      <c r="EU123" s="184"/>
      <c r="EV123" s="184"/>
      <c r="EW123" s="184"/>
      <c r="EX123" s="184"/>
      <c r="EY123" s="184"/>
      <c r="EZ123" s="184"/>
      <c r="FA123" s="184"/>
      <c r="FB123" s="184"/>
      <c r="FC123" s="184"/>
      <c r="FD123" s="184"/>
      <c r="FE123" s="184"/>
      <c r="FF123" s="184"/>
      <c r="FG123" s="184"/>
      <c r="FH123" s="184"/>
      <c r="FI123" s="184"/>
      <c r="FJ123" s="184"/>
      <c r="FK123" s="184"/>
      <c r="FL123" s="184"/>
      <c r="FM123" s="184"/>
      <c r="FN123" s="184"/>
      <c r="FO123" s="184"/>
      <c r="FP123" s="184"/>
      <c r="FQ123" s="184"/>
      <c r="FR123" s="184"/>
      <c r="FS123" s="184"/>
      <c r="FT123" s="184"/>
      <c r="FU123" s="184"/>
      <c r="FV123" s="184"/>
      <c r="FW123" s="184"/>
      <c r="FX123" s="184"/>
      <c r="FY123" s="184"/>
      <c r="FZ123" s="184"/>
      <c r="GA123" s="184"/>
      <c r="GB123" s="184"/>
      <c r="GC123" s="184"/>
      <c r="GD123" s="184"/>
      <c r="GE123" s="184"/>
      <c r="GF123" s="184"/>
      <c r="GG123" s="184"/>
      <c r="GH123" s="184"/>
      <c r="GI123" s="184"/>
      <c r="GJ123" s="184"/>
      <c r="GK123" s="184"/>
      <c r="GL123" s="184"/>
      <c r="GM123" s="184"/>
      <c r="GN123" s="184"/>
      <c r="GO123" s="184"/>
      <c r="GP123" s="184"/>
      <c r="GQ123" s="184"/>
      <c r="GR123" s="184"/>
      <c r="GS123" s="184"/>
      <c r="GT123" s="184"/>
      <c r="GU123" s="184"/>
      <c r="GV123" s="184"/>
      <c r="GW123" s="184"/>
      <c r="GX123" s="184"/>
      <c r="GY123" s="184"/>
      <c r="GZ123" s="184"/>
      <c r="HA123" s="184"/>
      <c r="HB123" s="184"/>
      <c r="HC123" s="184"/>
      <c r="HD123" s="184"/>
      <c r="HE123" s="184"/>
      <c r="HF123" s="184"/>
      <c r="HG123" s="184"/>
      <c r="HH123" s="184"/>
      <c r="HI123" s="184"/>
      <c r="HJ123" s="184"/>
      <c r="HK123" s="184"/>
      <c r="HL123" s="184"/>
      <c r="HM123" s="184"/>
      <c r="HN123" s="184"/>
      <c r="HO123" s="184"/>
      <c r="HP123" s="184"/>
      <c r="HQ123" s="184"/>
      <c r="HR123" s="184"/>
      <c r="HS123" s="184"/>
      <c r="HT123" s="184"/>
      <c r="HU123" s="184"/>
      <c r="HV123" s="184"/>
      <c r="HW123" s="184"/>
      <c r="HX123" s="184"/>
      <c r="HY123" s="184"/>
      <c r="HZ123" s="184"/>
      <c r="IA123" s="184"/>
      <c r="IB123" s="184"/>
      <c r="IC123" s="184"/>
      <c r="ID123" s="184"/>
      <c r="IE123" s="184"/>
      <c r="IF123" s="184"/>
      <c r="IG123" s="184"/>
      <c r="IH123" s="184"/>
      <c r="II123" s="184"/>
      <c r="IJ123" s="184"/>
      <c r="IK123" s="184"/>
      <c r="IL123" s="184"/>
      <c r="IM123" s="184"/>
      <c r="IN123" s="184"/>
      <c r="IO123" s="184"/>
      <c r="IP123" s="184"/>
      <c r="IQ123" s="184"/>
      <c r="IR123" s="184"/>
      <c r="IS123" s="184"/>
      <c r="IT123" s="184"/>
      <c r="IU123" s="184"/>
      <c r="IV123" s="184"/>
      <c r="IW123" s="184"/>
    </row>
    <row r="124" customFormat="false" ht="12.6" hidden="false" customHeight="true" outlineLevel="0" collapsed="false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  <c r="CN124" s="184"/>
      <c r="CO124" s="184"/>
      <c r="CP124" s="184"/>
      <c r="CQ124" s="184"/>
      <c r="CR124" s="184"/>
      <c r="CS124" s="184"/>
      <c r="CT124" s="184"/>
      <c r="CU124" s="184"/>
      <c r="CV124" s="184"/>
      <c r="CW124" s="184"/>
      <c r="CX124" s="184"/>
      <c r="CY124" s="184"/>
      <c r="CZ124" s="184"/>
      <c r="DA124" s="184"/>
      <c r="DB124" s="184"/>
      <c r="DC124" s="184"/>
      <c r="DD124" s="184"/>
      <c r="DE124" s="184"/>
      <c r="DF124" s="184"/>
      <c r="DG124" s="184"/>
      <c r="DH124" s="184"/>
      <c r="DI124" s="184"/>
      <c r="DJ124" s="184"/>
      <c r="DK124" s="184"/>
      <c r="DL124" s="184"/>
      <c r="DM124" s="184"/>
      <c r="DN124" s="184"/>
      <c r="DO124" s="184"/>
      <c r="DP124" s="184"/>
      <c r="DQ124" s="184"/>
      <c r="DR124" s="184"/>
      <c r="DS124" s="184"/>
      <c r="DT124" s="184"/>
      <c r="DU124" s="184"/>
      <c r="DV124" s="184"/>
      <c r="DW124" s="184"/>
      <c r="DX124" s="184"/>
      <c r="DY124" s="184"/>
      <c r="DZ124" s="184"/>
      <c r="EA124" s="184"/>
      <c r="EB124" s="184"/>
      <c r="EC124" s="184"/>
      <c r="ED124" s="184"/>
      <c r="EE124" s="184"/>
      <c r="EF124" s="184"/>
      <c r="EG124" s="184"/>
      <c r="EH124" s="184"/>
      <c r="EI124" s="184"/>
      <c r="EJ124" s="184"/>
      <c r="EK124" s="184"/>
      <c r="EL124" s="184"/>
      <c r="EM124" s="184"/>
      <c r="EN124" s="184"/>
      <c r="EO124" s="184"/>
      <c r="EP124" s="184"/>
      <c r="EQ124" s="184"/>
      <c r="ER124" s="184"/>
      <c r="ES124" s="184"/>
      <c r="ET124" s="184"/>
      <c r="EU124" s="184"/>
      <c r="EV124" s="184"/>
      <c r="EW124" s="184"/>
      <c r="EX124" s="184"/>
      <c r="EY124" s="184"/>
      <c r="EZ124" s="184"/>
      <c r="FA124" s="184"/>
      <c r="FB124" s="184"/>
      <c r="FC124" s="184"/>
      <c r="FD124" s="184"/>
      <c r="FE124" s="184"/>
      <c r="FF124" s="184"/>
      <c r="FG124" s="184"/>
      <c r="FH124" s="184"/>
      <c r="FI124" s="184"/>
      <c r="FJ124" s="184"/>
      <c r="FK124" s="184"/>
      <c r="FL124" s="184"/>
      <c r="FM124" s="184"/>
      <c r="FN124" s="184"/>
      <c r="FO124" s="184"/>
      <c r="FP124" s="184"/>
      <c r="FQ124" s="184"/>
      <c r="FR124" s="184"/>
      <c r="FS124" s="184"/>
      <c r="FT124" s="184"/>
      <c r="FU124" s="184"/>
      <c r="FV124" s="184"/>
      <c r="FW124" s="184"/>
      <c r="FX124" s="184"/>
      <c r="FY124" s="184"/>
      <c r="FZ124" s="184"/>
      <c r="GA124" s="184"/>
      <c r="GB124" s="184"/>
      <c r="GC124" s="184"/>
      <c r="GD124" s="184"/>
      <c r="GE124" s="184"/>
      <c r="GF124" s="184"/>
      <c r="GG124" s="184"/>
      <c r="GH124" s="184"/>
      <c r="GI124" s="184"/>
      <c r="GJ124" s="184"/>
      <c r="GK124" s="184"/>
      <c r="GL124" s="184"/>
      <c r="GM124" s="184"/>
      <c r="GN124" s="184"/>
      <c r="GO124" s="184"/>
      <c r="GP124" s="184"/>
      <c r="GQ124" s="184"/>
      <c r="GR124" s="184"/>
      <c r="GS124" s="184"/>
      <c r="GT124" s="184"/>
      <c r="GU124" s="184"/>
      <c r="GV124" s="184"/>
      <c r="GW124" s="184"/>
      <c r="GX124" s="184"/>
      <c r="GY124" s="184"/>
      <c r="GZ124" s="184"/>
      <c r="HA124" s="184"/>
      <c r="HB124" s="184"/>
      <c r="HC124" s="184"/>
      <c r="HD124" s="184"/>
      <c r="HE124" s="184"/>
      <c r="HF124" s="184"/>
      <c r="HG124" s="184"/>
      <c r="HH124" s="184"/>
      <c r="HI124" s="184"/>
      <c r="HJ124" s="184"/>
      <c r="HK124" s="184"/>
      <c r="HL124" s="184"/>
      <c r="HM124" s="184"/>
      <c r="HN124" s="184"/>
      <c r="HO124" s="184"/>
      <c r="HP124" s="184"/>
      <c r="HQ124" s="184"/>
      <c r="HR124" s="184"/>
      <c r="HS124" s="184"/>
      <c r="HT124" s="184"/>
      <c r="HU124" s="184"/>
      <c r="HV124" s="184"/>
      <c r="HW124" s="184"/>
      <c r="HX124" s="184"/>
      <c r="HY124" s="184"/>
      <c r="HZ124" s="184"/>
      <c r="IA124" s="184"/>
      <c r="IB124" s="184"/>
      <c r="IC124" s="184"/>
      <c r="ID124" s="184"/>
      <c r="IE124" s="184"/>
      <c r="IF124" s="184"/>
      <c r="IG124" s="184"/>
      <c r="IH124" s="184"/>
      <c r="II124" s="184"/>
      <c r="IJ124" s="184"/>
      <c r="IK124" s="184"/>
      <c r="IL124" s="184"/>
      <c r="IM124" s="184"/>
      <c r="IN124" s="184"/>
      <c r="IO124" s="184"/>
      <c r="IP124" s="184"/>
      <c r="IQ124" s="184"/>
      <c r="IR124" s="184"/>
      <c r="IS124" s="184"/>
      <c r="IT124" s="184"/>
      <c r="IU124" s="184"/>
      <c r="IV124" s="184"/>
      <c r="IW124" s="184"/>
    </row>
    <row r="125" customFormat="false" ht="12.6" hidden="false" customHeight="true" outlineLevel="0" collapsed="false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  <c r="BI125" s="184"/>
      <c r="BJ125" s="184"/>
      <c r="BK125" s="184"/>
      <c r="BL125" s="184"/>
      <c r="BM125" s="184"/>
      <c r="BN125" s="184"/>
      <c r="BO125" s="184"/>
      <c r="BP125" s="184"/>
      <c r="BQ125" s="184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  <c r="CE125" s="184"/>
      <c r="CF125" s="184"/>
      <c r="CG125" s="184"/>
      <c r="CH125" s="184"/>
      <c r="CI125" s="184"/>
      <c r="CJ125" s="184"/>
      <c r="CK125" s="184"/>
      <c r="CL125" s="184"/>
      <c r="CM125" s="184"/>
      <c r="CN125" s="184"/>
      <c r="CO125" s="184"/>
      <c r="CP125" s="184"/>
      <c r="CQ125" s="184"/>
      <c r="CR125" s="184"/>
      <c r="CS125" s="184"/>
      <c r="CT125" s="184"/>
      <c r="CU125" s="184"/>
      <c r="CV125" s="184"/>
      <c r="CW125" s="184"/>
      <c r="CX125" s="184"/>
      <c r="CY125" s="184"/>
      <c r="CZ125" s="184"/>
      <c r="DA125" s="184"/>
      <c r="DB125" s="184"/>
      <c r="DC125" s="184"/>
      <c r="DD125" s="184"/>
      <c r="DE125" s="184"/>
      <c r="DF125" s="184"/>
      <c r="DG125" s="184"/>
      <c r="DH125" s="184"/>
      <c r="DI125" s="184"/>
      <c r="DJ125" s="184"/>
      <c r="DK125" s="184"/>
      <c r="DL125" s="184"/>
      <c r="DM125" s="184"/>
      <c r="DN125" s="184"/>
      <c r="DO125" s="184"/>
      <c r="DP125" s="184"/>
      <c r="DQ125" s="184"/>
      <c r="DR125" s="184"/>
      <c r="DS125" s="184"/>
      <c r="DT125" s="184"/>
      <c r="DU125" s="184"/>
      <c r="DV125" s="184"/>
      <c r="DW125" s="184"/>
      <c r="DX125" s="184"/>
      <c r="DY125" s="184"/>
      <c r="DZ125" s="184"/>
      <c r="EA125" s="184"/>
      <c r="EB125" s="184"/>
      <c r="EC125" s="184"/>
      <c r="ED125" s="184"/>
      <c r="EE125" s="184"/>
      <c r="EF125" s="184"/>
      <c r="EG125" s="184"/>
      <c r="EH125" s="184"/>
      <c r="EI125" s="184"/>
      <c r="EJ125" s="184"/>
      <c r="EK125" s="184"/>
      <c r="EL125" s="184"/>
      <c r="EM125" s="184"/>
      <c r="EN125" s="184"/>
      <c r="EO125" s="184"/>
      <c r="EP125" s="184"/>
      <c r="EQ125" s="184"/>
      <c r="ER125" s="184"/>
      <c r="ES125" s="184"/>
      <c r="ET125" s="184"/>
      <c r="EU125" s="184"/>
      <c r="EV125" s="184"/>
      <c r="EW125" s="184"/>
      <c r="EX125" s="184"/>
      <c r="EY125" s="184"/>
      <c r="EZ125" s="184"/>
      <c r="FA125" s="184"/>
      <c r="FB125" s="184"/>
      <c r="FC125" s="184"/>
      <c r="FD125" s="184"/>
      <c r="FE125" s="184"/>
      <c r="FF125" s="184"/>
      <c r="FG125" s="184"/>
      <c r="FH125" s="184"/>
      <c r="FI125" s="184"/>
      <c r="FJ125" s="184"/>
      <c r="FK125" s="184"/>
      <c r="FL125" s="184"/>
      <c r="FM125" s="184"/>
      <c r="FN125" s="184"/>
      <c r="FO125" s="184"/>
      <c r="FP125" s="184"/>
      <c r="FQ125" s="184"/>
      <c r="FR125" s="184"/>
      <c r="FS125" s="184"/>
      <c r="FT125" s="184"/>
      <c r="FU125" s="184"/>
      <c r="FV125" s="184"/>
      <c r="FW125" s="184"/>
      <c r="FX125" s="184"/>
      <c r="FY125" s="184"/>
      <c r="FZ125" s="184"/>
      <c r="GA125" s="184"/>
      <c r="GB125" s="184"/>
      <c r="GC125" s="184"/>
      <c r="GD125" s="184"/>
      <c r="GE125" s="184"/>
      <c r="GF125" s="184"/>
      <c r="GG125" s="184"/>
      <c r="GH125" s="184"/>
      <c r="GI125" s="184"/>
      <c r="GJ125" s="184"/>
      <c r="GK125" s="184"/>
      <c r="GL125" s="184"/>
      <c r="GM125" s="184"/>
      <c r="GN125" s="184"/>
      <c r="GO125" s="184"/>
      <c r="GP125" s="184"/>
      <c r="GQ125" s="184"/>
      <c r="GR125" s="184"/>
      <c r="GS125" s="184"/>
      <c r="GT125" s="184"/>
      <c r="GU125" s="184"/>
      <c r="GV125" s="184"/>
      <c r="GW125" s="184"/>
      <c r="GX125" s="184"/>
      <c r="GY125" s="184"/>
      <c r="GZ125" s="184"/>
      <c r="HA125" s="184"/>
      <c r="HB125" s="184"/>
      <c r="HC125" s="184"/>
      <c r="HD125" s="184"/>
      <c r="HE125" s="184"/>
      <c r="HF125" s="184"/>
      <c r="HG125" s="184"/>
      <c r="HH125" s="184"/>
      <c r="HI125" s="184"/>
      <c r="HJ125" s="184"/>
      <c r="HK125" s="184"/>
      <c r="HL125" s="184"/>
      <c r="HM125" s="184"/>
      <c r="HN125" s="184"/>
      <c r="HO125" s="184"/>
      <c r="HP125" s="184"/>
      <c r="HQ125" s="184"/>
      <c r="HR125" s="184"/>
      <c r="HS125" s="184"/>
      <c r="HT125" s="184"/>
      <c r="HU125" s="184"/>
      <c r="HV125" s="184"/>
      <c r="HW125" s="184"/>
      <c r="HX125" s="184"/>
      <c r="HY125" s="184"/>
      <c r="HZ125" s="184"/>
      <c r="IA125" s="184"/>
      <c r="IB125" s="184"/>
      <c r="IC125" s="184"/>
      <c r="ID125" s="184"/>
      <c r="IE125" s="184"/>
      <c r="IF125" s="184"/>
      <c r="IG125" s="184"/>
      <c r="IH125" s="184"/>
      <c r="II125" s="184"/>
      <c r="IJ125" s="184"/>
      <c r="IK125" s="184"/>
      <c r="IL125" s="184"/>
      <c r="IM125" s="184"/>
      <c r="IN125" s="184"/>
      <c r="IO125" s="184"/>
      <c r="IP125" s="184"/>
      <c r="IQ125" s="184"/>
      <c r="IR125" s="184"/>
      <c r="IS125" s="184"/>
      <c r="IT125" s="184"/>
      <c r="IU125" s="184"/>
      <c r="IV125" s="184"/>
      <c r="IW125" s="184"/>
    </row>
    <row r="126" customFormat="false" ht="12.6" hidden="false" customHeight="true" outlineLevel="0" collapsed="false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  <c r="BI126" s="184"/>
      <c r="BJ126" s="184"/>
      <c r="BK126" s="184"/>
      <c r="BL126" s="184"/>
      <c r="BM126" s="184"/>
      <c r="BN126" s="184"/>
      <c r="BO126" s="184"/>
      <c r="BP126" s="184"/>
      <c r="BQ126" s="184"/>
      <c r="BR126" s="184"/>
      <c r="BS126" s="184"/>
      <c r="BT126" s="184"/>
      <c r="BU126" s="184"/>
      <c r="BV126" s="184"/>
      <c r="BW126" s="184"/>
      <c r="BX126" s="184"/>
      <c r="BY126" s="184"/>
      <c r="BZ126" s="184"/>
      <c r="CA126" s="184"/>
      <c r="CB126" s="184"/>
      <c r="CC126" s="184"/>
      <c r="CD126" s="184"/>
      <c r="CE126" s="184"/>
      <c r="CF126" s="184"/>
      <c r="CG126" s="184"/>
      <c r="CH126" s="184"/>
      <c r="CI126" s="184"/>
      <c r="CJ126" s="184"/>
      <c r="CK126" s="184"/>
      <c r="CL126" s="184"/>
      <c r="CM126" s="184"/>
      <c r="CN126" s="184"/>
      <c r="CO126" s="184"/>
      <c r="CP126" s="184"/>
      <c r="CQ126" s="184"/>
      <c r="CR126" s="184"/>
      <c r="CS126" s="184"/>
      <c r="CT126" s="184"/>
      <c r="CU126" s="184"/>
      <c r="CV126" s="184"/>
      <c r="CW126" s="184"/>
      <c r="CX126" s="184"/>
      <c r="CY126" s="184"/>
      <c r="CZ126" s="184"/>
      <c r="DA126" s="184"/>
      <c r="DB126" s="184"/>
      <c r="DC126" s="184"/>
      <c r="DD126" s="184"/>
      <c r="DE126" s="184"/>
      <c r="DF126" s="184"/>
      <c r="DG126" s="184"/>
      <c r="DH126" s="184"/>
      <c r="DI126" s="184"/>
      <c r="DJ126" s="184"/>
      <c r="DK126" s="184"/>
      <c r="DL126" s="184"/>
      <c r="DM126" s="184"/>
      <c r="DN126" s="184"/>
      <c r="DO126" s="184"/>
      <c r="DP126" s="184"/>
      <c r="DQ126" s="184"/>
      <c r="DR126" s="184"/>
      <c r="DS126" s="184"/>
      <c r="DT126" s="184"/>
      <c r="DU126" s="184"/>
      <c r="DV126" s="184"/>
      <c r="DW126" s="184"/>
      <c r="DX126" s="184"/>
      <c r="DY126" s="184"/>
      <c r="DZ126" s="184"/>
      <c r="EA126" s="184"/>
      <c r="EB126" s="184"/>
      <c r="EC126" s="184"/>
      <c r="ED126" s="184"/>
      <c r="EE126" s="184"/>
      <c r="EF126" s="184"/>
      <c r="EG126" s="184"/>
      <c r="EH126" s="184"/>
      <c r="EI126" s="184"/>
      <c r="EJ126" s="184"/>
      <c r="EK126" s="184"/>
      <c r="EL126" s="184"/>
      <c r="EM126" s="184"/>
      <c r="EN126" s="184"/>
      <c r="EO126" s="184"/>
      <c r="EP126" s="184"/>
      <c r="EQ126" s="184"/>
      <c r="ER126" s="184"/>
      <c r="ES126" s="184"/>
      <c r="ET126" s="184"/>
      <c r="EU126" s="184"/>
      <c r="EV126" s="184"/>
      <c r="EW126" s="184"/>
      <c r="EX126" s="184"/>
      <c r="EY126" s="184"/>
      <c r="EZ126" s="184"/>
      <c r="FA126" s="184"/>
      <c r="FB126" s="184"/>
      <c r="FC126" s="184"/>
      <c r="FD126" s="184"/>
      <c r="FE126" s="184"/>
      <c r="FF126" s="184"/>
      <c r="FG126" s="184"/>
      <c r="FH126" s="184"/>
      <c r="FI126" s="184"/>
      <c r="FJ126" s="184"/>
      <c r="FK126" s="184"/>
      <c r="FL126" s="184"/>
      <c r="FM126" s="184"/>
      <c r="FN126" s="184"/>
      <c r="FO126" s="184"/>
      <c r="FP126" s="184"/>
      <c r="FQ126" s="184"/>
      <c r="FR126" s="184"/>
      <c r="FS126" s="184"/>
      <c r="FT126" s="184"/>
      <c r="FU126" s="184"/>
      <c r="FV126" s="184"/>
      <c r="FW126" s="184"/>
      <c r="FX126" s="184"/>
      <c r="FY126" s="184"/>
      <c r="FZ126" s="184"/>
      <c r="GA126" s="184"/>
      <c r="GB126" s="184"/>
      <c r="GC126" s="184"/>
      <c r="GD126" s="184"/>
      <c r="GE126" s="184"/>
      <c r="GF126" s="184"/>
      <c r="GG126" s="184"/>
      <c r="GH126" s="184"/>
      <c r="GI126" s="184"/>
      <c r="GJ126" s="184"/>
      <c r="GK126" s="184"/>
      <c r="GL126" s="184"/>
      <c r="GM126" s="184"/>
      <c r="GN126" s="184"/>
      <c r="GO126" s="184"/>
      <c r="GP126" s="184"/>
      <c r="GQ126" s="184"/>
      <c r="GR126" s="184"/>
      <c r="GS126" s="184"/>
      <c r="GT126" s="184"/>
      <c r="GU126" s="184"/>
      <c r="GV126" s="184"/>
      <c r="GW126" s="184"/>
      <c r="GX126" s="184"/>
      <c r="GY126" s="184"/>
      <c r="GZ126" s="184"/>
      <c r="HA126" s="184"/>
      <c r="HB126" s="184"/>
      <c r="HC126" s="184"/>
      <c r="HD126" s="184"/>
      <c r="HE126" s="184"/>
      <c r="HF126" s="184"/>
      <c r="HG126" s="184"/>
      <c r="HH126" s="184"/>
      <c r="HI126" s="184"/>
      <c r="HJ126" s="184"/>
      <c r="HK126" s="184"/>
      <c r="HL126" s="184"/>
      <c r="HM126" s="184"/>
      <c r="HN126" s="184"/>
      <c r="HO126" s="184"/>
      <c r="HP126" s="184"/>
      <c r="HQ126" s="184"/>
      <c r="HR126" s="184"/>
      <c r="HS126" s="184"/>
      <c r="HT126" s="184"/>
      <c r="HU126" s="184"/>
      <c r="HV126" s="184"/>
      <c r="HW126" s="184"/>
      <c r="HX126" s="184"/>
      <c r="HY126" s="184"/>
      <c r="HZ126" s="184"/>
      <c r="IA126" s="184"/>
      <c r="IB126" s="184"/>
      <c r="IC126" s="184"/>
      <c r="ID126" s="184"/>
      <c r="IE126" s="184"/>
      <c r="IF126" s="184"/>
      <c r="IG126" s="184"/>
      <c r="IH126" s="184"/>
      <c r="II126" s="184"/>
      <c r="IJ126" s="184"/>
      <c r="IK126" s="184"/>
      <c r="IL126" s="184"/>
      <c r="IM126" s="184"/>
      <c r="IN126" s="184"/>
      <c r="IO126" s="184"/>
      <c r="IP126" s="184"/>
      <c r="IQ126" s="184"/>
      <c r="IR126" s="184"/>
      <c r="IS126" s="184"/>
      <c r="IT126" s="184"/>
      <c r="IU126" s="184"/>
      <c r="IV126" s="184"/>
      <c r="IW126" s="184"/>
    </row>
    <row r="127" customFormat="false" ht="12.6" hidden="false" customHeight="true" outlineLevel="0" collapsed="false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84"/>
      <c r="BI127" s="184"/>
      <c r="BJ127" s="184"/>
      <c r="BK127" s="184"/>
      <c r="BL127" s="184"/>
      <c r="BM127" s="184"/>
      <c r="BN127" s="184"/>
      <c r="BO127" s="184"/>
      <c r="BP127" s="184"/>
      <c r="BQ127" s="184"/>
      <c r="BR127" s="184"/>
      <c r="BS127" s="184"/>
      <c r="BT127" s="184"/>
      <c r="BU127" s="184"/>
      <c r="BV127" s="184"/>
      <c r="BW127" s="184"/>
      <c r="BX127" s="184"/>
      <c r="BY127" s="184"/>
      <c r="BZ127" s="184"/>
      <c r="CA127" s="184"/>
      <c r="CB127" s="184"/>
      <c r="CC127" s="184"/>
      <c r="CD127" s="184"/>
      <c r="CE127" s="184"/>
      <c r="CF127" s="184"/>
      <c r="CG127" s="184"/>
      <c r="CH127" s="184"/>
      <c r="CI127" s="184"/>
      <c r="CJ127" s="184"/>
      <c r="CK127" s="184"/>
      <c r="CL127" s="184"/>
      <c r="CM127" s="184"/>
      <c r="CN127" s="184"/>
      <c r="CO127" s="184"/>
      <c r="CP127" s="184"/>
      <c r="CQ127" s="184"/>
      <c r="CR127" s="184"/>
      <c r="CS127" s="184"/>
      <c r="CT127" s="184"/>
      <c r="CU127" s="184"/>
      <c r="CV127" s="184"/>
      <c r="CW127" s="184"/>
      <c r="CX127" s="184"/>
      <c r="CY127" s="184"/>
      <c r="CZ127" s="184"/>
      <c r="DA127" s="184"/>
      <c r="DB127" s="184"/>
      <c r="DC127" s="184"/>
      <c r="DD127" s="184"/>
      <c r="DE127" s="184"/>
      <c r="DF127" s="184"/>
      <c r="DG127" s="184"/>
      <c r="DH127" s="184"/>
      <c r="DI127" s="184"/>
      <c r="DJ127" s="184"/>
      <c r="DK127" s="184"/>
      <c r="DL127" s="184"/>
      <c r="DM127" s="184"/>
      <c r="DN127" s="184"/>
      <c r="DO127" s="184"/>
      <c r="DP127" s="184"/>
      <c r="DQ127" s="184"/>
      <c r="DR127" s="184"/>
      <c r="DS127" s="184"/>
      <c r="DT127" s="184"/>
      <c r="DU127" s="184"/>
      <c r="DV127" s="184"/>
      <c r="DW127" s="184"/>
      <c r="DX127" s="184"/>
      <c r="DY127" s="184"/>
      <c r="DZ127" s="184"/>
      <c r="EA127" s="184"/>
      <c r="EB127" s="184"/>
      <c r="EC127" s="184"/>
      <c r="ED127" s="184"/>
      <c r="EE127" s="184"/>
      <c r="EF127" s="184"/>
      <c r="EG127" s="184"/>
      <c r="EH127" s="184"/>
      <c r="EI127" s="184"/>
      <c r="EJ127" s="184"/>
      <c r="EK127" s="184"/>
      <c r="EL127" s="184"/>
      <c r="EM127" s="184"/>
      <c r="EN127" s="184"/>
      <c r="EO127" s="184"/>
      <c r="EP127" s="184"/>
      <c r="EQ127" s="184"/>
      <c r="ER127" s="184"/>
      <c r="ES127" s="184"/>
      <c r="ET127" s="184"/>
      <c r="EU127" s="184"/>
      <c r="EV127" s="184"/>
      <c r="EW127" s="184"/>
      <c r="EX127" s="184"/>
      <c r="EY127" s="184"/>
      <c r="EZ127" s="184"/>
      <c r="FA127" s="184"/>
      <c r="FB127" s="184"/>
      <c r="FC127" s="184"/>
      <c r="FD127" s="184"/>
      <c r="FE127" s="184"/>
      <c r="FF127" s="184"/>
      <c r="FG127" s="184"/>
      <c r="FH127" s="184"/>
      <c r="FI127" s="184"/>
      <c r="FJ127" s="184"/>
      <c r="FK127" s="184"/>
      <c r="FL127" s="184"/>
      <c r="FM127" s="184"/>
      <c r="FN127" s="184"/>
      <c r="FO127" s="184"/>
      <c r="FP127" s="184"/>
      <c r="FQ127" s="184"/>
      <c r="FR127" s="184"/>
      <c r="FS127" s="184"/>
      <c r="FT127" s="184"/>
      <c r="FU127" s="184"/>
      <c r="FV127" s="184"/>
      <c r="FW127" s="184"/>
      <c r="FX127" s="184"/>
      <c r="FY127" s="184"/>
      <c r="FZ127" s="184"/>
      <c r="GA127" s="184"/>
      <c r="GB127" s="184"/>
      <c r="GC127" s="184"/>
      <c r="GD127" s="184"/>
      <c r="GE127" s="184"/>
      <c r="GF127" s="184"/>
      <c r="GG127" s="184"/>
      <c r="GH127" s="184"/>
      <c r="GI127" s="184"/>
      <c r="GJ127" s="184"/>
      <c r="GK127" s="184"/>
      <c r="GL127" s="184"/>
      <c r="GM127" s="184"/>
      <c r="GN127" s="184"/>
      <c r="GO127" s="184"/>
      <c r="GP127" s="184"/>
      <c r="GQ127" s="184"/>
      <c r="GR127" s="184"/>
      <c r="GS127" s="184"/>
      <c r="GT127" s="184"/>
      <c r="GU127" s="184"/>
      <c r="GV127" s="184"/>
      <c r="GW127" s="184"/>
      <c r="GX127" s="184"/>
      <c r="GY127" s="184"/>
      <c r="GZ127" s="184"/>
      <c r="HA127" s="184"/>
      <c r="HB127" s="184"/>
      <c r="HC127" s="184"/>
      <c r="HD127" s="184"/>
      <c r="HE127" s="184"/>
      <c r="HF127" s="184"/>
      <c r="HG127" s="184"/>
      <c r="HH127" s="184"/>
      <c r="HI127" s="184"/>
      <c r="HJ127" s="184"/>
      <c r="HK127" s="184"/>
      <c r="HL127" s="184"/>
      <c r="HM127" s="184"/>
      <c r="HN127" s="184"/>
      <c r="HO127" s="184"/>
      <c r="HP127" s="184"/>
      <c r="HQ127" s="184"/>
      <c r="HR127" s="184"/>
      <c r="HS127" s="184"/>
      <c r="HT127" s="184"/>
      <c r="HU127" s="184"/>
      <c r="HV127" s="184"/>
      <c r="HW127" s="184"/>
      <c r="HX127" s="184"/>
      <c r="HY127" s="184"/>
      <c r="HZ127" s="184"/>
      <c r="IA127" s="184"/>
      <c r="IB127" s="184"/>
      <c r="IC127" s="184"/>
      <c r="ID127" s="184"/>
      <c r="IE127" s="184"/>
      <c r="IF127" s="184"/>
      <c r="IG127" s="184"/>
      <c r="IH127" s="184"/>
      <c r="II127" s="184"/>
      <c r="IJ127" s="184"/>
      <c r="IK127" s="184"/>
      <c r="IL127" s="184"/>
      <c r="IM127" s="184"/>
      <c r="IN127" s="184"/>
      <c r="IO127" s="184"/>
      <c r="IP127" s="184"/>
      <c r="IQ127" s="184"/>
      <c r="IR127" s="184"/>
      <c r="IS127" s="184"/>
      <c r="IT127" s="184"/>
      <c r="IU127" s="184"/>
      <c r="IV127" s="184"/>
      <c r="IW127" s="184"/>
    </row>
    <row r="128" customFormat="false" ht="12.6" hidden="false" customHeight="true" outlineLevel="0" collapsed="false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4"/>
      <c r="BT128" s="184"/>
      <c r="BU128" s="184"/>
      <c r="BV128" s="184"/>
      <c r="BW128" s="184"/>
      <c r="BX128" s="184"/>
      <c r="BY128" s="184"/>
      <c r="BZ128" s="184"/>
      <c r="CA128" s="184"/>
      <c r="CB128" s="184"/>
      <c r="CC128" s="184"/>
      <c r="CD128" s="184"/>
      <c r="CE128" s="184"/>
      <c r="CF128" s="184"/>
      <c r="CG128" s="184"/>
      <c r="CH128" s="184"/>
      <c r="CI128" s="184"/>
      <c r="CJ128" s="184"/>
      <c r="CK128" s="184"/>
      <c r="CL128" s="184"/>
      <c r="CM128" s="184"/>
      <c r="CN128" s="184"/>
      <c r="CO128" s="184"/>
      <c r="CP128" s="184"/>
      <c r="CQ128" s="184"/>
      <c r="CR128" s="184"/>
      <c r="CS128" s="184"/>
      <c r="CT128" s="184"/>
      <c r="CU128" s="184"/>
      <c r="CV128" s="184"/>
      <c r="CW128" s="184"/>
      <c r="CX128" s="184"/>
      <c r="CY128" s="184"/>
      <c r="CZ128" s="184"/>
      <c r="DA128" s="184"/>
      <c r="DB128" s="184"/>
      <c r="DC128" s="184"/>
      <c r="DD128" s="184"/>
      <c r="DE128" s="184"/>
      <c r="DF128" s="184"/>
      <c r="DG128" s="184"/>
      <c r="DH128" s="184"/>
      <c r="DI128" s="184"/>
      <c r="DJ128" s="184"/>
      <c r="DK128" s="184"/>
      <c r="DL128" s="184"/>
      <c r="DM128" s="184"/>
      <c r="DN128" s="184"/>
      <c r="DO128" s="184"/>
      <c r="DP128" s="184"/>
      <c r="DQ128" s="184"/>
      <c r="DR128" s="184"/>
      <c r="DS128" s="184"/>
      <c r="DT128" s="184"/>
      <c r="DU128" s="184"/>
      <c r="DV128" s="184"/>
      <c r="DW128" s="184"/>
      <c r="DX128" s="184"/>
      <c r="DY128" s="184"/>
      <c r="DZ128" s="184"/>
      <c r="EA128" s="184"/>
      <c r="EB128" s="184"/>
      <c r="EC128" s="184"/>
      <c r="ED128" s="184"/>
      <c r="EE128" s="184"/>
      <c r="EF128" s="184"/>
      <c r="EG128" s="184"/>
      <c r="EH128" s="184"/>
      <c r="EI128" s="184"/>
      <c r="EJ128" s="184"/>
      <c r="EK128" s="184"/>
      <c r="EL128" s="184"/>
      <c r="EM128" s="184"/>
      <c r="EN128" s="184"/>
      <c r="EO128" s="184"/>
      <c r="EP128" s="184"/>
      <c r="EQ128" s="184"/>
      <c r="ER128" s="184"/>
      <c r="ES128" s="184"/>
      <c r="ET128" s="184"/>
      <c r="EU128" s="184"/>
      <c r="EV128" s="184"/>
      <c r="EW128" s="184"/>
      <c r="EX128" s="184"/>
      <c r="EY128" s="184"/>
      <c r="EZ128" s="184"/>
      <c r="FA128" s="184"/>
      <c r="FB128" s="184"/>
      <c r="FC128" s="184"/>
      <c r="FD128" s="184"/>
      <c r="FE128" s="184"/>
      <c r="FF128" s="184"/>
      <c r="FG128" s="184"/>
      <c r="FH128" s="184"/>
      <c r="FI128" s="184"/>
      <c r="FJ128" s="184"/>
      <c r="FK128" s="184"/>
      <c r="FL128" s="184"/>
      <c r="FM128" s="184"/>
      <c r="FN128" s="184"/>
      <c r="FO128" s="184"/>
      <c r="FP128" s="184"/>
      <c r="FQ128" s="184"/>
      <c r="FR128" s="184"/>
      <c r="FS128" s="184"/>
      <c r="FT128" s="184"/>
      <c r="FU128" s="184"/>
      <c r="FV128" s="184"/>
      <c r="FW128" s="184"/>
      <c r="FX128" s="184"/>
      <c r="FY128" s="184"/>
      <c r="FZ128" s="184"/>
      <c r="GA128" s="184"/>
      <c r="GB128" s="184"/>
      <c r="GC128" s="184"/>
      <c r="GD128" s="184"/>
      <c r="GE128" s="184"/>
      <c r="GF128" s="184"/>
      <c r="GG128" s="184"/>
      <c r="GH128" s="184"/>
      <c r="GI128" s="184"/>
      <c r="GJ128" s="184"/>
      <c r="GK128" s="184"/>
      <c r="GL128" s="184"/>
      <c r="GM128" s="184"/>
      <c r="GN128" s="184"/>
      <c r="GO128" s="184"/>
      <c r="GP128" s="184"/>
      <c r="GQ128" s="184"/>
      <c r="GR128" s="184"/>
      <c r="GS128" s="184"/>
      <c r="GT128" s="184"/>
      <c r="GU128" s="184"/>
      <c r="GV128" s="184"/>
      <c r="GW128" s="184"/>
      <c r="GX128" s="184"/>
      <c r="GY128" s="184"/>
      <c r="GZ128" s="184"/>
      <c r="HA128" s="184"/>
      <c r="HB128" s="184"/>
      <c r="HC128" s="184"/>
      <c r="HD128" s="184"/>
      <c r="HE128" s="184"/>
      <c r="HF128" s="184"/>
      <c r="HG128" s="184"/>
      <c r="HH128" s="184"/>
      <c r="HI128" s="184"/>
      <c r="HJ128" s="184"/>
      <c r="HK128" s="184"/>
      <c r="HL128" s="184"/>
      <c r="HM128" s="184"/>
      <c r="HN128" s="184"/>
      <c r="HO128" s="184"/>
      <c r="HP128" s="184"/>
      <c r="HQ128" s="184"/>
      <c r="HR128" s="184"/>
      <c r="HS128" s="184"/>
      <c r="HT128" s="184"/>
      <c r="HU128" s="184"/>
      <c r="HV128" s="184"/>
      <c r="HW128" s="184"/>
      <c r="HX128" s="184"/>
      <c r="HY128" s="184"/>
      <c r="HZ128" s="184"/>
      <c r="IA128" s="184"/>
      <c r="IB128" s="184"/>
      <c r="IC128" s="184"/>
      <c r="ID128" s="184"/>
      <c r="IE128" s="184"/>
      <c r="IF128" s="184"/>
      <c r="IG128" s="184"/>
      <c r="IH128" s="184"/>
      <c r="II128" s="184"/>
      <c r="IJ128" s="184"/>
      <c r="IK128" s="184"/>
      <c r="IL128" s="184"/>
      <c r="IM128" s="184"/>
      <c r="IN128" s="184"/>
      <c r="IO128" s="184"/>
      <c r="IP128" s="184"/>
      <c r="IQ128" s="184"/>
      <c r="IR128" s="184"/>
      <c r="IS128" s="184"/>
      <c r="IT128" s="184"/>
      <c r="IU128" s="184"/>
      <c r="IV128" s="184"/>
      <c r="IW128" s="184"/>
    </row>
    <row r="129" customFormat="false" ht="12.6" hidden="false" customHeight="true" outlineLevel="0" collapsed="false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  <c r="BI129" s="184"/>
      <c r="BJ129" s="184"/>
      <c r="BK129" s="184"/>
      <c r="BL129" s="184"/>
      <c r="BM129" s="184"/>
      <c r="BN129" s="184"/>
      <c r="BO129" s="184"/>
      <c r="BP129" s="184"/>
      <c r="BQ129" s="184"/>
      <c r="BR129" s="184"/>
      <c r="BS129" s="184"/>
      <c r="BT129" s="184"/>
      <c r="BU129" s="184"/>
      <c r="BV129" s="184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  <c r="CN129" s="184"/>
      <c r="CO129" s="184"/>
      <c r="CP129" s="184"/>
      <c r="CQ129" s="184"/>
      <c r="CR129" s="184"/>
      <c r="CS129" s="184"/>
      <c r="CT129" s="184"/>
      <c r="CU129" s="184"/>
      <c r="CV129" s="184"/>
      <c r="CW129" s="184"/>
      <c r="CX129" s="184"/>
      <c r="CY129" s="184"/>
      <c r="CZ129" s="184"/>
      <c r="DA129" s="184"/>
      <c r="DB129" s="184"/>
      <c r="DC129" s="184"/>
      <c r="DD129" s="184"/>
      <c r="DE129" s="184"/>
      <c r="DF129" s="184"/>
      <c r="DG129" s="184"/>
      <c r="DH129" s="184"/>
      <c r="DI129" s="184"/>
      <c r="DJ129" s="184"/>
      <c r="DK129" s="184"/>
      <c r="DL129" s="184"/>
      <c r="DM129" s="184"/>
      <c r="DN129" s="184"/>
      <c r="DO129" s="184"/>
      <c r="DP129" s="184"/>
      <c r="DQ129" s="184"/>
      <c r="DR129" s="184"/>
      <c r="DS129" s="184"/>
      <c r="DT129" s="184"/>
      <c r="DU129" s="184"/>
      <c r="DV129" s="184"/>
      <c r="DW129" s="184"/>
      <c r="DX129" s="184"/>
      <c r="DY129" s="184"/>
      <c r="DZ129" s="184"/>
      <c r="EA129" s="184"/>
      <c r="EB129" s="184"/>
      <c r="EC129" s="184"/>
      <c r="ED129" s="184"/>
      <c r="EE129" s="184"/>
      <c r="EF129" s="184"/>
      <c r="EG129" s="184"/>
      <c r="EH129" s="184"/>
      <c r="EI129" s="184"/>
      <c r="EJ129" s="184"/>
      <c r="EK129" s="184"/>
      <c r="EL129" s="184"/>
      <c r="EM129" s="184"/>
      <c r="EN129" s="184"/>
      <c r="EO129" s="184"/>
      <c r="EP129" s="184"/>
      <c r="EQ129" s="184"/>
      <c r="ER129" s="184"/>
      <c r="ES129" s="184"/>
      <c r="ET129" s="184"/>
      <c r="EU129" s="184"/>
      <c r="EV129" s="184"/>
      <c r="EW129" s="184"/>
      <c r="EX129" s="184"/>
      <c r="EY129" s="184"/>
      <c r="EZ129" s="184"/>
      <c r="FA129" s="184"/>
      <c r="FB129" s="184"/>
      <c r="FC129" s="184"/>
      <c r="FD129" s="184"/>
      <c r="FE129" s="184"/>
      <c r="FF129" s="184"/>
      <c r="FG129" s="184"/>
      <c r="FH129" s="184"/>
      <c r="FI129" s="184"/>
      <c r="FJ129" s="184"/>
      <c r="FK129" s="184"/>
      <c r="FL129" s="184"/>
      <c r="FM129" s="184"/>
      <c r="FN129" s="184"/>
      <c r="FO129" s="184"/>
      <c r="FP129" s="184"/>
      <c r="FQ129" s="184"/>
      <c r="FR129" s="184"/>
      <c r="FS129" s="184"/>
      <c r="FT129" s="184"/>
      <c r="FU129" s="184"/>
      <c r="FV129" s="184"/>
      <c r="FW129" s="184"/>
      <c r="FX129" s="184"/>
      <c r="FY129" s="184"/>
      <c r="FZ129" s="184"/>
      <c r="GA129" s="184"/>
      <c r="GB129" s="184"/>
      <c r="GC129" s="184"/>
      <c r="GD129" s="184"/>
      <c r="GE129" s="184"/>
      <c r="GF129" s="184"/>
      <c r="GG129" s="184"/>
      <c r="GH129" s="184"/>
      <c r="GI129" s="184"/>
      <c r="GJ129" s="184"/>
      <c r="GK129" s="184"/>
      <c r="GL129" s="184"/>
      <c r="GM129" s="184"/>
      <c r="GN129" s="184"/>
      <c r="GO129" s="184"/>
      <c r="GP129" s="184"/>
      <c r="GQ129" s="184"/>
      <c r="GR129" s="184"/>
      <c r="GS129" s="184"/>
      <c r="GT129" s="184"/>
      <c r="GU129" s="184"/>
      <c r="GV129" s="184"/>
      <c r="GW129" s="184"/>
      <c r="GX129" s="184"/>
      <c r="GY129" s="184"/>
      <c r="GZ129" s="184"/>
      <c r="HA129" s="184"/>
      <c r="HB129" s="184"/>
      <c r="HC129" s="184"/>
      <c r="HD129" s="184"/>
      <c r="HE129" s="184"/>
      <c r="HF129" s="184"/>
      <c r="HG129" s="184"/>
      <c r="HH129" s="184"/>
      <c r="HI129" s="184"/>
      <c r="HJ129" s="184"/>
      <c r="HK129" s="184"/>
      <c r="HL129" s="184"/>
      <c r="HM129" s="184"/>
      <c r="HN129" s="184"/>
      <c r="HO129" s="184"/>
      <c r="HP129" s="184"/>
      <c r="HQ129" s="184"/>
      <c r="HR129" s="184"/>
      <c r="HS129" s="184"/>
      <c r="HT129" s="184"/>
      <c r="HU129" s="184"/>
      <c r="HV129" s="184"/>
      <c r="HW129" s="184"/>
      <c r="HX129" s="184"/>
      <c r="HY129" s="184"/>
      <c r="HZ129" s="184"/>
      <c r="IA129" s="184"/>
      <c r="IB129" s="184"/>
      <c r="IC129" s="184"/>
      <c r="ID129" s="184"/>
      <c r="IE129" s="184"/>
      <c r="IF129" s="184"/>
      <c r="IG129" s="184"/>
      <c r="IH129" s="184"/>
      <c r="II129" s="184"/>
      <c r="IJ129" s="184"/>
      <c r="IK129" s="184"/>
      <c r="IL129" s="184"/>
      <c r="IM129" s="184"/>
      <c r="IN129" s="184"/>
      <c r="IO129" s="184"/>
      <c r="IP129" s="184"/>
      <c r="IQ129" s="184"/>
      <c r="IR129" s="184"/>
      <c r="IS129" s="184"/>
      <c r="IT129" s="184"/>
      <c r="IU129" s="184"/>
      <c r="IV129" s="184"/>
      <c r="IW129" s="184"/>
    </row>
    <row r="130" customFormat="false" ht="12.6" hidden="false" customHeight="true" outlineLevel="0" collapsed="false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  <c r="BI130" s="184"/>
      <c r="BJ130" s="184"/>
      <c r="BK130" s="184"/>
      <c r="BL130" s="184"/>
      <c r="BM130" s="184"/>
      <c r="BN130" s="184"/>
      <c r="BO130" s="184"/>
      <c r="BP130" s="184"/>
      <c r="BQ130" s="184"/>
      <c r="BR130" s="184"/>
      <c r="BS130" s="184"/>
      <c r="BT130" s="184"/>
      <c r="BU130" s="184"/>
      <c r="BV130" s="184"/>
      <c r="BW130" s="184"/>
      <c r="BX130" s="184"/>
      <c r="BY130" s="184"/>
      <c r="BZ130" s="184"/>
      <c r="CA130" s="184"/>
      <c r="CB130" s="184"/>
      <c r="CC130" s="184"/>
      <c r="CD130" s="184"/>
      <c r="CE130" s="184"/>
      <c r="CF130" s="184"/>
      <c r="CG130" s="184"/>
      <c r="CH130" s="184"/>
      <c r="CI130" s="184"/>
      <c r="CJ130" s="184"/>
      <c r="CK130" s="184"/>
      <c r="CL130" s="184"/>
      <c r="CM130" s="184"/>
      <c r="CN130" s="184"/>
      <c r="CO130" s="184"/>
      <c r="CP130" s="184"/>
      <c r="CQ130" s="184"/>
      <c r="CR130" s="184"/>
      <c r="CS130" s="184"/>
      <c r="CT130" s="184"/>
      <c r="CU130" s="184"/>
      <c r="CV130" s="184"/>
      <c r="CW130" s="184"/>
      <c r="CX130" s="184"/>
      <c r="CY130" s="184"/>
      <c r="CZ130" s="184"/>
      <c r="DA130" s="184"/>
      <c r="DB130" s="184"/>
      <c r="DC130" s="184"/>
      <c r="DD130" s="184"/>
      <c r="DE130" s="184"/>
      <c r="DF130" s="184"/>
      <c r="DG130" s="184"/>
      <c r="DH130" s="184"/>
      <c r="DI130" s="184"/>
      <c r="DJ130" s="184"/>
      <c r="DK130" s="184"/>
      <c r="DL130" s="184"/>
      <c r="DM130" s="184"/>
      <c r="DN130" s="184"/>
      <c r="DO130" s="184"/>
      <c r="DP130" s="184"/>
      <c r="DQ130" s="184"/>
      <c r="DR130" s="184"/>
      <c r="DS130" s="184"/>
      <c r="DT130" s="184"/>
      <c r="DU130" s="184"/>
      <c r="DV130" s="184"/>
      <c r="DW130" s="184"/>
      <c r="DX130" s="184"/>
      <c r="DY130" s="184"/>
      <c r="DZ130" s="184"/>
      <c r="EA130" s="184"/>
      <c r="EB130" s="184"/>
      <c r="EC130" s="184"/>
      <c r="ED130" s="184"/>
      <c r="EE130" s="184"/>
      <c r="EF130" s="184"/>
      <c r="EG130" s="184"/>
      <c r="EH130" s="184"/>
      <c r="EI130" s="184"/>
      <c r="EJ130" s="184"/>
      <c r="EK130" s="184"/>
      <c r="EL130" s="184"/>
      <c r="EM130" s="184"/>
      <c r="EN130" s="184"/>
      <c r="EO130" s="184"/>
      <c r="EP130" s="184"/>
      <c r="EQ130" s="184"/>
      <c r="ER130" s="184"/>
      <c r="ES130" s="184"/>
      <c r="ET130" s="184"/>
      <c r="EU130" s="184"/>
      <c r="EV130" s="184"/>
      <c r="EW130" s="184"/>
      <c r="EX130" s="184"/>
      <c r="EY130" s="184"/>
      <c r="EZ130" s="184"/>
      <c r="FA130" s="184"/>
      <c r="FB130" s="184"/>
      <c r="FC130" s="184"/>
      <c r="FD130" s="184"/>
      <c r="FE130" s="184"/>
      <c r="FF130" s="184"/>
      <c r="FG130" s="184"/>
      <c r="FH130" s="184"/>
      <c r="FI130" s="184"/>
      <c r="FJ130" s="184"/>
      <c r="FK130" s="184"/>
      <c r="FL130" s="184"/>
      <c r="FM130" s="184"/>
      <c r="FN130" s="184"/>
      <c r="FO130" s="184"/>
      <c r="FP130" s="184"/>
      <c r="FQ130" s="184"/>
      <c r="FR130" s="184"/>
      <c r="FS130" s="184"/>
      <c r="FT130" s="184"/>
      <c r="FU130" s="184"/>
      <c r="FV130" s="184"/>
      <c r="FW130" s="184"/>
      <c r="FX130" s="184"/>
      <c r="FY130" s="184"/>
      <c r="FZ130" s="184"/>
      <c r="GA130" s="184"/>
      <c r="GB130" s="184"/>
      <c r="GC130" s="184"/>
      <c r="GD130" s="184"/>
      <c r="GE130" s="184"/>
      <c r="GF130" s="184"/>
      <c r="GG130" s="184"/>
      <c r="GH130" s="184"/>
      <c r="GI130" s="184"/>
      <c r="GJ130" s="184"/>
      <c r="GK130" s="184"/>
      <c r="GL130" s="184"/>
      <c r="GM130" s="184"/>
      <c r="GN130" s="184"/>
      <c r="GO130" s="184"/>
      <c r="GP130" s="184"/>
      <c r="GQ130" s="184"/>
      <c r="GR130" s="184"/>
      <c r="GS130" s="184"/>
      <c r="GT130" s="184"/>
      <c r="GU130" s="184"/>
      <c r="GV130" s="184"/>
      <c r="GW130" s="184"/>
      <c r="GX130" s="184"/>
      <c r="GY130" s="184"/>
      <c r="GZ130" s="184"/>
      <c r="HA130" s="184"/>
      <c r="HB130" s="184"/>
      <c r="HC130" s="184"/>
      <c r="HD130" s="184"/>
      <c r="HE130" s="184"/>
      <c r="HF130" s="184"/>
      <c r="HG130" s="184"/>
      <c r="HH130" s="184"/>
      <c r="HI130" s="184"/>
      <c r="HJ130" s="184"/>
      <c r="HK130" s="184"/>
      <c r="HL130" s="184"/>
      <c r="HM130" s="184"/>
      <c r="HN130" s="184"/>
      <c r="HO130" s="184"/>
      <c r="HP130" s="184"/>
      <c r="HQ130" s="184"/>
      <c r="HR130" s="184"/>
      <c r="HS130" s="184"/>
      <c r="HT130" s="184"/>
      <c r="HU130" s="184"/>
      <c r="HV130" s="184"/>
      <c r="HW130" s="184"/>
      <c r="HX130" s="184"/>
      <c r="HY130" s="184"/>
      <c r="HZ130" s="184"/>
      <c r="IA130" s="184"/>
      <c r="IB130" s="184"/>
      <c r="IC130" s="184"/>
      <c r="ID130" s="184"/>
      <c r="IE130" s="184"/>
      <c r="IF130" s="184"/>
      <c r="IG130" s="184"/>
      <c r="IH130" s="184"/>
      <c r="II130" s="184"/>
      <c r="IJ130" s="184"/>
      <c r="IK130" s="184"/>
      <c r="IL130" s="184"/>
      <c r="IM130" s="184"/>
      <c r="IN130" s="184"/>
      <c r="IO130" s="184"/>
      <c r="IP130" s="184"/>
      <c r="IQ130" s="184"/>
      <c r="IR130" s="184"/>
      <c r="IS130" s="184"/>
      <c r="IT130" s="184"/>
      <c r="IU130" s="184"/>
      <c r="IV130" s="184"/>
      <c r="IW130" s="184"/>
    </row>
    <row r="131" customFormat="false" ht="12.6" hidden="false" customHeight="tru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AB131" s="0"/>
      <c r="AC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6" hidden="false" customHeight="tru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AB132" s="0"/>
      <c r="AC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6" hidden="false" customHeight="tru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AB133" s="0"/>
      <c r="AC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6" hidden="false" customHeight="tru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AB134" s="0"/>
      <c r="AC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6" hidden="false" customHeight="tru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AB135" s="0"/>
      <c r="AC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6" hidden="false" customHeight="tru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AB136" s="0"/>
      <c r="AC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6" hidden="false" customHeight="tru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AB137" s="0"/>
      <c r="AC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6" hidden="false" customHeight="tru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AB138" s="0"/>
      <c r="AC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6" hidden="false" customHeight="tru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AB139" s="0"/>
      <c r="AC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6" hidden="false" customHeight="tru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AB140" s="0"/>
      <c r="AC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6" hidden="false" customHeight="tru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AB141" s="0"/>
      <c r="AC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235" customFormat="false" ht="12.6" hidden="false" customHeight="true" outlineLevel="0" collapsed="false">
      <c r="C235" s="274"/>
      <c r="D235" s="274"/>
      <c r="E235" s="274"/>
      <c r="F235" s="274"/>
      <c r="G235" s="274"/>
      <c r="H235" s="274"/>
      <c r="I235" s="274"/>
      <c r="J235" s="274"/>
      <c r="K235" s="274"/>
      <c r="L235" s="274"/>
      <c r="M235" s="274"/>
      <c r="N235" s="274"/>
      <c r="O235" s="274"/>
      <c r="P235" s="274"/>
      <c r="Q235" s="274"/>
      <c r="R235" s="274"/>
    </row>
    <row r="236" customFormat="false" ht="12.6" hidden="false" customHeight="true" outlineLevel="0" collapsed="false">
      <c r="C236" s="274"/>
      <c r="D236" s="274"/>
      <c r="E236" s="274"/>
      <c r="F236" s="274"/>
      <c r="G236" s="274"/>
      <c r="H236" s="274"/>
      <c r="I236" s="274"/>
      <c r="J236" s="274"/>
      <c r="K236" s="274"/>
      <c r="L236" s="274"/>
      <c r="M236" s="274"/>
      <c r="N236" s="274"/>
      <c r="O236" s="274"/>
      <c r="P236" s="274"/>
      <c r="Q236" s="274"/>
      <c r="R236" s="274"/>
    </row>
    <row r="237" customFormat="false" ht="12.6" hidden="false" customHeight="true" outlineLevel="0" collapsed="false">
      <c r="C237" s="274"/>
      <c r="D237" s="274"/>
      <c r="E237" s="274"/>
      <c r="F237" s="274"/>
      <c r="G237" s="274"/>
      <c r="H237" s="274"/>
      <c r="I237" s="274"/>
      <c r="J237" s="274"/>
      <c r="K237" s="274"/>
      <c r="L237" s="274"/>
      <c r="M237" s="274"/>
      <c r="N237" s="274"/>
      <c r="O237" s="274"/>
      <c r="P237" s="274"/>
      <c r="Q237" s="274"/>
      <c r="R237" s="274"/>
    </row>
    <row r="238" customFormat="false" ht="12.6" hidden="false" customHeight="true" outlineLevel="0" collapsed="false">
      <c r="C238" s="274"/>
      <c r="D238" s="274"/>
      <c r="E238" s="274"/>
      <c r="F238" s="274"/>
      <c r="G238" s="274"/>
      <c r="H238" s="274"/>
      <c r="I238" s="274"/>
      <c r="J238" s="274"/>
      <c r="K238" s="274"/>
      <c r="L238" s="274"/>
      <c r="M238" s="274"/>
      <c r="N238" s="274"/>
      <c r="O238" s="274"/>
      <c r="P238" s="274"/>
      <c r="Q238" s="274"/>
      <c r="R238" s="274"/>
    </row>
    <row r="239" customFormat="false" ht="12.6" hidden="false" customHeight="true" outlineLevel="0" collapsed="false">
      <c r="C239" s="274"/>
      <c r="D239" s="274"/>
      <c r="E239" s="274"/>
      <c r="F239" s="274"/>
      <c r="G239" s="274"/>
      <c r="H239" s="274"/>
      <c r="I239" s="274"/>
      <c r="J239" s="274"/>
      <c r="K239" s="274"/>
      <c r="L239" s="274"/>
      <c r="M239" s="274"/>
      <c r="N239" s="274"/>
      <c r="O239" s="274"/>
      <c r="P239" s="274"/>
      <c r="Q239" s="274"/>
      <c r="R239" s="274"/>
    </row>
    <row r="240" customFormat="false" ht="12.6" hidden="false" customHeight="true" outlineLevel="0" collapsed="false">
      <c r="C240" s="274"/>
      <c r="D240" s="274"/>
      <c r="E240" s="274"/>
      <c r="F240" s="274"/>
      <c r="G240" s="274"/>
      <c r="H240" s="274"/>
      <c r="I240" s="274"/>
      <c r="J240" s="274"/>
      <c r="K240" s="274"/>
      <c r="L240" s="274"/>
      <c r="M240" s="274"/>
      <c r="N240" s="274"/>
      <c r="O240" s="274"/>
      <c r="P240" s="274"/>
      <c r="Q240" s="274"/>
      <c r="R240" s="274"/>
    </row>
    <row r="241" customFormat="false" ht="12.6" hidden="false" customHeight="true" outlineLevel="0" collapsed="false">
      <c r="C241" s="274"/>
      <c r="D241" s="274"/>
      <c r="E241" s="274"/>
      <c r="F241" s="274"/>
      <c r="G241" s="274"/>
      <c r="H241" s="274"/>
      <c r="I241" s="274"/>
      <c r="J241" s="274"/>
      <c r="K241" s="274"/>
      <c r="L241" s="274"/>
      <c r="M241" s="274"/>
      <c r="N241" s="274"/>
      <c r="O241" s="274"/>
      <c r="P241" s="274"/>
      <c r="Q241" s="274"/>
      <c r="R241" s="274"/>
    </row>
    <row r="242" customFormat="false" ht="12.6" hidden="false" customHeight="true" outlineLevel="0" collapsed="false">
      <c r="C242" s="274"/>
      <c r="D242" s="274"/>
      <c r="E242" s="274"/>
      <c r="F242" s="274"/>
      <c r="G242" s="274"/>
      <c r="H242" s="274"/>
      <c r="I242" s="274"/>
      <c r="J242" s="274"/>
      <c r="K242" s="274"/>
      <c r="L242" s="274"/>
      <c r="M242" s="274"/>
      <c r="N242" s="274"/>
      <c r="O242" s="274"/>
      <c r="P242" s="274"/>
      <c r="Q242" s="274"/>
      <c r="R242" s="274"/>
    </row>
    <row r="243" customFormat="false" ht="12.6" hidden="false" customHeight="true" outlineLevel="0" collapsed="false">
      <c r="C243" s="274"/>
      <c r="D243" s="274"/>
      <c r="E243" s="274"/>
      <c r="F243" s="274"/>
      <c r="G243" s="274"/>
      <c r="H243" s="274"/>
      <c r="I243" s="274"/>
      <c r="J243" s="274"/>
      <c r="K243" s="274"/>
      <c r="L243" s="274"/>
      <c r="M243" s="274"/>
      <c r="N243" s="274"/>
      <c r="O243" s="274"/>
      <c r="P243" s="274"/>
      <c r="Q243" s="274"/>
      <c r="R243" s="274"/>
    </row>
    <row r="244" customFormat="false" ht="12.6" hidden="false" customHeight="true" outlineLevel="0" collapsed="false">
      <c r="C244" s="274"/>
      <c r="D244" s="274"/>
      <c r="E244" s="274"/>
      <c r="F244" s="274"/>
      <c r="G244" s="274"/>
      <c r="H244" s="274"/>
      <c r="I244" s="274"/>
      <c r="J244" s="274"/>
      <c r="K244" s="274"/>
      <c r="L244" s="274"/>
      <c r="M244" s="274"/>
      <c r="N244" s="274"/>
      <c r="O244" s="274"/>
      <c r="P244" s="274"/>
      <c r="Q244" s="274"/>
      <c r="R244" s="274"/>
    </row>
    <row r="245" customFormat="false" ht="12.6" hidden="false" customHeight="true" outlineLevel="0" collapsed="false">
      <c r="C245" s="274"/>
      <c r="D245" s="274"/>
      <c r="E245" s="274"/>
      <c r="F245" s="274"/>
      <c r="G245" s="274"/>
      <c r="H245" s="274"/>
      <c r="I245" s="274"/>
      <c r="J245" s="274"/>
      <c r="K245" s="274"/>
      <c r="L245" s="274"/>
      <c r="M245" s="274"/>
      <c r="N245" s="274"/>
      <c r="O245" s="274"/>
      <c r="P245" s="274"/>
      <c r="Q245" s="274"/>
      <c r="R245" s="274"/>
    </row>
    <row r="246" customFormat="false" ht="12.6" hidden="false" customHeight="true" outlineLevel="0" collapsed="false">
      <c r="C246" s="274"/>
      <c r="D246" s="274"/>
      <c r="E246" s="274"/>
      <c r="F246" s="274"/>
      <c r="G246" s="274"/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/>
    </row>
    <row r="247" customFormat="false" ht="12.6" hidden="false" customHeight="true" outlineLevel="0" collapsed="false">
      <c r="C247" s="274"/>
      <c r="D247" s="274"/>
      <c r="E247" s="274"/>
      <c r="F247" s="274"/>
      <c r="G247" s="274"/>
      <c r="H247" s="274"/>
      <c r="I247" s="274"/>
      <c r="J247" s="274"/>
      <c r="K247" s="274"/>
      <c r="L247" s="274"/>
      <c r="M247" s="274"/>
      <c r="N247" s="274"/>
      <c r="O247" s="274"/>
      <c r="P247" s="274"/>
      <c r="Q247" s="274"/>
      <c r="R247" s="274"/>
    </row>
    <row r="248" customFormat="false" ht="12.6" hidden="false" customHeight="true" outlineLevel="0" collapsed="false">
      <c r="C248" s="274"/>
      <c r="D248" s="274"/>
      <c r="E248" s="274"/>
      <c r="F248" s="274"/>
      <c r="G248" s="274"/>
      <c r="H248" s="274"/>
      <c r="I248" s="274"/>
      <c r="J248" s="274"/>
      <c r="K248" s="274"/>
      <c r="L248" s="274"/>
      <c r="M248" s="274"/>
      <c r="N248" s="274"/>
      <c r="O248" s="274"/>
      <c r="P248" s="274"/>
      <c r="Q248" s="274"/>
      <c r="R248" s="274"/>
    </row>
    <row r="249" customFormat="false" ht="12.6" hidden="false" customHeight="true" outlineLevel="0" collapsed="false">
      <c r="C249" s="274"/>
      <c r="D249" s="274"/>
      <c r="E249" s="274"/>
      <c r="F249" s="274"/>
      <c r="G249" s="274"/>
      <c r="H249" s="274"/>
      <c r="I249" s="274"/>
      <c r="J249" s="274"/>
      <c r="K249" s="274"/>
      <c r="L249" s="274"/>
      <c r="M249" s="274"/>
      <c r="N249" s="274"/>
      <c r="O249" s="274"/>
      <c r="P249" s="274"/>
      <c r="Q249" s="274"/>
      <c r="R249" s="274"/>
    </row>
    <row r="250" customFormat="false" ht="12.6" hidden="false" customHeight="tru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AB250" s="0"/>
      <c r="AC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6" hidden="false" customHeight="tru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AB251" s="0"/>
      <c r="AC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6" hidden="false" customHeight="true" outlineLevel="0" collapsed="false">
      <c r="C252" s="274"/>
      <c r="D252" s="274"/>
      <c r="E252" s="274"/>
      <c r="F252" s="274"/>
      <c r="G252" s="274"/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/>
    </row>
    <row r="253" customFormat="false" ht="12.6" hidden="false" customHeight="true" outlineLevel="0" collapsed="false">
      <c r="C253" s="274"/>
      <c r="D253" s="274"/>
      <c r="E253" s="274"/>
      <c r="F253" s="274"/>
      <c r="G253" s="274"/>
      <c r="H253" s="274"/>
      <c r="I253" s="274"/>
      <c r="J253" s="274"/>
      <c r="K253" s="274"/>
      <c r="L253" s="274"/>
      <c r="M253" s="274"/>
      <c r="N253" s="274"/>
      <c r="O253" s="274"/>
      <c r="P253" s="274"/>
      <c r="Q253" s="274"/>
      <c r="R253" s="274"/>
    </row>
    <row r="254" customFormat="false" ht="12.6" hidden="false" customHeight="true" outlineLevel="0" collapsed="false">
      <c r="C254" s="274"/>
      <c r="D254" s="274"/>
      <c r="E254" s="274"/>
      <c r="F254" s="274"/>
      <c r="G254" s="274"/>
      <c r="H254" s="274"/>
      <c r="I254" s="274"/>
      <c r="J254" s="274"/>
      <c r="K254" s="274"/>
      <c r="L254" s="274"/>
      <c r="M254" s="274"/>
      <c r="N254" s="274"/>
      <c r="O254" s="274"/>
      <c r="P254" s="274"/>
      <c r="Q254" s="274"/>
      <c r="R254" s="274"/>
    </row>
    <row r="255" customFormat="false" ht="12.6" hidden="false" customHeight="true" outlineLevel="0" collapsed="false">
      <c r="C255" s="274"/>
      <c r="D255" s="274"/>
      <c r="E255" s="274"/>
      <c r="F255" s="274"/>
      <c r="G255" s="274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/>
    </row>
    <row r="256" customFormat="false" ht="12.6" hidden="false" customHeight="true" outlineLevel="0" collapsed="false">
      <c r="C256" s="274"/>
      <c r="D256" s="274"/>
      <c r="E256" s="274"/>
      <c r="F256" s="274"/>
      <c r="G256" s="274"/>
      <c r="H256" s="274"/>
      <c r="I256" s="274"/>
      <c r="J256" s="274"/>
      <c r="K256" s="274"/>
      <c r="L256" s="274"/>
      <c r="M256" s="274"/>
      <c r="N256" s="274"/>
      <c r="O256" s="274"/>
      <c r="P256" s="274"/>
      <c r="Q256" s="274"/>
      <c r="R256" s="274"/>
    </row>
    <row r="257" customFormat="false" ht="12.6" hidden="false" customHeight="true" outlineLevel="0" collapsed="false">
      <c r="C257" s="274"/>
      <c r="D257" s="274"/>
      <c r="E257" s="274"/>
      <c r="F257" s="274"/>
      <c r="G257" s="274"/>
      <c r="H257" s="274"/>
      <c r="I257" s="274"/>
      <c r="J257" s="274"/>
      <c r="K257" s="274"/>
      <c r="L257" s="274"/>
      <c r="M257" s="274"/>
      <c r="N257" s="274"/>
      <c r="O257" s="274"/>
      <c r="P257" s="274"/>
      <c r="Q257" s="274"/>
      <c r="R257" s="274"/>
    </row>
    <row r="258" customFormat="false" ht="12.6" hidden="false" customHeight="true" outlineLevel="0" collapsed="false">
      <c r="C258" s="274"/>
      <c r="D258" s="274"/>
      <c r="E258" s="274"/>
      <c r="F258" s="274"/>
      <c r="G258" s="274"/>
      <c r="H258" s="274"/>
      <c r="I258" s="274"/>
      <c r="J258" s="274"/>
      <c r="K258" s="274"/>
      <c r="L258" s="274"/>
      <c r="M258" s="274"/>
      <c r="N258" s="274"/>
      <c r="O258" s="274"/>
      <c r="P258" s="274"/>
      <c r="Q258" s="274"/>
      <c r="R258" s="274"/>
    </row>
    <row r="259" customFormat="false" ht="12.6" hidden="false" customHeight="true" outlineLevel="0" collapsed="false">
      <c r="C259" s="274"/>
      <c r="D259" s="274"/>
      <c r="E259" s="274"/>
      <c r="F259" s="274"/>
      <c r="G259" s="274"/>
      <c r="H259" s="274"/>
      <c r="I259" s="274"/>
      <c r="J259" s="274"/>
      <c r="K259" s="274"/>
      <c r="L259" s="274"/>
      <c r="M259" s="274"/>
      <c r="N259" s="274"/>
      <c r="O259" s="274"/>
      <c r="P259" s="274"/>
      <c r="Q259" s="274"/>
      <c r="R259" s="274"/>
    </row>
    <row r="260" customFormat="false" ht="12.6" hidden="false" customHeight="true" outlineLevel="0" collapsed="false">
      <c r="C260" s="274"/>
      <c r="D260" s="274"/>
      <c r="E260" s="274"/>
      <c r="F260" s="274"/>
      <c r="G260" s="274"/>
      <c r="H260" s="274"/>
      <c r="I260" s="274"/>
      <c r="J260" s="274"/>
      <c r="K260" s="274"/>
      <c r="L260" s="274"/>
      <c r="M260" s="274"/>
      <c r="N260" s="274"/>
      <c r="O260" s="274"/>
      <c r="P260" s="274"/>
      <c r="Q260" s="274"/>
      <c r="R260" s="274"/>
    </row>
    <row r="261" customFormat="false" ht="12.6" hidden="false" customHeight="true" outlineLevel="0" collapsed="false">
      <c r="C261" s="274"/>
      <c r="D261" s="274"/>
      <c r="E261" s="274"/>
      <c r="F261" s="274"/>
      <c r="G261" s="274"/>
      <c r="H261" s="274"/>
      <c r="I261" s="274"/>
      <c r="J261" s="274"/>
      <c r="K261" s="274"/>
      <c r="L261" s="274"/>
      <c r="M261" s="274"/>
      <c r="N261" s="274"/>
      <c r="O261" s="274"/>
      <c r="P261" s="274"/>
      <c r="Q261" s="274"/>
      <c r="R261" s="274"/>
    </row>
    <row r="262" customFormat="false" ht="12.6" hidden="false" customHeight="true" outlineLevel="0" collapsed="false">
      <c r="C262" s="274"/>
      <c r="D262" s="274"/>
      <c r="E262" s="274"/>
      <c r="F262" s="274"/>
      <c r="G262" s="274"/>
      <c r="H262" s="274"/>
      <c r="I262" s="274"/>
      <c r="J262" s="274"/>
      <c r="K262" s="274"/>
      <c r="L262" s="274"/>
      <c r="M262" s="274"/>
      <c r="N262" s="274"/>
      <c r="O262" s="274"/>
      <c r="P262" s="274"/>
      <c r="Q262" s="274"/>
      <c r="R262" s="274"/>
    </row>
    <row r="263" customFormat="false" ht="12.6" hidden="false" customHeight="true" outlineLevel="0" collapsed="false">
      <c r="C263" s="274"/>
      <c r="D263" s="274"/>
      <c r="E263" s="274"/>
      <c r="F263" s="274"/>
      <c r="G263" s="274"/>
      <c r="H263" s="274"/>
      <c r="I263" s="274"/>
      <c r="J263" s="274"/>
      <c r="K263" s="274"/>
      <c r="L263" s="274"/>
      <c r="M263" s="274"/>
      <c r="N263" s="274"/>
      <c r="O263" s="274"/>
      <c r="P263" s="274"/>
      <c r="Q263" s="274"/>
      <c r="R263" s="274"/>
    </row>
    <row r="264" customFormat="false" ht="12.6" hidden="false" customHeight="true" outlineLevel="0" collapsed="false">
      <c r="C264" s="274"/>
      <c r="D264" s="274"/>
      <c r="E264" s="274"/>
      <c r="F264" s="274"/>
      <c r="G264" s="274"/>
      <c r="H264" s="274"/>
      <c r="I264" s="274"/>
      <c r="J264" s="274"/>
      <c r="K264" s="274"/>
      <c r="L264" s="274"/>
      <c r="M264" s="274"/>
      <c r="N264" s="274"/>
      <c r="O264" s="274"/>
      <c r="P264" s="274"/>
      <c r="Q264" s="274"/>
      <c r="R264" s="274"/>
    </row>
    <row r="265" customFormat="false" ht="12.6" hidden="false" customHeight="true" outlineLevel="0" collapsed="false">
      <c r="C265" s="274"/>
      <c r="D265" s="274"/>
      <c r="E265" s="274"/>
      <c r="F265" s="274"/>
      <c r="G265" s="274"/>
      <c r="H265" s="274"/>
      <c r="I265" s="274"/>
      <c r="J265" s="274"/>
      <c r="K265" s="274"/>
      <c r="L265" s="274"/>
      <c r="M265" s="274"/>
      <c r="N265" s="274"/>
      <c r="O265" s="274"/>
      <c r="P265" s="274"/>
      <c r="Q265" s="274"/>
      <c r="R265" s="274"/>
    </row>
    <row r="266" customFormat="false" ht="12.6" hidden="false" customHeight="true" outlineLevel="0" collapsed="false">
      <c r="C266" s="274"/>
      <c r="D266" s="274"/>
      <c r="E266" s="274"/>
      <c r="F266" s="274"/>
      <c r="G266" s="274"/>
      <c r="H266" s="274"/>
      <c r="I266" s="274"/>
      <c r="J266" s="274"/>
      <c r="K266" s="274"/>
      <c r="L266" s="274"/>
      <c r="M266" s="274"/>
      <c r="N266" s="274"/>
      <c r="O266" s="274"/>
      <c r="P266" s="274"/>
      <c r="Q266" s="274"/>
      <c r="R266" s="274"/>
    </row>
    <row r="267" customFormat="false" ht="12.6" hidden="false" customHeight="true" outlineLevel="0" collapsed="false">
      <c r="C267" s="274"/>
      <c r="D267" s="274"/>
      <c r="E267" s="274"/>
      <c r="F267" s="274"/>
      <c r="G267" s="274"/>
      <c r="H267" s="274"/>
      <c r="I267" s="274"/>
      <c r="J267" s="274"/>
      <c r="K267" s="274"/>
      <c r="L267" s="274"/>
      <c r="M267" s="274"/>
      <c r="N267" s="274"/>
      <c r="O267" s="274"/>
      <c r="P267" s="274"/>
      <c r="Q267" s="274"/>
      <c r="R267" s="274"/>
    </row>
    <row r="268" customFormat="false" ht="12.6" hidden="false" customHeight="true" outlineLevel="0" collapsed="false">
      <c r="C268" s="274"/>
      <c r="D268" s="274"/>
      <c r="E268" s="274"/>
      <c r="F268" s="274"/>
      <c r="G268" s="274"/>
      <c r="H268" s="274"/>
      <c r="I268" s="274"/>
      <c r="J268" s="274"/>
      <c r="K268" s="274"/>
      <c r="L268" s="274"/>
      <c r="M268" s="274"/>
      <c r="N268" s="274"/>
      <c r="O268" s="274"/>
      <c r="P268" s="274"/>
      <c r="Q268" s="274"/>
      <c r="R268" s="274"/>
    </row>
    <row r="269" customFormat="false" ht="12.6" hidden="false" customHeight="true" outlineLevel="0" collapsed="false">
      <c r="C269" s="274"/>
      <c r="D269" s="274"/>
      <c r="E269" s="274"/>
      <c r="F269" s="274"/>
      <c r="G269" s="274"/>
      <c r="H269" s="274"/>
      <c r="I269" s="274"/>
      <c r="J269" s="274"/>
      <c r="K269" s="274"/>
      <c r="L269" s="274"/>
      <c r="M269" s="274"/>
      <c r="N269" s="274"/>
      <c r="O269" s="274"/>
      <c r="P269" s="274"/>
      <c r="Q269" s="274"/>
      <c r="R269" s="274"/>
    </row>
    <row r="270" customFormat="false" ht="12.6" hidden="false" customHeight="true" outlineLevel="0" collapsed="false">
      <c r="C270" s="274"/>
      <c r="D270" s="274"/>
      <c r="E270" s="274"/>
      <c r="F270" s="274"/>
      <c r="G270" s="274"/>
      <c r="H270" s="274"/>
      <c r="I270" s="274"/>
      <c r="J270" s="274"/>
      <c r="K270" s="274"/>
      <c r="L270" s="274"/>
      <c r="M270" s="274"/>
      <c r="N270" s="274"/>
      <c r="O270" s="274"/>
      <c r="P270" s="274"/>
      <c r="Q270" s="274"/>
      <c r="R270" s="274"/>
    </row>
    <row r="271" customFormat="false" ht="12.6" hidden="false" customHeight="true" outlineLevel="0" collapsed="false">
      <c r="C271" s="274"/>
      <c r="D271" s="274"/>
      <c r="E271" s="274"/>
      <c r="F271" s="274"/>
      <c r="G271" s="274"/>
      <c r="H271" s="274"/>
      <c r="I271" s="274"/>
      <c r="J271" s="274"/>
      <c r="K271" s="274"/>
      <c r="L271" s="274"/>
      <c r="M271" s="274"/>
      <c r="N271" s="274"/>
      <c r="O271" s="274"/>
      <c r="P271" s="274"/>
      <c r="Q271" s="274"/>
      <c r="R271" s="274"/>
    </row>
    <row r="272" customFormat="false" ht="12.6" hidden="false" customHeight="true" outlineLevel="0" collapsed="false">
      <c r="C272" s="274"/>
      <c r="D272" s="274"/>
      <c r="E272" s="274"/>
      <c r="F272" s="274"/>
      <c r="G272" s="274"/>
      <c r="H272" s="274"/>
      <c r="I272" s="274"/>
      <c r="J272" s="274"/>
      <c r="K272" s="274"/>
      <c r="L272" s="274"/>
      <c r="M272" s="274"/>
      <c r="N272" s="274"/>
      <c r="O272" s="274"/>
      <c r="P272" s="274"/>
      <c r="Q272" s="274"/>
      <c r="R272" s="274"/>
    </row>
    <row r="273" customFormat="false" ht="12.6" hidden="false" customHeight="true" outlineLevel="0" collapsed="false">
      <c r="C273" s="274"/>
      <c r="D273" s="274"/>
      <c r="E273" s="274"/>
      <c r="F273" s="274"/>
      <c r="G273" s="274"/>
      <c r="H273" s="274"/>
      <c r="I273" s="274"/>
      <c r="J273" s="274"/>
      <c r="K273" s="274"/>
      <c r="L273" s="274"/>
      <c r="M273" s="274"/>
      <c r="N273" s="274"/>
      <c r="O273" s="274"/>
      <c r="P273" s="274"/>
      <c r="Q273" s="274"/>
      <c r="R273" s="274"/>
    </row>
    <row r="274" customFormat="false" ht="12.6" hidden="false" customHeight="true" outlineLevel="0" collapsed="false">
      <c r="C274" s="274"/>
      <c r="D274" s="274"/>
      <c r="E274" s="274"/>
      <c r="F274" s="274"/>
      <c r="G274" s="274"/>
      <c r="H274" s="274"/>
      <c r="I274" s="274"/>
      <c r="J274" s="274"/>
      <c r="K274" s="274"/>
      <c r="L274" s="274"/>
      <c r="M274" s="274"/>
      <c r="N274" s="274"/>
      <c r="O274" s="274"/>
      <c r="P274" s="274"/>
      <c r="Q274" s="274"/>
      <c r="R274" s="274"/>
    </row>
    <row r="275" customFormat="false" ht="12.6" hidden="false" customHeight="true" outlineLevel="0" collapsed="false">
      <c r="C275" s="274"/>
      <c r="D275" s="274"/>
      <c r="E275" s="274"/>
      <c r="F275" s="274"/>
      <c r="G275" s="274"/>
      <c r="H275" s="274"/>
      <c r="I275" s="274"/>
      <c r="J275" s="274"/>
      <c r="K275" s="274"/>
      <c r="L275" s="274"/>
      <c r="M275" s="274"/>
      <c r="N275" s="274"/>
      <c r="O275" s="274"/>
      <c r="P275" s="274"/>
      <c r="Q275" s="274"/>
      <c r="R275" s="274"/>
    </row>
    <row r="276" customFormat="false" ht="12.6" hidden="false" customHeight="true" outlineLevel="0" collapsed="false">
      <c r="C276" s="274"/>
      <c r="D276" s="274"/>
      <c r="E276" s="274"/>
      <c r="F276" s="274"/>
      <c r="G276" s="274"/>
      <c r="H276" s="274"/>
      <c r="I276" s="274"/>
      <c r="J276" s="274"/>
      <c r="K276" s="274"/>
      <c r="L276" s="274"/>
      <c r="M276" s="274"/>
      <c r="N276" s="274"/>
      <c r="O276" s="274"/>
      <c r="P276" s="274"/>
      <c r="Q276" s="274"/>
      <c r="R276" s="274"/>
    </row>
    <row r="277" customFormat="false" ht="12.6" hidden="false" customHeight="true" outlineLevel="0" collapsed="false">
      <c r="C277" s="274"/>
      <c r="D277" s="274"/>
      <c r="E277" s="274"/>
      <c r="F277" s="274"/>
      <c r="G277" s="274"/>
      <c r="H277" s="274"/>
      <c r="I277" s="274"/>
      <c r="J277" s="274"/>
      <c r="K277" s="274"/>
      <c r="L277" s="274"/>
      <c r="M277" s="274"/>
      <c r="N277" s="274"/>
      <c r="O277" s="274"/>
      <c r="P277" s="274"/>
      <c r="Q277" s="274"/>
      <c r="R277" s="274"/>
    </row>
    <row r="278" customFormat="false" ht="12.6" hidden="false" customHeight="true" outlineLevel="0" collapsed="false">
      <c r="C278" s="274"/>
      <c r="D278" s="274"/>
      <c r="E278" s="274"/>
      <c r="F278" s="274"/>
      <c r="G278" s="274"/>
      <c r="H278" s="274"/>
      <c r="I278" s="274"/>
      <c r="J278" s="274"/>
      <c r="K278" s="274"/>
      <c r="L278" s="274"/>
      <c r="M278" s="274"/>
      <c r="N278" s="274"/>
      <c r="O278" s="274"/>
      <c r="P278" s="274"/>
      <c r="Q278" s="274"/>
      <c r="R278" s="274"/>
    </row>
    <row r="279" customFormat="false" ht="12.6" hidden="false" customHeight="true" outlineLevel="0" collapsed="false">
      <c r="C279" s="274"/>
      <c r="D279" s="274"/>
      <c r="E279" s="274"/>
      <c r="F279" s="274"/>
      <c r="G279" s="274"/>
      <c r="H279" s="274"/>
      <c r="I279" s="274"/>
      <c r="J279" s="274"/>
      <c r="K279" s="274"/>
      <c r="L279" s="274"/>
      <c r="M279" s="274"/>
      <c r="N279" s="274"/>
      <c r="O279" s="274"/>
      <c r="P279" s="274"/>
      <c r="Q279" s="274"/>
      <c r="R279" s="274"/>
    </row>
    <row r="280" customFormat="false" ht="12.6" hidden="false" customHeight="true" outlineLevel="0" collapsed="false">
      <c r="C280" s="274"/>
      <c r="D280" s="274"/>
      <c r="E280" s="274"/>
      <c r="F280" s="274"/>
      <c r="G280" s="274"/>
      <c r="H280" s="274"/>
      <c r="I280" s="274"/>
      <c r="J280" s="274"/>
      <c r="K280" s="274"/>
      <c r="L280" s="274"/>
      <c r="M280" s="274"/>
      <c r="N280" s="274"/>
      <c r="O280" s="274"/>
      <c r="P280" s="274"/>
      <c r="Q280" s="274"/>
      <c r="R280" s="274"/>
    </row>
    <row r="281" customFormat="false" ht="12.6" hidden="false" customHeight="true" outlineLevel="0" collapsed="false">
      <c r="C281" s="274"/>
      <c r="D281" s="274"/>
      <c r="E281" s="274"/>
      <c r="F281" s="274"/>
      <c r="G281" s="274"/>
      <c r="H281" s="274"/>
      <c r="I281" s="274"/>
      <c r="J281" s="274"/>
      <c r="K281" s="274"/>
      <c r="L281" s="274"/>
      <c r="M281" s="274"/>
      <c r="N281" s="274"/>
      <c r="O281" s="274"/>
      <c r="P281" s="274"/>
      <c r="Q281" s="274"/>
      <c r="R281" s="274"/>
    </row>
    <row r="282" customFormat="false" ht="12.6" hidden="false" customHeight="true" outlineLevel="0" collapsed="false">
      <c r="C282" s="274"/>
      <c r="D282" s="274"/>
      <c r="E282" s="274"/>
      <c r="F282" s="274"/>
      <c r="G282" s="274"/>
      <c r="H282" s="274"/>
      <c r="I282" s="274"/>
      <c r="J282" s="274"/>
      <c r="K282" s="274"/>
      <c r="L282" s="274"/>
      <c r="M282" s="274"/>
      <c r="N282" s="274"/>
      <c r="O282" s="274"/>
      <c r="P282" s="274"/>
      <c r="Q282" s="274"/>
      <c r="R282" s="274"/>
    </row>
    <row r="283" customFormat="false" ht="12.6" hidden="false" customHeight="true" outlineLevel="0" collapsed="false">
      <c r="C283" s="274"/>
      <c r="D283" s="274"/>
      <c r="E283" s="274"/>
      <c r="F283" s="274"/>
      <c r="G283" s="274"/>
      <c r="H283" s="274"/>
      <c r="I283" s="274"/>
      <c r="J283" s="274"/>
      <c r="K283" s="274"/>
      <c r="L283" s="274"/>
      <c r="M283" s="274"/>
      <c r="N283" s="274"/>
      <c r="O283" s="274"/>
      <c r="P283" s="274"/>
      <c r="Q283" s="274"/>
      <c r="R283" s="274"/>
    </row>
    <row r="284" customFormat="false" ht="12.6" hidden="false" customHeight="true" outlineLevel="0" collapsed="false">
      <c r="C284" s="274"/>
      <c r="D284" s="274"/>
      <c r="E284" s="274"/>
      <c r="F284" s="274"/>
      <c r="G284" s="274"/>
      <c r="H284" s="274"/>
      <c r="I284" s="274"/>
      <c r="J284" s="274"/>
      <c r="K284" s="274"/>
      <c r="L284" s="274"/>
      <c r="M284" s="274"/>
      <c r="N284" s="274"/>
      <c r="O284" s="274"/>
      <c r="P284" s="274"/>
      <c r="Q284" s="274"/>
      <c r="R284" s="274"/>
    </row>
    <row r="285" customFormat="false" ht="12.6" hidden="false" customHeight="true" outlineLevel="0" collapsed="false">
      <c r="C285" s="274"/>
      <c r="D285" s="274"/>
      <c r="E285" s="274"/>
      <c r="F285" s="274"/>
      <c r="G285" s="274"/>
      <c r="H285" s="274"/>
      <c r="I285" s="274"/>
      <c r="J285" s="274"/>
      <c r="K285" s="274"/>
      <c r="L285" s="274"/>
      <c r="M285" s="274"/>
      <c r="N285" s="274"/>
      <c r="O285" s="274"/>
      <c r="P285" s="274"/>
      <c r="Q285" s="274"/>
      <c r="R285" s="274"/>
    </row>
    <row r="286" customFormat="false" ht="12.6" hidden="false" customHeight="true" outlineLevel="0" collapsed="false">
      <c r="C286" s="274"/>
      <c r="D286" s="274"/>
      <c r="E286" s="274"/>
      <c r="F286" s="274"/>
      <c r="G286" s="274"/>
      <c r="H286" s="274"/>
      <c r="I286" s="274"/>
      <c r="J286" s="274"/>
      <c r="K286" s="274"/>
      <c r="L286" s="274"/>
      <c r="M286" s="274"/>
      <c r="N286" s="274"/>
      <c r="O286" s="274"/>
      <c r="P286" s="274"/>
      <c r="Q286" s="274"/>
      <c r="R286" s="274"/>
    </row>
  </sheetData>
  <printOptions headings="false" gridLines="false" gridLinesSet="true" horizontalCentered="true" verticalCentered="tru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&amp;T&amp;R&amp;A &amp;P</oddFooter>
  </headerFooter>
  <colBreaks count="1" manualBreakCount="1">
    <brk id="14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6" customHeight="true" zeroHeight="false" outlineLevelRow="0" outlineLevelCol="0"/>
  <cols>
    <col collapsed="false" customWidth="true" hidden="false" outlineLevel="0" max="1" min="1" style="341" width="19.28"/>
    <col collapsed="false" customWidth="true" hidden="false" outlineLevel="0" max="2" min="2" style="341" width="9.7"/>
    <col collapsed="false" customWidth="true" hidden="false" outlineLevel="0" max="3" min="3" style="341" width="10.41"/>
    <col collapsed="false" customWidth="true" hidden="false" outlineLevel="0" max="19" min="4" style="341" width="10.71"/>
    <col collapsed="false" customWidth="true" hidden="false" outlineLevel="0" max="28" min="20" style="0" width="10.71"/>
    <col collapsed="false" customWidth="false" hidden="false" outlineLevel="0" max="30" min="29" style="342" width="9.28"/>
    <col collapsed="false" customWidth="false" hidden="false" outlineLevel="0" max="257" min="31" style="341" width="9.28"/>
  </cols>
  <sheetData>
    <row r="1" customFormat="false" ht="26.25" hidden="false" customHeight="true" outlineLevel="0" collapsed="false">
      <c r="A1" s="160" t="str">
        <f aca="false">'Project Assumptions'!$A$2</f>
        <v>PROJECT DOYLE</v>
      </c>
    </row>
    <row r="2" customFormat="false" ht="15.6" hidden="false" customHeight="true" outlineLevel="0" collapsed="false">
      <c r="A2" s="162" t="s">
        <v>367</v>
      </c>
    </row>
    <row r="3" customFormat="false" ht="12.6" hidden="false" customHeight="true" outlineLevel="0" collapsed="false">
      <c r="A3" s="343"/>
      <c r="B3" s="0"/>
      <c r="C3" s="236"/>
      <c r="D3" s="237" t="n">
        <v>1</v>
      </c>
      <c r="E3" s="237" t="n">
        <f aca="false">D3+1</f>
        <v>2</v>
      </c>
      <c r="F3" s="237" t="n">
        <f aca="false">E3+1</f>
        <v>3</v>
      </c>
      <c r="G3" s="237" t="n">
        <f aca="false">F3+1</f>
        <v>4</v>
      </c>
      <c r="H3" s="237" t="n">
        <f aca="false">G3+1</f>
        <v>5</v>
      </c>
      <c r="I3" s="344" t="n">
        <f aca="false">H3+1</f>
        <v>6</v>
      </c>
      <c r="J3" s="237" t="n">
        <f aca="false">I3+1</f>
        <v>7</v>
      </c>
      <c r="K3" s="237" t="n">
        <f aca="false">J3+1</f>
        <v>8</v>
      </c>
      <c r="L3" s="237" t="n">
        <f aca="false">K3+1</f>
        <v>9</v>
      </c>
      <c r="M3" s="237" t="n">
        <f aca="false">L3+1</f>
        <v>10</v>
      </c>
      <c r="N3" s="237" t="n">
        <f aca="false">M3+1</f>
        <v>11</v>
      </c>
      <c r="O3" s="344" t="n">
        <f aca="false">N3+1</f>
        <v>12</v>
      </c>
      <c r="P3" s="237" t="n">
        <f aca="false">O3+1</f>
        <v>13</v>
      </c>
      <c r="Q3" s="237" t="n">
        <f aca="false">P3+1</f>
        <v>14</v>
      </c>
      <c r="R3" s="237" t="n">
        <f aca="false">Q3+1</f>
        <v>15</v>
      </c>
      <c r="S3" s="237" t="n">
        <f aca="false">R3+1</f>
        <v>16</v>
      </c>
      <c r="AC3" s="238"/>
      <c r="AD3" s="0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  <c r="IW3" s="237"/>
    </row>
    <row r="4" customFormat="false" ht="12.6" hidden="false" customHeight="true" outlineLevel="0" collapsed="false">
      <c r="A4" s="345"/>
      <c r="B4" s="237"/>
      <c r="C4" s="346"/>
      <c r="D4" s="346" t="n">
        <f aca="false">YEAR('Project Assumptions'!I16)</f>
        <v>2000</v>
      </c>
      <c r="E4" s="346" t="n">
        <f aca="false">D4+1</f>
        <v>2001</v>
      </c>
      <c r="F4" s="346" t="n">
        <f aca="false">E4+1</f>
        <v>2002</v>
      </c>
      <c r="G4" s="346" t="n">
        <f aca="false">F4+1</f>
        <v>2003</v>
      </c>
      <c r="H4" s="346" t="n">
        <f aca="false">G4+1</f>
        <v>2004</v>
      </c>
      <c r="I4" s="346" t="n">
        <f aca="false">H4+1</f>
        <v>2005</v>
      </c>
      <c r="J4" s="346" t="n">
        <f aca="false">I4+1</f>
        <v>2006</v>
      </c>
      <c r="K4" s="346" t="n">
        <f aca="false">J4+1</f>
        <v>2007</v>
      </c>
      <c r="L4" s="346" t="n">
        <f aca="false">K4+1</f>
        <v>2008</v>
      </c>
      <c r="M4" s="346" t="n">
        <f aca="false">L4+1</f>
        <v>2009</v>
      </c>
      <c r="N4" s="346" t="n">
        <f aca="false">M4+1</f>
        <v>2010</v>
      </c>
      <c r="O4" s="346" t="n">
        <f aca="false">N4+1</f>
        <v>2011</v>
      </c>
      <c r="P4" s="346" t="n">
        <f aca="false">O4+1</f>
        <v>2012</v>
      </c>
      <c r="Q4" s="346" t="n">
        <f aca="false">P4+1</f>
        <v>2013</v>
      </c>
      <c r="R4" s="346" t="n">
        <f aca="false">Q4+1</f>
        <v>2014</v>
      </c>
      <c r="S4" s="346" t="n">
        <f aca="false">R4+1</f>
        <v>2015</v>
      </c>
      <c r="AC4" s="346"/>
      <c r="AD4" s="0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  <c r="IW4" s="237"/>
    </row>
    <row r="5" customFormat="false" ht="12.6" hidden="false" customHeight="true" outlineLevel="0" collapsed="false"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AC5" s="348"/>
      <c r="AD5" s="348"/>
      <c r="AI5" s="349"/>
      <c r="AM5" s="349"/>
      <c r="AX5" s="349"/>
      <c r="BB5" s="349"/>
    </row>
    <row r="6" customFormat="false" ht="12.6" hidden="false" customHeight="true" outlineLevel="0" collapsed="false">
      <c r="A6" s="350" t="s">
        <v>368</v>
      </c>
      <c r="C6" s="351" t="n">
        <f aca="false">SUM(D6:AD6)</f>
        <v>26802.5128634064</v>
      </c>
      <c r="D6" s="352" t="n">
        <f aca="false">IF(D3&gt;'Project Assumptions'!$I$15+1,0,'Book Income Statement'!C48)</f>
        <v>-358.796310887085</v>
      </c>
      <c r="E6" s="352" t="n">
        <f aca="false">IF(E3&gt;'Project Assumptions'!$I$15+1,0,'Book Income Statement'!D48)</f>
        <v>-1997.65387787499</v>
      </c>
      <c r="F6" s="352" t="n">
        <f aca="false">IF(F3&gt;'Project Assumptions'!$I$15+1,0,'Book Income Statement'!E48)</f>
        <v>-1696.03144122992</v>
      </c>
      <c r="G6" s="352" t="n">
        <f aca="false">IF(G3&gt;'Project Assumptions'!$I$15+1,0,'Book Income Statement'!F48)</f>
        <v>-1374.88176544252</v>
      </c>
      <c r="H6" s="352" t="n">
        <f aca="false">IF(H3&gt;'Project Assumptions'!$I$15+1,0,'Book Income Statement'!G48)</f>
        <v>-1035.38899932426</v>
      </c>
      <c r="I6" s="352" t="n">
        <f aca="false">IF(I3&gt;'Project Assumptions'!$I$15+1,0,'Book Income Statement'!H48)</f>
        <v>-396.648879345952</v>
      </c>
      <c r="J6" s="352" t="n">
        <f aca="false">IF(J3&gt;'Project Assumptions'!$I$15+1,0,'Book Income Statement'!I48)</f>
        <v>261.723815596771</v>
      </c>
      <c r="K6" s="352" t="n">
        <f aca="false">IF(K3&gt;'Project Assumptions'!$I$15+1,0,'Book Income Statement'!J48)</f>
        <v>665.365689953565</v>
      </c>
      <c r="L6" s="352" t="n">
        <f aca="false">IF(L3&gt;'Project Assumptions'!$I$15+1,0,'Book Income Statement'!K48)</f>
        <v>1094.83549429207</v>
      </c>
      <c r="M6" s="352" t="n">
        <f aca="false">IF(M3&gt;'Project Assumptions'!$I$15+1,0,'Book Income Statement'!L48)</f>
        <v>1549.33244497369</v>
      </c>
      <c r="N6" s="352" t="n">
        <f aca="false">IF(N3&gt;'Project Assumptions'!$I$15+1,0,'Book Income Statement'!M48)</f>
        <v>2031.59697142969</v>
      </c>
      <c r="O6" s="352" t="n">
        <f aca="false">IF(O3&gt;'Project Assumptions'!$I$15+1,0,'Book Income Statement'!N48)</f>
        <v>2542.74129297862</v>
      </c>
      <c r="P6" s="352" t="n">
        <f aca="false">IF(P3&gt;'Project Assumptions'!$I$15+1,0,'Book Income Statement'!O48)</f>
        <v>3085.70529637241</v>
      </c>
      <c r="Q6" s="352" t="n">
        <f aca="false">IF(Q3&gt;'Project Assumptions'!$I$15+1,0,'Book Income Statement'!P48)</f>
        <v>3661.81280216829</v>
      </c>
      <c r="R6" s="352" t="n">
        <f aca="false">IF(R3&gt;'Project Assumptions'!$I$15+1,0,'Book Income Statement'!Q48)</f>
        <v>4272.50318927884</v>
      </c>
      <c r="S6" s="352" t="n">
        <f aca="false">IF(S3&gt;'Project Assumptions'!$I$15+1,0,'Book Income Statement'!R48)</f>
        <v>14496.2971404672</v>
      </c>
      <c r="AC6" s="353"/>
      <c r="AD6" s="353"/>
    </row>
    <row r="7" customFormat="false" ht="12.6" hidden="false" customHeight="true" outlineLevel="0" collapsed="false">
      <c r="A7" s="354" t="s">
        <v>369</v>
      </c>
      <c r="C7" s="351" t="n">
        <f aca="false">SUM(D7:AD7)</f>
        <v>106365.339630715</v>
      </c>
      <c r="D7" s="355" t="n">
        <f aca="false">IF(D3&gt;'Project Assumptions'!$I$15+1,0,'Book Income Statement'!C42)</f>
        <v>3730.45835053844</v>
      </c>
      <c r="E7" s="355" t="n">
        <f aca="false">IF(E3&gt;'Project Assumptions'!$I$15+1,0,'Book Income Statement'!D42)</f>
        <v>7460.91670107687</v>
      </c>
      <c r="F7" s="355" t="n">
        <f aca="false">IF(F3&gt;'Project Assumptions'!$I$15+1,0,'Book Income Statement'!E42)</f>
        <v>7460.91670107687</v>
      </c>
      <c r="G7" s="355" t="n">
        <f aca="false">IF(G3&gt;'Project Assumptions'!$I$15+1,0,'Book Income Statement'!F42)</f>
        <v>7460.91670107687</v>
      </c>
      <c r="H7" s="355" t="n">
        <f aca="false">IF(H3&gt;'Project Assumptions'!$I$15+1,0,'Book Income Statement'!G42)</f>
        <v>7460.91670107687</v>
      </c>
      <c r="I7" s="355" t="n">
        <f aca="false">IF(I3&gt;'Project Assumptions'!$I$15+1,0,'Book Income Statement'!H42)</f>
        <v>7183.49615680498</v>
      </c>
      <c r="J7" s="355" t="n">
        <f aca="false">IF(J3&gt;'Project Assumptions'!$I$15+1,0,'Book Income Statement'!I42)</f>
        <v>6906.07561253308</v>
      </c>
      <c r="K7" s="355" t="n">
        <f aca="false">IF(K3&gt;'Project Assumptions'!$I$15+1,0,'Book Income Statement'!J42)</f>
        <v>6906.07561253308</v>
      </c>
      <c r="L7" s="355" t="n">
        <f aca="false">IF(L3&gt;'Project Assumptions'!$I$15+1,0,'Book Income Statement'!K42)</f>
        <v>6906.07561253308</v>
      </c>
      <c r="M7" s="355" t="n">
        <f aca="false">IF(M3&gt;'Project Assumptions'!$I$15+1,0,'Book Income Statement'!L42)</f>
        <v>6906.07561253308</v>
      </c>
      <c r="N7" s="355" t="n">
        <f aca="false">IF(N3&gt;'Project Assumptions'!$I$15+1,0,'Book Income Statement'!M42)</f>
        <v>6906.07561253308</v>
      </c>
      <c r="O7" s="355" t="n">
        <f aca="false">IF(O3&gt;'Project Assumptions'!$I$15+1,0,'Book Income Statement'!N42)</f>
        <v>6906.07561253308</v>
      </c>
      <c r="P7" s="355" t="n">
        <f aca="false">IF(P3&gt;'Project Assumptions'!$I$15+1,0,'Book Income Statement'!O42)</f>
        <v>6906.07561253308</v>
      </c>
      <c r="Q7" s="355" t="n">
        <f aca="false">IF(Q3&gt;'Project Assumptions'!$I$15+1,0,'Book Income Statement'!P42)</f>
        <v>6906.07561253308</v>
      </c>
      <c r="R7" s="355" t="n">
        <f aca="false">IF(R3&gt;'Project Assumptions'!$I$15+1,0,'Book Income Statement'!Q42)</f>
        <v>6906.07561253308</v>
      </c>
      <c r="S7" s="355" t="n">
        <f aca="false">IF(S3&gt;'Project Assumptions'!$I$15+1,0,'Book Income Statement'!R42)</f>
        <v>3453.03780626654</v>
      </c>
      <c r="AC7" s="353"/>
      <c r="AD7" s="353"/>
      <c r="AF7" s="356"/>
      <c r="AH7" s="356"/>
      <c r="AL7" s="356"/>
      <c r="AU7" s="356"/>
    </row>
    <row r="8" customFormat="false" ht="12.6" hidden="false" customHeight="true" outlineLevel="0" collapsed="false">
      <c r="A8" s="354" t="s">
        <v>370</v>
      </c>
      <c r="C8" s="351"/>
      <c r="D8" s="357" t="n">
        <f aca="false">IF(D3&gt;'Project Assumptions'!$I$15+1,0,'Book Income Statement'!C27)</f>
        <v>0</v>
      </c>
      <c r="E8" s="357" t="n">
        <f aca="false">IF(E3&gt;'Project Assumptions'!$I$15+1,0,'Book Income Statement'!D27)</f>
        <v>563.99874725376</v>
      </c>
      <c r="F8" s="357" t="n">
        <f aca="false">IF(F3&gt;'Project Assumptions'!$I$15+1,0,'Book Income Statement'!E27)</f>
        <v>623.6524609056</v>
      </c>
      <c r="G8" s="357" t="n">
        <f aca="false">IF(G3&gt;'Project Assumptions'!$I$15+1,0,'Book Income Statement'!F27)</f>
        <v>676.07542138752</v>
      </c>
      <c r="H8" s="357" t="n">
        <f aca="false">IF(H3&gt;'Project Assumptions'!$I$15+1,0,'Book Income Statement'!G27)</f>
        <v>683.30617455744</v>
      </c>
      <c r="I8" s="357" t="n">
        <f aca="false">IF(I3&gt;'Project Assumptions'!$I$15+1,0,'Book Income Statement'!H27)</f>
        <v>686.9215511424</v>
      </c>
      <c r="J8" s="357" t="n">
        <f aca="false">IF(J3&gt;'Project Assumptions'!$I$15+1,0,'Book Income Statement'!I27)</f>
        <v>686.9215511424</v>
      </c>
      <c r="K8" s="357" t="n">
        <f aca="false">IF(K3&gt;'Project Assumptions'!$I$15+1,0,'Book Income Statement'!J27)</f>
        <v>650.7677852928</v>
      </c>
      <c r="L8" s="357" t="n">
        <f aca="false">IF(L3&gt;'Project Assumptions'!$I$15+1,0,'Book Income Statement'!K27)</f>
        <v>614.6140194432</v>
      </c>
      <c r="M8" s="357" t="n">
        <f aca="false">IF(M3&gt;'Project Assumptions'!$I$15+1,0,'Book Income Statement'!L27)</f>
        <v>578.4602535936</v>
      </c>
      <c r="N8" s="357" t="n">
        <f aca="false">IF(N3&gt;'Project Assumptions'!$I$15+1,0,'Book Income Statement'!M27)</f>
        <v>542.306487744</v>
      </c>
      <c r="O8" s="357" t="n">
        <f aca="false">IF(O3&gt;'Project Assumptions'!$I$15+1,0,'Book Income Statement'!N27)</f>
        <v>506.1527218944</v>
      </c>
      <c r="P8" s="357" t="n">
        <f aca="false">IF(P3&gt;'Project Assumptions'!$I$15+1,0,'Book Income Statement'!O27)</f>
        <v>469.9989560448</v>
      </c>
      <c r="Q8" s="357" t="n">
        <f aca="false">IF(Q3&gt;'Project Assumptions'!$I$15+1,0,'Book Income Statement'!P27)</f>
        <v>433.8451901952</v>
      </c>
      <c r="R8" s="357" t="n">
        <f aca="false">IF(R3&gt;'Project Assumptions'!$I$15+1,0,'Book Income Statement'!Q27)</f>
        <v>397.6914243456</v>
      </c>
      <c r="S8" s="357" t="n">
        <f aca="false">IF(S3&gt;'Project Assumptions'!$I$15+1,0,'Book Income Statement'!R27)</f>
        <v>241.025105664</v>
      </c>
      <c r="AC8" s="353"/>
      <c r="AD8" s="353"/>
      <c r="AF8" s="356"/>
      <c r="AH8" s="356"/>
      <c r="AL8" s="356"/>
      <c r="AU8" s="356"/>
    </row>
    <row r="9" customFormat="false" ht="12.6" hidden="false" customHeight="true" outlineLevel="0" collapsed="false">
      <c r="A9" s="354" t="s">
        <v>371</v>
      </c>
      <c r="C9" s="351"/>
      <c r="D9" s="357" t="n">
        <f aca="false">IF(D3&gt;'Project Assumptions'!$I$15+1,0,Depreciation!C48)</f>
        <v>0</v>
      </c>
      <c r="E9" s="357" t="n">
        <f aca="false">IF(E3&gt;'Project Assumptions'!$I$15+1,0,Depreciation!D48)</f>
        <v>0</v>
      </c>
      <c r="F9" s="357" t="n">
        <f aca="false">IF(F3&gt;'Project Assumptions'!$I$15+1,0,E8)</f>
        <v>563.99874725376</v>
      </c>
      <c r="G9" s="357" t="n">
        <f aca="false">IF(G3&gt;'Project Assumptions'!$I$15+1,0,F8)</f>
        <v>623.6524609056</v>
      </c>
      <c r="H9" s="357" t="n">
        <f aca="false">IF(H3&gt;'Project Assumptions'!$I$15+1,0,G8)</f>
        <v>676.07542138752</v>
      </c>
      <c r="I9" s="357" t="n">
        <f aca="false">IF(I3&gt;'Project Assumptions'!$I$15+1,0,H8)</f>
        <v>683.30617455744</v>
      </c>
      <c r="J9" s="357" t="n">
        <f aca="false">IF(J3&gt;'Project Assumptions'!$I$15+1,0,I8)</f>
        <v>686.9215511424</v>
      </c>
      <c r="K9" s="357" t="n">
        <f aca="false">IF(K3&gt;'Project Assumptions'!$I$15+1,0,J8)</f>
        <v>686.9215511424</v>
      </c>
      <c r="L9" s="357" t="n">
        <f aca="false">IF(L3&gt;'Project Assumptions'!$I$15+1,0,K8)</f>
        <v>650.7677852928</v>
      </c>
      <c r="M9" s="357" t="n">
        <f aca="false">IF(M3&gt;'Project Assumptions'!$I$15+1,0,L8)</f>
        <v>614.6140194432</v>
      </c>
      <c r="N9" s="357" t="n">
        <f aca="false">IF(N3&gt;'Project Assumptions'!$I$15+1,0,M8)</f>
        <v>578.4602535936</v>
      </c>
      <c r="O9" s="357" t="n">
        <f aca="false">IF(O3&gt;'Project Assumptions'!$I$15+1,0,N8)</f>
        <v>542.306487744</v>
      </c>
      <c r="P9" s="357" t="n">
        <f aca="false">IF(P3&gt;'Project Assumptions'!$I$15+1,0,O8)</f>
        <v>506.1527218944</v>
      </c>
      <c r="Q9" s="357" t="n">
        <f aca="false">IF(Q3&gt;'Project Assumptions'!$I$15+1,0,P8)</f>
        <v>469.9989560448</v>
      </c>
      <c r="R9" s="357" t="n">
        <f aca="false">IF(R3&gt;'Project Assumptions'!$I$15+1,0,Q8)</f>
        <v>433.8451901952</v>
      </c>
      <c r="S9" s="357" t="n">
        <f aca="false">IF(S3&gt;'Project Assumptions'!$I$15+1,0,R8)</f>
        <v>397.6914243456</v>
      </c>
      <c r="AC9" s="353"/>
      <c r="AD9" s="353"/>
      <c r="AF9" s="356"/>
      <c r="AP9" s="358"/>
      <c r="AQ9" s="358"/>
      <c r="AR9" s="358"/>
      <c r="AS9" s="358"/>
      <c r="AU9" s="356"/>
    </row>
    <row r="10" customFormat="false" ht="12.6" hidden="false" customHeight="true" outlineLevel="0" collapsed="false">
      <c r="A10" s="354" t="s">
        <v>372</v>
      </c>
      <c r="C10" s="351" t="n">
        <f aca="false">SUM(D10:AD10)</f>
        <v>60702.4812640768</v>
      </c>
      <c r="D10" s="359" t="n">
        <f aca="false">IF(D3&gt;'Project Assumptions'!$I$15+1,0,'Book Income Statement'!C45)</f>
        <v>2831.07972818198</v>
      </c>
      <c r="E10" s="359" t="n">
        <f aca="false">IF(E3&gt;'Project Assumptions'!$I$15+1,0,'Book Income Statement'!D45)</f>
        <v>6632.49635859812</v>
      </c>
      <c r="F10" s="359" t="n">
        <f aca="false">IF(F3&gt;'Project Assumptions'!$I$15+1,0,'Book Income Statement'!E45)</f>
        <v>6332.07348183905</v>
      </c>
      <c r="G10" s="359" t="n">
        <f aca="false">IF(G3&gt;'Project Assumptions'!$I$15+1,0,'Book Income Statement'!F45)</f>
        <v>6013.35485188537</v>
      </c>
      <c r="H10" s="359" t="n">
        <f aca="false">IF(H3&gt;'Project Assumptions'!$I$15+1,0,'Book Income Statement'!G45)</f>
        <v>5675.2262573675</v>
      </c>
      <c r="I10" s="359" t="n">
        <f aca="false">IF(I3&gt;'Project Assumptions'!$I$15+1,0,'Book Income Statement'!H45)</f>
        <v>5316.50563144349</v>
      </c>
      <c r="J10" s="359" t="n">
        <f aca="false">IF(J3&gt;'Project Assumptions'!$I$15+1,0,'Book Income Statement'!I45)</f>
        <v>4935.93891940072</v>
      </c>
      <c r="K10" s="359" t="n">
        <f aca="false">IF(K3&gt;'Project Assumptions'!$I$15+1,0,'Book Income Statement'!J45)</f>
        <v>4532.19569459453</v>
      </c>
      <c r="L10" s="359" t="n">
        <f aca="false">IF(L3&gt;'Project Assumptions'!$I$15+1,0,'Book Income Statement'!K45)</f>
        <v>4103.86450739766</v>
      </c>
      <c r="M10" s="359" t="n">
        <f aca="false">IF(M3&gt;'Project Assumptions'!$I$15+1,0,'Book Income Statement'!L45)</f>
        <v>3649.44795090049</v>
      </c>
      <c r="N10" s="359" t="n">
        <f aca="false">IF(N3&gt;'Project Assumptions'!$I$15+1,0,'Book Income Statement'!M45)</f>
        <v>3167.35742611264</v>
      </c>
      <c r="O10" s="359" t="n">
        <f aca="false">IF(O3&gt;'Project Assumptions'!$I$15+1,0,'Book Income Statement'!N45)</f>
        <v>2655.90758836521</v>
      </c>
      <c r="P10" s="359" t="n">
        <f aca="false">IF(P3&gt;'Project Assumptions'!$I$15+1,0,'Book Income Statement'!O45)</f>
        <v>2113.31045549897</v>
      </c>
      <c r="Q10" s="359" t="n">
        <f aca="false">IF(Q3&gt;'Project Assumptions'!$I$15+1,0,'Book Income Statement'!P45)</f>
        <v>1537.66915724117</v>
      </c>
      <c r="R10" s="359" t="n">
        <f aca="false">IF(R3&gt;'Project Assumptions'!$I$15+1,0,'Book Income Statement'!Q45)</f>
        <v>926.971303919468</v>
      </c>
      <c r="S10" s="359" t="n">
        <f aca="false">IF(S3&gt;'Project Assumptions'!$I$15+1,0,'Book Income Statement'!R45)</f>
        <v>279.081951330481</v>
      </c>
      <c r="AC10" s="353"/>
      <c r="AD10" s="353"/>
      <c r="AF10" s="356"/>
      <c r="AU10" s="356"/>
    </row>
    <row r="11" customFormat="false" ht="12.6" hidden="false" customHeight="true" outlineLevel="0" collapsed="false">
      <c r="A11" s="354" t="s">
        <v>373</v>
      </c>
      <c r="C11" s="351" t="n">
        <f aca="false">SUM(D11:AD11)</f>
        <v>60138.3000907193</v>
      </c>
      <c r="D11" s="359" t="n">
        <f aca="false">IF(D3&gt;'Project Assumptions'!$I$15+1,0,'Debt Amortization'!D$36)</f>
        <v>3400.34783223669</v>
      </c>
      <c r="E11" s="359" t="n">
        <f aca="false">IF(E3&gt;'Project Assumptions'!$I$15+1,0,'Debt Amortization'!E$36)</f>
        <v>6584.13310209291</v>
      </c>
      <c r="F11" s="359" t="n">
        <f aca="false">IF(F3&gt;'Project Assumptions'!$I$15+1,0,'Debt Amortization'!F$36)</f>
        <v>6280.76490301268</v>
      </c>
      <c r="G11" s="359" t="n">
        <f aca="false">IF(G3&gt;'Project Assumptions'!$I$15+1,0,'Debt Amortization'!G$36)</f>
        <v>5958.92158060846</v>
      </c>
      <c r="H11" s="359" t="n">
        <f aca="false">IF(H3&gt;'Project Assumptions'!$I$15+1,0,'Debt Amortization'!H$36)</f>
        <v>5617.47799986983</v>
      </c>
      <c r="I11" s="359" t="n">
        <f aca="false">IF(I3&gt;'Project Assumptions'!$I$15+1,0,'Debt Amortization'!I$36)</f>
        <v>5255.24050506422</v>
      </c>
      <c r="J11" s="359" t="n">
        <f aca="false">IF(J3&gt;'Project Assumptions'!$I$15+1,0,'Debt Amortization'!J$36)</f>
        <v>4870.94274682494</v>
      </c>
      <c r="K11" s="359" t="n">
        <f aca="false">IF(K3&gt;'Project Assumptions'!$I$15+1,0,'Debt Amortization'!K$36)</f>
        <v>4463.2412551089</v>
      </c>
      <c r="L11" s="359" t="n">
        <f aca="false">IF(L3&gt;'Project Assumptions'!$I$15+1,0,'Debt Amortization'!L$36)</f>
        <v>4030.71074254734</v>
      </c>
      <c r="M11" s="359" t="n">
        <f aca="false">IF(M3&gt;'Project Assumptions'!$I$15+1,0,'Debt Amortization'!M$36)</f>
        <v>3571.83912177079</v>
      </c>
      <c r="N11" s="359" t="n">
        <f aca="false">IF(N3&gt;'Project Assumptions'!$I$15+1,0,'Debt Amortization'!N$36)</f>
        <v>3085.02221928894</v>
      </c>
      <c r="O11" s="359" t="n">
        <f aca="false">IF(O3&gt;'Project Assumptions'!$I$15+1,0,'Debt Amortization'!O$36)</f>
        <v>2568.55816744595</v>
      </c>
      <c r="P11" s="359" t="n">
        <f aca="false">IF(P3&gt;'Project Assumptions'!$I$15+1,0,'Debt Amortization'!P$36)</f>
        <v>2020.64145484573</v>
      </c>
      <c r="Q11" s="359" t="n">
        <f aca="false">IF(Q3&gt;'Project Assumptions'!$I$15+1,0,'Debt Amortization'!Q$36)</f>
        <v>1439.35661444814</v>
      </c>
      <c r="R11" s="359" t="n">
        <f aca="false">IF(R3&gt;'Project Assumptions'!$I$15+1,0,'Debt Amortization'!R$36)</f>
        <v>822.67152727035</v>
      </c>
      <c r="S11" s="359" t="n">
        <f aca="false">IF(S3&gt;'Project Assumptions'!$I$15+1,0,'Debt Amortization'!S$36)</f>
        <v>168.430318283433</v>
      </c>
      <c r="AC11" s="353"/>
      <c r="AD11" s="353"/>
      <c r="AF11" s="356"/>
      <c r="AP11" s="358"/>
      <c r="AQ11" s="358"/>
      <c r="AR11" s="358"/>
      <c r="AS11" s="358"/>
      <c r="AU11" s="356"/>
    </row>
    <row r="12" customFormat="false" ht="12.6" hidden="false" customHeight="true" outlineLevel="0" collapsed="false">
      <c r="A12" s="341" t="s">
        <v>374</v>
      </c>
      <c r="C12" s="352" t="n">
        <f aca="false">SUM(D12:AB12)</f>
        <v>113344.927741223</v>
      </c>
      <c r="D12" s="360" t="n">
        <f aca="false">IF(D3&gt;'Project Assumptions'!$I$15+1,0,'Debt Amortization'!D$37)</f>
        <v>2382.42642882806</v>
      </c>
      <c r="E12" s="360" t="n">
        <f aca="false">IF(E3&gt;'Project Assumptions'!$I$15+1,0,'Debt Amortization'!E$37)</f>
        <v>4981.41542003658</v>
      </c>
      <c r="F12" s="360" t="n">
        <f aca="false">IF(F3&gt;'Project Assumptions'!$I$15+1,0,'Debt Amortization'!F$37)</f>
        <v>5284.78361911681</v>
      </c>
      <c r="G12" s="360" t="n">
        <f aca="false">IF(G3&gt;'Project Assumptions'!$I$15+1,0,'Debt Amortization'!G$37)</f>
        <v>5606.62694152103</v>
      </c>
      <c r="H12" s="360" t="n">
        <f aca="false">IF(H3&gt;'Project Assumptions'!$I$15+1,0,'Debt Amortization'!H$37)</f>
        <v>5948.07052225966</v>
      </c>
      <c r="I12" s="360" t="n">
        <f aca="false">IF(I3&gt;'Project Assumptions'!$I$15+1,0,'Debt Amortization'!I$37)</f>
        <v>6310.30801706527</v>
      </c>
      <c r="J12" s="360" t="n">
        <f aca="false">IF(J3&gt;'Project Assumptions'!$I$15+1,0,'Debt Amortization'!J$37)</f>
        <v>6694.60577530455</v>
      </c>
      <c r="K12" s="360" t="n">
        <f aca="false">IF(K3&gt;'Project Assumptions'!$I$15+1,0,'Debt Amortization'!K$37)</f>
        <v>7102.30726702059</v>
      </c>
      <c r="L12" s="360" t="n">
        <f aca="false">IF(L3&gt;'Project Assumptions'!$I$15+1,0,'Debt Amortization'!L$37)</f>
        <v>7534.83777958215</v>
      </c>
      <c r="M12" s="360" t="n">
        <f aca="false">IF(M3&gt;'Project Assumptions'!$I$15+1,0,'Debt Amortization'!M$37)</f>
        <v>7993.7094003587</v>
      </c>
      <c r="N12" s="360" t="n">
        <f aca="false">IF(N3&gt;'Project Assumptions'!$I$15+1,0,'Debt Amortization'!N$37)</f>
        <v>8480.52630284055</v>
      </c>
      <c r="O12" s="360" t="n">
        <f aca="false">IF(O3&gt;'Project Assumptions'!$I$15+1,0,'Debt Amortization'!O$37)</f>
        <v>8996.99035468354</v>
      </c>
      <c r="P12" s="360" t="n">
        <f aca="false">IF(P3&gt;'Project Assumptions'!$I$15+1,0,'Debt Amortization'!P$37)</f>
        <v>9544.90706728376</v>
      </c>
      <c r="Q12" s="360" t="n">
        <f aca="false">IF(Q3&gt;'Project Assumptions'!$I$15+1,0,'Debt Amortization'!Q$37)</f>
        <v>10126.1919076813</v>
      </c>
      <c r="R12" s="360" t="n">
        <f aca="false">IF(R3&gt;'Project Assumptions'!$I$15+1,0,'Debt Amortization'!R$37)</f>
        <v>10742.8769948591</v>
      </c>
      <c r="S12" s="360" t="n">
        <f aca="false">IF(S3&gt;'Project Assumptions'!$I$15+1,0,'Debt Amortization'!S$37)</f>
        <v>5614.34394278131</v>
      </c>
      <c r="AF12" s="356"/>
      <c r="AU12" s="356"/>
    </row>
    <row r="13" customFormat="false" ht="13.5" hidden="false" customHeight="true" outlineLevel="0" collapsed="false">
      <c r="A13" s="350" t="s">
        <v>244</v>
      </c>
      <c r="B13" s="361"/>
      <c r="C13" s="362"/>
      <c r="D13" s="352" t="n">
        <f aca="false">IF(D3&gt;'Project Assumptions'!$I$15+1,0,D6+D7+D8-D9+D10-D11-D12)</f>
        <v>419.967506768585</v>
      </c>
      <c r="E13" s="352" t="n">
        <f aca="false">IF(E3&gt;'Project Assumptions'!$I$15+1,0,E6+E7+E8-E9+E10-E11-E12)</f>
        <v>1094.20940692427</v>
      </c>
      <c r="F13" s="352" t="n">
        <f aca="false">IF(F3&gt;'Project Assumptions'!$I$15+1,0,F6+F7+F8-F9+F10-F11-F12)</f>
        <v>591.063933208354</v>
      </c>
      <c r="G13" s="352" t="n">
        <f aca="false">IF(G3&gt;'Project Assumptions'!$I$15+1,0,G6+G7+G8-G9+G10-G11-G12)</f>
        <v>586.264225872144</v>
      </c>
      <c r="H13" s="352" t="n">
        <f aca="false">IF(H3&gt;'Project Assumptions'!$I$15+1,0,H6+H7+H8-H9+H10-H11-H12)</f>
        <v>542.436190160543</v>
      </c>
      <c r="I13" s="352" t="n">
        <f aca="false">IF(I3&gt;'Project Assumptions'!$I$15+1,0,I6+I7+I8-I9+I10-I11-I12)</f>
        <v>541.419763357988</v>
      </c>
      <c r="J13" s="352" t="n">
        <f aca="false">IF(J3&gt;'Project Assumptions'!$I$15+1,0,J6+J7+J8-J9+J10-J11-J12)</f>
        <v>538.189825401076</v>
      </c>
      <c r="K13" s="352" t="n">
        <f aca="false">IF(K3&gt;'Project Assumptions'!$I$15+1,0,K6+K7+K8-K9+K10-K11-K12)</f>
        <v>501.934709102088</v>
      </c>
      <c r="L13" s="352" t="n">
        <f aca="false">IF(L3&gt;'Project Assumptions'!$I$15+1,0,L6+L7+L8-L9+L10-L11-L12)</f>
        <v>503.073326243715</v>
      </c>
      <c r="M13" s="352" t="n">
        <f aca="false">IF(M3&gt;'Project Assumptions'!$I$15+1,0,M6+M7+M8-M9+M10-M11-M12)</f>
        <v>503.153720428165</v>
      </c>
      <c r="N13" s="352" t="n">
        <f aca="false">IF(N3&gt;'Project Assumptions'!$I$15+1,0,N6+N7+N8-N9+N10-N11-N12)</f>
        <v>503.327722096314</v>
      </c>
      <c r="O13" s="352" t="n">
        <f aca="false">IF(O3&gt;'Project Assumptions'!$I$15+1,0,O6+O7+O8-O9+O10-O11-O12)</f>
        <v>503.022205897822</v>
      </c>
      <c r="P13" s="352" t="n">
        <f aca="false">IF(P3&gt;'Project Assumptions'!$I$15+1,0,P6+P7+P8-P9+P10-P11-P12)</f>
        <v>503.389076425365</v>
      </c>
      <c r="Q13" s="352" t="n">
        <f aca="false">IF(Q3&gt;'Project Assumptions'!$I$15+1,0,Q6+Q7+Q8-Q9+Q10-Q11-Q12)</f>
        <v>503.855283963443</v>
      </c>
      <c r="R13" s="352" t="n">
        <f aca="false">IF(R3&gt;'Project Assumptions'!$I$15+1,0,R6+R7+R8-R9+R10-R11-R12)</f>
        <v>503.847817752298</v>
      </c>
      <c r="S13" s="352" t="n">
        <f aca="false">IF(S3&gt;'Project Assumptions'!$I$15+1,0,S6+S7+S8-S9+S10-S11-S12)</f>
        <v>12288.9763183179</v>
      </c>
      <c r="AC13" s="353"/>
      <c r="AD13" s="353"/>
      <c r="AF13" s="356"/>
      <c r="AP13" s="358"/>
      <c r="AQ13" s="358"/>
      <c r="AR13" s="358"/>
      <c r="AS13" s="358"/>
      <c r="AU13" s="356"/>
    </row>
    <row r="14" customFormat="false" ht="12.6" hidden="false" customHeight="true" outlineLevel="0" collapsed="false"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AF14" s="356"/>
      <c r="AU14" s="356"/>
    </row>
    <row r="15" customFormat="false" ht="12.6" hidden="false" customHeight="true" outlineLevel="0" collapsed="false">
      <c r="B15" s="342"/>
      <c r="C15" s="351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AE15" s="342"/>
      <c r="AF15" s="363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63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2"/>
      <c r="BJ15" s="342"/>
      <c r="BK15" s="342"/>
      <c r="BL15" s="342"/>
      <c r="BM15" s="342"/>
      <c r="BN15" s="342"/>
      <c r="BO15" s="342"/>
      <c r="BP15" s="342"/>
      <c r="BQ15" s="342"/>
      <c r="BR15" s="342"/>
      <c r="BS15" s="342"/>
      <c r="BT15" s="342"/>
      <c r="BU15" s="342"/>
      <c r="BV15" s="342"/>
      <c r="BW15" s="342"/>
      <c r="BX15" s="342"/>
      <c r="BY15" s="342"/>
      <c r="BZ15" s="342"/>
      <c r="CA15" s="342"/>
      <c r="CB15" s="342"/>
      <c r="CC15" s="342"/>
      <c r="CD15" s="342"/>
      <c r="CE15" s="342"/>
      <c r="CF15" s="342"/>
      <c r="CG15" s="342"/>
      <c r="CH15" s="342"/>
      <c r="CI15" s="342"/>
      <c r="CJ15" s="342"/>
      <c r="CK15" s="342"/>
      <c r="CL15" s="342"/>
      <c r="CM15" s="342"/>
      <c r="CN15" s="342"/>
      <c r="CO15" s="342"/>
      <c r="CP15" s="342"/>
      <c r="CQ15" s="342"/>
      <c r="CR15" s="342"/>
      <c r="CS15" s="342"/>
      <c r="CT15" s="342"/>
      <c r="CU15" s="342"/>
      <c r="CV15" s="342"/>
      <c r="CW15" s="342"/>
      <c r="CX15" s="342"/>
      <c r="CY15" s="342"/>
      <c r="CZ15" s="342"/>
      <c r="DA15" s="342"/>
      <c r="DB15" s="342"/>
      <c r="DC15" s="342"/>
      <c r="DD15" s="342"/>
      <c r="DE15" s="342"/>
      <c r="DF15" s="342"/>
      <c r="DG15" s="342"/>
      <c r="DH15" s="342"/>
      <c r="DI15" s="342"/>
      <c r="DJ15" s="342"/>
      <c r="DK15" s="342"/>
      <c r="DL15" s="342"/>
      <c r="DM15" s="342"/>
      <c r="DN15" s="342"/>
      <c r="DO15" s="342"/>
      <c r="DP15" s="342"/>
      <c r="DQ15" s="342"/>
      <c r="DR15" s="342"/>
      <c r="DS15" s="342"/>
      <c r="DT15" s="342"/>
      <c r="DU15" s="342"/>
      <c r="DV15" s="342"/>
      <c r="DW15" s="342"/>
      <c r="DX15" s="342"/>
      <c r="DY15" s="342"/>
      <c r="DZ15" s="342"/>
      <c r="EA15" s="342"/>
      <c r="EB15" s="342"/>
      <c r="EC15" s="342"/>
      <c r="ED15" s="342"/>
      <c r="EE15" s="342"/>
      <c r="EF15" s="342"/>
      <c r="EG15" s="342"/>
      <c r="EH15" s="342"/>
      <c r="EI15" s="342"/>
      <c r="EJ15" s="342"/>
      <c r="EK15" s="342"/>
      <c r="EL15" s="342"/>
      <c r="EM15" s="342"/>
      <c r="EN15" s="342"/>
      <c r="EO15" s="342"/>
      <c r="EP15" s="342"/>
      <c r="EQ15" s="342"/>
      <c r="ER15" s="342"/>
      <c r="ES15" s="342"/>
      <c r="ET15" s="342"/>
      <c r="EU15" s="342"/>
      <c r="EV15" s="342"/>
      <c r="EW15" s="342"/>
      <c r="EX15" s="342"/>
      <c r="EY15" s="342"/>
      <c r="EZ15" s="342"/>
      <c r="FA15" s="342"/>
      <c r="FB15" s="342"/>
      <c r="FC15" s="342"/>
      <c r="FD15" s="342"/>
      <c r="FE15" s="342"/>
      <c r="FF15" s="342"/>
      <c r="FG15" s="342"/>
      <c r="FH15" s="342"/>
      <c r="FI15" s="342"/>
      <c r="FJ15" s="342"/>
      <c r="FK15" s="342"/>
      <c r="FL15" s="342"/>
      <c r="FM15" s="342"/>
      <c r="FN15" s="342"/>
      <c r="FO15" s="342"/>
      <c r="FP15" s="342"/>
      <c r="FQ15" s="342"/>
      <c r="FR15" s="342"/>
      <c r="FS15" s="342"/>
      <c r="FT15" s="342"/>
      <c r="FU15" s="342"/>
      <c r="FV15" s="342"/>
      <c r="FW15" s="342"/>
      <c r="FX15" s="342"/>
      <c r="FY15" s="342"/>
      <c r="FZ15" s="342"/>
      <c r="GA15" s="342"/>
      <c r="GB15" s="342"/>
      <c r="GC15" s="342"/>
      <c r="GD15" s="342"/>
      <c r="GE15" s="342"/>
      <c r="GF15" s="342"/>
      <c r="GG15" s="342"/>
      <c r="GH15" s="342"/>
      <c r="GI15" s="342"/>
      <c r="GJ15" s="342"/>
      <c r="GK15" s="342"/>
      <c r="GL15" s="342"/>
      <c r="GM15" s="342"/>
      <c r="GN15" s="342"/>
      <c r="GO15" s="342"/>
      <c r="GP15" s="342"/>
      <c r="GQ15" s="342"/>
      <c r="GR15" s="342"/>
      <c r="GS15" s="342"/>
      <c r="GT15" s="342"/>
      <c r="GU15" s="342"/>
      <c r="GV15" s="342"/>
      <c r="GW15" s="342"/>
      <c r="GX15" s="342"/>
      <c r="GY15" s="342"/>
      <c r="GZ15" s="342"/>
      <c r="HA15" s="342"/>
      <c r="HB15" s="342"/>
      <c r="HC15" s="342"/>
      <c r="HD15" s="342"/>
      <c r="HE15" s="342"/>
      <c r="HF15" s="342"/>
      <c r="HG15" s="342"/>
      <c r="HH15" s="342"/>
      <c r="HI15" s="342"/>
      <c r="HJ15" s="342"/>
      <c r="HK15" s="342"/>
      <c r="HL15" s="342"/>
      <c r="HM15" s="342"/>
      <c r="HN15" s="342"/>
      <c r="HO15" s="342"/>
      <c r="HP15" s="342"/>
      <c r="HQ15" s="342"/>
      <c r="HR15" s="342"/>
      <c r="HS15" s="342"/>
      <c r="HT15" s="342"/>
      <c r="HU15" s="342"/>
      <c r="HV15" s="342"/>
      <c r="HW15" s="342"/>
      <c r="HX15" s="342"/>
      <c r="HY15" s="342"/>
      <c r="HZ15" s="342"/>
      <c r="IA15" s="342"/>
      <c r="IB15" s="342"/>
      <c r="IC15" s="342"/>
      <c r="ID15" s="342"/>
      <c r="IE15" s="342"/>
      <c r="IF15" s="342"/>
      <c r="IG15" s="342"/>
      <c r="IH15" s="342"/>
      <c r="II15" s="342"/>
      <c r="IJ15" s="342"/>
      <c r="IK15" s="342"/>
      <c r="IL15" s="342"/>
      <c r="IM15" s="342"/>
      <c r="IN15" s="342"/>
      <c r="IO15" s="342"/>
      <c r="IP15" s="342"/>
      <c r="IQ15" s="342"/>
      <c r="IR15" s="342"/>
      <c r="IS15" s="342"/>
      <c r="IT15" s="342"/>
      <c r="IU15" s="342"/>
      <c r="IV15" s="342"/>
      <c r="IW15" s="342"/>
    </row>
    <row r="16" customFormat="false" ht="12.6" hidden="false" customHeight="true" outlineLevel="0" collapsed="false">
      <c r="A16" s="341" t="s">
        <v>375</v>
      </c>
      <c r="C16" s="352"/>
      <c r="D16" s="359" t="n">
        <f aca="false">-'Debt Amortization'!D35*1%</f>
        <v>-1133.44927741223</v>
      </c>
      <c r="E16" s="359" t="n">
        <f aca="false">D16</f>
        <v>-1133.44927741223</v>
      </c>
      <c r="F16" s="359" t="n">
        <f aca="false">-'Debt Amortization'!F35*1%</f>
        <v>-1059.81085892358</v>
      </c>
      <c r="G16" s="359" t="n">
        <f aca="false">-'Debt Amortization'!G35*1%</f>
        <v>-1006.96302273241</v>
      </c>
      <c r="H16" s="359" t="n">
        <f aca="false">-'Debt Amortization'!H35*1%</f>
        <v>-950.896753317205</v>
      </c>
      <c r="I16" s="359" t="n">
        <f aca="false">-'Debt Amortization'!I35*1%</f>
        <v>-891.416048094608</v>
      </c>
      <c r="J16" s="359" t="n">
        <f aca="false">-'Debt Amortization'!J35*1%</f>
        <v>-828.312967923955</v>
      </c>
      <c r="K16" s="359" t="n">
        <f aca="false">-'Debt Amortization'!K35*1%</f>
        <v>-761.36691017091</v>
      </c>
      <c r="L16" s="359" t="n">
        <f aca="false">-'Debt Amortization'!L35*1%</f>
        <v>-690.343837500704</v>
      </c>
      <c r="M16" s="359" t="n">
        <f aca="false">-'Debt Amortization'!M35*1%</f>
        <v>-614.995459704883</v>
      </c>
      <c r="N16" s="359" t="n">
        <f aca="false">-'Debt Amortization'!N35*1%</f>
        <v>-535.058365701296</v>
      </c>
      <c r="O16" s="359" t="n">
        <f aca="false">-'Debt Amortization'!O35*1%</f>
        <v>-450.25310267289</v>
      </c>
      <c r="P16" s="359" t="n">
        <f aca="false">-'Debt Amortization'!P35*1%</f>
        <v>-360.283199126055</v>
      </c>
      <c r="Q16" s="359" t="n">
        <f aca="false">-'Debt Amortization'!Q35*1%</f>
        <v>-264.834128453217</v>
      </c>
      <c r="R16" s="359" t="n">
        <f aca="false">-'Debt Amortization'!R35*1%</f>
        <v>-163.572209376404</v>
      </c>
      <c r="S16" s="359" t="n">
        <f aca="false">-'Debt Amortization'!S35*1%</f>
        <v>-56.1434394278123</v>
      </c>
      <c r="AF16" s="356"/>
      <c r="AU16" s="356"/>
    </row>
    <row r="17" customFormat="false" ht="12.6" hidden="false" customHeight="true" outlineLevel="0" collapsed="false">
      <c r="A17" s="342" t="s">
        <v>376</v>
      </c>
      <c r="B17" s="342" t="n">
        <v>0</v>
      </c>
      <c r="C17" s="351" t="n">
        <f aca="false">SUM(D17:AD17)</f>
        <v>0</v>
      </c>
      <c r="D17" s="359"/>
      <c r="E17" s="359"/>
      <c r="F17" s="359" t="n">
        <f aca="false">IF($B$17=1,(F16-E16),0)</f>
        <v>0</v>
      </c>
      <c r="G17" s="359" t="n">
        <f aca="false">IF($B$17=1,(G16-F16),0)</f>
        <v>0</v>
      </c>
      <c r="H17" s="359" t="n">
        <f aca="false">IF($B$17=1,(H16-G16),0)</f>
        <v>0</v>
      </c>
      <c r="I17" s="359" t="n">
        <f aca="false">IF($B$17=1,(I16-H16),0)</f>
        <v>0</v>
      </c>
      <c r="J17" s="359" t="n">
        <f aca="false">IF($B$17=1,(J16-I16),0)</f>
        <v>0</v>
      </c>
      <c r="K17" s="359" t="n">
        <f aca="false">IF($B$17=1,(K16-J16),0)</f>
        <v>0</v>
      </c>
      <c r="L17" s="359" t="n">
        <f aca="false">IF($B$17=1,(L16-K16),0)</f>
        <v>0</v>
      </c>
      <c r="M17" s="359" t="n">
        <f aca="false">IF($B$17=1,(M16-L16),0)</f>
        <v>0</v>
      </c>
      <c r="N17" s="359" t="n">
        <f aca="false">IF($B$17=1,(N16-M16),0)</f>
        <v>0</v>
      </c>
      <c r="O17" s="359" t="n">
        <f aca="false">IF($B$17=1,(O16-N16),0)</f>
        <v>0</v>
      </c>
      <c r="P17" s="359" t="n">
        <f aca="false">IF($B$17=1,(P16-O16),0)</f>
        <v>0</v>
      </c>
      <c r="Q17" s="359" t="n">
        <f aca="false">IF($B$17=1,(Q16-P16),0)</f>
        <v>0</v>
      </c>
      <c r="R17" s="359" t="n">
        <f aca="false">IF($B$17=1,(R16-Q16),0)</f>
        <v>0</v>
      </c>
      <c r="S17" s="359" t="n">
        <f aca="false">IF($B$17=1,(S16-R16),0)</f>
        <v>0</v>
      </c>
      <c r="AE17" s="342"/>
      <c r="AF17" s="363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63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2"/>
      <c r="BG17" s="342"/>
      <c r="BH17" s="342"/>
      <c r="BI17" s="342"/>
      <c r="BJ17" s="342"/>
      <c r="BK17" s="342"/>
      <c r="BL17" s="342"/>
      <c r="BM17" s="342"/>
      <c r="BN17" s="342"/>
      <c r="BO17" s="342"/>
      <c r="BP17" s="342"/>
      <c r="BQ17" s="342"/>
      <c r="BR17" s="342"/>
      <c r="BS17" s="342"/>
      <c r="BT17" s="342"/>
      <c r="BU17" s="342"/>
      <c r="BV17" s="342"/>
      <c r="BW17" s="342"/>
      <c r="BX17" s="342"/>
      <c r="BY17" s="342"/>
      <c r="BZ17" s="342"/>
      <c r="CA17" s="342"/>
      <c r="CB17" s="342"/>
      <c r="CC17" s="342"/>
      <c r="CD17" s="342"/>
      <c r="CE17" s="342"/>
      <c r="CF17" s="342"/>
      <c r="CG17" s="342"/>
      <c r="CH17" s="342"/>
      <c r="CI17" s="342"/>
      <c r="CJ17" s="342"/>
      <c r="CK17" s="342"/>
      <c r="CL17" s="342"/>
      <c r="CM17" s="342"/>
      <c r="CN17" s="342"/>
      <c r="CO17" s="342"/>
      <c r="CP17" s="342"/>
      <c r="CQ17" s="342"/>
      <c r="CR17" s="342"/>
      <c r="CS17" s="342"/>
      <c r="CT17" s="342"/>
      <c r="CU17" s="342"/>
      <c r="CV17" s="342"/>
      <c r="CW17" s="342"/>
      <c r="CX17" s="342"/>
      <c r="CY17" s="342"/>
      <c r="CZ17" s="342"/>
      <c r="DA17" s="342"/>
      <c r="DB17" s="342"/>
      <c r="DC17" s="342"/>
      <c r="DD17" s="342"/>
      <c r="DE17" s="342"/>
      <c r="DF17" s="342"/>
      <c r="DG17" s="342"/>
      <c r="DH17" s="342"/>
      <c r="DI17" s="342"/>
      <c r="DJ17" s="342"/>
      <c r="DK17" s="342"/>
      <c r="DL17" s="342"/>
      <c r="DM17" s="342"/>
      <c r="DN17" s="342"/>
      <c r="DO17" s="342"/>
      <c r="DP17" s="342"/>
      <c r="DQ17" s="342"/>
      <c r="DR17" s="342"/>
      <c r="DS17" s="342"/>
      <c r="DT17" s="342"/>
      <c r="DU17" s="342"/>
      <c r="DV17" s="342"/>
      <c r="DW17" s="342"/>
      <c r="DX17" s="342"/>
      <c r="DY17" s="342"/>
      <c r="DZ17" s="342"/>
      <c r="EA17" s="342"/>
      <c r="EB17" s="342"/>
      <c r="EC17" s="342"/>
      <c r="ED17" s="342"/>
      <c r="EE17" s="342"/>
      <c r="EF17" s="342"/>
      <c r="EG17" s="342"/>
      <c r="EH17" s="342"/>
      <c r="EI17" s="342"/>
      <c r="EJ17" s="342"/>
      <c r="EK17" s="342"/>
      <c r="EL17" s="342"/>
      <c r="EM17" s="342"/>
      <c r="EN17" s="342"/>
      <c r="EO17" s="342"/>
      <c r="EP17" s="342"/>
      <c r="EQ17" s="342"/>
      <c r="ER17" s="342"/>
      <c r="ES17" s="342"/>
      <c r="ET17" s="342"/>
      <c r="EU17" s="342"/>
      <c r="EV17" s="342"/>
      <c r="EW17" s="342"/>
      <c r="EX17" s="342"/>
      <c r="EY17" s="342"/>
      <c r="EZ17" s="342"/>
      <c r="FA17" s="342"/>
      <c r="FB17" s="342"/>
      <c r="FC17" s="342"/>
      <c r="FD17" s="342"/>
      <c r="FE17" s="342"/>
      <c r="FF17" s="342"/>
      <c r="FG17" s="342"/>
      <c r="FH17" s="342"/>
      <c r="FI17" s="342"/>
      <c r="FJ17" s="342"/>
      <c r="FK17" s="342"/>
      <c r="FL17" s="342"/>
      <c r="FM17" s="342"/>
      <c r="FN17" s="342"/>
      <c r="FO17" s="342"/>
      <c r="FP17" s="342"/>
      <c r="FQ17" s="342"/>
      <c r="FR17" s="342"/>
      <c r="FS17" s="342"/>
      <c r="FT17" s="342"/>
      <c r="FU17" s="342"/>
      <c r="FV17" s="342"/>
      <c r="FW17" s="342"/>
      <c r="FX17" s="342"/>
      <c r="FY17" s="342"/>
      <c r="FZ17" s="342"/>
      <c r="GA17" s="342"/>
      <c r="GB17" s="342"/>
      <c r="GC17" s="342"/>
      <c r="GD17" s="342"/>
      <c r="GE17" s="342"/>
      <c r="GF17" s="342"/>
      <c r="GG17" s="342"/>
      <c r="GH17" s="342"/>
      <c r="GI17" s="342"/>
      <c r="GJ17" s="342"/>
      <c r="GK17" s="342"/>
      <c r="GL17" s="342"/>
      <c r="GM17" s="342"/>
      <c r="GN17" s="342"/>
      <c r="GO17" s="342"/>
      <c r="GP17" s="342"/>
      <c r="GQ17" s="342"/>
      <c r="GR17" s="342"/>
      <c r="GS17" s="342"/>
      <c r="GT17" s="342"/>
      <c r="GU17" s="342"/>
      <c r="GV17" s="342"/>
      <c r="GW17" s="342"/>
      <c r="GX17" s="342"/>
      <c r="GY17" s="342"/>
      <c r="GZ17" s="342"/>
      <c r="HA17" s="342"/>
      <c r="HB17" s="342"/>
      <c r="HC17" s="342"/>
      <c r="HD17" s="342"/>
      <c r="HE17" s="342"/>
      <c r="HF17" s="342"/>
      <c r="HG17" s="342"/>
      <c r="HH17" s="342"/>
      <c r="HI17" s="342"/>
      <c r="HJ17" s="342"/>
      <c r="HK17" s="342"/>
      <c r="HL17" s="342"/>
      <c r="HM17" s="342"/>
      <c r="HN17" s="342"/>
      <c r="HO17" s="342"/>
      <c r="HP17" s="342"/>
      <c r="HQ17" s="342"/>
      <c r="HR17" s="342"/>
      <c r="HS17" s="342"/>
      <c r="HT17" s="342"/>
      <c r="HU17" s="342"/>
      <c r="HV17" s="342"/>
      <c r="HW17" s="342"/>
      <c r="HX17" s="342"/>
      <c r="HY17" s="342"/>
      <c r="HZ17" s="342"/>
      <c r="IA17" s="342"/>
      <c r="IB17" s="342"/>
      <c r="IC17" s="342"/>
      <c r="ID17" s="342"/>
      <c r="IE17" s="342"/>
      <c r="IF17" s="342"/>
      <c r="IG17" s="342"/>
      <c r="IH17" s="342"/>
      <c r="II17" s="342"/>
      <c r="IJ17" s="342"/>
      <c r="IK17" s="342"/>
      <c r="IL17" s="342"/>
      <c r="IM17" s="342"/>
      <c r="IN17" s="342"/>
      <c r="IO17" s="342"/>
      <c r="IP17" s="342"/>
      <c r="IQ17" s="342"/>
      <c r="IR17" s="342"/>
      <c r="IS17" s="342"/>
      <c r="IT17" s="342"/>
      <c r="IU17" s="342"/>
      <c r="IV17" s="342"/>
      <c r="IW17" s="342"/>
    </row>
    <row r="18" customFormat="false" ht="12.6" hidden="false" customHeight="true" outlineLevel="0" collapsed="false">
      <c r="A18" s="342"/>
      <c r="B18" s="342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59"/>
      <c r="AE18" s="342"/>
      <c r="AF18" s="363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63"/>
      <c r="AV18" s="342"/>
      <c r="AW18" s="342"/>
      <c r="AX18" s="342"/>
      <c r="AY18" s="342"/>
      <c r="AZ18" s="342"/>
      <c r="BA18" s="342"/>
      <c r="BB18" s="342"/>
      <c r="BC18" s="342"/>
      <c r="BD18" s="342"/>
      <c r="BE18" s="342"/>
      <c r="BF18" s="342"/>
      <c r="BG18" s="342"/>
      <c r="BH18" s="342"/>
      <c r="BI18" s="342"/>
      <c r="BJ18" s="342"/>
      <c r="BK18" s="342"/>
      <c r="BL18" s="342"/>
      <c r="BM18" s="342"/>
      <c r="BN18" s="342"/>
      <c r="BO18" s="342"/>
      <c r="BP18" s="342"/>
      <c r="BQ18" s="342"/>
      <c r="BR18" s="342"/>
      <c r="BS18" s="342"/>
      <c r="BT18" s="342"/>
      <c r="BU18" s="342"/>
      <c r="BV18" s="342"/>
      <c r="BW18" s="342"/>
      <c r="BX18" s="342"/>
      <c r="BY18" s="342"/>
      <c r="BZ18" s="342"/>
      <c r="CA18" s="342"/>
      <c r="CB18" s="342"/>
      <c r="CC18" s="342"/>
      <c r="CD18" s="342"/>
      <c r="CE18" s="342"/>
      <c r="CF18" s="342"/>
      <c r="CG18" s="342"/>
      <c r="CH18" s="342"/>
      <c r="CI18" s="342"/>
      <c r="CJ18" s="342"/>
      <c r="CK18" s="342"/>
      <c r="CL18" s="342"/>
      <c r="CM18" s="342"/>
      <c r="CN18" s="342"/>
      <c r="CO18" s="342"/>
      <c r="CP18" s="342"/>
      <c r="CQ18" s="342"/>
      <c r="CR18" s="342"/>
      <c r="CS18" s="342"/>
      <c r="CT18" s="342"/>
      <c r="CU18" s="342"/>
      <c r="CV18" s="342"/>
      <c r="CW18" s="342"/>
      <c r="CX18" s="342"/>
      <c r="CY18" s="342"/>
      <c r="CZ18" s="342"/>
      <c r="DA18" s="342"/>
      <c r="DB18" s="342"/>
      <c r="DC18" s="342"/>
      <c r="DD18" s="342"/>
      <c r="DE18" s="342"/>
      <c r="DF18" s="342"/>
      <c r="DG18" s="342"/>
      <c r="DH18" s="342"/>
      <c r="DI18" s="342"/>
      <c r="DJ18" s="342"/>
      <c r="DK18" s="342"/>
      <c r="DL18" s="342"/>
      <c r="DM18" s="342"/>
      <c r="DN18" s="342"/>
      <c r="DO18" s="342"/>
      <c r="DP18" s="342"/>
      <c r="DQ18" s="342"/>
      <c r="DR18" s="342"/>
      <c r="DS18" s="342"/>
      <c r="DT18" s="342"/>
      <c r="DU18" s="342"/>
      <c r="DV18" s="342"/>
      <c r="DW18" s="342"/>
      <c r="DX18" s="342"/>
      <c r="DY18" s="342"/>
      <c r="DZ18" s="342"/>
      <c r="EA18" s="342"/>
      <c r="EB18" s="342"/>
      <c r="EC18" s="342"/>
      <c r="ED18" s="342"/>
      <c r="EE18" s="342"/>
      <c r="EF18" s="342"/>
      <c r="EG18" s="342"/>
      <c r="EH18" s="342"/>
      <c r="EI18" s="342"/>
      <c r="EJ18" s="342"/>
      <c r="EK18" s="342"/>
      <c r="EL18" s="342"/>
      <c r="EM18" s="342"/>
      <c r="EN18" s="342"/>
      <c r="EO18" s="342"/>
      <c r="EP18" s="342"/>
      <c r="EQ18" s="342"/>
      <c r="ER18" s="342"/>
      <c r="ES18" s="342"/>
      <c r="ET18" s="342"/>
      <c r="EU18" s="342"/>
      <c r="EV18" s="342"/>
      <c r="EW18" s="342"/>
      <c r="EX18" s="342"/>
      <c r="EY18" s="342"/>
      <c r="EZ18" s="342"/>
      <c r="FA18" s="342"/>
      <c r="FB18" s="342"/>
      <c r="FC18" s="342"/>
      <c r="FD18" s="342"/>
      <c r="FE18" s="342"/>
      <c r="FF18" s="342"/>
      <c r="FG18" s="342"/>
      <c r="FH18" s="342"/>
      <c r="FI18" s="342"/>
      <c r="FJ18" s="342"/>
      <c r="FK18" s="342"/>
      <c r="FL18" s="342"/>
      <c r="FM18" s="342"/>
      <c r="FN18" s="342"/>
      <c r="FO18" s="342"/>
      <c r="FP18" s="342"/>
      <c r="FQ18" s="342"/>
      <c r="FR18" s="342"/>
      <c r="FS18" s="342"/>
      <c r="FT18" s="342"/>
      <c r="FU18" s="342"/>
      <c r="FV18" s="342"/>
      <c r="FW18" s="342"/>
      <c r="FX18" s="342"/>
      <c r="FY18" s="342"/>
      <c r="FZ18" s="342"/>
      <c r="GA18" s="342"/>
      <c r="GB18" s="342"/>
      <c r="GC18" s="342"/>
      <c r="GD18" s="342"/>
      <c r="GE18" s="342"/>
      <c r="GF18" s="342"/>
      <c r="GG18" s="342"/>
      <c r="GH18" s="342"/>
      <c r="GI18" s="342"/>
      <c r="GJ18" s="342"/>
      <c r="GK18" s="342"/>
      <c r="GL18" s="342"/>
      <c r="GM18" s="342"/>
      <c r="GN18" s="342"/>
      <c r="GO18" s="342"/>
      <c r="GP18" s="342"/>
      <c r="GQ18" s="342"/>
      <c r="GR18" s="342"/>
      <c r="GS18" s="342"/>
      <c r="GT18" s="342"/>
      <c r="GU18" s="342"/>
      <c r="GV18" s="342"/>
      <c r="GW18" s="342"/>
      <c r="GX18" s="342"/>
      <c r="GY18" s="342"/>
      <c r="GZ18" s="342"/>
      <c r="HA18" s="342"/>
      <c r="HB18" s="342"/>
      <c r="HC18" s="342"/>
      <c r="HD18" s="342"/>
      <c r="HE18" s="342"/>
      <c r="HF18" s="342"/>
      <c r="HG18" s="342"/>
      <c r="HH18" s="342"/>
      <c r="HI18" s="342"/>
      <c r="HJ18" s="342"/>
      <c r="HK18" s="342"/>
      <c r="HL18" s="342"/>
      <c r="HM18" s="342"/>
      <c r="HN18" s="342"/>
      <c r="HO18" s="342"/>
      <c r="HP18" s="342"/>
      <c r="HQ18" s="342"/>
      <c r="HR18" s="342"/>
      <c r="HS18" s="342"/>
      <c r="HT18" s="342"/>
      <c r="HU18" s="342"/>
      <c r="HV18" s="342"/>
      <c r="HW18" s="342"/>
      <c r="HX18" s="342"/>
      <c r="HY18" s="342"/>
      <c r="HZ18" s="342"/>
      <c r="IA18" s="342"/>
      <c r="IB18" s="342"/>
      <c r="IC18" s="342"/>
      <c r="ID18" s="342"/>
      <c r="IE18" s="342"/>
      <c r="IF18" s="342"/>
      <c r="IG18" s="342"/>
      <c r="IH18" s="342"/>
      <c r="II18" s="342"/>
      <c r="IJ18" s="342"/>
      <c r="IK18" s="342"/>
      <c r="IL18" s="342"/>
      <c r="IM18" s="342"/>
      <c r="IN18" s="342"/>
      <c r="IO18" s="342"/>
      <c r="IP18" s="342"/>
      <c r="IQ18" s="342"/>
      <c r="IR18" s="342"/>
      <c r="IS18" s="342"/>
      <c r="IT18" s="342"/>
      <c r="IU18" s="342"/>
      <c r="IV18" s="342"/>
      <c r="IW18" s="342"/>
    </row>
    <row r="19" customFormat="false" ht="13.5" hidden="false" customHeight="true" outlineLevel="0" collapsed="false">
      <c r="A19" s="350" t="s">
        <v>377</v>
      </c>
      <c r="B19" s="361"/>
      <c r="C19" s="362" t="n">
        <f aca="false">SUM(C6:C12)</f>
        <v>367353.561590141</v>
      </c>
      <c r="D19" s="352" t="n">
        <f aca="false">D13</f>
        <v>419.967506768585</v>
      </c>
      <c r="E19" s="352" t="n">
        <f aca="false">E13</f>
        <v>1094.20940692427</v>
      </c>
      <c r="F19" s="352" t="n">
        <f aca="false">F13</f>
        <v>591.063933208354</v>
      </c>
      <c r="G19" s="352" t="n">
        <f aca="false">G13</f>
        <v>586.264225872144</v>
      </c>
      <c r="H19" s="352" t="n">
        <f aca="false">H13</f>
        <v>542.436190160543</v>
      </c>
      <c r="I19" s="352" t="n">
        <f aca="false">I13</f>
        <v>541.419763357988</v>
      </c>
      <c r="J19" s="352" t="n">
        <f aca="false">J13</f>
        <v>538.189825401076</v>
      </c>
      <c r="K19" s="352" t="n">
        <f aca="false">K13</f>
        <v>501.934709102088</v>
      </c>
      <c r="L19" s="352" t="n">
        <f aca="false">L13</f>
        <v>503.073326243715</v>
      </c>
      <c r="M19" s="352" t="n">
        <f aca="false">M13</f>
        <v>503.153720428165</v>
      </c>
      <c r="N19" s="352" t="n">
        <f aca="false">N13</f>
        <v>503.327722096314</v>
      </c>
      <c r="O19" s="352" t="n">
        <f aca="false">O13</f>
        <v>503.022205897822</v>
      </c>
      <c r="P19" s="352" t="n">
        <f aca="false">P13</f>
        <v>503.389076425365</v>
      </c>
      <c r="Q19" s="352" t="n">
        <f aca="false">Q13</f>
        <v>503.855283963443</v>
      </c>
      <c r="R19" s="352" t="n">
        <f aca="false">R13</f>
        <v>503.847817752298</v>
      </c>
      <c r="S19" s="352" t="n">
        <f aca="false">S13</f>
        <v>12288.9763183179</v>
      </c>
      <c r="AC19" s="353"/>
      <c r="AD19" s="353"/>
      <c r="AF19" s="356"/>
      <c r="AP19" s="358"/>
      <c r="AQ19" s="358"/>
      <c r="AR19" s="358"/>
      <c r="AS19" s="358"/>
      <c r="AU19" s="356"/>
    </row>
    <row r="20" customFormat="false" ht="12.6" hidden="false" customHeight="true" outlineLevel="0" collapsed="false">
      <c r="A20" s="342" t="s">
        <v>378</v>
      </c>
      <c r="B20" s="357"/>
      <c r="C20" s="365"/>
      <c r="D20" s="366" t="n">
        <f aca="false">IF(D3&gt;'Project Assumptions'!$I$15+1,0,'Tax Calculations'!C29)</f>
        <v>0</v>
      </c>
      <c r="E20" s="366" t="n">
        <f aca="false">IF(E3&gt;'Project Assumptions'!$I$15+1,0,'Tax Calculations'!D29)</f>
        <v>0</v>
      </c>
      <c r="F20" s="366" t="n">
        <f aca="false">IF(F3&gt;'Project Assumptions'!$I$15+1,0,'Tax Calculations'!E29)</f>
        <v>0</v>
      </c>
      <c r="G20" s="366" t="n">
        <f aca="false">IF(G3&gt;'Project Assumptions'!$I$15+1,0,'Tax Calculations'!F29)</f>
        <v>0</v>
      </c>
      <c r="H20" s="366" t="n">
        <f aca="false">IF(H3&gt;'Project Assumptions'!$I$15+1,0,'Tax Calculations'!G29)</f>
        <v>0</v>
      </c>
      <c r="I20" s="366" t="n">
        <f aca="false">IF(I3&gt;'Project Assumptions'!$I$15+1,0,'Tax Calculations'!H29)</f>
        <v>0</v>
      </c>
      <c r="J20" s="366" t="n">
        <f aca="false">IF(J3&gt;'Project Assumptions'!$I$15+1,0,'Tax Calculations'!I29)</f>
        <v>0</v>
      </c>
      <c r="K20" s="366" t="n">
        <f aca="false">IF(K3&gt;'Project Assumptions'!$I$15+1,0,'Tax Calculations'!J29)</f>
        <v>0</v>
      </c>
      <c r="L20" s="366" t="n">
        <f aca="false">IF(L3&gt;'Project Assumptions'!$I$15+1,0,'Tax Calculations'!K29)</f>
        <v>0</v>
      </c>
      <c r="M20" s="366" t="n">
        <f aca="false">IF(M3&gt;'Project Assumptions'!$I$15+1,0,'Tax Calculations'!L29)</f>
        <v>0</v>
      </c>
      <c r="N20" s="366" t="n">
        <f aca="false">IF(N3&gt;'Project Assumptions'!$I$15+1,0,'Tax Calculations'!M29)</f>
        <v>0</v>
      </c>
      <c r="O20" s="366" t="n">
        <f aca="false">IF(O3&gt;'Project Assumptions'!$I$15+1,0,'Tax Calculations'!N29)</f>
        <v>0</v>
      </c>
      <c r="P20" s="366" t="n">
        <f aca="false">IF(P3&gt;'Project Assumptions'!$I$15+1,0,'Tax Calculations'!O29)</f>
        <v>0</v>
      </c>
      <c r="Q20" s="366" t="n">
        <f aca="false">IF(Q3&gt;'Project Assumptions'!$I$15+1,0,'Tax Calculations'!P29)</f>
        <v>0</v>
      </c>
      <c r="R20" s="366" t="n">
        <f aca="false">IF(R3&gt;'Project Assumptions'!$I$15+1,0,'Tax Calculations'!Q29)</f>
        <v>825.233246605939</v>
      </c>
      <c r="S20" s="366" t="n">
        <f aca="false">IF(S3&gt;'Project Assumptions'!$I$15+1,0,'Tax Calculations'!R29)</f>
        <v>5679.82425725917</v>
      </c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  <c r="AX20" s="357"/>
      <c r="AY20" s="357"/>
      <c r="AZ20" s="357"/>
      <c r="BA20" s="357"/>
      <c r="BB20" s="357"/>
      <c r="BC20" s="357"/>
      <c r="BD20" s="357"/>
      <c r="BE20" s="357"/>
      <c r="BF20" s="357"/>
      <c r="BG20" s="357"/>
      <c r="BH20" s="357"/>
      <c r="BI20" s="357"/>
      <c r="BJ20" s="357"/>
      <c r="BK20" s="357"/>
      <c r="BL20" s="357"/>
      <c r="BM20" s="357"/>
      <c r="BN20" s="357"/>
      <c r="BO20" s="357"/>
      <c r="BP20" s="357"/>
      <c r="BQ20" s="357"/>
      <c r="BR20" s="357"/>
      <c r="BS20" s="357"/>
      <c r="BT20" s="357"/>
      <c r="BU20" s="357"/>
      <c r="BV20" s="357"/>
      <c r="BW20" s="357"/>
      <c r="BX20" s="357"/>
      <c r="BY20" s="357"/>
      <c r="BZ20" s="357"/>
      <c r="CA20" s="357"/>
      <c r="CB20" s="357"/>
      <c r="CC20" s="357"/>
      <c r="CD20" s="357"/>
      <c r="CE20" s="357"/>
      <c r="CF20" s="357"/>
      <c r="CG20" s="357"/>
      <c r="CH20" s="357"/>
      <c r="CI20" s="357"/>
      <c r="CJ20" s="357"/>
      <c r="CK20" s="357"/>
      <c r="CL20" s="357"/>
      <c r="CM20" s="357"/>
      <c r="CN20" s="357"/>
      <c r="CO20" s="357"/>
      <c r="CP20" s="357"/>
      <c r="CQ20" s="357"/>
      <c r="CR20" s="357"/>
      <c r="CS20" s="357"/>
      <c r="CT20" s="357"/>
      <c r="CU20" s="357"/>
      <c r="CV20" s="357"/>
      <c r="CW20" s="357"/>
      <c r="CX20" s="357"/>
      <c r="CY20" s="357"/>
      <c r="CZ20" s="357"/>
      <c r="DA20" s="357"/>
      <c r="DB20" s="357"/>
      <c r="DC20" s="357"/>
      <c r="DD20" s="357"/>
      <c r="DE20" s="357"/>
      <c r="DF20" s="357"/>
      <c r="DG20" s="357"/>
      <c r="DH20" s="357"/>
      <c r="DI20" s="357"/>
      <c r="DJ20" s="357"/>
      <c r="DK20" s="357"/>
      <c r="DL20" s="357"/>
      <c r="DM20" s="357"/>
      <c r="DN20" s="357"/>
      <c r="DO20" s="357"/>
      <c r="DP20" s="357"/>
      <c r="DQ20" s="357"/>
      <c r="DR20" s="357"/>
      <c r="DS20" s="357"/>
      <c r="DT20" s="357"/>
      <c r="DU20" s="357"/>
      <c r="DV20" s="357"/>
      <c r="DW20" s="357"/>
      <c r="DX20" s="357"/>
      <c r="DY20" s="357"/>
      <c r="DZ20" s="357"/>
      <c r="EA20" s="357"/>
      <c r="EB20" s="357"/>
      <c r="EC20" s="357"/>
      <c r="ED20" s="357"/>
      <c r="EE20" s="357"/>
      <c r="EF20" s="357"/>
      <c r="EG20" s="357"/>
      <c r="EH20" s="357"/>
      <c r="EI20" s="357"/>
      <c r="EJ20" s="357"/>
      <c r="EK20" s="357"/>
      <c r="EL20" s="357"/>
      <c r="EM20" s="357"/>
      <c r="EN20" s="357"/>
      <c r="EO20" s="357"/>
      <c r="EP20" s="357"/>
      <c r="EQ20" s="357"/>
      <c r="ER20" s="357"/>
      <c r="ES20" s="357"/>
      <c r="ET20" s="357"/>
      <c r="EU20" s="357"/>
      <c r="EV20" s="357"/>
      <c r="EW20" s="357"/>
      <c r="EX20" s="357"/>
      <c r="EY20" s="357"/>
      <c r="EZ20" s="357"/>
      <c r="FA20" s="357"/>
      <c r="FB20" s="357"/>
      <c r="FC20" s="357"/>
      <c r="FD20" s="357"/>
      <c r="FE20" s="357"/>
      <c r="FF20" s="357"/>
      <c r="FG20" s="357"/>
      <c r="FH20" s="357"/>
      <c r="FI20" s="357"/>
      <c r="FJ20" s="357"/>
      <c r="FK20" s="357"/>
      <c r="FL20" s="357"/>
      <c r="FM20" s="357"/>
      <c r="FN20" s="357"/>
      <c r="FO20" s="357"/>
      <c r="FP20" s="357"/>
      <c r="FQ20" s="357"/>
      <c r="FR20" s="357"/>
      <c r="FS20" s="357"/>
      <c r="FT20" s="357"/>
      <c r="FU20" s="357"/>
      <c r="FV20" s="357"/>
      <c r="FW20" s="357"/>
      <c r="FX20" s="357"/>
      <c r="FY20" s="357"/>
      <c r="FZ20" s="357"/>
      <c r="GA20" s="357"/>
      <c r="GB20" s="357"/>
      <c r="GC20" s="357"/>
      <c r="GD20" s="357"/>
      <c r="GE20" s="357"/>
      <c r="GF20" s="357"/>
      <c r="GG20" s="357"/>
      <c r="GH20" s="357"/>
      <c r="GI20" s="357"/>
      <c r="GJ20" s="357"/>
      <c r="GK20" s="357"/>
      <c r="GL20" s="357"/>
      <c r="GM20" s="357"/>
      <c r="GN20" s="357"/>
      <c r="GO20" s="357"/>
      <c r="GP20" s="357"/>
      <c r="GQ20" s="357"/>
      <c r="GR20" s="357"/>
      <c r="GS20" s="357"/>
      <c r="GT20" s="357"/>
      <c r="GU20" s="357"/>
      <c r="GV20" s="357"/>
      <c r="GW20" s="357"/>
      <c r="GX20" s="357"/>
      <c r="GY20" s="357"/>
      <c r="GZ20" s="357"/>
      <c r="HA20" s="357"/>
      <c r="HB20" s="357"/>
      <c r="HC20" s="357"/>
      <c r="HD20" s="357"/>
      <c r="HE20" s="357"/>
      <c r="HF20" s="357"/>
      <c r="HG20" s="357"/>
      <c r="HH20" s="357"/>
      <c r="HI20" s="357"/>
      <c r="HJ20" s="357"/>
      <c r="HK20" s="357"/>
      <c r="HL20" s="357"/>
      <c r="HM20" s="357"/>
      <c r="HN20" s="357"/>
      <c r="HO20" s="357"/>
      <c r="HP20" s="357"/>
      <c r="HQ20" s="357"/>
      <c r="HR20" s="357"/>
      <c r="HS20" s="357"/>
      <c r="HT20" s="357"/>
      <c r="HU20" s="357"/>
      <c r="HV20" s="357"/>
      <c r="HW20" s="357"/>
      <c r="HX20" s="357"/>
      <c r="HY20" s="357"/>
      <c r="HZ20" s="357"/>
      <c r="IA20" s="357"/>
      <c r="IB20" s="357"/>
      <c r="IC20" s="357"/>
      <c r="ID20" s="357"/>
      <c r="IE20" s="357"/>
      <c r="IF20" s="357"/>
      <c r="IG20" s="357"/>
      <c r="IH20" s="357"/>
      <c r="II20" s="357"/>
      <c r="IJ20" s="357"/>
      <c r="IK20" s="357"/>
      <c r="IL20" s="357"/>
      <c r="IM20" s="357"/>
      <c r="IN20" s="357"/>
      <c r="IO20" s="357"/>
      <c r="IP20" s="357"/>
      <c r="IQ20" s="357"/>
      <c r="IR20" s="357"/>
      <c r="IS20" s="357"/>
      <c r="IT20" s="357"/>
      <c r="IU20" s="357"/>
      <c r="IV20" s="357"/>
      <c r="IW20" s="357"/>
    </row>
    <row r="21" customFormat="false" ht="12.6" hidden="false" customHeight="true" outlineLevel="0" collapsed="false">
      <c r="A21" s="367"/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357"/>
      <c r="BS21" s="357"/>
      <c r="BT21" s="357"/>
      <c r="BU21" s="357"/>
      <c r="BV21" s="357"/>
      <c r="BW21" s="357"/>
      <c r="BX21" s="357"/>
      <c r="BY21" s="357"/>
      <c r="BZ21" s="357"/>
      <c r="CA21" s="357"/>
      <c r="CB21" s="357"/>
      <c r="CC21" s="357"/>
      <c r="CD21" s="357"/>
      <c r="CE21" s="357"/>
      <c r="CF21" s="357"/>
      <c r="CG21" s="357"/>
      <c r="CH21" s="357"/>
      <c r="CI21" s="357"/>
      <c r="CJ21" s="357"/>
      <c r="CK21" s="357"/>
      <c r="CL21" s="357"/>
      <c r="CM21" s="357"/>
      <c r="CN21" s="357"/>
      <c r="CO21" s="357"/>
      <c r="CP21" s="357"/>
      <c r="CQ21" s="357"/>
      <c r="CR21" s="357"/>
      <c r="CS21" s="357"/>
      <c r="CT21" s="357"/>
      <c r="CU21" s="357"/>
      <c r="CV21" s="357"/>
      <c r="CW21" s="357"/>
      <c r="CX21" s="357"/>
      <c r="CY21" s="357"/>
      <c r="CZ21" s="357"/>
      <c r="DA21" s="357"/>
      <c r="DB21" s="357"/>
      <c r="DC21" s="357"/>
      <c r="DD21" s="357"/>
      <c r="DE21" s="357"/>
      <c r="DF21" s="357"/>
      <c r="DG21" s="357"/>
      <c r="DH21" s="357"/>
      <c r="DI21" s="357"/>
      <c r="DJ21" s="357"/>
      <c r="DK21" s="357"/>
      <c r="DL21" s="357"/>
      <c r="DM21" s="357"/>
      <c r="DN21" s="357"/>
      <c r="DO21" s="357"/>
      <c r="DP21" s="357"/>
      <c r="DQ21" s="357"/>
      <c r="DR21" s="357"/>
      <c r="DS21" s="357"/>
      <c r="DT21" s="357"/>
      <c r="DU21" s="357"/>
      <c r="DV21" s="357"/>
      <c r="DW21" s="357"/>
      <c r="DX21" s="357"/>
      <c r="DY21" s="357"/>
      <c r="DZ21" s="357"/>
      <c r="EA21" s="357"/>
      <c r="EB21" s="357"/>
      <c r="EC21" s="357"/>
      <c r="ED21" s="357"/>
      <c r="EE21" s="357"/>
      <c r="EF21" s="357"/>
      <c r="EG21" s="357"/>
      <c r="EH21" s="357"/>
      <c r="EI21" s="357"/>
      <c r="EJ21" s="357"/>
      <c r="EK21" s="357"/>
      <c r="EL21" s="357"/>
      <c r="EM21" s="357"/>
      <c r="EN21" s="357"/>
      <c r="EO21" s="357"/>
      <c r="EP21" s="357"/>
      <c r="EQ21" s="357"/>
      <c r="ER21" s="357"/>
      <c r="ES21" s="357"/>
      <c r="ET21" s="357"/>
      <c r="EU21" s="357"/>
      <c r="EV21" s="357"/>
      <c r="EW21" s="357"/>
      <c r="EX21" s="357"/>
      <c r="EY21" s="357"/>
      <c r="EZ21" s="357"/>
      <c r="FA21" s="357"/>
      <c r="FB21" s="357"/>
      <c r="FC21" s="357"/>
      <c r="FD21" s="357"/>
      <c r="FE21" s="357"/>
      <c r="FF21" s="357"/>
      <c r="FG21" s="357"/>
      <c r="FH21" s="357"/>
      <c r="FI21" s="357"/>
      <c r="FJ21" s="357"/>
      <c r="FK21" s="357"/>
      <c r="FL21" s="357"/>
      <c r="FM21" s="357"/>
      <c r="FN21" s="357"/>
      <c r="FO21" s="357"/>
      <c r="FP21" s="357"/>
      <c r="FQ21" s="357"/>
      <c r="FR21" s="357"/>
      <c r="FS21" s="357"/>
      <c r="FT21" s="357"/>
      <c r="FU21" s="357"/>
      <c r="FV21" s="357"/>
      <c r="FW21" s="357"/>
      <c r="FX21" s="357"/>
      <c r="FY21" s="357"/>
      <c r="FZ21" s="357"/>
      <c r="GA21" s="357"/>
      <c r="GB21" s="357"/>
      <c r="GC21" s="357"/>
      <c r="GD21" s="357"/>
      <c r="GE21" s="357"/>
      <c r="GF21" s="357"/>
      <c r="GG21" s="357"/>
      <c r="GH21" s="357"/>
      <c r="GI21" s="357"/>
      <c r="GJ21" s="357"/>
      <c r="GK21" s="357"/>
      <c r="GL21" s="357"/>
      <c r="GM21" s="357"/>
      <c r="GN21" s="357"/>
      <c r="GO21" s="357"/>
      <c r="GP21" s="357"/>
      <c r="GQ21" s="357"/>
      <c r="GR21" s="357"/>
      <c r="GS21" s="357"/>
      <c r="GT21" s="357"/>
      <c r="GU21" s="357"/>
      <c r="GV21" s="357"/>
      <c r="GW21" s="357"/>
      <c r="GX21" s="357"/>
      <c r="GY21" s="357"/>
      <c r="GZ21" s="357"/>
      <c r="HA21" s="357"/>
      <c r="HB21" s="357"/>
      <c r="HC21" s="357"/>
      <c r="HD21" s="357"/>
      <c r="HE21" s="357"/>
      <c r="HF21" s="357"/>
      <c r="HG21" s="357"/>
      <c r="HH21" s="357"/>
      <c r="HI21" s="357"/>
      <c r="HJ21" s="357"/>
      <c r="HK21" s="357"/>
      <c r="HL21" s="357"/>
      <c r="HM21" s="357"/>
      <c r="HN21" s="357"/>
      <c r="HO21" s="357"/>
      <c r="HP21" s="357"/>
      <c r="HQ21" s="357"/>
      <c r="HR21" s="357"/>
      <c r="HS21" s="357"/>
      <c r="HT21" s="357"/>
      <c r="HU21" s="357"/>
      <c r="HV21" s="357"/>
      <c r="HW21" s="357"/>
      <c r="HX21" s="357"/>
      <c r="HY21" s="357"/>
      <c r="HZ21" s="357"/>
      <c r="IA21" s="357"/>
      <c r="IB21" s="357"/>
      <c r="IC21" s="357"/>
      <c r="ID21" s="357"/>
      <c r="IE21" s="357"/>
      <c r="IF21" s="357"/>
      <c r="IG21" s="357"/>
      <c r="IH21" s="357"/>
      <c r="II21" s="357"/>
      <c r="IJ21" s="357"/>
      <c r="IK21" s="357"/>
      <c r="IL21" s="357"/>
      <c r="IM21" s="357"/>
      <c r="IN21" s="357"/>
      <c r="IO21" s="357"/>
      <c r="IP21" s="357"/>
      <c r="IQ21" s="357"/>
      <c r="IR21" s="357"/>
      <c r="IS21" s="357"/>
      <c r="IT21" s="357"/>
      <c r="IU21" s="357"/>
      <c r="IV21" s="357"/>
      <c r="IW21" s="357"/>
    </row>
    <row r="22" customFormat="false" ht="12.6" hidden="false" customHeight="true" outlineLevel="0" collapsed="false">
      <c r="A22" s="367" t="s">
        <v>379</v>
      </c>
      <c r="B22" s="239"/>
      <c r="C22" s="368"/>
      <c r="D22" s="369" t="n">
        <f aca="false">IF(D3&gt;'Project Assumptions'!$I$15+1,0,D19-D20)</f>
        <v>419.967506768585</v>
      </c>
      <c r="E22" s="369" t="n">
        <f aca="false">IF(E3&gt;'Project Assumptions'!$I$15+1,0,E19-E20)</f>
        <v>1094.20940692427</v>
      </c>
      <c r="F22" s="369" t="n">
        <f aca="false">IF(F3&gt;'Project Assumptions'!$I$15+1,0,F19-F20)</f>
        <v>591.063933208354</v>
      </c>
      <c r="G22" s="369" t="n">
        <f aca="false">IF(G3&gt;'Project Assumptions'!$I$15+1,0,G19-G20)</f>
        <v>586.264225872144</v>
      </c>
      <c r="H22" s="369" t="n">
        <f aca="false">IF(H3&gt;'Project Assumptions'!$I$15+1,0,H19-H20)</f>
        <v>542.436190160543</v>
      </c>
      <c r="I22" s="369" t="n">
        <f aca="false">IF(I3&gt;'Project Assumptions'!$I$15+1,0,I19-I20)</f>
        <v>541.419763357988</v>
      </c>
      <c r="J22" s="369" t="n">
        <f aca="false">IF(J3&gt;'Project Assumptions'!$I$15+1,0,J19-J20)</f>
        <v>538.189825401076</v>
      </c>
      <c r="K22" s="369" t="n">
        <f aca="false">IF(K3&gt;'Project Assumptions'!$I$15+1,0,K19-K20)</f>
        <v>501.934709102088</v>
      </c>
      <c r="L22" s="369" t="n">
        <f aca="false">IF(L3&gt;'Project Assumptions'!$I$15+1,0,L19-L20)</f>
        <v>503.073326243715</v>
      </c>
      <c r="M22" s="369" t="n">
        <f aca="false">IF(M3&gt;'Project Assumptions'!$I$15+1,0,M19-M20)</f>
        <v>503.153720428165</v>
      </c>
      <c r="N22" s="369" t="n">
        <f aca="false">IF(N3&gt;'Project Assumptions'!$I$15+1,0,N19-N20)</f>
        <v>503.327722096314</v>
      </c>
      <c r="O22" s="369" t="n">
        <f aca="false">IF(O3&gt;'Project Assumptions'!$I$15+1,0,O19-O20)</f>
        <v>503.022205897822</v>
      </c>
      <c r="P22" s="369" t="n">
        <f aca="false">IF(P3&gt;'Project Assumptions'!$I$15+1,0,P19-P20)</f>
        <v>503.389076425365</v>
      </c>
      <c r="Q22" s="369" t="n">
        <f aca="false">IF(Q3&gt;'Project Assumptions'!$I$15+1,0,Q19-Q20)</f>
        <v>503.855283963443</v>
      </c>
      <c r="R22" s="369" t="n">
        <f aca="false">IF(R3&gt;'Project Assumptions'!$I$15+1,0,R19-R20)</f>
        <v>-321.385428853641</v>
      </c>
      <c r="S22" s="369" t="n">
        <f aca="false">IF(S3&gt;'Project Assumptions'!$I$15+1,0,S19-S20)</f>
        <v>6609.15206105875</v>
      </c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0"/>
      <c r="BA22" s="370"/>
      <c r="BB22" s="370"/>
      <c r="BC22" s="370"/>
      <c r="BD22" s="370"/>
      <c r="BE22" s="370"/>
      <c r="BF22" s="370"/>
      <c r="BG22" s="370"/>
      <c r="BH22" s="370"/>
      <c r="BI22" s="370"/>
      <c r="BJ22" s="370"/>
      <c r="BK22" s="370"/>
      <c r="BL22" s="370"/>
      <c r="BM22" s="370"/>
      <c r="BN22" s="370"/>
      <c r="BO22" s="370"/>
      <c r="BP22" s="370"/>
      <c r="BQ22" s="370"/>
      <c r="BR22" s="370"/>
      <c r="BS22" s="370"/>
      <c r="BT22" s="370"/>
      <c r="BU22" s="370"/>
      <c r="BV22" s="370"/>
      <c r="BW22" s="370"/>
      <c r="BX22" s="370"/>
      <c r="BY22" s="370"/>
      <c r="BZ22" s="370"/>
      <c r="CA22" s="370"/>
      <c r="CB22" s="370"/>
      <c r="CC22" s="370"/>
      <c r="CD22" s="370"/>
      <c r="CE22" s="370"/>
      <c r="CF22" s="370"/>
      <c r="CG22" s="370"/>
      <c r="CH22" s="370"/>
      <c r="CI22" s="370"/>
      <c r="CJ22" s="370"/>
      <c r="CK22" s="370"/>
      <c r="CL22" s="370"/>
      <c r="CM22" s="370"/>
      <c r="CN22" s="370"/>
      <c r="CO22" s="370"/>
      <c r="CP22" s="370"/>
      <c r="CQ22" s="370"/>
      <c r="CR22" s="370"/>
      <c r="CS22" s="370"/>
      <c r="CT22" s="370"/>
      <c r="CU22" s="370"/>
      <c r="CV22" s="370"/>
      <c r="CW22" s="370"/>
      <c r="CX22" s="370"/>
      <c r="CY22" s="370"/>
      <c r="CZ22" s="370"/>
      <c r="DA22" s="370"/>
      <c r="DB22" s="370"/>
      <c r="DC22" s="370"/>
      <c r="DD22" s="370"/>
      <c r="DE22" s="370"/>
      <c r="DF22" s="370"/>
      <c r="DG22" s="370"/>
      <c r="DH22" s="370"/>
      <c r="DI22" s="370"/>
      <c r="DJ22" s="370"/>
      <c r="DK22" s="370"/>
      <c r="DL22" s="370"/>
      <c r="DM22" s="370"/>
      <c r="DN22" s="370"/>
      <c r="DO22" s="370"/>
      <c r="DP22" s="370"/>
      <c r="DQ22" s="370"/>
      <c r="DR22" s="370"/>
      <c r="DS22" s="370"/>
      <c r="DT22" s="370"/>
      <c r="DU22" s="370"/>
      <c r="DV22" s="370"/>
      <c r="DW22" s="370"/>
      <c r="DX22" s="370"/>
      <c r="DY22" s="370"/>
      <c r="DZ22" s="370"/>
      <c r="EA22" s="370"/>
      <c r="EB22" s="370"/>
      <c r="EC22" s="370"/>
      <c r="ED22" s="370"/>
      <c r="EE22" s="370"/>
      <c r="EF22" s="370"/>
      <c r="EG22" s="370"/>
      <c r="EH22" s="370"/>
      <c r="EI22" s="370"/>
      <c r="EJ22" s="370"/>
      <c r="EK22" s="370"/>
      <c r="EL22" s="370"/>
      <c r="EM22" s="370"/>
      <c r="EN22" s="370"/>
      <c r="EO22" s="370"/>
      <c r="EP22" s="370"/>
      <c r="EQ22" s="370"/>
      <c r="ER22" s="370"/>
      <c r="ES22" s="370"/>
      <c r="ET22" s="370"/>
      <c r="EU22" s="370"/>
      <c r="EV22" s="370"/>
      <c r="EW22" s="370"/>
      <c r="EX22" s="370"/>
      <c r="EY22" s="370"/>
      <c r="EZ22" s="370"/>
      <c r="FA22" s="370"/>
      <c r="FB22" s="370"/>
      <c r="FC22" s="370"/>
      <c r="FD22" s="370"/>
      <c r="FE22" s="370"/>
      <c r="FF22" s="370"/>
      <c r="FG22" s="370"/>
      <c r="FH22" s="370"/>
      <c r="FI22" s="370"/>
      <c r="FJ22" s="370"/>
      <c r="FK22" s="370"/>
      <c r="FL22" s="370"/>
      <c r="FM22" s="370"/>
      <c r="FN22" s="370"/>
      <c r="FO22" s="370"/>
      <c r="FP22" s="370"/>
      <c r="FQ22" s="370"/>
      <c r="FR22" s="370"/>
      <c r="FS22" s="370"/>
      <c r="FT22" s="370"/>
      <c r="FU22" s="370"/>
      <c r="FV22" s="370"/>
      <c r="FW22" s="370"/>
      <c r="FX22" s="370"/>
      <c r="FY22" s="370"/>
      <c r="FZ22" s="370"/>
      <c r="GA22" s="370"/>
      <c r="GB22" s="370"/>
      <c r="GC22" s="370"/>
      <c r="GD22" s="370"/>
      <c r="GE22" s="370"/>
      <c r="GF22" s="370"/>
      <c r="GG22" s="370"/>
      <c r="GH22" s="370"/>
      <c r="GI22" s="370"/>
      <c r="GJ22" s="370"/>
      <c r="GK22" s="370"/>
      <c r="GL22" s="370"/>
      <c r="GM22" s="370"/>
      <c r="GN22" s="370"/>
      <c r="GO22" s="370"/>
      <c r="GP22" s="370"/>
      <c r="GQ22" s="370"/>
      <c r="GR22" s="370"/>
      <c r="GS22" s="370"/>
      <c r="GT22" s="370"/>
      <c r="GU22" s="370"/>
      <c r="GV22" s="370"/>
      <c r="GW22" s="370"/>
      <c r="GX22" s="370"/>
      <c r="GY22" s="370"/>
      <c r="GZ22" s="370"/>
      <c r="HA22" s="370"/>
      <c r="HB22" s="370"/>
      <c r="HC22" s="370"/>
      <c r="HD22" s="370"/>
      <c r="HE22" s="370"/>
      <c r="HF22" s="370"/>
      <c r="HG22" s="370"/>
      <c r="HH22" s="370"/>
      <c r="HI22" s="370"/>
      <c r="HJ22" s="370"/>
      <c r="HK22" s="370"/>
      <c r="HL22" s="370"/>
      <c r="HM22" s="370"/>
      <c r="HN22" s="370"/>
      <c r="HO22" s="370"/>
      <c r="HP22" s="370"/>
      <c r="HQ22" s="370"/>
      <c r="HR22" s="370"/>
      <c r="HS22" s="370"/>
      <c r="HT22" s="370"/>
      <c r="HU22" s="370"/>
      <c r="HV22" s="370"/>
      <c r="HW22" s="370"/>
      <c r="HX22" s="370"/>
      <c r="HY22" s="370"/>
      <c r="HZ22" s="370"/>
      <c r="IA22" s="370"/>
      <c r="IB22" s="370"/>
      <c r="IC22" s="370"/>
      <c r="ID22" s="370"/>
      <c r="IE22" s="370"/>
      <c r="IF22" s="370"/>
      <c r="IG22" s="370"/>
      <c r="IH22" s="370"/>
      <c r="II22" s="370"/>
      <c r="IJ22" s="370"/>
      <c r="IK22" s="370"/>
      <c r="IL22" s="370"/>
      <c r="IM22" s="370"/>
      <c r="IN22" s="370"/>
      <c r="IO22" s="370"/>
      <c r="IP22" s="370"/>
      <c r="IQ22" s="370"/>
      <c r="IR22" s="370"/>
      <c r="IS22" s="370"/>
      <c r="IT22" s="370"/>
      <c r="IU22" s="370"/>
      <c r="IV22" s="370"/>
      <c r="IW22" s="370"/>
    </row>
    <row r="23" customFormat="false" ht="12.6" hidden="false" customHeight="true" outlineLevel="0" collapsed="false">
      <c r="A23" s="357"/>
      <c r="B23" s="297"/>
      <c r="C23" s="297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7"/>
      <c r="BF23" s="357"/>
      <c r="BG23" s="357"/>
      <c r="BH23" s="357"/>
      <c r="BI23" s="357"/>
      <c r="BJ23" s="357"/>
      <c r="BK23" s="357"/>
      <c r="BL23" s="357"/>
      <c r="BM23" s="357"/>
      <c r="BN23" s="357"/>
      <c r="BO23" s="357"/>
      <c r="BP23" s="357"/>
      <c r="BQ23" s="357"/>
      <c r="BR23" s="357"/>
      <c r="BS23" s="357"/>
      <c r="BT23" s="357"/>
      <c r="BU23" s="357"/>
      <c r="BV23" s="357"/>
      <c r="BW23" s="357"/>
      <c r="BX23" s="357"/>
      <c r="BY23" s="357"/>
      <c r="BZ23" s="357"/>
      <c r="CA23" s="357"/>
      <c r="CB23" s="357"/>
      <c r="CC23" s="357"/>
      <c r="CD23" s="357"/>
      <c r="CE23" s="357"/>
      <c r="CF23" s="357"/>
      <c r="CG23" s="357"/>
      <c r="CH23" s="357"/>
      <c r="CI23" s="357"/>
      <c r="CJ23" s="357"/>
      <c r="CK23" s="357"/>
      <c r="CL23" s="357"/>
      <c r="CM23" s="357"/>
      <c r="CN23" s="357"/>
      <c r="CO23" s="357"/>
      <c r="CP23" s="357"/>
      <c r="CQ23" s="357"/>
      <c r="CR23" s="357"/>
      <c r="CS23" s="357"/>
      <c r="CT23" s="357"/>
      <c r="CU23" s="357"/>
      <c r="CV23" s="357"/>
      <c r="CW23" s="357"/>
      <c r="CX23" s="357"/>
      <c r="CY23" s="357"/>
      <c r="CZ23" s="357"/>
      <c r="DA23" s="357"/>
      <c r="DB23" s="357"/>
      <c r="DC23" s="357"/>
      <c r="DD23" s="357"/>
      <c r="DE23" s="357"/>
      <c r="DF23" s="357"/>
      <c r="DG23" s="357"/>
      <c r="DH23" s="357"/>
      <c r="DI23" s="357"/>
      <c r="DJ23" s="357"/>
      <c r="DK23" s="357"/>
      <c r="DL23" s="357"/>
      <c r="DM23" s="357"/>
      <c r="DN23" s="357"/>
      <c r="DO23" s="357"/>
      <c r="DP23" s="357"/>
      <c r="DQ23" s="357"/>
      <c r="DR23" s="357"/>
      <c r="DS23" s="357"/>
      <c r="DT23" s="357"/>
      <c r="DU23" s="357"/>
      <c r="DV23" s="357"/>
      <c r="DW23" s="357"/>
      <c r="DX23" s="357"/>
      <c r="DY23" s="357"/>
      <c r="DZ23" s="357"/>
      <c r="EA23" s="357"/>
      <c r="EB23" s="357"/>
      <c r="EC23" s="357"/>
      <c r="ED23" s="357"/>
      <c r="EE23" s="357"/>
      <c r="EF23" s="357"/>
      <c r="EG23" s="357"/>
      <c r="EH23" s="357"/>
      <c r="EI23" s="357"/>
      <c r="EJ23" s="357"/>
      <c r="EK23" s="357"/>
      <c r="EL23" s="357"/>
      <c r="EM23" s="357"/>
      <c r="EN23" s="357"/>
      <c r="EO23" s="357"/>
      <c r="EP23" s="357"/>
      <c r="EQ23" s="357"/>
      <c r="ER23" s="357"/>
      <c r="ES23" s="357"/>
      <c r="ET23" s="357"/>
      <c r="EU23" s="357"/>
      <c r="EV23" s="357"/>
      <c r="EW23" s="357"/>
      <c r="EX23" s="357"/>
      <c r="EY23" s="357"/>
      <c r="EZ23" s="357"/>
      <c r="FA23" s="357"/>
      <c r="FB23" s="357"/>
      <c r="FC23" s="357"/>
      <c r="FD23" s="357"/>
      <c r="FE23" s="357"/>
      <c r="FF23" s="357"/>
      <c r="FG23" s="357"/>
      <c r="FH23" s="357"/>
      <c r="FI23" s="357"/>
      <c r="FJ23" s="357"/>
      <c r="FK23" s="357"/>
      <c r="FL23" s="357"/>
      <c r="FM23" s="357"/>
      <c r="FN23" s="357"/>
      <c r="FO23" s="357"/>
      <c r="FP23" s="357"/>
      <c r="FQ23" s="357"/>
      <c r="FR23" s="357"/>
      <c r="FS23" s="357"/>
      <c r="FT23" s="357"/>
      <c r="FU23" s="357"/>
      <c r="FV23" s="357"/>
      <c r="FW23" s="357"/>
      <c r="FX23" s="357"/>
      <c r="FY23" s="357"/>
      <c r="FZ23" s="357"/>
      <c r="GA23" s="357"/>
      <c r="GB23" s="357"/>
      <c r="GC23" s="357"/>
      <c r="GD23" s="357"/>
      <c r="GE23" s="357"/>
      <c r="GF23" s="357"/>
      <c r="GG23" s="357"/>
      <c r="GH23" s="357"/>
      <c r="GI23" s="357"/>
      <c r="GJ23" s="357"/>
      <c r="GK23" s="357"/>
      <c r="GL23" s="357"/>
      <c r="GM23" s="357"/>
      <c r="GN23" s="357"/>
      <c r="GO23" s="357"/>
      <c r="GP23" s="357"/>
      <c r="GQ23" s="357"/>
      <c r="GR23" s="357"/>
      <c r="GS23" s="357"/>
      <c r="GT23" s="357"/>
      <c r="GU23" s="357"/>
      <c r="GV23" s="357"/>
      <c r="GW23" s="357"/>
      <c r="GX23" s="357"/>
      <c r="GY23" s="357"/>
      <c r="GZ23" s="357"/>
      <c r="HA23" s="357"/>
      <c r="HB23" s="357"/>
      <c r="HC23" s="357"/>
      <c r="HD23" s="357"/>
      <c r="HE23" s="357"/>
      <c r="HF23" s="357"/>
      <c r="HG23" s="357"/>
      <c r="HH23" s="357"/>
      <c r="HI23" s="357"/>
      <c r="HJ23" s="357"/>
      <c r="HK23" s="357"/>
      <c r="HL23" s="357"/>
      <c r="HM23" s="357"/>
      <c r="HN23" s="357"/>
      <c r="HO23" s="357"/>
      <c r="HP23" s="357"/>
      <c r="HQ23" s="357"/>
      <c r="HR23" s="357"/>
      <c r="HS23" s="357"/>
      <c r="HT23" s="357"/>
      <c r="HU23" s="357"/>
      <c r="HV23" s="357"/>
      <c r="HW23" s="357"/>
      <c r="HX23" s="357"/>
      <c r="HY23" s="357"/>
      <c r="HZ23" s="357"/>
      <c r="IA23" s="357"/>
      <c r="IB23" s="357"/>
      <c r="IC23" s="357"/>
      <c r="ID23" s="357"/>
      <c r="IE23" s="357"/>
      <c r="IF23" s="357"/>
      <c r="IG23" s="357"/>
      <c r="IH23" s="357"/>
      <c r="II23" s="357"/>
      <c r="IJ23" s="357"/>
      <c r="IK23" s="357"/>
      <c r="IL23" s="357"/>
      <c r="IM23" s="357"/>
      <c r="IN23" s="357"/>
      <c r="IO23" s="357"/>
      <c r="IP23" s="357"/>
      <c r="IQ23" s="357"/>
      <c r="IR23" s="357"/>
      <c r="IS23" s="357"/>
      <c r="IT23" s="357"/>
      <c r="IU23" s="357"/>
      <c r="IV23" s="357"/>
      <c r="IW23" s="357"/>
    </row>
    <row r="24" customFormat="false" ht="12.6" hidden="false" customHeight="true" outlineLevel="0" collapsed="false">
      <c r="B24" s="239"/>
      <c r="C24" s="371"/>
    </row>
    <row r="25" customFormat="false" ht="12.6" hidden="false" customHeight="true" outlineLevel="0" collapsed="false">
      <c r="A25" s="367" t="s">
        <v>380</v>
      </c>
      <c r="B25" s="372"/>
      <c r="C25" s="373"/>
      <c r="D25" s="374" t="n">
        <f aca="false">IF(D22&gt;=0,D22,0)</f>
        <v>419.967506768585</v>
      </c>
      <c r="E25" s="374" t="n">
        <f aca="false">IF(E22&gt;=0,E22,0)</f>
        <v>1094.20940692427</v>
      </c>
      <c r="F25" s="374" t="n">
        <f aca="false">IF(F22&gt;=0,F22,0)</f>
        <v>591.063933208354</v>
      </c>
      <c r="G25" s="374" t="n">
        <f aca="false">IF(G22&gt;=0,G22,0)</f>
        <v>586.264225872144</v>
      </c>
      <c r="H25" s="374" t="n">
        <f aca="false">IF(H22&gt;=0,H22,0)</f>
        <v>542.436190160543</v>
      </c>
      <c r="I25" s="374" t="n">
        <f aca="false">IF(I22&gt;=0,I22,0)</f>
        <v>541.419763357988</v>
      </c>
      <c r="J25" s="374" t="n">
        <f aca="false">IF(J22&gt;=0,J22,0)</f>
        <v>538.189825401076</v>
      </c>
      <c r="K25" s="374" t="n">
        <f aca="false">IF(K22&gt;=0,K22,0)</f>
        <v>501.934709102088</v>
      </c>
      <c r="L25" s="374" t="n">
        <f aca="false">IF(L22&gt;=0,L22,0)</f>
        <v>503.073326243715</v>
      </c>
      <c r="M25" s="374" t="n">
        <f aca="false">IF(M22&gt;=0,M22,0)</f>
        <v>503.153720428165</v>
      </c>
      <c r="N25" s="374" t="n">
        <f aca="false">IF(N22&gt;=0,N22,0)</f>
        <v>503.327722096314</v>
      </c>
      <c r="O25" s="374" t="n">
        <f aca="false">IF(O22&gt;=0,O22,0)</f>
        <v>503.022205897822</v>
      </c>
      <c r="P25" s="374" t="n">
        <f aca="false">IF(P22&gt;=0,P22,0)</f>
        <v>503.389076425365</v>
      </c>
      <c r="Q25" s="374" t="n">
        <f aca="false">IF(Q22&gt;=0,Q22,0)</f>
        <v>503.855283963443</v>
      </c>
      <c r="R25" s="374" t="n">
        <f aca="false">IF(R22&gt;=0,R22,0)</f>
        <v>0</v>
      </c>
      <c r="S25" s="374" t="n">
        <f aca="false">IF(S22&gt;=0,S22,0)</f>
        <v>6609.15206105875</v>
      </c>
      <c r="AE25" s="342"/>
      <c r="AF25" s="363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63"/>
      <c r="AV25" s="342"/>
      <c r="AW25" s="342"/>
      <c r="AX25" s="342"/>
      <c r="AY25" s="342"/>
      <c r="AZ25" s="342"/>
      <c r="BA25" s="342"/>
      <c r="BB25" s="342"/>
      <c r="BC25" s="342"/>
      <c r="BD25" s="342"/>
      <c r="BE25" s="342"/>
      <c r="BF25" s="342"/>
      <c r="BG25" s="342"/>
      <c r="BH25" s="342"/>
      <c r="BI25" s="342"/>
      <c r="BJ25" s="342"/>
      <c r="BK25" s="342"/>
      <c r="BL25" s="342"/>
      <c r="BM25" s="342"/>
      <c r="BN25" s="342"/>
      <c r="BO25" s="342"/>
      <c r="BP25" s="342"/>
      <c r="BQ25" s="342"/>
      <c r="BR25" s="342"/>
      <c r="BS25" s="342"/>
      <c r="BT25" s="342"/>
      <c r="BU25" s="342"/>
      <c r="BV25" s="342"/>
      <c r="BW25" s="342"/>
      <c r="BX25" s="342"/>
      <c r="BY25" s="342"/>
      <c r="BZ25" s="342"/>
      <c r="CA25" s="342"/>
      <c r="CB25" s="342"/>
      <c r="CC25" s="342"/>
      <c r="CD25" s="342"/>
      <c r="CE25" s="342"/>
      <c r="CF25" s="342"/>
      <c r="CG25" s="342"/>
      <c r="CH25" s="342"/>
      <c r="CI25" s="342"/>
      <c r="CJ25" s="342"/>
      <c r="CK25" s="342"/>
      <c r="CL25" s="342"/>
      <c r="CM25" s="342"/>
      <c r="CN25" s="342"/>
      <c r="CO25" s="342"/>
      <c r="CP25" s="342"/>
      <c r="CQ25" s="342"/>
      <c r="CR25" s="342"/>
      <c r="CS25" s="342"/>
      <c r="CT25" s="342"/>
      <c r="CU25" s="342"/>
      <c r="CV25" s="342"/>
      <c r="CW25" s="342"/>
      <c r="CX25" s="342"/>
      <c r="CY25" s="342"/>
      <c r="CZ25" s="342"/>
      <c r="DA25" s="342"/>
      <c r="DB25" s="342"/>
      <c r="DC25" s="342"/>
      <c r="DD25" s="342"/>
      <c r="DE25" s="342"/>
      <c r="DF25" s="342"/>
      <c r="DG25" s="342"/>
      <c r="DH25" s="342"/>
      <c r="DI25" s="342"/>
      <c r="DJ25" s="342"/>
      <c r="DK25" s="342"/>
      <c r="DL25" s="342"/>
      <c r="DM25" s="342"/>
      <c r="DN25" s="342"/>
      <c r="DO25" s="342"/>
      <c r="DP25" s="342"/>
      <c r="DQ25" s="342"/>
      <c r="DR25" s="342"/>
      <c r="DS25" s="342"/>
      <c r="DT25" s="342"/>
      <c r="DU25" s="342"/>
      <c r="DV25" s="342"/>
      <c r="DW25" s="342"/>
      <c r="DX25" s="342"/>
      <c r="DY25" s="342"/>
      <c r="DZ25" s="342"/>
      <c r="EA25" s="342"/>
      <c r="EB25" s="342"/>
      <c r="EC25" s="342"/>
      <c r="ED25" s="342"/>
      <c r="EE25" s="342"/>
      <c r="EF25" s="342"/>
      <c r="EG25" s="342"/>
      <c r="EH25" s="342"/>
      <c r="EI25" s="342"/>
      <c r="EJ25" s="342"/>
      <c r="EK25" s="342"/>
      <c r="EL25" s="342"/>
      <c r="EM25" s="342"/>
      <c r="EN25" s="342"/>
      <c r="EO25" s="342"/>
      <c r="EP25" s="342"/>
      <c r="EQ25" s="342"/>
      <c r="ER25" s="342"/>
      <c r="ES25" s="342"/>
      <c r="ET25" s="342"/>
      <c r="EU25" s="342"/>
      <c r="EV25" s="342"/>
      <c r="EW25" s="342"/>
      <c r="EX25" s="342"/>
      <c r="EY25" s="342"/>
      <c r="EZ25" s="342"/>
      <c r="FA25" s="342"/>
      <c r="FB25" s="342"/>
      <c r="FC25" s="342"/>
      <c r="FD25" s="342"/>
      <c r="FE25" s="342"/>
      <c r="FF25" s="342"/>
      <c r="FG25" s="342"/>
      <c r="FH25" s="342"/>
      <c r="FI25" s="342"/>
      <c r="FJ25" s="342"/>
      <c r="FK25" s="342"/>
      <c r="FL25" s="342"/>
      <c r="FM25" s="342"/>
      <c r="FN25" s="342"/>
      <c r="FO25" s="342"/>
      <c r="FP25" s="342"/>
      <c r="FQ25" s="342"/>
      <c r="FR25" s="342"/>
      <c r="FS25" s="342"/>
      <c r="FT25" s="342"/>
      <c r="FU25" s="342"/>
      <c r="FV25" s="342"/>
      <c r="FW25" s="342"/>
      <c r="FX25" s="342"/>
      <c r="FY25" s="342"/>
      <c r="FZ25" s="342"/>
      <c r="GA25" s="342"/>
      <c r="GB25" s="342"/>
      <c r="GC25" s="342"/>
      <c r="GD25" s="342"/>
      <c r="GE25" s="342"/>
      <c r="GF25" s="342"/>
      <c r="GG25" s="342"/>
      <c r="GH25" s="342"/>
      <c r="GI25" s="342"/>
      <c r="GJ25" s="342"/>
      <c r="GK25" s="342"/>
      <c r="GL25" s="342"/>
      <c r="GM25" s="342"/>
      <c r="GN25" s="342"/>
      <c r="GO25" s="342"/>
      <c r="GP25" s="342"/>
      <c r="GQ25" s="342"/>
      <c r="GR25" s="342"/>
      <c r="GS25" s="342"/>
      <c r="GT25" s="342"/>
      <c r="GU25" s="342"/>
      <c r="GV25" s="342"/>
      <c r="GW25" s="342"/>
      <c r="GX25" s="342"/>
      <c r="GY25" s="342"/>
      <c r="GZ25" s="342"/>
      <c r="HA25" s="342"/>
      <c r="HB25" s="342"/>
      <c r="HC25" s="342"/>
      <c r="HD25" s="342"/>
      <c r="HE25" s="342"/>
      <c r="HF25" s="342"/>
      <c r="HG25" s="342"/>
      <c r="HH25" s="342"/>
      <c r="HI25" s="342"/>
      <c r="HJ25" s="342"/>
      <c r="HK25" s="342"/>
      <c r="HL25" s="342"/>
      <c r="HM25" s="342"/>
      <c r="HN25" s="342"/>
      <c r="HO25" s="342"/>
      <c r="HP25" s="342"/>
      <c r="HQ25" s="342"/>
      <c r="HR25" s="342"/>
      <c r="HS25" s="342"/>
      <c r="HT25" s="342"/>
      <c r="HU25" s="342"/>
      <c r="HV25" s="342"/>
      <c r="HW25" s="342"/>
      <c r="HX25" s="342"/>
      <c r="HY25" s="342"/>
      <c r="HZ25" s="342"/>
      <c r="IA25" s="342"/>
      <c r="IB25" s="342"/>
      <c r="IC25" s="342"/>
      <c r="ID25" s="342"/>
      <c r="IE25" s="342"/>
      <c r="IF25" s="342"/>
      <c r="IG25" s="342"/>
      <c r="IH25" s="342"/>
      <c r="II25" s="342"/>
      <c r="IJ25" s="342"/>
      <c r="IK25" s="342"/>
      <c r="IL25" s="342"/>
      <c r="IM25" s="342"/>
      <c r="IN25" s="342"/>
      <c r="IO25" s="342"/>
      <c r="IP25" s="342"/>
      <c r="IQ25" s="342"/>
      <c r="IR25" s="342"/>
      <c r="IS25" s="342"/>
      <c r="IT25" s="342"/>
      <c r="IU25" s="342"/>
      <c r="IV25" s="342"/>
      <c r="IW25" s="342"/>
    </row>
    <row r="26" customFormat="false" ht="12.6" hidden="false" customHeight="true" outlineLevel="0" collapsed="false">
      <c r="A26" s="375"/>
      <c r="B26" s="372"/>
      <c r="C26" s="373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AC26" s="372"/>
      <c r="AD26" s="372"/>
      <c r="AE26" s="372"/>
      <c r="AF26" s="377"/>
      <c r="AG26" s="372"/>
      <c r="AH26" s="372"/>
      <c r="AI26" s="372"/>
      <c r="AJ26" s="372"/>
      <c r="AK26" s="372"/>
      <c r="AL26" s="372"/>
      <c r="AM26" s="372"/>
      <c r="AN26" s="372"/>
      <c r="AO26" s="372"/>
      <c r="AP26" s="372"/>
      <c r="AQ26" s="372"/>
      <c r="AR26" s="372"/>
      <c r="AS26" s="372"/>
      <c r="AT26" s="372"/>
      <c r="AU26" s="377"/>
      <c r="AV26" s="372"/>
      <c r="AW26" s="372"/>
      <c r="AX26" s="372"/>
      <c r="AY26" s="372"/>
      <c r="AZ26" s="372"/>
      <c r="BA26" s="372"/>
      <c r="BB26" s="372"/>
      <c r="BC26" s="372"/>
      <c r="BD26" s="372"/>
      <c r="BE26" s="372"/>
      <c r="BF26" s="372"/>
      <c r="BG26" s="372"/>
      <c r="BH26" s="372"/>
      <c r="BI26" s="372"/>
      <c r="BJ26" s="372"/>
      <c r="BK26" s="372"/>
      <c r="BL26" s="372"/>
      <c r="BM26" s="372"/>
      <c r="BN26" s="372"/>
      <c r="BO26" s="372"/>
      <c r="BP26" s="372"/>
      <c r="BQ26" s="372"/>
      <c r="BR26" s="372"/>
      <c r="BS26" s="372"/>
      <c r="BT26" s="372"/>
      <c r="BU26" s="372"/>
      <c r="BV26" s="372"/>
      <c r="BW26" s="372"/>
      <c r="BX26" s="372"/>
      <c r="BY26" s="372"/>
      <c r="BZ26" s="372"/>
      <c r="CA26" s="372"/>
      <c r="CB26" s="372"/>
      <c r="CC26" s="372"/>
      <c r="CD26" s="372"/>
      <c r="CE26" s="372"/>
      <c r="CF26" s="372"/>
      <c r="CG26" s="372"/>
      <c r="CH26" s="372"/>
      <c r="CI26" s="372"/>
      <c r="CJ26" s="372"/>
      <c r="CK26" s="372"/>
      <c r="CL26" s="372"/>
      <c r="CM26" s="372"/>
      <c r="CN26" s="372"/>
      <c r="CO26" s="372"/>
      <c r="CP26" s="372"/>
      <c r="CQ26" s="372"/>
      <c r="CR26" s="372"/>
      <c r="CS26" s="372"/>
      <c r="CT26" s="372"/>
      <c r="CU26" s="372"/>
      <c r="CV26" s="372"/>
      <c r="CW26" s="372"/>
      <c r="CX26" s="372"/>
      <c r="CY26" s="372"/>
      <c r="CZ26" s="372"/>
      <c r="DA26" s="372"/>
      <c r="DB26" s="372"/>
      <c r="DC26" s="372"/>
      <c r="DD26" s="372"/>
      <c r="DE26" s="372"/>
      <c r="DF26" s="372"/>
      <c r="DG26" s="372"/>
      <c r="DH26" s="372"/>
      <c r="DI26" s="372"/>
      <c r="DJ26" s="372"/>
      <c r="DK26" s="372"/>
      <c r="DL26" s="372"/>
      <c r="DM26" s="372"/>
      <c r="DN26" s="372"/>
      <c r="DO26" s="372"/>
      <c r="DP26" s="372"/>
      <c r="DQ26" s="372"/>
      <c r="DR26" s="372"/>
      <c r="DS26" s="372"/>
      <c r="DT26" s="372"/>
      <c r="DU26" s="372"/>
      <c r="DV26" s="372"/>
      <c r="DW26" s="372"/>
      <c r="DX26" s="372"/>
      <c r="DY26" s="372"/>
      <c r="DZ26" s="372"/>
      <c r="EA26" s="372"/>
      <c r="EB26" s="372"/>
      <c r="EC26" s="372"/>
      <c r="ED26" s="372"/>
      <c r="EE26" s="372"/>
      <c r="EF26" s="372"/>
      <c r="EG26" s="372"/>
      <c r="EH26" s="372"/>
      <c r="EI26" s="372"/>
      <c r="EJ26" s="372"/>
      <c r="EK26" s="372"/>
      <c r="EL26" s="372"/>
      <c r="EM26" s="372"/>
      <c r="EN26" s="372"/>
      <c r="EO26" s="372"/>
      <c r="EP26" s="372"/>
      <c r="EQ26" s="372"/>
      <c r="ER26" s="372"/>
      <c r="ES26" s="372"/>
      <c r="ET26" s="372"/>
      <c r="EU26" s="372"/>
      <c r="EV26" s="372"/>
      <c r="EW26" s="372"/>
      <c r="EX26" s="372"/>
      <c r="EY26" s="372"/>
      <c r="EZ26" s="372"/>
      <c r="FA26" s="372"/>
      <c r="FB26" s="372"/>
      <c r="FC26" s="372"/>
      <c r="FD26" s="372"/>
      <c r="FE26" s="372"/>
      <c r="FF26" s="372"/>
      <c r="FG26" s="372"/>
      <c r="FH26" s="372"/>
      <c r="FI26" s="372"/>
      <c r="FJ26" s="372"/>
      <c r="FK26" s="372"/>
      <c r="FL26" s="372"/>
      <c r="FM26" s="372"/>
      <c r="FN26" s="372"/>
      <c r="FO26" s="372"/>
      <c r="FP26" s="372"/>
      <c r="FQ26" s="372"/>
      <c r="FR26" s="372"/>
      <c r="FS26" s="372"/>
      <c r="FT26" s="372"/>
      <c r="FU26" s="372"/>
      <c r="FV26" s="372"/>
      <c r="FW26" s="372"/>
      <c r="FX26" s="372"/>
      <c r="FY26" s="372"/>
      <c r="FZ26" s="372"/>
      <c r="GA26" s="372"/>
      <c r="GB26" s="372"/>
      <c r="GC26" s="372"/>
      <c r="GD26" s="372"/>
      <c r="GE26" s="372"/>
      <c r="GF26" s="372"/>
      <c r="GG26" s="372"/>
      <c r="GH26" s="372"/>
      <c r="GI26" s="372"/>
      <c r="GJ26" s="372"/>
      <c r="GK26" s="372"/>
      <c r="GL26" s="372"/>
      <c r="GM26" s="372"/>
      <c r="GN26" s="372"/>
      <c r="GO26" s="372"/>
      <c r="GP26" s="372"/>
      <c r="GQ26" s="372"/>
      <c r="GR26" s="372"/>
      <c r="GS26" s="372"/>
      <c r="GT26" s="372"/>
      <c r="GU26" s="372"/>
      <c r="GV26" s="372"/>
      <c r="GW26" s="372"/>
      <c r="GX26" s="372"/>
      <c r="GY26" s="372"/>
      <c r="GZ26" s="372"/>
      <c r="HA26" s="372"/>
      <c r="HB26" s="372"/>
      <c r="HC26" s="372"/>
      <c r="HD26" s="372"/>
      <c r="HE26" s="372"/>
      <c r="HF26" s="372"/>
      <c r="HG26" s="372"/>
      <c r="HH26" s="372"/>
      <c r="HI26" s="372"/>
      <c r="HJ26" s="372"/>
      <c r="HK26" s="372"/>
      <c r="HL26" s="372"/>
      <c r="HM26" s="372"/>
      <c r="HN26" s="372"/>
      <c r="HO26" s="372"/>
      <c r="HP26" s="372"/>
      <c r="HQ26" s="372"/>
      <c r="HR26" s="372"/>
      <c r="HS26" s="372"/>
      <c r="HT26" s="372"/>
      <c r="HU26" s="372"/>
      <c r="HV26" s="372"/>
      <c r="HW26" s="372"/>
      <c r="HX26" s="372"/>
      <c r="HY26" s="372"/>
      <c r="HZ26" s="372"/>
      <c r="IA26" s="372"/>
      <c r="IB26" s="372"/>
      <c r="IC26" s="372"/>
      <c r="ID26" s="372"/>
      <c r="IE26" s="372"/>
      <c r="IF26" s="372"/>
      <c r="IG26" s="372"/>
      <c r="IH26" s="372"/>
      <c r="II26" s="372"/>
      <c r="IJ26" s="372"/>
      <c r="IK26" s="372"/>
      <c r="IL26" s="372"/>
      <c r="IM26" s="372"/>
      <c r="IN26" s="372"/>
      <c r="IO26" s="372"/>
      <c r="IP26" s="372"/>
      <c r="IQ26" s="372"/>
      <c r="IR26" s="372"/>
      <c r="IS26" s="372"/>
      <c r="IT26" s="372"/>
      <c r="IU26" s="372"/>
      <c r="IV26" s="372"/>
      <c r="IW26" s="372"/>
    </row>
    <row r="27" customFormat="false" ht="12.6" hidden="false" customHeight="true" outlineLevel="0" collapsed="false">
      <c r="A27" s="367" t="s">
        <v>381</v>
      </c>
      <c r="B27" s="372"/>
      <c r="C27" s="373"/>
      <c r="D27" s="374" t="n">
        <f aca="false">IF(D22&lt;0,D22,0)</f>
        <v>0</v>
      </c>
      <c r="E27" s="374" t="n">
        <f aca="false">IF(E22&lt;0,E22,0)</f>
        <v>0</v>
      </c>
      <c r="F27" s="374" t="n">
        <f aca="false">IF(F22&lt;0,F22,0)</f>
        <v>0</v>
      </c>
      <c r="G27" s="374" t="n">
        <f aca="false">IF(G22&lt;0,G22,0)</f>
        <v>0</v>
      </c>
      <c r="H27" s="374" t="n">
        <f aca="false">IF(H22&lt;0,H22,0)</f>
        <v>0</v>
      </c>
      <c r="I27" s="374" t="n">
        <f aca="false">IF(I22&lt;0,I22,0)</f>
        <v>0</v>
      </c>
      <c r="J27" s="374" t="n">
        <f aca="false">IF(J22&lt;0,J22,0)</f>
        <v>0</v>
      </c>
      <c r="K27" s="374" t="n">
        <f aca="false">IF(K22&lt;0,K22,0)</f>
        <v>0</v>
      </c>
      <c r="L27" s="374" t="n">
        <f aca="false">IF(L22&lt;0,L22,0)</f>
        <v>0</v>
      </c>
      <c r="M27" s="374" t="n">
        <f aca="false">IF(M22&lt;0,M22,0)</f>
        <v>0</v>
      </c>
      <c r="N27" s="374" t="n">
        <f aca="false">IF(N22&lt;0,N22,0)</f>
        <v>0</v>
      </c>
      <c r="O27" s="374" t="n">
        <f aca="false">IF(O22&lt;0,O22,0)</f>
        <v>0</v>
      </c>
      <c r="P27" s="374" t="n">
        <f aca="false">IF(P22&lt;0,P22,0)</f>
        <v>0</v>
      </c>
      <c r="Q27" s="374" t="n">
        <f aca="false">IF(Q22&lt;0,Q22,0)</f>
        <v>0</v>
      </c>
      <c r="R27" s="374" t="n">
        <f aca="false">IF(R22&lt;0,R22,0)</f>
        <v>-321.385428853641</v>
      </c>
      <c r="S27" s="374" t="n">
        <f aca="false">IF(S22&lt;0,S22,0)</f>
        <v>0</v>
      </c>
      <c r="AE27" s="342"/>
      <c r="AF27" s="363"/>
      <c r="AG27" s="342"/>
      <c r="AH27" s="342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63"/>
      <c r="AV27" s="342"/>
      <c r="AW27" s="342"/>
      <c r="AX27" s="342"/>
      <c r="AY27" s="342"/>
      <c r="AZ27" s="342"/>
      <c r="BA27" s="342"/>
      <c r="BB27" s="342"/>
      <c r="BC27" s="342"/>
      <c r="BD27" s="342"/>
      <c r="BE27" s="342"/>
      <c r="BF27" s="342"/>
      <c r="BG27" s="342"/>
      <c r="BH27" s="342"/>
      <c r="BI27" s="342"/>
      <c r="BJ27" s="342"/>
      <c r="BK27" s="342"/>
      <c r="BL27" s="342"/>
      <c r="BM27" s="342"/>
      <c r="BN27" s="342"/>
      <c r="BO27" s="342"/>
      <c r="BP27" s="342"/>
      <c r="BQ27" s="342"/>
      <c r="BR27" s="342"/>
      <c r="BS27" s="342"/>
      <c r="BT27" s="342"/>
      <c r="BU27" s="342"/>
      <c r="BV27" s="342"/>
      <c r="BW27" s="342"/>
      <c r="BX27" s="342"/>
      <c r="BY27" s="342"/>
      <c r="BZ27" s="342"/>
      <c r="CA27" s="342"/>
      <c r="CB27" s="342"/>
      <c r="CC27" s="342"/>
      <c r="CD27" s="342"/>
      <c r="CE27" s="342"/>
      <c r="CF27" s="342"/>
      <c r="CG27" s="342"/>
      <c r="CH27" s="342"/>
      <c r="CI27" s="342"/>
      <c r="CJ27" s="342"/>
      <c r="CK27" s="342"/>
      <c r="CL27" s="342"/>
      <c r="CM27" s="342"/>
      <c r="CN27" s="342"/>
      <c r="CO27" s="342"/>
      <c r="CP27" s="342"/>
      <c r="CQ27" s="342"/>
      <c r="CR27" s="342"/>
      <c r="CS27" s="342"/>
      <c r="CT27" s="342"/>
      <c r="CU27" s="342"/>
      <c r="CV27" s="342"/>
      <c r="CW27" s="342"/>
      <c r="CX27" s="342"/>
      <c r="CY27" s="342"/>
      <c r="CZ27" s="342"/>
      <c r="DA27" s="342"/>
      <c r="DB27" s="342"/>
      <c r="DC27" s="342"/>
      <c r="DD27" s="342"/>
      <c r="DE27" s="342"/>
      <c r="DF27" s="342"/>
      <c r="DG27" s="342"/>
      <c r="DH27" s="342"/>
      <c r="DI27" s="342"/>
      <c r="DJ27" s="342"/>
      <c r="DK27" s="342"/>
      <c r="DL27" s="342"/>
      <c r="DM27" s="342"/>
      <c r="DN27" s="342"/>
      <c r="DO27" s="342"/>
      <c r="DP27" s="342"/>
      <c r="DQ27" s="342"/>
      <c r="DR27" s="342"/>
      <c r="DS27" s="342"/>
      <c r="DT27" s="342"/>
      <c r="DU27" s="342"/>
      <c r="DV27" s="342"/>
      <c r="DW27" s="342"/>
      <c r="DX27" s="342"/>
      <c r="DY27" s="342"/>
      <c r="DZ27" s="342"/>
      <c r="EA27" s="342"/>
      <c r="EB27" s="342"/>
      <c r="EC27" s="342"/>
      <c r="ED27" s="342"/>
      <c r="EE27" s="342"/>
      <c r="EF27" s="342"/>
      <c r="EG27" s="342"/>
      <c r="EH27" s="342"/>
      <c r="EI27" s="342"/>
      <c r="EJ27" s="342"/>
      <c r="EK27" s="342"/>
      <c r="EL27" s="342"/>
      <c r="EM27" s="342"/>
      <c r="EN27" s="342"/>
      <c r="EO27" s="342"/>
      <c r="EP27" s="342"/>
      <c r="EQ27" s="342"/>
      <c r="ER27" s="342"/>
      <c r="ES27" s="342"/>
      <c r="ET27" s="342"/>
      <c r="EU27" s="342"/>
      <c r="EV27" s="342"/>
      <c r="EW27" s="342"/>
      <c r="EX27" s="342"/>
      <c r="EY27" s="342"/>
      <c r="EZ27" s="342"/>
      <c r="FA27" s="342"/>
      <c r="FB27" s="342"/>
      <c r="FC27" s="342"/>
      <c r="FD27" s="342"/>
      <c r="FE27" s="342"/>
      <c r="FF27" s="342"/>
      <c r="FG27" s="342"/>
      <c r="FH27" s="342"/>
      <c r="FI27" s="342"/>
      <c r="FJ27" s="342"/>
      <c r="FK27" s="342"/>
      <c r="FL27" s="342"/>
      <c r="FM27" s="342"/>
      <c r="FN27" s="342"/>
      <c r="FO27" s="342"/>
      <c r="FP27" s="342"/>
      <c r="FQ27" s="342"/>
      <c r="FR27" s="342"/>
      <c r="FS27" s="342"/>
      <c r="FT27" s="342"/>
      <c r="FU27" s="342"/>
      <c r="FV27" s="342"/>
      <c r="FW27" s="342"/>
      <c r="FX27" s="342"/>
      <c r="FY27" s="342"/>
      <c r="FZ27" s="342"/>
      <c r="GA27" s="342"/>
      <c r="GB27" s="342"/>
      <c r="GC27" s="342"/>
      <c r="GD27" s="342"/>
      <c r="GE27" s="342"/>
      <c r="GF27" s="342"/>
      <c r="GG27" s="342"/>
      <c r="GH27" s="342"/>
      <c r="GI27" s="342"/>
      <c r="GJ27" s="342"/>
      <c r="GK27" s="342"/>
      <c r="GL27" s="342"/>
      <c r="GM27" s="342"/>
      <c r="GN27" s="342"/>
      <c r="GO27" s="342"/>
      <c r="GP27" s="342"/>
      <c r="GQ27" s="342"/>
      <c r="GR27" s="342"/>
      <c r="GS27" s="342"/>
      <c r="GT27" s="342"/>
      <c r="GU27" s="342"/>
      <c r="GV27" s="342"/>
      <c r="GW27" s="342"/>
      <c r="GX27" s="342"/>
      <c r="GY27" s="342"/>
      <c r="GZ27" s="342"/>
      <c r="HA27" s="342"/>
      <c r="HB27" s="342"/>
      <c r="HC27" s="342"/>
      <c r="HD27" s="342"/>
      <c r="HE27" s="342"/>
      <c r="HF27" s="342"/>
      <c r="HG27" s="342"/>
      <c r="HH27" s="342"/>
      <c r="HI27" s="342"/>
      <c r="HJ27" s="342"/>
      <c r="HK27" s="342"/>
      <c r="HL27" s="342"/>
      <c r="HM27" s="342"/>
      <c r="HN27" s="342"/>
      <c r="HO27" s="342"/>
      <c r="HP27" s="342"/>
      <c r="HQ27" s="342"/>
      <c r="HR27" s="342"/>
      <c r="HS27" s="342"/>
      <c r="HT27" s="342"/>
      <c r="HU27" s="342"/>
      <c r="HV27" s="342"/>
      <c r="HW27" s="342"/>
      <c r="HX27" s="342"/>
      <c r="HY27" s="342"/>
      <c r="HZ27" s="342"/>
      <c r="IA27" s="342"/>
      <c r="IB27" s="342"/>
      <c r="IC27" s="342"/>
      <c r="ID27" s="342"/>
      <c r="IE27" s="342"/>
      <c r="IF27" s="342"/>
      <c r="IG27" s="342"/>
      <c r="IH27" s="342"/>
      <c r="II27" s="342"/>
      <c r="IJ27" s="342"/>
      <c r="IK27" s="342"/>
      <c r="IL27" s="342"/>
      <c r="IM27" s="342"/>
      <c r="IN27" s="342"/>
      <c r="IO27" s="342"/>
      <c r="IP27" s="342"/>
      <c r="IQ27" s="342"/>
      <c r="IR27" s="342"/>
      <c r="IS27" s="342"/>
      <c r="IT27" s="342"/>
      <c r="IU27" s="342"/>
      <c r="IV27" s="342"/>
      <c r="IW27" s="342"/>
    </row>
    <row r="28" customFormat="false" ht="12.6" hidden="false" customHeight="true" outlineLevel="0" collapsed="false">
      <c r="A28" s="367" t="s">
        <v>382</v>
      </c>
      <c r="B28" s="342"/>
      <c r="C28" s="378" t="n">
        <v>0.0625</v>
      </c>
      <c r="D28" s="374" t="n">
        <f aca="false">D27*$C$28</f>
        <v>0</v>
      </c>
      <c r="E28" s="374" t="n">
        <f aca="false">$C$28*(D29+E27)</f>
        <v>0</v>
      </c>
      <c r="F28" s="374" t="n">
        <f aca="false">$C$28*(E29+F27)</f>
        <v>0</v>
      </c>
      <c r="G28" s="374" t="n">
        <f aca="false">$C$28*(F29+G27)</f>
        <v>0</v>
      </c>
      <c r="H28" s="374" t="n">
        <f aca="false">$C$28*(G29+H27)</f>
        <v>0</v>
      </c>
      <c r="I28" s="374" t="n">
        <f aca="false">$C$28*(H29+I27)</f>
        <v>0</v>
      </c>
      <c r="J28" s="374" t="n">
        <f aca="false">$C$28*(I29+J27)</f>
        <v>0</v>
      </c>
      <c r="K28" s="374" t="n">
        <f aca="false">$C$28*(J29+K27)</f>
        <v>0</v>
      </c>
      <c r="L28" s="374" t="n">
        <f aca="false">$C$28*(K29+L27)</f>
        <v>0</v>
      </c>
      <c r="M28" s="374" t="n">
        <f aca="false">$C$28*(L29+M27)</f>
        <v>0</v>
      </c>
      <c r="N28" s="374" t="n">
        <f aca="false">$C$28*(M29+N27)</f>
        <v>0</v>
      </c>
      <c r="O28" s="374" t="n">
        <f aca="false">$C$28*(N29+O27)</f>
        <v>0</v>
      </c>
      <c r="P28" s="374" t="n">
        <f aca="false">$C$28*(O29+P27)</f>
        <v>0</v>
      </c>
      <c r="Q28" s="374" t="n">
        <f aca="false">$C$28*(P29+Q27)</f>
        <v>0</v>
      </c>
      <c r="R28" s="374" t="n">
        <f aca="false">$C$28*(Q29+R27)</f>
        <v>-20.0865893033526</v>
      </c>
      <c r="S28" s="374" t="n">
        <f aca="false">$C$28*(R29+S27)</f>
        <v>-21.3420011348121</v>
      </c>
      <c r="AE28" s="342"/>
      <c r="AF28" s="363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63"/>
      <c r="AV28" s="342"/>
      <c r="AW28" s="342"/>
      <c r="AX28" s="342"/>
      <c r="AY28" s="342"/>
      <c r="AZ28" s="342"/>
      <c r="BA28" s="342"/>
      <c r="BB28" s="342"/>
      <c r="BC28" s="342"/>
      <c r="BD28" s="342"/>
      <c r="BE28" s="342"/>
      <c r="BF28" s="342"/>
      <c r="BG28" s="342"/>
      <c r="BH28" s="342"/>
      <c r="BI28" s="342"/>
      <c r="BJ28" s="342"/>
      <c r="BK28" s="342"/>
      <c r="BL28" s="342"/>
      <c r="BM28" s="342"/>
      <c r="BN28" s="342"/>
      <c r="BO28" s="342"/>
      <c r="BP28" s="342"/>
      <c r="BQ28" s="342"/>
      <c r="BR28" s="342"/>
      <c r="BS28" s="342"/>
      <c r="BT28" s="342"/>
      <c r="BU28" s="342"/>
      <c r="BV28" s="342"/>
      <c r="BW28" s="342"/>
      <c r="BX28" s="342"/>
      <c r="BY28" s="342"/>
      <c r="BZ28" s="342"/>
      <c r="CA28" s="342"/>
      <c r="CB28" s="342"/>
      <c r="CC28" s="342"/>
      <c r="CD28" s="342"/>
      <c r="CE28" s="342"/>
      <c r="CF28" s="342"/>
      <c r="CG28" s="342"/>
      <c r="CH28" s="342"/>
      <c r="CI28" s="342"/>
      <c r="CJ28" s="342"/>
      <c r="CK28" s="342"/>
      <c r="CL28" s="342"/>
      <c r="CM28" s="342"/>
      <c r="CN28" s="342"/>
      <c r="CO28" s="342"/>
      <c r="CP28" s="342"/>
      <c r="CQ28" s="342"/>
      <c r="CR28" s="342"/>
      <c r="CS28" s="342"/>
      <c r="CT28" s="342"/>
      <c r="CU28" s="342"/>
      <c r="CV28" s="342"/>
      <c r="CW28" s="342"/>
      <c r="CX28" s="342"/>
      <c r="CY28" s="342"/>
      <c r="CZ28" s="342"/>
      <c r="DA28" s="342"/>
      <c r="DB28" s="342"/>
      <c r="DC28" s="342"/>
      <c r="DD28" s="342"/>
      <c r="DE28" s="342"/>
      <c r="DF28" s="342"/>
      <c r="DG28" s="342"/>
      <c r="DH28" s="342"/>
      <c r="DI28" s="342"/>
      <c r="DJ28" s="342"/>
      <c r="DK28" s="342"/>
      <c r="DL28" s="342"/>
      <c r="DM28" s="342"/>
      <c r="DN28" s="342"/>
      <c r="DO28" s="342"/>
      <c r="DP28" s="342"/>
      <c r="DQ28" s="342"/>
      <c r="DR28" s="342"/>
      <c r="DS28" s="342"/>
      <c r="DT28" s="342"/>
      <c r="DU28" s="342"/>
      <c r="DV28" s="342"/>
      <c r="DW28" s="342"/>
      <c r="DX28" s="342"/>
      <c r="DY28" s="342"/>
      <c r="DZ28" s="342"/>
      <c r="EA28" s="342"/>
      <c r="EB28" s="342"/>
      <c r="EC28" s="342"/>
      <c r="ED28" s="342"/>
      <c r="EE28" s="342"/>
      <c r="EF28" s="342"/>
      <c r="EG28" s="342"/>
      <c r="EH28" s="342"/>
      <c r="EI28" s="342"/>
      <c r="EJ28" s="342"/>
      <c r="EK28" s="342"/>
      <c r="EL28" s="342"/>
      <c r="EM28" s="342"/>
      <c r="EN28" s="342"/>
      <c r="EO28" s="342"/>
      <c r="EP28" s="342"/>
      <c r="EQ28" s="342"/>
      <c r="ER28" s="342"/>
      <c r="ES28" s="342"/>
      <c r="ET28" s="342"/>
      <c r="EU28" s="342"/>
      <c r="EV28" s="342"/>
      <c r="EW28" s="342"/>
      <c r="EX28" s="342"/>
      <c r="EY28" s="342"/>
      <c r="EZ28" s="342"/>
      <c r="FA28" s="342"/>
      <c r="FB28" s="342"/>
      <c r="FC28" s="342"/>
      <c r="FD28" s="342"/>
      <c r="FE28" s="342"/>
      <c r="FF28" s="342"/>
      <c r="FG28" s="342"/>
      <c r="FH28" s="342"/>
      <c r="FI28" s="342"/>
      <c r="FJ28" s="342"/>
      <c r="FK28" s="342"/>
      <c r="FL28" s="342"/>
      <c r="FM28" s="342"/>
      <c r="FN28" s="342"/>
      <c r="FO28" s="342"/>
      <c r="FP28" s="342"/>
      <c r="FQ28" s="342"/>
      <c r="FR28" s="342"/>
      <c r="FS28" s="342"/>
      <c r="FT28" s="342"/>
      <c r="FU28" s="342"/>
      <c r="FV28" s="342"/>
      <c r="FW28" s="342"/>
      <c r="FX28" s="342"/>
      <c r="FY28" s="342"/>
      <c r="FZ28" s="342"/>
      <c r="GA28" s="342"/>
      <c r="GB28" s="342"/>
      <c r="GC28" s="342"/>
      <c r="GD28" s="342"/>
      <c r="GE28" s="342"/>
      <c r="GF28" s="342"/>
      <c r="GG28" s="342"/>
      <c r="GH28" s="342"/>
      <c r="GI28" s="342"/>
      <c r="GJ28" s="342"/>
      <c r="GK28" s="342"/>
      <c r="GL28" s="342"/>
      <c r="GM28" s="342"/>
      <c r="GN28" s="342"/>
      <c r="GO28" s="342"/>
      <c r="GP28" s="342"/>
      <c r="GQ28" s="342"/>
      <c r="GR28" s="342"/>
      <c r="GS28" s="342"/>
      <c r="GT28" s="342"/>
      <c r="GU28" s="342"/>
      <c r="GV28" s="342"/>
      <c r="GW28" s="342"/>
      <c r="GX28" s="342"/>
      <c r="GY28" s="342"/>
      <c r="GZ28" s="342"/>
      <c r="HA28" s="342"/>
      <c r="HB28" s="342"/>
      <c r="HC28" s="342"/>
      <c r="HD28" s="342"/>
      <c r="HE28" s="342"/>
      <c r="HF28" s="342"/>
      <c r="HG28" s="342"/>
      <c r="HH28" s="342"/>
      <c r="HI28" s="342"/>
      <c r="HJ28" s="342"/>
      <c r="HK28" s="342"/>
      <c r="HL28" s="342"/>
      <c r="HM28" s="342"/>
      <c r="HN28" s="342"/>
      <c r="HO28" s="342"/>
      <c r="HP28" s="342"/>
      <c r="HQ28" s="342"/>
      <c r="HR28" s="342"/>
      <c r="HS28" s="342"/>
      <c r="HT28" s="342"/>
      <c r="HU28" s="342"/>
      <c r="HV28" s="342"/>
      <c r="HW28" s="342"/>
      <c r="HX28" s="342"/>
      <c r="HY28" s="342"/>
      <c r="HZ28" s="342"/>
      <c r="IA28" s="342"/>
      <c r="IB28" s="342"/>
      <c r="IC28" s="342"/>
      <c r="ID28" s="342"/>
      <c r="IE28" s="342"/>
      <c r="IF28" s="342"/>
      <c r="IG28" s="342"/>
      <c r="IH28" s="342"/>
      <c r="II28" s="342"/>
      <c r="IJ28" s="342"/>
      <c r="IK28" s="342"/>
      <c r="IL28" s="342"/>
      <c r="IM28" s="342"/>
      <c r="IN28" s="342"/>
      <c r="IO28" s="342"/>
      <c r="IP28" s="342"/>
      <c r="IQ28" s="342"/>
      <c r="IR28" s="342"/>
      <c r="IS28" s="342"/>
      <c r="IT28" s="342"/>
      <c r="IU28" s="342"/>
      <c r="IV28" s="342"/>
      <c r="IW28" s="342"/>
    </row>
    <row r="29" customFormat="false" ht="12.6" hidden="false" customHeight="true" outlineLevel="0" collapsed="false">
      <c r="A29" s="367" t="s">
        <v>383</v>
      </c>
      <c r="B29" s="372"/>
      <c r="C29" s="373"/>
      <c r="D29" s="379" t="n">
        <f aca="false">D27+D28</f>
        <v>0</v>
      </c>
      <c r="E29" s="379" t="n">
        <f aca="false">IF((D29+E25+E27+E28)&lt;0,(D29+E25+E27+E28),E28)</f>
        <v>0</v>
      </c>
      <c r="F29" s="379" t="n">
        <f aca="false">IF((E29+F25+F27+F28)&lt;0,(E29+F25+F27+F28),F28)</f>
        <v>0</v>
      </c>
      <c r="G29" s="379" t="n">
        <f aca="false">IF((F29+G25+G27+G28)&lt;0,(F29+G25+G27+G28),G28)</f>
        <v>0</v>
      </c>
      <c r="H29" s="379" t="n">
        <f aca="false">IF((G29+H25+H27+H28)&lt;0,(G29+H25+H27+H28),H28)</f>
        <v>0</v>
      </c>
      <c r="I29" s="379" t="n">
        <f aca="false">IF((H29+I25+I27+I28)&lt;0,(H29+I25+I27+I28),I28)</f>
        <v>0</v>
      </c>
      <c r="J29" s="379" t="n">
        <f aca="false">IF((I29+J25+J27+J28)&lt;0,(I29+J25+J27+J28),J28)</f>
        <v>0</v>
      </c>
      <c r="K29" s="379" t="n">
        <f aca="false">IF((J29+K25+K27+K28)&lt;0,(J29+K25+K27+K28),K28)</f>
        <v>0</v>
      </c>
      <c r="L29" s="379" t="n">
        <f aca="false">IF((K29+L25+L27+L28)&lt;0,(K29+L25+L27+L28),L28)</f>
        <v>0</v>
      </c>
      <c r="M29" s="379" t="n">
        <f aca="false">IF((L29+M25+M27+M28)&lt;0,(L29+M25+M27+M28),M28)</f>
        <v>0</v>
      </c>
      <c r="N29" s="379" t="n">
        <f aca="false">IF((M29+N25+N27+N28)&lt;0,(M29+N25+N27+N28),N28)</f>
        <v>0</v>
      </c>
      <c r="O29" s="379" t="n">
        <f aca="false">IF((N29+O25+O27+O28)&lt;0,(N29+O25+O27+O28),O28)</f>
        <v>0</v>
      </c>
      <c r="P29" s="379" t="n">
        <f aca="false">IF((O29+P25+P27+P28)&lt;0,(O29+P25+P27+P28),P28)</f>
        <v>0</v>
      </c>
      <c r="Q29" s="379" t="n">
        <f aca="false">IF((P29+Q25+Q27+Q28)&lt;0,(P29+Q25+Q27+Q28),Q28)</f>
        <v>0</v>
      </c>
      <c r="R29" s="379" t="n">
        <f aca="false">IF((Q29+R25+R27+R28)&lt;0,(Q29+R25+R27+R28),R28)</f>
        <v>-341.472018156994</v>
      </c>
      <c r="S29" s="379" t="n">
        <f aca="false">IF((R29+S25+S27+S28)&lt;0,(R29+S25+S27+S28),S28)</f>
        <v>-21.3420011348121</v>
      </c>
      <c r="AE29" s="342"/>
      <c r="AF29" s="363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63"/>
      <c r="AV29" s="342"/>
      <c r="AW29" s="342"/>
      <c r="AX29" s="342"/>
      <c r="AY29" s="342"/>
      <c r="AZ29" s="342"/>
      <c r="BA29" s="342"/>
      <c r="BB29" s="342"/>
      <c r="BC29" s="342"/>
      <c r="BD29" s="342"/>
      <c r="BE29" s="342"/>
      <c r="BF29" s="342"/>
      <c r="BG29" s="342"/>
      <c r="BH29" s="342"/>
      <c r="BI29" s="342"/>
      <c r="BJ29" s="342"/>
      <c r="BK29" s="342"/>
      <c r="BL29" s="342"/>
      <c r="BM29" s="342"/>
      <c r="BN29" s="342"/>
      <c r="BO29" s="342"/>
      <c r="BP29" s="342"/>
      <c r="BQ29" s="342"/>
      <c r="BR29" s="342"/>
      <c r="BS29" s="342"/>
      <c r="BT29" s="342"/>
      <c r="BU29" s="342"/>
      <c r="BV29" s="342"/>
      <c r="BW29" s="342"/>
      <c r="BX29" s="342"/>
      <c r="BY29" s="342"/>
      <c r="BZ29" s="342"/>
      <c r="CA29" s="342"/>
      <c r="CB29" s="342"/>
      <c r="CC29" s="342"/>
      <c r="CD29" s="342"/>
      <c r="CE29" s="342"/>
      <c r="CF29" s="342"/>
      <c r="CG29" s="342"/>
      <c r="CH29" s="342"/>
      <c r="CI29" s="342"/>
      <c r="CJ29" s="342"/>
      <c r="CK29" s="342"/>
      <c r="CL29" s="342"/>
      <c r="CM29" s="342"/>
      <c r="CN29" s="342"/>
      <c r="CO29" s="342"/>
      <c r="CP29" s="342"/>
      <c r="CQ29" s="342"/>
      <c r="CR29" s="342"/>
      <c r="CS29" s="342"/>
      <c r="CT29" s="342"/>
      <c r="CU29" s="342"/>
      <c r="CV29" s="342"/>
      <c r="CW29" s="342"/>
      <c r="CX29" s="342"/>
      <c r="CY29" s="342"/>
      <c r="CZ29" s="342"/>
      <c r="DA29" s="342"/>
      <c r="DB29" s="342"/>
      <c r="DC29" s="342"/>
      <c r="DD29" s="342"/>
      <c r="DE29" s="342"/>
      <c r="DF29" s="342"/>
      <c r="DG29" s="342"/>
      <c r="DH29" s="342"/>
      <c r="DI29" s="342"/>
      <c r="DJ29" s="342"/>
      <c r="DK29" s="342"/>
      <c r="DL29" s="342"/>
      <c r="DM29" s="342"/>
      <c r="DN29" s="342"/>
      <c r="DO29" s="342"/>
      <c r="DP29" s="342"/>
      <c r="DQ29" s="342"/>
      <c r="DR29" s="342"/>
      <c r="DS29" s="342"/>
      <c r="DT29" s="342"/>
      <c r="DU29" s="342"/>
      <c r="DV29" s="342"/>
      <c r="DW29" s="342"/>
      <c r="DX29" s="342"/>
      <c r="DY29" s="342"/>
      <c r="DZ29" s="342"/>
      <c r="EA29" s="342"/>
      <c r="EB29" s="342"/>
      <c r="EC29" s="342"/>
      <c r="ED29" s="342"/>
      <c r="EE29" s="342"/>
      <c r="EF29" s="342"/>
      <c r="EG29" s="342"/>
      <c r="EH29" s="342"/>
      <c r="EI29" s="342"/>
      <c r="EJ29" s="342"/>
      <c r="EK29" s="342"/>
      <c r="EL29" s="342"/>
      <c r="EM29" s="342"/>
      <c r="EN29" s="342"/>
      <c r="EO29" s="342"/>
      <c r="EP29" s="342"/>
      <c r="EQ29" s="342"/>
      <c r="ER29" s="342"/>
      <c r="ES29" s="342"/>
      <c r="ET29" s="342"/>
      <c r="EU29" s="342"/>
      <c r="EV29" s="342"/>
      <c r="EW29" s="342"/>
      <c r="EX29" s="342"/>
      <c r="EY29" s="342"/>
      <c r="EZ29" s="342"/>
      <c r="FA29" s="342"/>
      <c r="FB29" s="342"/>
      <c r="FC29" s="342"/>
      <c r="FD29" s="342"/>
      <c r="FE29" s="342"/>
      <c r="FF29" s="342"/>
      <c r="FG29" s="342"/>
      <c r="FH29" s="342"/>
      <c r="FI29" s="342"/>
      <c r="FJ29" s="342"/>
      <c r="FK29" s="342"/>
      <c r="FL29" s="342"/>
      <c r="FM29" s="342"/>
      <c r="FN29" s="342"/>
      <c r="FO29" s="342"/>
      <c r="FP29" s="342"/>
      <c r="FQ29" s="342"/>
      <c r="FR29" s="342"/>
      <c r="FS29" s="342"/>
      <c r="FT29" s="342"/>
      <c r="FU29" s="342"/>
      <c r="FV29" s="342"/>
      <c r="FW29" s="342"/>
      <c r="FX29" s="342"/>
      <c r="FY29" s="342"/>
      <c r="FZ29" s="342"/>
      <c r="GA29" s="342"/>
      <c r="GB29" s="342"/>
      <c r="GC29" s="342"/>
      <c r="GD29" s="342"/>
      <c r="GE29" s="342"/>
      <c r="GF29" s="342"/>
      <c r="GG29" s="342"/>
      <c r="GH29" s="342"/>
      <c r="GI29" s="342"/>
      <c r="GJ29" s="342"/>
      <c r="GK29" s="342"/>
      <c r="GL29" s="342"/>
      <c r="GM29" s="342"/>
      <c r="GN29" s="342"/>
      <c r="GO29" s="342"/>
      <c r="GP29" s="342"/>
      <c r="GQ29" s="342"/>
      <c r="GR29" s="342"/>
      <c r="GS29" s="342"/>
      <c r="GT29" s="342"/>
      <c r="GU29" s="342"/>
      <c r="GV29" s="342"/>
      <c r="GW29" s="342"/>
      <c r="GX29" s="342"/>
      <c r="GY29" s="342"/>
      <c r="GZ29" s="342"/>
      <c r="HA29" s="342"/>
      <c r="HB29" s="342"/>
      <c r="HC29" s="342"/>
      <c r="HD29" s="342"/>
      <c r="HE29" s="342"/>
      <c r="HF29" s="342"/>
      <c r="HG29" s="342"/>
      <c r="HH29" s="342"/>
      <c r="HI29" s="342"/>
      <c r="HJ29" s="342"/>
      <c r="HK29" s="342"/>
      <c r="HL29" s="342"/>
      <c r="HM29" s="342"/>
      <c r="HN29" s="342"/>
      <c r="HO29" s="342"/>
      <c r="HP29" s="342"/>
      <c r="HQ29" s="342"/>
      <c r="HR29" s="342"/>
      <c r="HS29" s="342"/>
      <c r="HT29" s="342"/>
      <c r="HU29" s="342"/>
      <c r="HV29" s="342"/>
      <c r="HW29" s="342"/>
      <c r="HX29" s="342"/>
      <c r="HY29" s="342"/>
      <c r="HZ29" s="342"/>
      <c r="IA29" s="342"/>
      <c r="IB29" s="342"/>
      <c r="IC29" s="342"/>
      <c r="ID29" s="342"/>
      <c r="IE29" s="342"/>
      <c r="IF29" s="342"/>
      <c r="IG29" s="342"/>
      <c r="IH29" s="342"/>
      <c r="II29" s="342"/>
      <c r="IJ29" s="342"/>
      <c r="IK29" s="342"/>
      <c r="IL29" s="342"/>
      <c r="IM29" s="342"/>
      <c r="IN29" s="342"/>
      <c r="IO29" s="342"/>
      <c r="IP29" s="342"/>
      <c r="IQ29" s="342"/>
      <c r="IR29" s="342"/>
      <c r="IS29" s="342"/>
      <c r="IT29" s="342"/>
      <c r="IU29" s="342"/>
      <c r="IV29" s="342"/>
      <c r="IW29" s="342"/>
    </row>
    <row r="30" customFormat="false" ht="12.6" hidden="false" customHeight="true" outlineLevel="0" collapsed="false">
      <c r="A30" s="380"/>
      <c r="B30" s="372"/>
      <c r="C30" s="373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AE30" s="342"/>
      <c r="AF30" s="363"/>
      <c r="AG30" s="342"/>
      <c r="AH30" s="342"/>
      <c r="AI30" s="342"/>
      <c r="AJ30" s="342"/>
      <c r="AK30" s="342"/>
      <c r="AL30" s="342"/>
      <c r="AM30" s="342"/>
      <c r="AN30" s="342"/>
      <c r="AO30" s="342"/>
      <c r="AP30" s="342"/>
      <c r="AQ30" s="342"/>
      <c r="AR30" s="342"/>
      <c r="AS30" s="342"/>
      <c r="AT30" s="342"/>
      <c r="AU30" s="363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  <c r="BI30" s="342"/>
      <c r="BJ30" s="342"/>
      <c r="BK30" s="342"/>
      <c r="BL30" s="342"/>
      <c r="BM30" s="342"/>
      <c r="BN30" s="342"/>
      <c r="BO30" s="342"/>
      <c r="BP30" s="342"/>
      <c r="BQ30" s="342"/>
      <c r="BR30" s="342"/>
      <c r="BS30" s="342"/>
      <c r="BT30" s="342"/>
      <c r="BU30" s="342"/>
      <c r="BV30" s="342"/>
      <c r="BW30" s="342"/>
      <c r="BX30" s="342"/>
      <c r="BY30" s="342"/>
      <c r="BZ30" s="342"/>
      <c r="CA30" s="342"/>
      <c r="CB30" s="342"/>
      <c r="CC30" s="342"/>
      <c r="CD30" s="342"/>
      <c r="CE30" s="342"/>
      <c r="CF30" s="342"/>
      <c r="CG30" s="342"/>
      <c r="CH30" s="342"/>
      <c r="CI30" s="342"/>
      <c r="CJ30" s="342"/>
      <c r="CK30" s="342"/>
      <c r="CL30" s="342"/>
      <c r="CM30" s="342"/>
      <c r="CN30" s="342"/>
      <c r="CO30" s="342"/>
      <c r="CP30" s="342"/>
      <c r="CQ30" s="342"/>
      <c r="CR30" s="342"/>
      <c r="CS30" s="342"/>
      <c r="CT30" s="342"/>
      <c r="CU30" s="342"/>
      <c r="CV30" s="342"/>
      <c r="CW30" s="342"/>
      <c r="CX30" s="342"/>
      <c r="CY30" s="342"/>
      <c r="CZ30" s="342"/>
      <c r="DA30" s="342"/>
      <c r="DB30" s="342"/>
      <c r="DC30" s="342"/>
      <c r="DD30" s="342"/>
      <c r="DE30" s="342"/>
      <c r="DF30" s="342"/>
      <c r="DG30" s="342"/>
      <c r="DH30" s="342"/>
      <c r="DI30" s="342"/>
      <c r="DJ30" s="342"/>
      <c r="DK30" s="342"/>
      <c r="DL30" s="342"/>
      <c r="DM30" s="342"/>
      <c r="DN30" s="342"/>
      <c r="DO30" s="342"/>
      <c r="DP30" s="342"/>
      <c r="DQ30" s="342"/>
      <c r="DR30" s="342"/>
      <c r="DS30" s="342"/>
      <c r="DT30" s="342"/>
      <c r="DU30" s="342"/>
      <c r="DV30" s="342"/>
      <c r="DW30" s="342"/>
      <c r="DX30" s="342"/>
      <c r="DY30" s="342"/>
      <c r="DZ30" s="342"/>
      <c r="EA30" s="342"/>
      <c r="EB30" s="342"/>
      <c r="EC30" s="342"/>
      <c r="ED30" s="342"/>
      <c r="EE30" s="342"/>
      <c r="EF30" s="342"/>
      <c r="EG30" s="342"/>
      <c r="EH30" s="342"/>
      <c r="EI30" s="342"/>
      <c r="EJ30" s="342"/>
      <c r="EK30" s="342"/>
      <c r="EL30" s="342"/>
      <c r="EM30" s="342"/>
      <c r="EN30" s="342"/>
      <c r="EO30" s="342"/>
      <c r="EP30" s="342"/>
      <c r="EQ30" s="342"/>
      <c r="ER30" s="342"/>
      <c r="ES30" s="342"/>
      <c r="ET30" s="342"/>
      <c r="EU30" s="342"/>
      <c r="EV30" s="342"/>
      <c r="EW30" s="342"/>
      <c r="EX30" s="342"/>
      <c r="EY30" s="342"/>
      <c r="EZ30" s="342"/>
      <c r="FA30" s="342"/>
      <c r="FB30" s="342"/>
      <c r="FC30" s="342"/>
      <c r="FD30" s="342"/>
      <c r="FE30" s="342"/>
      <c r="FF30" s="342"/>
      <c r="FG30" s="342"/>
      <c r="FH30" s="342"/>
      <c r="FI30" s="342"/>
      <c r="FJ30" s="342"/>
      <c r="FK30" s="342"/>
      <c r="FL30" s="342"/>
      <c r="FM30" s="342"/>
      <c r="FN30" s="342"/>
      <c r="FO30" s="342"/>
      <c r="FP30" s="342"/>
      <c r="FQ30" s="342"/>
      <c r="FR30" s="342"/>
      <c r="FS30" s="342"/>
      <c r="FT30" s="342"/>
      <c r="FU30" s="342"/>
      <c r="FV30" s="342"/>
      <c r="FW30" s="342"/>
      <c r="FX30" s="342"/>
      <c r="FY30" s="342"/>
      <c r="FZ30" s="342"/>
      <c r="GA30" s="342"/>
      <c r="GB30" s="342"/>
      <c r="GC30" s="342"/>
      <c r="GD30" s="342"/>
      <c r="GE30" s="342"/>
      <c r="GF30" s="342"/>
      <c r="GG30" s="342"/>
      <c r="GH30" s="342"/>
      <c r="GI30" s="342"/>
      <c r="GJ30" s="342"/>
      <c r="GK30" s="342"/>
      <c r="GL30" s="342"/>
      <c r="GM30" s="342"/>
      <c r="GN30" s="342"/>
      <c r="GO30" s="342"/>
      <c r="GP30" s="342"/>
      <c r="GQ30" s="342"/>
      <c r="GR30" s="342"/>
      <c r="GS30" s="342"/>
      <c r="GT30" s="342"/>
      <c r="GU30" s="342"/>
      <c r="GV30" s="342"/>
      <c r="GW30" s="342"/>
      <c r="GX30" s="342"/>
      <c r="GY30" s="342"/>
      <c r="GZ30" s="342"/>
      <c r="HA30" s="342"/>
      <c r="HB30" s="342"/>
      <c r="HC30" s="342"/>
      <c r="HD30" s="342"/>
      <c r="HE30" s="342"/>
      <c r="HF30" s="342"/>
      <c r="HG30" s="342"/>
      <c r="HH30" s="342"/>
      <c r="HI30" s="342"/>
      <c r="HJ30" s="342"/>
      <c r="HK30" s="342"/>
      <c r="HL30" s="342"/>
      <c r="HM30" s="342"/>
      <c r="HN30" s="342"/>
      <c r="HO30" s="342"/>
      <c r="HP30" s="342"/>
      <c r="HQ30" s="342"/>
      <c r="HR30" s="342"/>
      <c r="HS30" s="342"/>
      <c r="HT30" s="342"/>
      <c r="HU30" s="342"/>
      <c r="HV30" s="342"/>
      <c r="HW30" s="342"/>
      <c r="HX30" s="342"/>
      <c r="HY30" s="342"/>
      <c r="HZ30" s="342"/>
      <c r="IA30" s="342"/>
      <c r="IB30" s="342"/>
      <c r="IC30" s="342"/>
      <c r="ID30" s="342"/>
      <c r="IE30" s="342"/>
      <c r="IF30" s="342"/>
      <c r="IG30" s="342"/>
      <c r="IH30" s="342"/>
      <c r="II30" s="342"/>
      <c r="IJ30" s="342"/>
      <c r="IK30" s="342"/>
      <c r="IL30" s="342"/>
      <c r="IM30" s="342"/>
      <c r="IN30" s="342"/>
      <c r="IO30" s="342"/>
      <c r="IP30" s="342"/>
      <c r="IQ30" s="342"/>
      <c r="IR30" s="342"/>
      <c r="IS30" s="342"/>
      <c r="IT30" s="342"/>
      <c r="IU30" s="342"/>
      <c r="IV30" s="342"/>
      <c r="IW30" s="342"/>
    </row>
    <row r="31" customFormat="false" ht="12.6" hidden="false" customHeight="true" outlineLevel="0" collapsed="false">
      <c r="A31" s="367" t="s">
        <v>384</v>
      </c>
      <c r="B31" s="372"/>
      <c r="C31" s="373"/>
      <c r="D31" s="381" t="n">
        <f aca="false">IF(AND(D22&lt;0,D29&lt;0),0,C29+D25+D27+D28)</f>
        <v>419.967506768585</v>
      </c>
      <c r="E31" s="381" t="n">
        <f aca="false">IF(AND(E22&lt;0,E29&lt;0),0,D29+E25+E27+E28)</f>
        <v>1094.20940692427</v>
      </c>
      <c r="F31" s="381" t="n">
        <f aca="false">IF(AND(F22&lt;0,F29&lt;0),0,E29+F25+F27+F28)</f>
        <v>591.063933208354</v>
      </c>
      <c r="G31" s="381" t="n">
        <f aca="false">IF(AND(G22&lt;0,G29&lt;0),0,F29+G25+G27+G28)</f>
        <v>586.264225872144</v>
      </c>
      <c r="H31" s="381" t="n">
        <f aca="false">IF(AND(H22&lt;0,H29&lt;0),0,G29+H25+H27+H28)</f>
        <v>542.436190160543</v>
      </c>
      <c r="I31" s="381" t="n">
        <f aca="false">IF(AND(I22&lt;0,I29&lt;0),0,H29+I25+I27+I28)</f>
        <v>541.419763357988</v>
      </c>
      <c r="J31" s="381" t="n">
        <f aca="false">IF(AND(J22&lt;0,J29&lt;0),0,I29+J25+J27+J28)</f>
        <v>538.189825401076</v>
      </c>
      <c r="K31" s="381" t="n">
        <f aca="false">IF(AND(K22&lt;0,K29&lt;0),0,J29+K25+K27+K28)</f>
        <v>501.934709102088</v>
      </c>
      <c r="L31" s="381" t="n">
        <f aca="false">IF(AND(L22&lt;0,L29&lt;0),0,K29+L25+L27+L28)</f>
        <v>503.073326243715</v>
      </c>
      <c r="M31" s="381" t="n">
        <f aca="false">IF(AND(M22&lt;0,M29&lt;0),0,L29+M25+M27+M28)</f>
        <v>503.153720428165</v>
      </c>
      <c r="N31" s="381" t="n">
        <f aca="false">IF(AND(N22&lt;0,N29&lt;0),0,M29+N25+N27+N28)</f>
        <v>503.327722096314</v>
      </c>
      <c r="O31" s="381" t="n">
        <f aca="false">IF(AND(O22&lt;0,O29&lt;0),0,N29+O25+O27+O28)</f>
        <v>503.022205897822</v>
      </c>
      <c r="P31" s="381" t="n">
        <f aca="false">IF(AND(P22&lt;0,P29&lt;0),0,O29+P25+P27+P28)</f>
        <v>503.389076425365</v>
      </c>
      <c r="Q31" s="381" t="n">
        <f aca="false">IF(AND(Q22&lt;0,Q29&lt;0),0,P29+Q25+Q27+Q28)</f>
        <v>503.855283963443</v>
      </c>
      <c r="R31" s="381" t="n">
        <f aca="false">IF(AND(R22&lt;0,R29&lt;0),0,Q29+R25+R27+R28)</f>
        <v>0</v>
      </c>
      <c r="S31" s="381" t="n">
        <f aca="false">IF(AND(S22&lt;0,S29&lt;0),0,R29+S25+S27+S28)</f>
        <v>6246.33804176695</v>
      </c>
      <c r="AE31" s="342"/>
      <c r="AF31" s="363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63"/>
      <c r="AV31" s="342"/>
      <c r="AW31" s="342"/>
      <c r="AX31" s="342"/>
      <c r="AY31" s="342"/>
      <c r="AZ31" s="342"/>
      <c r="BA31" s="342"/>
      <c r="BB31" s="342"/>
      <c r="BC31" s="342"/>
      <c r="BD31" s="342"/>
      <c r="BE31" s="342"/>
      <c r="BF31" s="342"/>
      <c r="BG31" s="342"/>
      <c r="BH31" s="342"/>
      <c r="BI31" s="342"/>
      <c r="BJ31" s="342"/>
      <c r="BK31" s="342"/>
      <c r="BL31" s="342"/>
      <c r="BM31" s="342"/>
      <c r="BN31" s="342"/>
      <c r="BO31" s="342"/>
      <c r="BP31" s="342"/>
      <c r="BQ31" s="342"/>
      <c r="BR31" s="342"/>
      <c r="BS31" s="342"/>
      <c r="BT31" s="342"/>
      <c r="BU31" s="342"/>
      <c r="BV31" s="342"/>
      <c r="BW31" s="342"/>
      <c r="BX31" s="342"/>
      <c r="BY31" s="342"/>
      <c r="BZ31" s="342"/>
      <c r="CA31" s="342"/>
      <c r="CB31" s="342"/>
      <c r="CC31" s="342"/>
      <c r="CD31" s="342"/>
      <c r="CE31" s="342"/>
      <c r="CF31" s="342"/>
      <c r="CG31" s="342"/>
      <c r="CH31" s="342"/>
      <c r="CI31" s="342"/>
      <c r="CJ31" s="342"/>
      <c r="CK31" s="342"/>
      <c r="CL31" s="342"/>
      <c r="CM31" s="342"/>
      <c r="CN31" s="342"/>
      <c r="CO31" s="342"/>
      <c r="CP31" s="342"/>
      <c r="CQ31" s="342"/>
      <c r="CR31" s="342"/>
      <c r="CS31" s="342"/>
      <c r="CT31" s="342"/>
      <c r="CU31" s="342"/>
      <c r="CV31" s="342"/>
      <c r="CW31" s="342"/>
      <c r="CX31" s="342"/>
      <c r="CY31" s="342"/>
      <c r="CZ31" s="342"/>
      <c r="DA31" s="342"/>
      <c r="DB31" s="342"/>
      <c r="DC31" s="342"/>
      <c r="DD31" s="342"/>
      <c r="DE31" s="342"/>
      <c r="DF31" s="342"/>
      <c r="DG31" s="342"/>
      <c r="DH31" s="342"/>
      <c r="DI31" s="342"/>
      <c r="DJ31" s="342"/>
      <c r="DK31" s="342"/>
      <c r="DL31" s="342"/>
      <c r="DM31" s="342"/>
      <c r="DN31" s="342"/>
      <c r="DO31" s="342"/>
      <c r="DP31" s="342"/>
      <c r="DQ31" s="342"/>
      <c r="DR31" s="342"/>
      <c r="DS31" s="342"/>
      <c r="DT31" s="342"/>
      <c r="DU31" s="342"/>
      <c r="DV31" s="342"/>
      <c r="DW31" s="342"/>
      <c r="DX31" s="342"/>
      <c r="DY31" s="342"/>
      <c r="DZ31" s="342"/>
      <c r="EA31" s="342"/>
      <c r="EB31" s="342"/>
      <c r="EC31" s="342"/>
      <c r="ED31" s="342"/>
      <c r="EE31" s="342"/>
      <c r="EF31" s="342"/>
      <c r="EG31" s="342"/>
      <c r="EH31" s="342"/>
      <c r="EI31" s="342"/>
      <c r="EJ31" s="342"/>
      <c r="EK31" s="342"/>
      <c r="EL31" s="342"/>
      <c r="EM31" s="342"/>
      <c r="EN31" s="342"/>
      <c r="EO31" s="342"/>
      <c r="EP31" s="342"/>
      <c r="EQ31" s="342"/>
      <c r="ER31" s="342"/>
      <c r="ES31" s="342"/>
      <c r="ET31" s="342"/>
      <c r="EU31" s="342"/>
      <c r="EV31" s="342"/>
      <c r="EW31" s="342"/>
      <c r="EX31" s="342"/>
      <c r="EY31" s="342"/>
      <c r="EZ31" s="342"/>
      <c r="FA31" s="342"/>
      <c r="FB31" s="342"/>
      <c r="FC31" s="342"/>
      <c r="FD31" s="342"/>
      <c r="FE31" s="342"/>
      <c r="FF31" s="342"/>
      <c r="FG31" s="342"/>
      <c r="FH31" s="342"/>
      <c r="FI31" s="342"/>
      <c r="FJ31" s="342"/>
      <c r="FK31" s="342"/>
      <c r="FL31" s="342"/>
      <c r="FM31" s="342"/>
      <c r="FN31" s="342"/>
      <c r="FO31" s="342"/>
      <c r="FP31" s="342"/>
      <c r="FQ31" s="342"/>
      <c r="FR31" s="342"/>
      <c r="FS31" s="342"/>
      <c r="FT31" s="342"/>
      <c r="FU31" s="342"/>
      <c r="FV31" s="342"/>
      <c r="FW31" s="342"/>
      <c r="FX31" s="342"/>
      <c r="FY31" s="342"/>
      <c r="FZ31" s="342"/>
      <c r="GA31" s="342"/>
      <c r="GB31" s="342"/>
      <c r="GC31" s="342"/>
      <c r="GD31" s="342"/>
      <c r="GE31" s="342"/>
      <c r="GF31" s="342"/>
      <c r="GG31" s="342"/>
      <c r="GH31" s="342"/>
      <c r="GI31" s="342"/>
      <c r="GJ31" s="342"/>
      <c r="GK31" s="342"/>
      <c r="GL31" s="342"/>
      <c r="GM31" s="342"/>
      <c r="GN31" s="342"/>
      <c r="GO31" s="342"/>
      <c r="GP31" s="342"/>
      <c r="GQ31" s="342"/>
      <c r="GR31" s="342"/>
      <c r="GS31" s="342"/>
      <c r="GT31" s="342"/>
      <c r="GU31" s="342"/>
      <c r="GV31" s="342"/>
      <c r="GW31" s="342"/>
      <c r="GX31" s="342"/>
      <c r="GY31" s="342"/>
      <c r="GZ31" s="342"/>
      <c r="HA31" s="342"/>
      <c r="HB31" s="342"/>
      <c r="HC31" s="342"/>
      <c r="HD31" s="342"/>
      <c r="HE31" s="342"/>
      <c r="HF31" s="342"/>
      <c r="HG31" s="342"/>
      <c r="HH31" s="342"/>
      <c r="HI31" s="342"/>
      <c r="HJ31" s="342"/>
      <c r="HK31" s="342"/>
      <c r="HL31" s="342"/>
      <c r="HM31" s="342"/>
      <c r="HN31" s="342"/>
      <c r="HO31" s="342"/>
      <c r="HP31" s="342"/>
      <c r="HQ31" s="342"/>
      <c r="HR31" s="342"/>
      <c r="HS31" s="342"/>
      <c r="HT31" s="342"/>
      <c r="HU31" s="342"/>
      <c r="HV31" s="342"/>
      <c r="HW31" s="342"/>
      <c r="HX31" s="342"/>
      <c r="HY31" s="342"/>
      <c r="HZ31" s="342"/>
      <c r="IA31" s="342"/>
      <c r="IB31" s="342"/>
      <c r="IC31" s="342"/>
      <c r="ID31" s="342"/>
      <c r="IE31" s="342"/>
      <c r="IF31" s="342"/>
      <c r="IG31" s="342"/>
      <c r="IH31" s="342"/>
      <c r="II31" s="342"/>
      <c r="IJ31" s="342"/>
      <c r="IK31" s="342"/>
      <c r="IL31" s="342"/>
      <c r="IM31" s="342"/>
      <c r="IN31" s="342"/>
      <c r="IO31" s="342"/>
      <c r="IP31" s="342"/>
      <c r="IQ31" s="342"/>
      <c r="IR31" s="342"/>
      <c r="IS31" s="342"/>
      <c r="IT31" s="342"/>
      <c r="IU31" s="342"/>
      <c r="IV31" s="342"/>
      <c r="IW31" s="342"/>
    </row>
    <row r="32" customFormat="false" ht="12.6" hidden="false" customHeight="true" outlineLevel="0" collapsed="false">
      <c r="A32" s="382"/>
      <c r="B32" s="342"/>
      <c r="C32" s="383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AE32" s="342"/>
      <c r="AF32" s="363"/>
      <c r="AG32" s="342"/>
      <c r="AH32" s="342"/>
      <c r="AI32" s="342"/>
      <c r="AJ32" s="342"/>
      <c r="AK32" s="342"/>
      <c r="AL32" s="342"/>
      <c r="AM32" s="342"/>
      <c r="AN32" s="342"/>
      <c r="AO32" s="342"/>
      <c r="AP32" s="342"/>
      <c r="AQ32" s="342"/>
      <c r="AR32" s="342"/>
      <c r="AS32" s="342"/>
      <c r="AT32" s="342"/>
      <c r="AU32" s="363"/>
      <c r="AV32" s="342"/>
      <c r="AW32" s="342"/>
      <c r="AX32" s="342"/>
      <c r="AY32" s="342"/>
      <c r="AZ32" s="342"/>
      <c r="BA32" s="342"/>
      <c r="BB32" s="342"/>
      <c r="BC32" s="342"/>
      <c r="BD32" s="342"/>
      <c r="BE32" s="342"/>
      <c r="BF32" s="342"/>
      <c r="BG32" s="342"/>
      <c r="BH32" s="342"/>
      <c r="BI32" s="342"/>
      <c r="BJ32" s="342"/>
      <c r="BK32" s="342"/>
      <c r="BL32" s="342"/>
      <c r="BM32" s="342"/>
      <c r="BN32" s="342"/>
      <c r="BO32" s="342"/>
      <c r="BP32" s="342"/>
      <c r="BQ32" s="342"/>
      <c r="BR32" s="342"/>
      <c r="BS32" s="342"/>
      <c r="BT32" s="342"/>
      <c r="BU32" s="342"/>
      <c r="BV32" s="342"/>
      <c r="BW32" s="342"/>
      <c r="BX32" s="342"/>
      <c r="BY32" s="342"/>
      <c r="BZ32" s="342"/>
      <c r="CA32" s="342"/>
      <c r="CB32" s="342"/>
      <c r="CC32" s="342"/>
      <c r="CD32" s="342"/>
      <c r="CE32" s="342"/>
      <c r="CF32" s="342"/>
      <c r="CG32" s="342"/>
      <c r="CH32" s="342"/>
      <c r="CI32" s="342"/>
      <c r="CJ32" s="342"/>
      <c r="CK32" s="342"/>
      <c r="CL32" s="342"/>
      <c r="CM32" s="342"/>
      <c r="CN32" s="342"/>
      <c r="CO32" s="342"/>
      <c r="CP32" s="342"/>
      <c r="CQ32" s="342"/>
      <c r="CR32" s="342"/>
      <c r="CS32" s="342"/>
      <c r="CT32" s="342"/>
      <c r="CU32" s="342"/>
      <c r="CV32" s="342"/>
      <c r="CW32" s="342"/>
      <c r="CX32" s="342"/>
      <c r="CY32" s="342"/>
      <c r="CZ32" s="342"/>
      <c r="DA32" s="342"/>
      <c r="DB32" s="342"/>
      <c r="DC32" s="342"/>
      <c r="DD32" s="342"/>
      <c r="DE32" s="342"/>
      <c r="DF32" s="342"/>
      <c r="DG32" s="342"/>
      <c r="DH32" s="342"/>
      <c r="DI32" s="342"/>
      <c r="DJ32" s="342"/>
      <c r="DK32" s="342"/>
      <c r="DL32" s="342"/>
      <c r="DM32" s="342"/>
      <c r="DN32" s="342"/>
      <c r="DO32" s="342"/>
      <c r="DP32" s="342"/>
      <c r="DQ32" s="342"/>
      <c r="DR32" s="342"/>
      <c r="DS32" s="342"/>
      <c r="DT32" s="342"/>
      <c r="DU32" s="342"/>
      <c r="DV32" s="342"/>
      <c r="DW32" s="342"/>
      <c r="DX32" s="342"/>
      <c r="DY32" s="342"/>
      <c r="DZ32" s="342"/>
      <c r="EA32" s="342"/>
      <c r="EB32" s="342"/>
      <c r="EC32" s="342"/>
      <c r="ED32" s="342"/>
      <c r="EE32" s="342"/>
      <c r="EF32" s="342"/>
      <c r="EG32" s="342"/>
      <c r="EH32" s="342"/>
      <c r="EI32" s="342"/>
      <c r="EJ32" s="342"/>
      <c r="EK32" s="342"/>
      <c r="EL32" s="342"/>
      <c r="EM32" s="342"/>
      <c r="EN32" s="342"/>
      <c r="EO32" s="342"/>
      <c r="EP32" s="342"/>
      <c r="EQ32" s="342"/>
      <c r="ER32" s="342"/>
      <c r="ES32" s="342"/>
      <c r="ET32" s="342"/>
      <c r="EU32" s="342"/>
      <c r="EV32" s="342"/>
      <c r="EW32" s="342"/>
      <c r="EX32" s="342"/>
      <c r="EY32" s="342"/>
      <c r="EZ32" s="342"/>
      <c r="FA32" s="342"/>
      <c r="FB32" s="342"/>
      <c r="FC32" s="342"/>
      <c r="FD32" s="342"/>
      <c r="FE32" s="342"/>
      <c r="FF32" s="342"/>
      <c r="FG32" s="342"/>
      <c r="FH32" s="342"/>
      <c r="FI32" s="342"/>
      <c r="FJ32" s="342"/>
      <c r="FK32" s="342"/>
      <c r="FL32" s="342"/>
      <c r="FM32" s="342"/>
      <c r="FN32" s="342"/>
      <c r="FO32" s="342"/>
      <c r="FP32" s="342"/>
      <c r="FQ32" s="342"/>
      <c r="FR32" s="342"/>
      <c r="FS32" s="342"/>
      <c r="FT32" s="342"/>
      <c r="FU32" s="342"/>
      <c r="FV32" s="342"/>
      <c r="FW32" s="342"/>
      <c r="FX32" s="342"/>
      <c r="FY32" s="342"/>
      <c r="FZ32" s="342"/>
      <c r="GA32" s="342"/>
      <c r="GB32" s="342"/>
      <c r="GC32" s="342"/>
      <c r="GD32" s="342"/>
      <c r="GE32" s="342"/>
      <c r="GF32" s="342"/>
      <c r="GG32" s="342"/>
      <c r="GH32" s="342"/>
      <c r="GI32" s="342"/>
      <c r="GJ32" s="342"/>
      <c r="GK32" s="342"/>
      <c r="GL32" s="342"/>
      <c r="GM32" s="342"/>
      <c r="GN32" s="342"/>
      <c r="GO32" s="342"/>
      <c r="GP32" s="342"/>
      <c r="GQ32" s="342"/>
      <c r="GR32" s="342"/>
      <c r="GS32" s="342"/>
      <c r="GT32" s="342"/>
      <c r="GU32" s="342"/>
      <c r="GV32" s="342"/>
      <c r="GW32" s="342"/>
      <c r="GX32" s="342"/>
      <c r="GY32" s="342"/>
      <c r="GZ32" s="342"/>
      <c r="HA32" s="342"/>
      <c r="HB32" s="342"/>
      <c r="HC32" s="342"/>
      <c r="HD32" s="342"/>
      <c r="HE32" s="342"/>
      <c r="HF32" s="342"/>
      <c r="HG32" s="342"/>
      <c r="HH32" s="342"/>
      <c r="HI32" s="342"/>
      <c r="HJ32" s="342"/>
      <c r="HK32" s="342"/>
      <c r="HL32" s="342"/>
      <c r="HM32" s="342"/>
      <c r="HN32" s="342"/>
      <c r="HO32" s="342"/>
      <c r="HP32" s="342"/>
      <c r="HQ32" s="342"/>
      <c r="HR32" s="342"/>
      <c r="HS32" s="342"/>
      <c r="HT32" s="342"/>
      <c r="HU32" s="342"/>
      <c r="HV32" s="342"/>
      <c r="HW32" s="342"/>
      <c r="HX32" s="342"/>
      <c r="HY32" s="342"/>
      <c r="HZ32" s="342"/>
      <c r="IA32" s="342"/>
      <c r="IB32" s="342"/>
      <c r="IC32" s="342"/>
      <c r="ID32" s="342"/>
      <c r="IE32" s="342"/>
      <c r="IF32" s="342"/>
      <c r="IG32" s="342"/>
      <c r="IH32" s="342"/>
      <c r="II32" s="342"/>
      <c r="IJ32" s="342"/>
      <c r="IK32" s="342"/>
      <c r="IL32" s="342"/>
      <c r="IM32" s="342"/>
      <c r="IN32" s="342"/>
      <c r="IO32" s="342"/>
      <c r="IP32" s="342"/>
      <c r="IQ32" s="342"/>
      <c r="IR32" s="342"/>
      <c r="IS32" s="342"/>
      <c r="IT32" s="342"/>
      <c r="IU32" s="342"/>
      <c r="IV32" s="342"/>
      <c r="IW32" s="342"/>
    </row>
    <row r="33" customFormat="false" ht="14.25" hidden="false" customHeight="true" outlineLevel="0" collapsed="false">
      <c r="A33" s="342"/>
      <c r="B33" s="342"/>
      <c r="C33" s="351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AE33" s="342"/>
      <c r="AF33" s="363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63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2"/>
      <c r="BG33" s="342"/>
      <c r="BH33" s="342"/>
      <c r="BI33" s="342"/>
      <c r="BJ33" s="342"/>
      <c r="BK33" s="342"/>
      <c r="BL33" s="342"/>
      <c r="BM33" s="342"/>
      <c r="BN33" s="342"/>
      <c r="BO33" s="342"/>
      <c r="BP33" s="342"/>
      <c r="BQ33" s="342"/>
      <c r="BR33" s="342"/>
      <c r="BS33" s="342"/>
      <c r="BT33" s="342"/>
      <c r="BU33" s="342"/>
      <c r="BV33" s="342"/>
      <c r="BW33" s="342"/>
      <c r="BX33" s="342"/>
      <c r="BY33" s="342"/>
      <c r="BZ33" s="342"/>
      <c r="CA33" s="342"/>
      <c r="CB33" s="342"/>
      <c r="CC33" s="342"/>
      <c r="CD33" s="342"/>
      <c r="CE33" s="342"/>
      <c r="CF33" s="342"/>
      <c r="CG33" s="342"/>
      <c r="CH33" s="342"/>
      <c r="CI33" s="342"/>
      <c r="CJ33" s="342"/>
      <c r="CK33" s="342"/>
      <c r="CL33" s="342"/>
      <c r="CM33" s="342"/>
      <c r="CN33" s="342"/>
      <c r="CO33" s="342"/>
      <c r="CP33" s="342"/>
      <c r="CQ33" s="342"/>
      <c r="CR33" s="342"/>
      <c r="CS33" s="342"/>
      <c r="CT33" s="342"/>
      <c r="CU33" s="342"/>
      <c r="CV33" s="342"/>
      <c r="CW33" s="342"/>
      <c r="CX33" s="342"/>
      <c r="CY33" s="342"/>
      <c r="CZ33" s="342"/>
      <c r="DA33" s="342"/>
      <c r="DB33" s="342"/>
      <c r="DC33" s="342"/>
      <c r="DD33" s="342"/>
      <c r="DE33" s="342"/>
      <c r="DF33" s="342"/>
      <c r="DG33" s="342"/>
      <c r="DH33" s="342"/>
      <c r="DI33" s="342"/>
      <c r="DJ33" s="342"/>
      <c r="DK33" s="342"/>
      <c r="DL33" s="342"/>
      <c r="DM33" s="342"/>
      <c r="DN33" s="342"/>
      <c r="DO33" s="342"/>
      <c r="DP33" s="342"/>
      <c r="DQ33" s="342"/>
      <c r="DR33" s="342"/>
      <c r="DS33" s="342"/>
      <c r="DT33" s="342"/>
      <c r="DU33" s="342"/>
      <c r="DV33" s="342"/>
      <c r="DW33" s="342"/>
      <c r="DX33" s="342"/>
      <c r="DY33" s="342"/>
      <c r="DZ33" s="342"/>
      <c r="EA33" s="342"/>
      <c r="EB33" s="342"/>
      <c r="EC33" s="342"/>
      <c r="ED33" s="342"/>
      <c r="EE33" s="342"/>
      <c r="EF33" s="342"/>
      <c r="EG33" s="342"/>
      <c r="EH33" s="342"/>
      <c r="EI33" s="342"/>
      <c r="EJ33" s="342"/>
      <c r="EK33" s="342"/>
      <c r="EL33" s="342"/>
      <c r="EM33" s="342"/>
      <c r="EN33" s="342"/>
      <c r="EO33" s="342"/>
      <c r="EP33" s="342"/>
      <c r="EQ33" s="342"/>
      <c r="ER33" s="342"/>
      <c r="ES33" s="342"/>
      <c r="ET33" s="342"/>
      <c r="EU33" s="342"/>
      <c r="EV33" s="342"/>
      <c r="EW33" s="342"/>
      <c r="EX33" s="342"/>
      <c r="EY33" s="342"/>
      <c r="EZ33" s="342"/>
      <c r="FA33" s="342"/>
      <c r="FB33" s="342"/>
      <c r="FC33" s="342"/>
      <c r="FD33" s="342"/>
      <c r="FE33" s="342"/>
      <c r="FF33" s="342"/>
      <c r="FG33" s="342"/>
      <c r="FH33" s="342"/>
      <c r="FI33" s="342"/>
      <c r="FJ33" s="342"/>
      <c r="FK33" s="342"/>
      <c r="FL33" s="342"/>
      <c r="FM33" s="342"/>
      <c r="FN33" s="342"/>
      <c r="FO33" s="342"/>
      <c r="FP33" s="342"/>
      <c r="FQ33" s="342"/>
      <c r="FR33" s="342"/>
      <c r="FS33" s="342"/>
      <c r="FT33" s="342"/>
      <c r="FU33" s="342"/>
      <c r="FV33" s="342"/>
      <c r="FW33" s="342"/>
      <c r="FX33" s="342"/>
      <c r="FY33" s="342"/>
      <c r="FZ33" s="342"/>
      <c r="GA33" s="342"/>
      <c r="GB33" s="342"/>
      <c r="GC33" s="342"/>
      <c r="GD33" s="342"/>
      <c r="GE33" s="342"/>
      <c r="GF33" s="342"/>
      <c r="GG33" s="342"/>
      <c r="GH33" s="342"/>
      <c r="GI33" s="342"/>
      <c r="GJ33" s="342"/>
      <c r="GK33" s="342"/>
      <c r="GL33" s="342"/>
      <c r="GM33" s="342"/>
      <c r="GN33" s="342"/>
      <c r="GO33" s="342"/>
      <c r="GP33" s="342"/>
      <c r="GQ33" s="342"/>
      <c r="GR33" s="342"/>
      <c r="GS33" s="342"/>
      <c r="GT33" s="342"/>
      <c r="GU33" s="342"/>
      <c r="GV33" s="342"/>
      <c r="GW33" s="342"/>
      <c r="GX33" s="342"/>
      <c r="GY33" s="342"/>
      <c r="GZ33" s="342"/>
      <c r="HA33" s="342"/>
      <c r="HB33" s="342"/>
      <c r="HC33" s="342"/>
      <c r="HD33" s="342"/>
      <c r="HE33" s="342"/>
      <c r="HF33" s="342"/>
      <c r="HG33" s="342"/>
      <c r="HH33" s="342"/>
      <c r="HI33" s="342"/>
      <c r="HJ33" s="342"/>
      <c r="HK33" s="342"/>
      <c r="HL33" s="342"/>
      <c r="HM33" s="342"/>
      <c r="HN33" s="342"/>
      <c r="HO33" s="342"/>
      <c r="HP33" s="342"/>
      <c r="HQ33" s="342"/>
      <c r="HR33" s="342"/>
      <c r="HS33" s="342"/>
      <c r="HT33" s="342"/>
      <c r="HU33" s="342"/>
      <c r="HV33" s="342"/>
      <c r="HW33" s="342"/>
      <c r="HX33" s="342"/>
      <c r="HY33" s="342"/>
      <c r="HZ33" s="342"/>
      <c r="IA33" s="342"/>
      <c r="IB33" s="342"/>
      <c r="IC33" s="342"/>
      <c r="ID33" s="342"/>
      <c r="IE33" s="342"/>
      <c r="IF33" s="342"/>
      <c r="IG33" s="342"/>
      <c r="IH33" s="342"/>
      <c r="II33" s="342"/>
      <c r="IJ33" s="342"/>
      <c r="IK33" s="342"/>
      <c r="IL33" s="342"/>
      <c r="IM33" s="342"/>
      <c r="IN33" s="342"/>
      <c r="IO33" s="342"/>
      <c r="IP33" s="342"/>
      <c r="IQ33" s="342"/>
      <c r="IR33" s="342"/>
      <c r="IS33" s="342"/>
      <c r="IT33" s="342"/>
      <c r="IU33" s="342"/>
      <c r="IV33" s="342"/>
      <c r="IW33" s="342"/>
    </row>
    <row r="34" customFormat="false" ht="12.6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6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6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6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6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6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6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6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6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6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6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6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6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6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6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52" customFormat="false" ht="12.6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6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6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6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6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6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6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6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6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6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6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6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6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6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6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6" hidden="false" customHeight="tru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6" hidden="false" customHeight="tru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6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6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6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6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6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6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6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30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6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6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6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6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6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6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6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6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6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6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6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6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6" hidden="false" customHeight="tru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6" hidden="false" customHeight="tru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6" hidden="false" customHeight="tru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6" hidden="false" customHeight="tru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6" hidden="false" customHeight="tru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</sheetData>
  <printOptions headings="false" gridLines="false" gridLinesSet="true" horizontalCentered="true" verticalCentered="true"/>
  <pageMargins left="0.25" right="0.25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  <colBreaks count="1" manualBreakCount="1">
    <brk id="1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U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71"/>
    <col collapsed="false" customWidth="true" hidden="false" outlineLevel="0" max="2" min="2" style="0" width="15.85"/>
  </cols>
  <sheetData>
    <row r="1" customFormat="false" ht="26.25" hidden="false" customHeight="false" outlineLevel="0" collapsed="false">
      <c r="A1" s="160" t="str">
        <f aca="false">'Project Assumptions'!$A$2</f>
        <v>PROJECT DOYLE</v>
      </c>
      <c r="B1" s="160"/>
    </row>
    <row r="2" customFormat="false" ht="18" hidden="false" customHeight="false" outlineLevel="0" collapsed="false">
      <c r="A2" s="162" t="s">
        <v>385</v>
      </c>
      <c r="B2" s="162"/>
    </row>
    <row r="7" customFormat="false" ht="12.75" hidden="false" customHeight="false" outlineLevel="0" collapsed="false">
      <c r="A7" s="246"/>
      <c r="B7" s="246"/>
      <c r="C7" s="240" t="n">
        <f aca="false">'Project Assumptions'!I16</f>
        <v>36661</v>
      </c>
      <c r="D7" s="240" t="n">
        <f aca="false">EOMONTH('Project Assumptions'!F21,0)</f>
        <v>36677</v>
      </c>
      <c r="E7" s="240" t="n">
        <f aca="false">EOMONTH(D7,1)</f>
        <v>36707</v>
      </c>
      <c r="F7" s="240" t="n">
        <f aca="false">EOMONTH(E7,1)</f>
        <v>36738</v>
      </c>
      <c r="G7" s="240" t="n">
        <f aca="false">MAX(F7,'Project Assumptions'!F24)</f>
        <v>36738</v>
      </c>
      <c r="H7" s="240" t="n">
        <f aca="false">MAX(G7,'Project Assumptions'!F25)</f>
        <v>36769</v>
      </c>
      <c r="I7" s="240" t="n">
        <f aca="false">EOMONTH(H7,0)</f>
        <v>36769</v>
      </c>
      <c r="J7" s="240" t="n">
        <f aca="false">EOMONTH(I7,1)</f>
        <v>36799</v>
      </c>
      <c r="K7" s="240" t="n">
        <f aca="false">EOMONTH(J7,1)</f>
        <v>36830</v>
      </c>
      <c r="L7" s="240" t="n">
        <f aca="false">EOMONTH(K7,1)</f>
        <v>36860</v>
      </c>
      <c r="M7" s="240" t="n">
        <f aca="false">EOMONTH(L7,1)</f>
        <v>36891</v>
      </c>
      <c r="N7" s="240" t="n">
        <f aca="false">EOMONTH(M7,1)</f>
        <v>36922</v>
      </c>
      <c r="O7" s="240" t="n">
        <f aca="false">EOMONTH(N7,1)</f>
        <v>36950</v>
      </c>
      <c r="P7" s="240" t="n">
        <f aca="false">EOMONTH(O7,1)</f>
        <v>36981</v>
      </c>
      <c r="Q7" s="240" t="n">
        <f aca="false">EOMONTH(P7,1)</f>
        <v>37011</v>
      </c>
      <c r="R7" s="240" t="n">
        <f aca="false">EOMONTH(Q7,1)</f>
        <v>37042</v>
      </c>
      <c r="S7" s="240" t="n">
        <f aca="false">EOMONTH(R7,1)</f>
        <v>37072</v>
      </c>
      <c r="T7" s="240" t="n">
        <f aca="false">EOMONTH(S7,1)</f>
        <v>37103</v>
      </c>
      <c r="U7" s="240" t="n">
        <f aca="false">EOMONTH(T7,1)</f>
        <v>37134</v>
      </c>
      <c r="V7" s="240" t="n">
        <f aca="false">EOMONTH(U7,1)</f>
        <v>37164</v>
      </c>
      <c r="W7" s="240" t="n">
        <f aca="false">EOMONTH(V7,1)</f>
        <v>37195</v>
      </c>
      <c r="X7" s="240" t="n">
        <f aca="false">EOMONTH(W7,1)</f>
        <v>37225</v>
      </c>
      <c r="Y7" s="240" t="n">
        <f aca="false">EOMONTH(X7,1)</f>
        <v>37256</v>
      </c>
      <c r="Z7" s="240" t="n">
        <f aca="false">EOMONTH(Y7,1)</f>
        <v>37287</v>
      </c>
      <c r="AA7" s="240" t="n">
        <f aca="false">EOMONTH(Z7,1)</f>
        <v>37315</v>
      </c>
      <c r="AB7" s="240" t="n">
        <f aca="false">EOMONTH(AA7,1)</f>
        <v>37346</v>
      </c>
      <c r="AC7" s="240" t="n">
        <f aca="false">EOMONTH(AB7,1)</f>
        <v>37376</v>
      </c>
      <c r="AD7" s="240" t="n">
        <f aca="false">EOMONTH(AC7,1)</f>
        <v>37407</v>
      </c>
      <c r="AE7" s="240" t="n">
        <f aca="false">EOMONTH(AD7,1)</f>
        <v>37437</v>
      </c>
      <c r="AF7" s="240" t="n">
        <f aca="false">EOMONTH(AE7,1)</f>
        <v>37468</v>
      </c>
      <c r="AG7" s="240" t="n">
        <f aca="false">EOMONTH(AF7,1)</f>
        <v>37499</v>
      </c>
      <c r="AH7" s="240" t="n">
        <f aca="false">EOMONTH(AG7,1)</f>
        <v>37529</v>
      </c>
      <c r="AI7" s="240" t="n">
        <f aca="false">EOMONTH(AH7,1)</f>
        <v>37560</v>
      </c>
      <c r="AJ7" s="240" t="n">
        <f aca="false">EOMONTH(AI7,1)</f>
        <v>37590</v>
      </c>
      <c r="AK7" s="240" t="n">
        <f aca="false">EOMONTH(AJ7,1)</f>
        <v>37621</v>
      </c>
      <c r="AL7" s="240" t="n">
        <f aca="false">EOMONTH(AK7,1)</f>
        <v>37652</v>
      </c>
      <c r="AM7" s="240" t="n">
        <f aca="false">EOMONTH(AL7,1)</f>
        <v>37680</v>
      </c>
      <c r="AN7" s="240" t="n">
        <f aca="false">EOMONTH(AM7,1)</f>
        <v>37711</v>
      </c>
      <c r="AO7" s="240" t="n">
        <f aca="false">EOMONTH(AN7,1)</f>
        <v>37741</v>
      </c>
      <c r="AP7" s="240" t="n">
        <f aca="false">EOMONTH(AO7,1)</f>
        <v>37772</v>
      </c>
      <c r="AQ7" s="240" t="n">
        <f aca="false">EOMONTH(AP7,1)</f>
        <v>37802</v>
      </c>
      <c r="AR7" s="240" t="n">
        <f aca="false">EOMONTH(AQ7,1)</f>
        <v>37833</v>
      </c>
      <c r="AS7" s="240" t="n">
        <f aca="false">EOMONTH(AR7,1)</f>
        <v>37864</v>
      </c>
      <c r="AT7" s="240" t="n">
        <f aca="false">EOMONTH(AS7,1)</f>
        <v>37894</v>
      </c>
      <c r="AU7" s="240" t="n">
        <f aca="false">EOMONTH(AT7,1)</f>
        <v>37925</v>
      </c>
      <c r="AV7" s="240" t="n">
        <f aca="false">EOMONTH(AU7,1)</f>
        <v>37955</v>
      </c>
      <c r="AW7" s="240" t="n">
        <f aca="false">EOMONTH(AV7,1)</f>
        <v>37986</v>
      </c>
      <c r="AX7" s="240" t="n">
        <f aca="false">EOMONTH(AW7,1)</f>
        <v>38017</v>
      </c>
      <c r="AY7" s="240" t="n">
        <f aca="false">EOMONTH(AX7,1)</f>
        <v>38046</v>
      </c>
      <c r="AZ7" s="240" t="n">
        <f aca="false">EOMONTH(AY7,1)</f>
        <v>38077</v>
      </c>
      <c r="BA7" s="240" t="n">
        <f aca="false">EOMONTH(AZ7,1)</f>
        <v>38107</v>
      </c>
      <c r="BB7" s="240" t="n">
        <f aca="false">EOMONTH(BA7,1)</f>
        <v>38138</v>
      </c>
      <c r="BC7" s="240" t="n">
        <f aca="false">EOMONTH(BB7,1)</f>
        <v>38168</v>
      </c>
      <c r="BD7" s="240" t="n">
        <f aca="false">EOMONTH(BC7,1)</f>
        <v>38199</v>
      </c>
      <c r="BE7" s="240" t="n">
        <f aca="false">EOMONTH(BD7,1)</f>
        <v>38230</v>
      </c>
      <c r="BF7" s="240" t="n">
        <f aca="false">EOMONTH(BE7,1)</f>
        <v>38260</v>
      </c>
      <c r="BG7" s="240" t="n">
        <f aca="false">EOMONTH(BF7,1)</f>
        <v>38291</v>
      </c>
      <c r="BH7" s="240" t="n">
        <f aca="false">EOMONTH(BG7,1)</f>
        <v>38321</v>
      </c>
      <c r="BI7" s="240" t="n">
        <f aca="false">EOMONTH(BH7,1)</f>
        <v>38352</v>
      </c>
      <c r="BJ7" s="240" t="n">
        <f aca="false">EOMONTH(BI7,1)</f>
        <v>38383</v>
      </c>
      <c r="BK7" s="240" t="n">
        <f aca="false">EOMONTH(BJ7,1)</f>
        <v>38411</v>
      </c>
      <c r="BL7" s="240" t="n">
        <f aca="false">EOMONTH(BK7,1)</f>
        <v>38442</v>
      </c>
      <c r="BM7" s="240" t="n">
        <f aca="false">EOMONTH(BL7,1)</f>
        <v>38472</v>
      </c>
      <c r="BN7" s="240" t="n">
        <f aca="false">EOMONTH(BM7,1)</f>
        <v>38503</v>
      </c>
      <c r="BO7" s="240" t="n">
        <f aca="false">EOMONTH(BN7,1)</f>
        <v>38533</v>
      </c>
      <c r="BP7" s="240" t="n">
        <f aca="false">EOMONTH(BO7,1)</f>
        <v>38564</v>
      </c>
      <c r="BQ7" s="240" t="n">
        <f aca="false">EOMONTH(BP7,1)</f>
        <v>38595</v>
      </c>
      <c r="BR7" s="240" t="n">
        <f aca="false">EOMONTH(BQ7,1)</f>
        <v>38625</v>
      </c>
      <c r="BS7" s="240" t="n">
        <f aca="false">EOMONTH(BR7,1)</f>
        <v>38656</v>
      </c>
      <c r="BT7" s="240" t="n">
        <f aca="false">EOMONTH(BS7,1)</f>
        <v>38686</v>
      </c>
      <c r="BU7" s="240" t="n">
        <f aca="false">EOMONTH(BT7,1)</f>
        <v>38717</v>
      </c>
      <c r="BV7" s="240" t="n">
        <f aca="false">EOMONTH(BU7,1)</f>
        <v>38748</v>
      </c>
      <c r="BW7" s="240" t="n">
        <f aca="false">EOMONTH(BV7,1)</f>
        <v>38776</v>
      </c>
      <c r="BX7" s="240" t="n">
        <f aca="false">EOMONTH(BW7,1)</f>
        <v>38807</v>
      </c>
      <c r="BY7" s="240" t="n">
        <f aca="false">EOMONTH(BX7,1)</f>
        <v>38837</v>
      </c>
      <c r="BZ7" s="240" t="n">
        <f aca="false">EOMONTH(BY7,1)</f>
        <v>38868</v>
      </c>
      <c r="CA7" s="240" t="n">
        <f aca="false">EOMONTH(BZ7,1)</f>
        <v>38898</v>
      </c>
      <c r="CB7" s="240" t="n">
        <f aca="false">EOMONTH(CA7,1)</f>
        <v>38929</v>
      </c>
      <c r="CC7" s="240" t="n">
        <f aca="false">EOMONTH(CB7,1)</f>
        <v>38960</v>
      </c>
      <c r="CD7" s="240" t="n">
        <f aca="false">EOMONTH(CC7,1)</f>
        <v>38990</v>
      </c>
      <c r="CE7" s="240" t="n">
        <f aca="false">EOMONTH(CD7,1)</f>
        <v>39021</v>
      </c>
      <c r="CF7" s="240" t="n">
        <f aca="false">EOMONTH(CE7,1)</f>
        <v>39051</v>
      </c>
      <c r="CG7" s="240" t="n">
        <f aca="false">EOMONTH(CF7,1)</f>
        <v>39082</v>
      </c>
      <c r="CH7" s="240" t="n">
        <f aca="false">EOMONTH(CG7,1)</f>
        <v>39113</v>
      </c>
      <c r="CI7" s="240" t="n">
        <f aca="false">EOMONTH(CH7,1)</f>
        <v>39141</v>
      </c>
      <c r="CJ7" s="240" t="n">
        <f aca="false">EOMONTH(CI7,1)</f>
        <v>39172</v>
      </c>
      <c r="CK7" s="240" t="n">
        <f aca="false">EOMONTH(CJ7,1)</f>
        <v>39202</v>
      </c>
      <c r="CL7" s="240" t="n">
        <f aca="false">EOMONTH(CK7,1)</f>
        <v>39233</v>
      </c>
      <c r="CM7" s="240" t="n">
        <f aca="false">EOMONTH(CL7,1)</f>
        <v>39263</v>
      </c>
      <c r="CN7" s="240" t="n">
        <f aca="false">EOMONTH(CM7,1)</f>
        <v>39294</v>
      </c>
      <c r="CO7" s="240" t="n">
        <f aca="false">EOMONTH(CN7,1)</f>
        <v>39325</v>
      </c>
      <c r="CP7" s="240" t="n">
        <f aca="false">EOMONTH(CO7,1)</f>
        <v>39355</v>
      </c>
      <c r="CQ7" s="240" t="n">
        <f aca="false">EOMONTH(CP7,1)</f>
        <v>39386</v>
      </c>
      <c r="CR7" s="240" t="n">
        <f aca="false">EOMONTH(CQ7,1)</f>
        <v>39416</v>
      </c>
      <c r="CS7" s="240" t="n">
        <f aca="false">EOMONTH(CR7,1)</f>
        <v>39447</v>
      </c>
      <c r="CT7" s="240" t="n">
        <f aca="false">EOMONTH(CS7,1)</f>
        <v>39478</v>
      </c>
      <c r="CU7" s="240" t="n">
        <f aca="false">EOMONTH(CT7,1)</f>
        <v>39507</v>
      </c>
      <c r="CV7" s="240" t="n">
        <f aca="false">EOMONTH(CU7,1)</f>
        <v>39538</v>
      </c>
      <c r="CW7" s="240" t="n">
        <f aca="false">EOMONTH(CV7,1)</f>
        <v>39568</v>
      </c>
      <c r="CX7" s="240" t="n">
        <f aca="false">EOMONTH(CW7,1)</f>
        <v>39599</v>
      </c>
      <c r="CY7" s="240" t="n">
        <f aca="false">EOMONTH(CX7,1)</f>
        <v>39629</v>
      </c>
      <c r="CZ7" s="240" t="n">
        <f aca="false">EOMONTH(CY7,1)</f>
        <v>39660</v>
      </c>
      <c r="DA7" s="240" t="n">
        <f aca="false">EOMONTH(CZ7,1)</f>
        <v>39691</v>
      </c>
      <c r="DB7" s="240" t="n">
        <f aca="false">EOMONTH(DA7,1)</f>
        <v>39721</v>
      </c>
      <c r="DC7" s="240" t="n">
        <f aca="false">EOMONTH(DB7,1)</f>
        <v>39752</v>
      </c>
      <c r="DD7" s="240" t="n">
        <f aca="false">EOMONTH(DC7,1)</f>
        <v>39782</v>
      </c>
      <c r="DE7" s="240" t="n">
        <f aca="false">EOMONTH(DD7,1)</f>
        <v>39813</v>
      </c>
      <c r="DF7" s="240" t="n">
        <f aca="false">EOMONTH(DE7,1)</f>
        <v>39844</v>
      </c>
      <c r="DG7" s="240" t="n">
        <f aca="false">EOMONTH(DF7,1)</f>
        <v>39872</v>
      </c>
      <c r="DH7" s="240" t="n">
        <f aca="false">EOMONTH(DG7,1)</f>
        <v>39903</v>
      </c>
      <c r="DI7" s="240" t="n">
        <f aca="false">EOMONTH(DH7,1)</f>
        <v>39933</v>
      </c>
      <c r="DJ7" s="240" t="n">
        <f aca="false">EOMONTH(DI7,1)</f>
        <v>39964</v>
      </c>
      <c r="DK7" s="240" t="n">
        <f aca="false">EOMONTH(DJ7,1)</f>
        <v>39994</v>
      </c>
      <c r="DL7" s="240" t="n">
        <f aca="false">EOMONTH(DK7,1)</f>
        <v>40025</v>
      </c>
      <c r="DM7" s="240" t="n">
        <f aca="false">EOMONTH(DL7,1)</f>
        <v>40056</v>
      </c>
      <c r="DN7" s="240" t="n">
        <f aca="false">EOMONTH(DM7,1)</f>
        <v>40086</v>
      </c>
      <c r="DO7" s="240" t="n">
        <f aca="false">EOMONTH(DN7,1)</f>
        <v>40117</v>
      </c>
      <c r="DP7" s="240" t="n">
        <f aca="false">EOMONTH(DO7,1)</f>
        <v>40147</v>
      </c>
      <c r="DQ7" s="240" t="n">
        <f aca="false">EOMONTH(DP7,1)</f>
        <v>40178</v>
      </c>
      <c r="DR7" s="240" t="n">
        <f aca="false">EOMONTH(DQ7,1)</f>
        <v>40209</v>
      </c>
      <c r="DS7" s="240" t="n">
        <f aca="false">EOMONTH(DR7,1)</f>
        <v>40237</v>
      </c>
      <c r="DT7" s="240" t="n">
        <f aca="false">EOMONTH(DS7,1)</f>
        <v>40268</v>
      </c>
      <c r="DU7" s="240" t="n">
        <f aca="false">EOMONTH(DT7,1)</f>
        <v>40298</v>
      </c>
      <c r="DV7" s="240" t="n">
        <f aca="false">EOMONTH(DU7,1)</f>
        <v>40329</v>
      </c>
      <c r="DW7" s="240" t="n">
        <f aca="false">EOMONTH(DV7,1)</f>
        <v>40359</v>
      </c>
      <c r="DX7" s="240" t="n">
        <f aca="false">EOMONTH(DW7,1)</f>
        <v>40390</v>
      </c>
      <c r="DY7" s="240" t="n">
        <f aca="false">EOMONTH(DX7,1)</f>
        <v>40421</v>
      </c>
      <c r="DZ7" s="240" t="n">
        <f aca="false">EOMONTH(DY7,1)</f>
        <v>40451</v>
      </c>
      <c r="EA7" s="240" t="n">
        <f aca="false">EOMONTH(DZ7,1)</f>
        <v>40482</v>
      </c>
      <c r="EB7" s="240" t="n">
        <f aca="false">EOMONTH(EA7,1)</f>
        <v>40512</v>
      </c>
      <c r="EC7" s="240" t="n">
        <f aca="false">EOMONTH(EB7,1)</f>
        <v>40543</v>
      </c>
      <c r="ED7" s="240" t="n">
        <f aca="false">EOMONTH(EC7,1)</f>
        <v>40574</v>
      </c>
      <c r="EE7" s="240" t="n">
        <f aca="false">EOMONTH(ED7,1)</f>
        <v>40602</v>
      </c>
      <c r="EF7" s="240" t="n">
        <f aca="false">EOMONTH(EE7,1)</f>
        <v>40633</v>
      </c>
      <c r="EG7" s="240" t="n">
        <f aca="false">EOMONTH(EF7,1)</f>
        <v>40663</v>
      </c>
      <c r="EH7" s="240" t="n">
        <f aca="false">EOMONTH(EG7,1)</f>
        <v>40694</v>
      </c>
      <c r="EI7" s="240" t="n">
        <f aca="false">EOMONTH(EH7,1)</f>
        <v>40724</v>
      </c>
      <c r="EJ7" s="240" t="n">
        <f aca="false">EOMONTH(EI7,1)</f>
        <v>40755</v>
      </c>
      <c r="EK7" s="240" t="n">
        <f aca="false">EOMONTH(EJ7,1)</f>
        <v>40786</v>
      </c>
      <c r="EL7" s="240" t="n">
        <f aca="false">EOMONTH(EK7,1)</f>
        <v>40816</v>
      </c>
      <c r="EM7" s="240" t="n">
        <f aca="false">EOMONTH(EL7,1)</f>
        <v>40847</v>
      </c>
      <c r="EN7" s="240" t="n">
        <f aca="false">EOMONTH(EM7,1)</f>
        <v>40877</v>
      </c>
      <c r="EO7" s="240" t="n">
        <f aca="false">EOMONTH(EN7,1)</f>
        <v>40908</v>
      </c>
      <c r="EP7" s="240" t="n">
        <f aca="false">EOMONTH(EO7,1)</f>
        <v>40939</v>
      </c>
      <c r="EQ7" s="240" t="n">
        <f aca="false">EOMONTH(EP7,1)</f>
        <v>40968</v>
      </c>
      <c r="ER7" s="240" t="n">
        <f aca="false">EOMONTH(EQ7,1)</f>
        <v>40999</v>
      </c>
      <c r="ES7" s="240" t="n">
        <f aca="false">EOMONTH(ER7,1)</f>
        <v>41029</v>
      </c>
      <c r="ET7" s="240" t="n">
        <f aca="false">EOMONTH(ES7,1)</f>
        <v>41060</v>
      </c>
      <c r="EU7" s="240" t="n">
        <f aca="false">EOMONTH(ET7,1)</f>
        <v>41090</v>
      </c>
      <c r="EV7" s="240" t="n">
        <f aca="false">EOMONTH(EU7,1)</f>
        <v>41121</v>
      </c>
      <c r="EW7" s="240" t="n">
        <f aca="false">EOMONTH(EV7,1)</f>
        <v>41152</v>
      </c>
      <c r="EX7" s="240" t="n">
        <f aca="false">EOMONTH(EW7,1)</f>
        <v>41182</v>
      </c>
      <c r="EY7" s="240" t="n">
        <f aca="false">EOMONTH(EX7,1)</f>
        <v>41213</v>
      </c>
      <c r="EZ7" s="240" t="n">
        <f aca="false">EOMONTH(EY7,1)</f>
        <v>41243</v>
      </c>
      <c r="FA7" s="240" t="n">
        <f aca="false">EOMONTH(EZ7,1)</f>
        <v>41274</v>
      </c>
      <c r="FB7" s="240" t="n">
        <f aca="false">EOMONTH(FA7,1)</f>
        <v>41305</v>
      </c>
      <c r="FC7" s="240" t="n">
        <f aca="false">EOMONTH(FB7,1)</f>
        <v>41333</v>
      </c>
      <c r="FD7" s="240" t="n">
        <f aca="false">EOMONTH(FC7,1)</f>
        <v>41364</v>
      </c>
      <c r="FE7" s="240" t="n">
        <f aca="false">EOMONTH(FD7,1)</f>
        <v>41394</v>
      </c>
      <c r="FF7" s="240" t="n">
        <f aca="false">EOMONTH(FE7,1)</f>
        <v>41425</v>
      </c>
      <c r="FG7" s="240" t="n">
        <f aca="false">EOMONTH(FF7,1)</f>
        <v>41455</v>
      </c>
      <c r="FH7" s="240" t="n">
        <f aca="false">EOMONTH(FG7,1)</f>
        <v>41486</v>
      </c>
      <c r="FI7" s="240" t="n">
        <f aca="false">EOMONTH(FH7,1)</f>
        <v>41517</v>
      </c>
      <c r="FJ7" s="240" t="n">
        <f aca="false">EOMONTH(FI7,1)</f>
        <v>41547</v>
      </c>
      <c r="FK7" s="240" t="n">
        <f aca="false">EOMONTH(FJ7,1)</f>
        <v>41578</v>
      </c>
      <c r="FL7" s="240" t="n">
        <f aca="false">EOMONTH(FK7,1)</f>
        <v>41608</v>
      </c>
      <c r="FM7" s="240" t="n">
        <f aca="false">EOMONTH(FL7,1)</f>
        <v>41639</v>
      </c>
      <c r="FN7" s="240" t="n">
        <f aca="false">EOMONTH(FM7,1)</f>
        <v>41670</v>
      </c>
      <c r="FO7" s="240" t="n">
        <f aca="false">EOMONTH(FN7,1)</f>
        <v>41698</v>
      </c>
      <c r="FP7" s="240" t="n">
        <f aca="false">EOMONTH(FO7,1)</f>
        <v>41729</v>
      </c>
      <c r="FQ7" s="240" t="n">
        <f aca="false">EOMONTH(FP7,1)</f>
        <v>41759</v>
      </c>
      <c r="FR7" s="240" t="n">
        <f aca="false">EOMONTH(FQ7,1)</f>
        <v>41790</v>
      </c>
      <c r="FS7" s="240" t="n">
        <f aca="false">EOMONTH(FR7,1)</f>
        <v>41820</v>
      </c>
      <c r="FT7" s="240" t="n">
        <f aca="false">EOMONTH(FS7,1)</f>
        <v>41851</v>
      </c>
      <c r="FU7" s="240" t="n">
        <f aca="false">EOMONTH(FT7,1)</f>
        <v>41882</v>
      </c>
      <c r="FV7" s="240" t="n">
        <f aca="false">EOMONTH(FU7,1)</f>
        <v>41912</v>
      </c>
      <c r="FW7" s="240" t="n">
        <f aca="false">EOMONTH(FV7,1)</f>
        <v>41943</v>
      </c>
      <c r="FX7" s="240" t="n">
        <f aca="false">EOMONTH(FW7,1)</f>
        <v>41973</v>
      </c>
      <c r="FY7" s="240" t="n">
        <f aca="false">EOMONTH(FX7,1)</f>
        <v>42004</v>
      </c>
      <c r="FZ7" s="240" t="n">
        <f aca="false">EOMONTH(FY7,1)</f>
        <v>42035</v>
      </c>
      <c r="GA7" s="240" t="n">
        <f aca="false">EOMONTH(FZ7,1)</f>
        <v>42063</v>
      </c>
      <c r="GB7" s="240" t="n">
        <f aca="false">EOMONTH(GA7,1)</f>
        <v>42094</v>
      </c>
      <c r="GC7" s="240" t="n">
        <f aca="false">EOMONTH(GB7,1)</f>
        <v>42124</v>
      </c>
      <c r="GD7" s="240" t="n">
        <f aca="false">EOMONTH(GC7,1)</f>
        <v>42155</v>
      </c>
      <c r="GE7" s="240" t="n">
        <f aca="false">EOMONTH(GD7,1)</f>
        <v>42185</v>
      </c>
      <c r="GF7" s="240" t="n">
        <f aca="false">EOMONTH(GE7,1)</f>
        <v>42216</v>
      </c>
      <c r="GG7" s="240" t="n">
        <f aca="false">EOMONTH(GF7,1)</f>
        <v>42247</v>
      </c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</row>
    <row r="8" customFormat="false" ht="12.75" hidden="false" customHeight="false" outlineLevel="0" collapsed="false">
      <c r="A8" s="246" t="s">
        <v>386</v>
      </c>
      <c r="B8" s="246"/>
      <c r="C8" s="242"/>
      <c r="D8" s="385" t="n">
        <f aca="false">IF('Start-up Cashflow'!D7&gt;'Project Assumptions'!$F$25,1+(IF('Start-up Cashflow'!C8&lt;=5,'Start-up Cashflow'!C8,0)),0)</f>
        <v>0</v>
      </c>
      <c r="E8" s="385" t="n">
        <f aca="false">IF('Start-up Cashflow'!E7&gt;'Project Assumptions'!$F$25,1+(IF('Start-up Cashflow'!D8&lt;=5,'Start-up Cashflow'!D8,0)),0)</f>
        <v>0</v>
      </c>
      <c r="F8" s="385" t="n">
        <f aca="false">IF('Start-up Cashflow'!F7&gt;'Project Assumptions'!$F$25,1+(IF('Start-up Cashflow'!E8&lt;=5,'Start-up Cashflow'!E8,0)),0)</f>
        <v>0</v>
      </c>
      <c r="G8" s="385" t="n">
        <f aca="false">IF('Start-up Cashflow'!G7&gt;'Project Assumptions'!$F$25,1+(IF('Start-up Cashflow'!F8&lt;=5,'Start-up Cashflow'!F8,0)),0)</f>
        <v>0</v>
      </c>
      <c r="H8" s="385" t="n">
        <f aca="false">IF('Start-up Cashflow'!H7&gt;'Project Assumptions'!$F$25,1+(IF('Start-up Cashflow'!G8&lt;=5,'Start-up Cashflow'!G8,0)),0)</f>
        <v>0</v>
      </c>
      <c r="I8" s="385" t="n">
        <f aca="false">IF('Start-up Cashflow'!I7&gt;EOMONTH('Project Assumptions'!$F$25,0),1+(IF('Start-up Cashflow'!H8&lt;=5,'Start-up Cashflow'!H8,0)),0)</f>
        <v>0</v>
      </c>
      <c r="J8" s="385" t="n">
        <f aca="false">IF('Start-up Cashflow'!J7&gt;EOMONTH('Project Assumptions'!$F$25,0),1+(IF('Start-up Cashflow'!I8&lt;=5,'Start-up Cashflow'!I8,0)),0)</f>
        <v>1</v>
      </c>
      <c r="K8" s="385" t="n">
        <f aca="false">IF('Start-up Cashflow'!K7&gt;EOMONTH('Project Assumptions'!$F$25,0),1+(IF('Start-up Cashflow'!J8&lt;=5,'Start-up Cashflow'!J8,0)),0)</f>
        <v>2</v>
      </c>
      <c r="L8" s="385" t="n">
        <f aca="false">IF('Start-up Cashflow'!L7&gt;EOMONTH('Project Assumptions'!$F$25,0),1+(IF('Start-up Cashflow'!K8&lt;=5,'Start-up Cashflow'!K8,0)),0)</f>
        <v>3</v>
      </c>
      <c r="M8" s="385" t="n">
        <f aca="false">IF('Start-up Cashflow'!M7&gt;EOMONTH('Project Assumptions'!$F$25,0),1+(IF('Start-up Cashflow'!L8&lt;=5,'Start-up Cashflow'!L8,0)),0)</f>
        <v>4</v>
      </c>
      <c r="N8" s="385" t="n">
        <f aca="false">IF('Start-up Cashflow'!N7&gt;EOMONTH('Project Assumptions'!$F$25,0),1+(IF('Start-up Cashflow'!M8&lt;=5,'Start-up Cashflow'!M8,0)),0)</f>
        <v>5</v>
      </c>
      <c r="O8" s="385" t="n">
        <f aca="false">IF('Start-up Cashflow'!O7&gt;EOMONTH('Project Assumptions'!$F$25,0),1+(IF('Start-up Cashflow'!N8&lt;=5,'Start-up Cashflow'!N8,0)),0)</f>
        <v>6</v>
      </c>
      <c r="P8" s="385" t="n">
        <f aca="false">IF('Start-up Cashflow'!P7&gt;EOMONTH('Project Assumptions'!$F$25,0),1+(IF('Start-up Cashflow'!O8&lt;=5,'Start-up Cashflow'!O8,0)),0)</f>
        <v>1</v>
      </c>
      <c r="Q8" s="385" t="n">
        <f aca="false">IF('Start-up Cashflow'!Q7&gt;EOMONTH('Project Assumptions'!$F$25,0),1+(IF('Start-up Cashflow'!P8&lt;=5,'Start-up Cashflow'!P8,0)),0)</f>
        <v>2</v>
      </c>
      <c r="R8" s="385" t="n">
        <f aca="false">IF('Start-up Cashflow'!R7&gt;EOMONTH('Project Assumptions'!$F$25,0),1+(IF('Start-up Cashflow'!Q8&lt;=5,'Start-up Cashflow'!Q8,0)),0)</f>
        <v>3</v>
      </c>
      <c r="S8" s="385" t="n">
        <f aca="false">IF('Start-up Cashflow'!S7&gt;EOMONTH('Project Assumptions'!$F$25,0),1+(IF('Start-up Cashflow'!R8&lt;=5,'Start-up Cashflow'!R8,0)),0)</f>
        <v>4</v>
      </c>
      <c r="T8" s="385" t="n">
        <f aca="false">IF('Start-up Cashflow'!T7&gt;EOMONTH('Project Assumptions'!$F$25,0),1+(IF('Start-up Cashflow'!S8&lt;=5,'Start-up Cashflow'!S8,0)),0)</f>
        <v>5</v>
      </c>
      <c r="U8" s="385" t="n">
        <f aca="false">IF('Start-up Cashflow'!U7&gt;EOMONTH('Project Assumptions'!$F$25,0),1+(IF('Start-up Cashflow'!T8&lt;=5,'Start-up Cashflow'!T8,0)),0)</f>
        <v>6</v>
      </c>
      <c r="V8" s="385" t="n">
        <f aca="false">IF('Start-up Cashflow'!V7&gt;EOMONTH('Project Assumptions'!$F$25,0),1+(IF('Start-up Cashflow'!U8&lt;=5,'Start-up Cashflow'!U8,0)),0)</f>
        <v>1</v>
      </c>
      <c r="W8" s="385" t="n">
        <f aca="false">IF('Start-up Cashflow'!W7&gt;EOMONTH('Project Assumptions'!$F$25,0),1+(IF('Start-up Cashflow'!V8&lt;=5,'Start-up Cashflow'!V8,0)),0)</f>
        <v>2</v>
      </c>
      <c r="X8" s="385" t="n">
        <f aca="false">IF('Start-up Cashflow'!X7&gt;EOMONTH('Project Assumptions'!$F$25,0),1+(IF('Start-up Cashflow'!W8&lt;=5,'Start-up Cashflow'!W8,0)),0)</f>
        <v>3</v>
      </c>
      <c r="Y8" s="385" t="n">
        <f aca="false">IF('Start-up Cashflow'!Y7&gt;EOMONTH('Project Assumptions'!$F$25,0),1+(IF('Start-up Cashflow'!X8&lt;=5,'Start-up Cashflow'!X8,0)),0)</f>
        <v>4</v>
      </c>
      <c r="Z8" s="385" t="n">
        <f aca="false">IF('Start-up Cashflow'!Z7&gt;EOMONTH('Project Assumptions'!$F$25,0),1+(IF('Start-up Cashflow'!Y8&lt;=5,'Start-up Cashflow'!Y8,0)),0)</f>
        <v>5</v>
      </c>
      <c r="AA8" s="385" t="n">
        <f aca="false">IF('Start-up Cashflow'!AA7&gt;EOMONTH('Project Assumptions'!$F$25,0),1+(IF('Start-up Cashflow'!Z8&lt;=5,'Start-up Cashflow'!Z8,0)),0)</f>
        <v>6</v>
      </c>
      <c r="AB8" s="385" t="n">
        <f aca="false">IF('Start-up Cashflow'!AB7&gt;EOMONTH('Project Assumptions'!$F$25,0),1+(IF('Start-up Cashflow'!AA8&lt;=5,'Start-up Cashflow'!AA8,0)),0)</f>
        <v>1</v>
      </c>
      <c r="AC8" s="385" t="n">
        <f aca="false">IF('Start-up Cashflow'!AC7&gt;EOMONTH('Project Assumptions'!$F$25,0),1+(IF('Start-up Cashflow'!AB8&lt;=5,'Start-up Cashflow'!AB8,0)),0)</f>
        <v>2</v>
      </c>
      <c r="AD8" s="385" t="n">
        <f aca="false">IF('Start-up Cashflow'!AD7&gt;EOMONTH('Project Assumptions'!$F$25,0),1+(IF('Start-up Cashflow'!AC8&lt;=5,'Start-up Cashflow'!AC8,0)),0)</f>
        <v>3</v>
      </c>
      <c r="AE8" s="385" t="n">
        <f aca="false">IF('Start-up Cashflow'!AE7&gt;EOMONTH('Project Assumptions'!$F$25,0),1+(IF('Start-up Cashflow'!AD8&lt;=5,'Start-up Cashflow'!AD8,0)),0)</f>
        <v>4</v>
      </c>
      <c r="AF8" s="385" t="n">
        <f aca="false">IF('Start-up Cashflow'!AF7&gt;EOMONTH('Project Assumptions'!$F$25,0),1+(IF('Start-up Cashflow'!AE8&lt;=5,'Start-up Cashflow'!AE8,0)),0)</f>
        <v>5</v>
      </c>
      <c r="AG8" s="385" t="n">
        <f aca="false">IF('Start-up Cashflow'!AG7&gt;EOMONTH('Project Assumptions'!$F$25,0),1+(IF('Start-up Cashflow'!AF8&lt;=5,'Start-up Cashflow'!AF8,0)),0)</f>
        <v>6</v>
      </c>
      <c r="AH8" s="385" t="n">
        <f aca="false">IF('Start-up Cashflow'!AH7&gt;EOMONTH('Project Assumptions'!$F$25,0),1+(IF('Start-up Cashflow'!AG8&lt;=5,'Start-up Cashflow'!AG8,0)),0)</f>
        <v>1</v>
      </c>
      <c r="AI8" s="385" t="n">
        <f aca="false">IF('Start-up Cashflow'!AI7&gt;EOMONTH('Project Assumptions'!$F$25,0),1+(IF('Start-up Cashflow'!AH8&lt;=5,'Start-up Cashflow'!AH8,0)),0)</f>
        <v>2</v>
      </c>
      <c r="AJ8" s="385" t="n">
        <f aca="false">IF('Start-up Cashflow'!AJ7&gt;EOMONTH('Project Assumptions'!$F$25,0),1+(IF('Start-up Cashflow'!AI8&lt;=5,'Start-up Cashflow'!AI8,0)),0)</f>
        <v>3</v>
      </c>
      <c r="AK8" s="385" t="n">
        <f aca="false">IF('Start-up Cashflow'!AK7&gt;EOMONTH('Project Assumptions'!$F$25,0),1+(IF('Start-up Cashflow'!AJ8&lt;=5,'Start-up Cashflow'!AJ8,0)),0)</f>
        <v>4</v>
      </c>
      <c r="AL8" s="385" t="n">
        <f aca="false">IF('Start-up Cashflow'!AL7&gt;EOMONTH('Project Assumptions'!$F$25,0),1+(IF('Start-up Cashflow'!AK8&lt;=5,'Start-up Cashflow'!AK8,0)),0)</f>
        <v>5</v>
      </c>
      <c r="AM8" s="385" t="n">
        <f aca="false">IF('Start-up Cashflow'!AM7&gt;EOMONTH('Project Assumptions'!$F$25,0),1+(IF('Start-up Cashflow'!AL8&lt;=5,'Start-up Cashflow'!AL8,0)),0)</f>
        <v>6</v>
      </c>
      <c r="AN8" s="385" t="n">
        <f aca="false">IF('Start-up Cashflow'!AN7&gt;EOMONTH('Project Assumptions'!$F$25,0),1+(IF('Start-up Cashflow'!AM8&lt;=5,'Start-up Cashflow'!AM8,0)),0)</f>
        <v>1</v>
      </c>
      <c r="AO8" s="385" t="n">
        <f aca="false">IF('Start-up Cashflow'!AO7&gt;EOMONTH('Project Assumptions'!$F$25,0),1+(IF('Start-up Cashflow'!AN8&lt;=5,'Start-up Cashflow'!AN8,0)),0)</f>
        <v>2</v>
      </c>
      <c r="AP8" s="385" t="n">
        <f aca="false">IF('Start-up Cashflow'!AP7&gt;EOMONTH('Project Assumptions'!$F$25,0),1+(IF('Start-up Cashflow'!AO8&lt;=5,'Start-up Cashflow'!AO8,0)),0)</f>
        <v>3</v>
      </c>
      <c r="AQ8" s="385" t="n">
        <f aca="false">IF('Start-up Cashflow'!AQ7&gt;EOMONTH('Project Assumptions'!$F$25,0),1+(IF('Start-up Cashflow'!AP8&lt;=5,'Start-up Cashflow'!AP8,0)),0)</f>
        <v>4</v>
      </c>
      <c r="AR8" s="385" t="n">
        <f aca="false">IF('Start-up Cashflow'!AR7&gt;EOMONTH('Project Assumptions'!$F$25,0),1+(IF('Start-up Cashflow'!AQ8&lt;=5,'Start-up Cashflow'!AQ8,0)),0)</f>
        <v>5</v>
      </c>
      <c r="AS8" s="385" t="n">
        <f aca="false">IF('Start-up Cashflow'!AS7&gt;EOMONTH('Project Assumptions'!$F$25,0),1+(IF('Start-up Cashflow'!AR8&lt;=5,'Start-up Cashflow'!AR8,0)),0)</f>
        <v>6</v>
      </c>
      <c r="AT8" s="385" t="n">
        <f aca="false">IF('Start-up Cashflow'!AT7&gt;EOMONTH('Project Assumptions'!$F$25,0),1+(IF('Start-up Cashflow'!AS8&lt;=5,'Start-up Cashflow'!AS8,0)),0)</f>
        <v>1</v>
      </c>
      <c r="AU8" s="385" t="n">
        <f aca="false">IF('Start-up Cashflow'!AU7&gt;EOMONTH('Project Assumptions'!$F$25,0),1+(IF('Start-up Cashflow'!AT8&lt;=5,'Start-up Cashflow'!AT8,0)),0)</f>
        <v>2</v>
      </c>
      <c r="AV8" s="385" t="n">
        <f aca="false">IF('Start-up Cashflow'!AV7&gt;EOMONTH('Project Assumptions'!$F$25,0),1+(IF('Start-up Cashflow'!AU8&lt;=5,'Start-up Cashflow'!AU8,0)),0)</f>
        <v>3</v>
      </c>
      <c r="AW8" s="385" t="n">
        <f aca="false">IF('Start-up Cashflow'!AW7&gt;EOMONTH('Project Assumptions'!$F$25,0),1+(IF('Start-up Cashflow'!AV8&lt;=5,'Start-up Cashflow'!AV8,0)),0)</f>
        <v>4</v>
      </c>
      <c r="AX8" s="385" t="n">
        <f aca="false">IF('Start-up Cashflow'!AX7&gt;EOMONTH('Project Assumptions'!$F$25,0),1+(IF('Start-up Cashflow'!AW8&lt;=5,'Start-up Cashflow'!AW8,0)),0)</f>
        <v>5</v>
      </c>
      <c r="AY8" s="385" t="n">
        <f aca="false">IF('Start-up Cashflow'!AY7&gt;EOMONTH('Project Assumptions'!$F$25,0),1+(IF('Start-up Cashflow'!AX8&lt;=5,'Start-up Cashflow'!AX8,0)),0)</f>
        <v>6</v>
      </c>
      <c r="AZ8" s="385" t="n">
        <f aca="false">IF('Start-up Cashflow'!AZ7&gt;EOMONTH('Project Assumptions'!$F$25,0),1+(IF('Start-up Cashflow'!AY8&lt;=5,'Start-up Cashflow'!AY8,0)),0)</f>
        <v>1</v>
      </c>
      <c r="BA8" s="385" t="n">
        <f aca="false">IF('Start-up Cashflow'!BA7&gt;EOMONTH('Project Assumptions'!$F$25,0),1+(IF('Start-up Cashflow'!AZ8&lt;=5,'Start-up Cashflow'!AZ8,0)),0)</f>
        <v>2</v>
      </c>
      <c r="BB8" s="385" t="n">
        <f aca="false">IF('Start-up Cashflow'!BB7&gt;EOMONTH('Project Assumptions'!$F$25,0),1+(IF('Start-up Cashflow'!BA8&lt;=5,'Start-up Cashflow'!BA8,0)),0)</f>
        <v>3</v>
      </c>
      <c r="BC8" s="385" t="n">
        <f aca="false">IF('Start-up Cashflow'!BC7&gt;EOMONTH('Project Assumptions'!$F$25,0),1+(IF('Start-up Cashflow'!BB8&lt;=5,'Start-up Cashflow'!BB8,0)),0)</f>
        <v>4</v>
      </c>
      <c r="BD8" s="385" t="n">
        <f aca="false">IF('Start-up Cashflow'!BD7&gt;EOMONTH('Project Assumptions'!$F$25,0),1+(IF('Start-up Cashflow'!BC8&lt;=5,'Start-up Cashflow'!BC8,0)),0)</f>
        <v>5</v>
      </c>
      <c r="BE8" s="385" t="n">
        <f aca="false">IF('Start-up Cashflow'!BE7&gt;EOMONTH('Project Assumptions'!$F$25,0),1+(IF('Start-up Cashflow'!BD8&lt;=5,'Start-up Cashflow'!BD8,0)),0)</f>
        <v>6</v>
      </c>
      <c r="BF8" s="385" t="n">
        <f aca="false">IF('Start-up Cashflow'!BF7&gt;EOMONTH('Project Assumptions'!$F$25,0),1+(IF('Start-up Cashflow'!BE8&lt;=5,'Start-up Cashflow'!BE8,0)),0)</f>
        <v>1</v>
      </c>
      <c r="BG8" s="385" t="n">
        <f aca="false">IF('Start-up Cashflow'!BG7&gt;EOMONTH('Project Assumptions'!$F$25,0),1+(IF('Start-up Cashflow'!BF8&lt;=5,'Start-up Cashflow'!BF8,0)),0)</f>
        <v>2</v>
      </c>
      <c r="BH8" s="385" t="n">
        <f aca="false">IF('Start-up Cashflow'!BH7&gt;EOMONTH('Project Assumptions'!$F$25,0),1+(IF('Start-up Cashflow'!BG8&lt;=5,'Start-up Cashflow'!BG8,0)),0)</f>
        <v>3</v>
      </c>
      <c r="BI8" s="385" t="n">
        <f aca="false">IF('Start-up Cashflow'!BI7&gt;EOMONTH('Project Assumptions'!$F$25,0),1+(IF('Start-up Cashflow'!BH8&lt;=5,'Start-up Cashflow'!BH8,0)),0)</f>
        <v>4</v>
      </c>
      <c r="BJ8" s="385" t="n">
        <f aca="false">IF('Start-up Cashflow'!BJ7&gt;EOMONTH('Project Assumptions'!$F$25,0),1+(IF('Start-up Cashflow'!BI8&lt;=5,'Start-up Cashflow'!BI8,0)),0)</f>
        <v>5</v>
      </c>
      <c r="BK8" s="385" t="n">
        <f aca="false">IF('Start-up Cashflow'!BK7&gt;EOMONTH('Project Assumptions'!$F$25,0),1+(IF('Start-up Cashflow'!BJ8&lt;=5,'Start-up Cashflow'!BJ8,0)),0)</f>
        <v>6</v>
      </c>
      <c r="BL8" s="385" t="n">
        <f aca="false">IF('Start-up Cashflow'!BL7&gt;EOMONTH('Project Assumptions'!$F$25,0),1+(IF('Start-up Cashflow'!BK8&lt;=5,'Start-up Cashflow'!BK8,0)),0)</f>
        <v>1</v>
      </c>
      <c r="BM8" s="385" t="n">
        <f aca="false">IF('Start-up Cashflow'!BM7&gt;EOMONTH('Project Assumptions'!$F$25,0),1+(IF('Start-up Cashflow'!BL8&lt;=5,'Start-up Cashflow'!BL8,0)),0)</f>
        <v>2</v>
      </c>
      <c r="BN8" s="385" t="n">
        <f aca="false">IF('Start-up Cashflow'!BN7&gt;EOMONTH('Project Assumptions'!$F$25,0),1+(IF('Start-up Cashflow'!BM8&lt;=5,'Start-up Cashflow'!BM8,0)),0)</f>
        <v>3</v>
      </c>
      <c r="BO8" s="385" t="n">
        <f aca="false">IF('Start-up Cashflow'!BO7&gt;EOMONTH('Project Assumptions'!$F$25,0),1+(IF('Start-up Cashflow'!BN8&lt;=5,'Start-up Cashflow'!BN8,0)),0)</f>
        <v>4</v>
      </c>
      <c r="BP8" s="385" t="n">
        <f aca="false">IF('Start-up Cashflow'!BP7&gt;EOMONTH('Project Assumptions'!$F$25,0),1+(IF('Start-up Cashflow'!BO8&lt;=5,'Start-up Cashflow'!BO8,0)),0)</f>
        <v>5</v>
      </c>
      <c r="BQ8" s="385" t="n">
        <f aca="false">IF('Start-up Cashflow'!BQ7&gt;EOMONTH('Project Assumptions'!$F$25,0),1+(IF('Start-up Cashflow'!BP8&lt;=5,'Start-up Cashflow'!BP8,0)),0)</f>
        <v>6</v>
      </c>
      <c r="BR8" s="385" t="n">
        <f aca="false">IF('Start-up Cashflow'!BR7&gt;EOMONTH('Project Assumptions'!$F$25,0),1+(IF('Start-up Cashflow'!BQ8&lt;=5,'Start-up Cashflow'!BQ8,0)),0)</f>
        <v>1</v>
      </c>
      <c r="BS8" s="385" t="n">
        <f aca="false">IF('Start-up Cashflow'!BS7&gt;EOMONTH('Project Assumptions'!$F$25,0),1+(IF('Start-up Cashflow'!BR8&lt;=5,'Start-up Cashflow'!BR8,0)),0)</f>
        <v>2</v>
      </c>
      <c r="BT8" s="385" t="n">
        <f aca="false">IF('Start-up Cashflow'!BT7&gt;EOMONTH('Project Assumptions'!$F$25,0),1+(IF('Start-up Cashflow'!BS8&lt;=5,'Start-up Cashflow'!BS8,0)),0)</f>
        <v>3</v>
      </c>
      <c r="BU8" s="385" t="n">
        <f aca="false">IF('Start-up Cashflow'!BU7&gt;EOMONTH('Project Assumptions'!$F$25,0),1+(IF('Start-up Cashflow'!BT8&lt;=5,'Start-up Cashflow'!BT8,0)),0)</f>
        <v>4</v>
      </c>
      <c r="BV8" s="385" t="n">
        <f aca="false">IF('Start-up Cashflow'!BV7&gt;EOMONTH('Project Assumptions'!$F$25,0),1+(IF('Start-up Cashflow'!BU8&lt;=5,'Start-up Cashflow'!BU8,0)),0)</f>
        <v>5</v>
      </c>
      <c r="BW8" s="385" t="n">
        <f aca="false">IF('Start-up Cashflow'!BW7&gt;EOMONTH('Project Assumptions'!$F$25,0),1+(IF('Start-up Cashflow'!BV8&lt;=5,'Start-up Cashflow'!BV8,0)),0)</f>
        <v>6</v>
      </c>
      <c r="BX8" s="385" t="n">
        <f aca="false">IF('Start-up Cashflow'!BX7&gt;EOMONTH('Project Assumptions'!$F$25,0),1+(IF('Start-up Cashflow'!BW8&lt;=5,'Start-up Cashflow'!BW8,0)),0)</f>
        <v>1</v>
      </c>
      <c r="BY8" s="385" t="n">
        <f aca="false">IF('Start-up Cashflow'!BY7&gt;EOMONTH('Project Assumptions'!$F$25,0),1+(IF('Start-up Cashflow'!BX8&lt;=5,'Start-up Cashflow'!BX8,0)),0)</f>
        <v>2</v>
      </c>
      <c r="BZ8" s="385" t="n">
        <f aca="false">IF('Start-up Cashflow'!BZ7&gt;EOMONTH('Project Assumptions'!$F$25,0),1+(IF('Start-up Cashflow'!BY8&lt;=5,'Start-up Cashflow'!BY8,0)),0)</f>
        <v>3</v>
      </c>
      <c r="CA8" s="385" t="n">
        <f aca="false">IF('Start-up Cashflow'!CA7&gt;EOMONTH('Project Assumptions'!$F$25,0),1+(IF('Start-up Cashflow'!BZ8&lt;=5,'Start-up Cashflow'!BZ8,0)),0)</f>
        <v>4</v>
      </c>
      <c r="CB8" s="385" t="n">
        <f aca="false">IF('Start-up Cashflow'!CB7&gt;EOMONTH('Project Assumptions'!$F$25,0),1+(IF('Start-up Cashflow'!CA8&lt;=5,'Start-up Cashflow'!CA8,0)),0)</f>
        <v>5</v>
      </c>
      <c r="CC8" s="385" t="n">
        <f aca="false">IF('Start-up Cashflow'!CC7&gt;EOMONTH('Project Assumptions'!$F$25,0),1+(IF('Start-up Cashflow'!CB8&lt;=5,'Start-up Cashflow'!CB8,0)),0)</f>
        <v>6</v>
      </c>
      <c r="CD8" s="385" t="n">
        <f aca="false">IF('Start-up Cashflow'!CD7&gt;EOMONTH('Project Assumptions'!$F$25,0),1+(IF('Start-up Cashflow'!CC8&lt;=5,'Start-up Cashflow'!CC8,0)),0)</f>
        <v>1</v>
      </c>
      <c r="CE8" s="385" t="n">
        <f aca="false">IF('Start-up Cashflow'!CE7&gt;EOMONTH('Project Assumptions'!$F$25,0),1+(IF('Start-up Cashflow'!CD8&lt;=5,'Start-up Cashflow'!CD8,0)),0)</f>
        <v>2</v>
      </c>
      <c r="CF8" s="385" t="n">
        <f aca="false">IF('Start-up Cashflow'!CF7&gt;EOMONTH('Project Assumptions'!$F$25,0),1+(IF('Start-up Cashflow'!CE8&lt;=5,'Start-up Cashflow'!CE8,0)),0)</f>
        <v>3</v>
      </c>
      <c r="CG8" s="385" t="n">
        <f aca="false">IF('Start-up Cashflow'!CG7&gt;EOMONTH('Project Assumptions'!$F$25,0),1+(IF('Start-up Cashflow'!CF8&lt;=5,'Start-up Cashflow'!CF8,0)),0)</f>
        <v>4</v>
      </c>
      <c r="CH8" s="385" t="n">
        <f aca="false">IF('Start-up Cashflow'!CH7&gt;EOMONTH('Project Assumptions'!$F$25,0),1+(IF('Start-up Cashflow'!CG8&lt;=5,'Start-up Cashflow'!CG8,0)),0)</f>
        <v>5</v>
      </c>
      <c r="CI8" s="385" t="n">
        <f aca="false">IF('Start-up Cashflow'!CI7&gt;EOMONTH('Project Assumptions'!$F$25,0),1+(IF('Start-up Cashflow'!CH8&lt;=5,'Start-up Cashflow'!CH8,0)),0)</f>
        <v>6</v>
      </c>
      <c r="CJ8" s="385" t="n">
        <f aca="false">IF('Start-up Cashflow'!CJ7&gt;EOMONTH('Project Assumptions'!$F$25,0),1+(IF('Start-up Cashflow'!CI8&lt;=5,'Start-up Cashflow'!CI8,0)),0)</f>
        <v>1</v>
      </c>
      <c r="CK8" s="385" t="n">
        <f aca="false">IF('Start-up Cashflow'!CK7&gt;EOMONTH('Project Assumptions'!$F$25,0),1+(IF('Start-up Cashflow'!CJ8&lt;=5,'Start-up Cashflow'!CJ8,0)),0)</f>
        <v>2</v>
      </c>
      <c r="CL8" s="385" t="n">
        <f aca="false">IF('Start-up Cashflow'!CL7&gt;EOMONTH('Project Assumptions'!$F$25,0),1+(IF('Start-up Cashflow'!CK8&lt;=5,'Start-up Cashflow'!CK8,0)),0)</f>
        <v>3</v>
      </c>
      <c r="CM8" s="385" t="n">
        <f aca="false">IF('Start-up Cashflow'!CM7&gt;EOMONTH('Project Assumptions'!$F$25,0),1+(IF('Start-up Cashflow'!CL8&lt;=5,'Start-up Cashflow'!CL8,0)),0)</f>
        <v>4</v>
      </c>
      <c r="CN8" s="385" t="n">
        <f aca="false">IF('Start-up Cashflow'!CN7&gt;EOMONTH('Project Assumptions'!$F$25,0),1+(IF('Start-up Cashflow'!CM8&lt;=5,'Start-up Cashflow'!CM8,0)),0)</f>
        <v>5</v>
      </c>
      <c r="CO8" s="385" t="n">
        <f aca="false">IF('Start-up Cashflow'!CO7&gt;EOMONTH('Project Assumptions'!$F$25,0),1+(IF('Start-up Cashflow'!CN8&lt;=5,'Start-up Cashflow'!CN8,0)),0)</f>
        <v>6</v>
      </c>
      <c r="CP8" s="385" t="n">
        <f aca="false">IF('Start-up Cashflow'!CP7&gt;EOMONTH('Project Assumptions'!$F$25,0),1+(IF('Start-up Cashflow'!CO8&lt;=5,'Start-up Cashflow'!CO8,0)),0)</f>
        <v>1</v>
      </c>
      <c r="CQ8" s="385" t="n">
        <f aca="false">IF('Start-up Cashflow'!CQ7&gt;EOMONTH('Project Assumptions'!$F$25,0),1+(IF('Start-up Cashflow'!CP8&lt;=5,'Start-up Cashflow'!CP8,0)),0)</f>
        <v>2</v>
      </c>
      <c r="CR8" s="385" t="n">
        <f aca="false">IF('Start-up Cashflow'!CR7&gt;EOMONTH('Project Assumptions'!$F$25,0),1+(IF('Start-up Cashflow'!CQ8&lt;=5,'Start-up Cashflow'!CQ8,0)),0)</f>
        <v>3</v>
      </c>
      <c r="CS8" s="385" t="n">
        <f aca="false">IF('Start-up Cashflow'!CS7&gt;EOMONTH('Project Assumptions'!$F$25,0),1+(IF('Start-up Cashflow'!CR8&lt;=5,'Start-up Cashflow'!CR8,0)),0)</f>
        <v>4</v>
      </c>
      <c r="CT8" s="385" t="n">
        <f aca="false">IF('Start-up Cashflow'!CT7&gt;EOMONTH('Project Assumptions'!$F$25,0),1+(IF('Start-up Cashflow'!CS8&lt;=5,'Start-up Cashflow'!CS8,0)),0)</f>
        <v>5</v>
      </c>
      <c r="CU8" s="385" t="n">
        <f aca="false">IF('Start-up Cashflow'!CU7&gt;EOMONTH('Project Assumptions'!$F$25,0),1+(IF('Start-up Cashflow'!CT8&lt;=5,'Start-up Cashflow'!CT8,0)),0)</f>
        <v>6</v>
      </c>
      <c r="CV8" s="385" t="n">
        <f aca="false">IF('Start-up Cashflow'!CV7&gt;EOMONTH('Project Assumptions'!$F$25,0),1+(IF('Start-up Cashflow'!CU8&lt;=5,'Start-up Cashflow'!CU8,0)),0)</f>
        <v>1</v>
      </c>
      <c r="CW8" s="385" t="n">
        <f aca="false">IF('Start-up Cashflow'!CW7&gt;EOMONTH('Project Assumptions'!$F$25,0),1+(IF('Start-up Cashflow'!CV8&lt;=5,'Start-up Cashflow'!CV8,0)),0)</f>
        <v>2</v>
      </c>
      <c r="CX8" s="385" t="n">
        <f aca="false">IF('Start-up Cashflow'!CX7&gt;EOMONTH('Project Assumptions'!$F$25,0),1+(IF('Start-up Cashflow'!CW8&lt;=5,'Start-up Cashflow'!CW8,0)),0)</f>
        <v>3</v>
      </c>
      <c r="CY8" s="385" t="n">
        <f aca="false">IF('Start-up Cashflow'!CY7&gt;EOMONTH('Project Assumptions'!$F$25,0),1+(IF('Start-up Cashflow'!CX8&lt;=5,'Start-up Cashflow'!CX8,0)),0)</f>
        <v>4</v>
      </c>
      <c r="CZ8" s="385" t="n">
        <f aca="false">IF('Start-up Cashflow'!CZ7&gt;EOMONTH('Project Assumptions'!$F$25,0),1+(IF('Start-up Cashflow'!CY8&lt;=5,'Start-up Cashflow'!CY8,0)),0)</f>
        <v>5</v>
      </c>
      <c r="DA8" s="385" t="n">
        <f aca="false">IF('Start-up Cashflow'!DA7&gt;EOMONTH('Project Assumptions'!$F$25,0),1+(IF('Start-up Cashflow'!CZ8&lt;=5,'Start-up Cashflow'!CZ8,0)),0)</f>
        <v>6</v>
      </c>
      <c r="DB8" s="385" t="n">
        <f aca="false">IF('Start-up Cashflow'!DB7&gt;EOMONTH('Project Assumptions'!$F$25,0),1+(IF('Start-up Cashflow'!DA8&lt;=5,'Start-up Cashflow'!DA8,0)),0)</f>
        <v>1</v>
      </c>
      <c r="DC8" s="385" t="n">
        <f aca="false">IF('Start-up Cashflow'!DC7&gt;EOMONTH('Project Assumptions'!$F$25,0),1+(IF('Start-up Cashflow'!DB8&lt;=5,'Start-up Cashflow'!DB8,0)),0)</f>
        <v>2</v>
      </c>
      <c r="DD8" s="385" t="n">
        <f aca="false">IF('Start-up Cashflow'!DD7&gt;EOMONTH('Project Assumptions'!$F$25,0),1+(IF('Start-up Cashflow'!DC8&lt;=5,'Start-up Cashflow'!DC8,0)),0)</f>
        <v>3</v>
      </c>
      <c r="DE8" s="385" t="n">
        <f aca="false">IF('Start-up Cashflow'!DE7&gt;EOMONTH('Project Assumptions'!$F$25,0),1+(IF('Start-up Cashflow'!DD8&lt;=5,'Start-up Cashflow'!DD8,0)),0)</f>
        <v>4</v>
      </c>
      <c r="DF8" s="385" t="n">
        <f aca="false">IF('Start-up Cashflow'!DF7&gt;EOMONTH('Project Assumptions'!$F$25,0),1+(IF('Start-up Cashflow'!DE8&lt;=5,'Start-up Cashflow'!DE8,0)),0)</f>
        <v>5</v>
      </c>
      <c r="DG8" s="385" t="n">
        <f aca="false">IF('Start-up Cashflow'!DG7&gt;EOMONTH('Project Assumptions'!$F$25,0),1+(IF('Start-up Cashflow'!DF8&lt;=5,'Start-up Cashflow'!DF8,0)),0)</f>
        <v>6</v>
      </c>
      <c r="DH8" s="385" t="n">
        <f aca="false">IF('Start-up Cashflow'!DH7&gt;EOMONTH('Project Assumptions'!$F$25,0),1+(IF('Start-up Cashflow'!DG8&lt;=5,'Start-up Cashflow'!DG8,0)),0)</f>
        <v>1</v>
      </c>
      <c r="DI8" s="385" t="n">
        <f aca="false">IF('Start-up Cashflow'!DI7&gt;EOMONTH('Project Assumptions'!$F$25,0),1+(IF('Start-up Cashflow'!DH8&lt;=5,'Start-up Cashflow'!DH8,0)),0)</f>
        <v>2</v>
      </c>
      <c r="DJ8" s="385" t="n">
        <f aca="false">IF('Start-up Cashflow'!DJ7&gt;EOMONTH('Project Assumptions'!$F$25,0),1+(IF('Start-up Cashflow'!DI8&lt;=5,'Start-up Cashflow'!DI8,0)),0)</f>
        <v>3</v>
      </c>
      <c r="DK8" s="385" t="n">
        <f aca="false">IF('Start-up Cashflow'!DK7&gt;EOMONTH('Project Assumptions'!$F$25,0),1+(IF('Start-up Cashflow'!DJ8&lt;=5,'Start-up Cashflow'!DJ8,0)),0)</f>
        <v>4</v>
      </c>
      <c r="DL8" s="385" t="n">
        <f aca="false">IF('Start-up Cashflow'!DL7&gt;EOMONTH('Project Assumptions'!$F$25,0),1+(IF('Start-up Cashflow'!DK8&lt;=5,'Start-up Cashflow'!DK8,0)),0)</f>
        <v>5</v>
      </c>
      <c r="DM8" s="385" t="n">
        <f aca="false">IF('Start-up Cashflow'!DM7&gt;EOMONTH('Project Assumptions'!$F$25,0),1+(IF('Start-up Cashflow'!DL8&lt;=5,'Start-up Cashflow'!DL8,0)),0)</f>
        <v>6</v>
      </c>
      <c r="DN8" s="385" t="n">
        <f aca="false">IF('Start-up Cashflow'!DN7&gt;EOMONTH('Project Assumptions'!$F$25,0),1+(IF('Start-up Cashflow'!DM8&lt;=5,'Start-up Cashflow'!DM8,0)),0)</f>
        <v>1</v>
      </c>
      <c r="DO8" s="385" t="n">
        <f aca="false">IF('Start-up Cashflow'!DO7&gt;EOMONTH('Project Assumptions'!$F$25,0),1+(IF('Start-up Cashflow'!DN8&lt;=5,'Start-up Cashflow'!DN8,0)),0)</f>
        <v>2</v>
      </c>
      <c r="DP8" s="385" t="n">
        <f aca="false">IF('Start-up Cashflow'!DP7&gt;EOMONTH('Project Assumptions'!$F$25,0),1+(IF('Start-up Cashflow'!DO8&lt;=5,'Start-up Cashflow'!DO8,0)),0)</f>
        <v>3</v>
      </c>
      <c r="DQ8" s="385" t="n">
        <f aca="false">IF('Start-up Cashflow'!DQ7&gt;EOMONTH('Project Assumptions'!$F$25,0),1+(IF('Start-up Cashflow'!DP8&lt;=5,'Start-up Cashflow'!DP8,0)),0)</f>
        <v>4</v>
      </c>
      <c r="DR8" s="385" t="n">
        <f aca="false">IF('Start-up Cashflow'!DR7&gt;EOMONTH('Project Assumptions'!$F$25,0),1+(IF('Start-up Cashflow'!DQ8&lt;=5,'Start-up Cashflow'!DQ8,0)),0)</f>
        <v>5</v>
      </c>
      <c r="DS8" s="385" t="n">
        <f aca="false">IF('Start-up Cashflow'!DS7&gt;EOMONTH('Project Assumptions'!$F$25,0),1+(IF('Start-up Cashflow'!DR8&lt;=5,'Start-up Cashflow'!DR8,0)),0)</f>
        <v>6</v>
      </c>
      <c r="DT8" s="385" t="n">
        <f aca="false">IF('Start-up Cashflow'!DT7&gt;EOMONTH('Project Assumptions'!$F$25,0),1+(IF('Start-up Cashflow'!DS8&lt;=5,'Start-up Cashflow'!DS8,0)),0)</f>
        <v>1</v>
      </c>
      <c r="DU8" s="385" t="n">
        <f aca="false">IF('Start-up Cashflow'!DU7&gt;EOMONTH('Project Assumptions'!$F$25,0),1+(IF('Start-up Cashflow'!DT8&lt;=5,'Start-up Cashflow'!DT8,0)),0)</f>
        <v>2</v>
      </c>
      <c r="DV8" s="385" t="n">
        <f aca="false">IF('Start-up Cashflow'!DV7&gt;EOMONTH('Project Assumptions'!$F$25,0),1+(IF('Start-up Cashflow'!DU8&lt;=5,'Start-up Cashflow'!DU8,0)),0)</f>
        <v>3</v>
      </c>
      <c r="DW8" s="385" t="n">
        <f aca="false">IF('Start-up Cashflow'!DW7&gt;EOMONTH('Project Assumptions'!$F$25,0),1+(IF('Start-up Cashflow'!DV8&lt;=5,'Start-up Cashflow'!DV8,0)),0)</f>
        <v>4</v>
      </c>
      <c r="DX8" s="385" t="n">
        <f aca="false">IF('Start-up Cashflow'!DX7&gt;EOMONTH('Project Assumptions'!$F$25,0),1+(IF('Start-up Cashflow'!DW8&lt;=5,'Start-up Cashflow'!DW8,0)),0)</f>
        <v>5</v>
      </c>
      <c r="DY8" s="385" t="n">
        <f aca="false">IF('Start-up Cashflow'!DY7&gt;EOMONTH('Project Assumptions'!$F$25,0),1+(IF('Start-up Cashflow'!DX8&lt;=5,'Start-up Cashflow'!DX8,0)),0)</f>
        <v>6</v>
      </c>
      <c r="DZ8" s="385" t="n">
        <f aca="false">IF('Start-up Cashflow'!DZ7&gt;EOMONTH('Project Assumptions'!$F$25,0),1+(IF('Start-up Cashflow'!DY8&lt;=5,'Start-up Cashflow'!DY8,0)),0)</f>
        <v>1</v>
      </c>
      <c r="EA8" s="385" t="n">
        <f aca="false">IF('Start-up Cashflow'!EA7&gt;EOMONTH('Project Assumptions'!$F$25,0),1+(IF('Start-up Cashflow'!DZ8&lt;=5,'Start-up Cashflow'!DZ8,0)),0)</f>
        <v>2</v>
      </c>
      <c r="EB8" s="385" t="n">
        <f aca="false">IF('Start-up Cashflow'!EB7&gt;EOMONTH('Project Assumptions'!$F$25,0),1+(IF('Start-up Cashflow'!EA8&lt;=5,'Start-up Cashflow'!EA8,0)),0)</f>
        <v>3</v>
      </c>
      <c r="EC8" s="385" t="n">
        <f aca="false">IF('Start-up Cashflow'!EC7&gt;EOMONTH('Project Assumptions'!$F$25,0),1+(IF('Start-up Cashflow'!EB8&lt;=5,'Start-up Cashflow'!EB8,0)),0)</f>
        <v>4</v>
      </c>
      <c r="ED8" s="385" t="n">
        <f aca="false">IF('Start-up Cashflow'!ED7&gt;EOMONTH('Project Assumptions'!$F$25,0),1+(IF('Start-up Cashflow'!EC8&lt;=5,'Start-up Cashflow'!EC8,0)),0)</f>
        <v>5</v>
      </c>
      <c r="EE8" s="385" t="n">
        <f aca="false">IF('Start-up Cashflow'!EE7&gt;EOMONTH('Project Assumptions'!$F$25,0),1+(IF('Start-up Cashflow'!ED8&lt;=5,'Start-up Cashflow'!ED8,0)),0)</f>
        <v>6</v>
      </c>
      <c r="EF8" s="385" t="n">
        <f aca="false">IF('Start-up Cashflow'!EF7&gt;EOMONTH('Project Assumptions'!$F$25,0),1+(IF('Start-up Cashflow'!EE8&lt;=5,'Start-up Cashflow'!EE8,0)),0)</f>
        <v>1</v>
      </c>
      <c r="EG8" s="385" t="n">
        <f aca="false">IF('Start-up Cashflow'!EG7&gt;EOMONTH('Project Assumptions'!$F$25,0),1+(IF('Start-up Cashflow'!EF8&lt;=5,'Start-up Cashflow'!EF8,0)),0)</f>
        <v>2</v>
      </c>
      <c r="EH8" s="385" t="n">
        <f aca="false">IF('Start-up Cashflow'!EH7&gt;EOMONTH('Project Assumptions'!$F$25,0),1+(IF('Start-up Cashflow'!EG8&lt;=5,'Start-up Cashflow'!EG8,0)),0)</f>
        <v>3</v>
      </c>
      <c r="EI8" s="385" t="n">
        <f aca="false">IF('Start-up Cashflow'!EI7&gt;EOMONTH('Project Assumptions'!$F$25,0),1+(IF('Start-up Cashflow'!EH8&lt;=5,'Start-up Cashflow'!EH8,0)),0)</f>
        <v>4</v>
      </c>
      <c r="EJ8" s="385" t="n">
        <f aca="false">IF('Start-up Cashflow'!EJ7&gt;EOMONTH('Project Assumptions'!$F$25,0),1+(IF('Start-up Cashflow'!EI8&lt;=5,'Start-up Cashflow'!EI8,0)),0)</f>
        <v>5</v>
      </c>
      <c r="EK8" s="385" t="n">
        <f aca="false">IF('Start-up Cashflow'!EK7&gt;EOMONTH('Project Assumptions'!$F$25,0),1+(IF('Start-up Cashflow'!EJ8&lt;=5,'Start-up Cashflow'!EJ8,0)),0)</f>
        <v>6</v>
      </c>
      <c r="EL8" s="385" t="n">
        <f aca="false">IF('Start-up Cashflow'!EL7&gt;EOMONTH('Project Assumptions'!$F$25,0),1+(IF('Start-up Cashflow'!EK8&lt;=5,'Start-up Cashflow'!EK8,0)),0)</f>
        <v>1</v>
      </c>
      <c r="EM8" s="385" t="n">
        <f aca="false">IF('Start-up Cashflow'!EM7&gt;EOMONTH('Project Assumptions'!$F$25,0),1+(IF('Start-up Cashflow'!EL8&lt;=5,'Start-up Cashflow'!EL8,0)),0)</f>
        <v>2</v>
      </c>
      <c r="EN8" s="385" t="n">
        <f aca="false">IF('Start-up Cashflow'!EN7&gt;EOMONTH('Project Assumptions'!$F$25,0),1+(IF('Start-up Cashflow'!EM8&lt;=5,'Start-up Cashflow'!EM8,0)),0)</f>
        <v>3</v>
      </c>
      <c r="EO8" s="385" t="n">
        <f aca="false">IF('Start-up Cashflow'!EO7&gt;EOMONTH('Project Assumptions'!$F$25,0),1+(IF('Start-up Cashflow'!EN8&lt;=5,'Start-up Cashflow'!EN8,0)),0)</f>
        <v>4</v>
      </c>
      <c r="EP8" s="385" t="n">
        <f aca="false">IF('Start-up Cashflow'!EP7&gt;EOMONTH('Project Assumptions'!$F$25,0),1+(IF('Start-up Cashflow'!EO8&lt;=5,'Start-up Cashflow'!EO8,0)),0)</f>
        <v>5</v>
      </c>
      <c r="EQ8" s="385" t="n">
        <f aca="false">IF('Start-up Cashflow'!EQ7&gt;EOMONTH('Project Assumptions'!$F$25,0),1+(IF('Start-up Cashflow'!EP8&lt;=5,'Start-up Cashflow'!EP8,0)),0)</f>
        <v>6</v>
      </c>
      <c r="ER8" s="385" t="n">
        <f aca="false">IF('Start-up Cashflow'!ER7&gt;EOMONTH('Project Assumptions'!$F$25,0),1+(IF('Start-up Cashflow'!EQ8&lt;=5,'Start-up Cashflow'!EQ8,0)),0)</f>
        <v>1</v>
      </c>
      <c r="ES8" s="385" t="n">
        <f aca="false">IF('Start-up Cashflow'!ES7&gt;EOMONTH('Project Assumptions'!$F$25,0),1+(IF('Start-up Cashflow'!ER8&lt;=5,'Start-up Cashflow'!ER8,0)),0)</f>
        <v>2</v>
      </c>
      <c r="ET8" s="385" t="n">
        <f aca="false">IF('Start-up Cashflow'!ET7&gt;EOMONTH('Project Assumptions'!$F$25,0),1+(IF('Start-up Cashflow'!ES8&lt;=5,'Start-up Cashflow'!ES8,0)),0)</f>
        <v>3</v>
      </c>
      <c r="EU8" s="385" t="n">
        <f aca="false">IF('Start-up Cashflow'!EU7&gt;EOMONTH('Project Assumptions'!$F$25,0),1+(IF('Start-up Cashflow'!ET8&lt;=5,'Start-up Cashflow'!ET8,0)),0)</f>
        <v>4</v>
      </c>
      <c r="EV8" s="385" t="n">
        <f aca="false">IF('Start-up Cashflow'!EV7&gt;EOMONTH('Project Assumptions'!$F$25,0),1+(IF('Start-up Cashflow'!EU8&lt;=5,'Start-up Cashflow'!EU8,0)),0)</f>
        <v>5</v>
      </c>
      <c r="EW8" s="385" t="n">
        <f aca="false">IF('Start-up Cashflow'!EW7&gt;EOMONTH('Project Assumptions'!$F$25,0),1+(IF('Start-up Cashflow'!EV8&lt;=5,'Start-up Cashflow'!EV8,0)),0)</f>
        <v>6</v>
      </c>
      <c r="EX8" s="385" t="n">
        <f aca="false">IF('Start-up Cashflow'!EX7&gt;EOMONTH('Project Assumptions'!$F$25,0),1+(IF('Start-up Cashflow'!EW8&lt;=5,'Start-up Cashflow'!EW8,0)),0)</f>
        <v>1</v>
      </c>
      <c r="EY8" s="385" t="n">
        <f aca="false">IF('Start-up Cashflow'!EY7&gt;EOMONTH('Project Assumptions'!$F$25,0),1+(IF('Start-up Cashflow'!EX8&lt;=5,'Start-up Cashflow'!EX8,0)),0)</f>
        <v>2</v>
      </c>
      <c r="EZ8" s="385" t="n">
        <f aca="false">IF('Start-up Cashflow'!EZ7&gt;EOMONTH('Project Assumptions'!$F$25,0),1+(IF('Start-up Cashflow'!EY8&lt;=5,'Start-up Cashflow'!EY8,0)),0)</f>
        <v>3</v>
      </c>
      <c r="FA8" s="385" t="n">
        <f aca="false">IF('Start-up Cashflow'!FA7&gt;EOMONTH('Project Assumptions'!$F$25,0),1+(IF('Start-up Cashflow'!EZ8&lt;=5,'Start-up Cashflow'!EZ8,0)),0)</f>
        <v>4</v>
      </c>
      <c r="FB8" s="385" t="n">
        <f aca="false">IF('Start-up Cashflow'!FB7&gt;EOMONTH('Project Assumptions'!$F$25,0),1+(IF('Start-up Cashflow'!FA8&lt;=5,'Start-up Cashflow'!FA8,0)),0)</f>
        <v>5</v>
      </c>
      <c r="FC8" s="385" t="n">
        <f aca="false">IF('Start-up Cashflow'!FC7&gt;EOMONTH('Project Assumptions'!$F$25,0),1+(IF('Start-up Cashflow'!FB8&lt;=5,'Start-up Cashflow'!FB8,0)),0)</f>
        <v>6</v>
      </c>
      <c r="FD8" s="385" t="n">
        <f aca="false">IF('Start-up Cashflow'!FD7&gt;EOMONTH('Project Assumptions'!$F$25,0),1+(IF('Start-up Cashflow'!FC8&lt;=5,'Start-up Cashflow'!FC8,0)),0)</f>
        <v>1</v>
      </c>
      <c r="FE8" s="385" t="n">
        <f aca="false">IF('Start-up Cashflow'!FE7&gt;EOMONTH('Project Assumptions'!$F$25,0),1+(IF('Start-up Cashflow'!FD8&lt;=5,'Start-up Cashflow'!FD8,0)),0)</f>
        <v>2</v>
      </c>
      <c r="FF8" s="385" t="n">
        <f aca="false">IF('Start-up Cashflow'!FF7&gt;EOMONTH('Project Assumptions'!$F$25,0),1+(IF('Start-up Cashflow'!FE8&lt;=5,'Start-up Cashflow'!FE8,0)),0)</f>
        <v>3</v>
      </c>
      <c r="FG8" s="385" t="n">
        <f aca="false">IF('Start-up Cashflow'!FG7&gt;EOMONTH('Project Assumptions'!$F$25,0),1+(IF('Start-up Cashflow'!FF8&lt;=5,'Start-up Cashflow'!FF8,0)),0)</f>
        <v>4</v>
      </c>
      <c r="FH8" s="385" t="n">
        <f aca="false">IF('Start-up Cashflow'!FH7&gt;EOMONTH('Project Assumptions'!$F$25,0),1+(IF('Start-up Cashflow'!FG8&lt;=5,'Start-up Cashflow'!FG8,0)),0)</f>
        <v>5</v>
      </c>
      <c r="FI8" s="385" t="n">
        <f aca="false">IF('Start-up Cashflow'!FI7&gt;EOMONTH('Project Assumptions'!$F$25,0),1+(IF('Start-up Cashflow'!FH8&lt;=5,'Start-up Cashflow'!FH8,0)),0)</f>
        <v>6</v>
      </c>
      <c r="FJ8" s="385" t="n">
        <f aca="false">IF('Start-up Cashflow'!FJ7&gt;EOMONTH('Project Assumptions'!$F$25,0),1+(IF('Start-up Cashflow'!FI8&lt;=5,'Start-up Cashflow'!FI8,0)),0)</f>
        <v>1</v>
      </c>
      <c r="FK8" s="385" t="n">
        <f aca="false">IF('Start-up Cashflow'!FK7&gt;EOMONTH('Project Assumptions'!$F$25,0),1+(IF('Start-up Cashflow'!FJ8&lt;=5,'Start-up Cashflow'!FJ8,0)),0)</f>
        <v>2</v>
      </c>
      <c r="FL8" s="385" t="n">
        <f aca="false">IF('Start-up Cashflow'!FL7&gt;EOMONTH('Project Assumptions'!$F$25,0),1+(IF('Start-up Cashflow'!FK8&lt;=5,'Start-up Cashflow'!FK8,0)),0)</f>
        <v>3</v>
      </c>
      <c r="FM8" s="385" t="n">
        <f aca="false">IF('Start-up Cashflow'!FM7&gt;EOMONTH('Project Assumptions'!$F$25,0),1+(IF('Start-up Cashflow'!FL8&lt;=5,'Start-up Cashflow'!FL8,0)),0)</f>
        <v>4</v>
      </c>
      <c r="FN8" s="385" t="n">
        <f aca="false">IF('Start-up Cashflow'!FN7&gt;EOMONTH('Project Assumptions'!$F$25,0),1+(IF('Start-up Cashflow'!FM8&lt;=5,'Start-up Cashflow'!FM8,0)),0)</f>
        <v>5</v>
      </c>
      <c r="FO8" s="385" t="n">
        <f aca="false">IF('Start-up Cashflow'!FO7&gt;EOMONTH('Project Assumptions'!$F$25,0),1+(IF('Start-up Cashflow'!FN8&lt;=5,'Start-up Cashflow'!FN8,0)),0)</f>
        <v>6</v>
      </c>
      <c r="FP8" s="385" t="n">
        <f aca="false">IF('Start-up Cashflow'!FP7&gt;EOMONTH('Project Assumptions'!$F$25,0),1+(IF('Start-up Cashflow'!FO8&lt;=5,'Start-up Cashflow'!FO8,0)),0)</f>
        <v>1</v>
      </c>
      <c r="FQ8" s="385" t="n">
        <f aca="false">IF('Start-up Cashflow'!FQ7&gt;EOMONTH('Project Assumptions'!$F$25,0),1+(IF('Start-up Cashflow'!FP8&lt;=5,'Start-up Cashflow'!FP8,0)),0)</f>
        <v>2</v>
      </c>
      <c r="FR8" s="385" t="n">
        <f aca="false">IF('Start-up Cashflow'!FR7&gt;EOMONTH('Project Assumptions'!$F$25,0),1+(IF('Start-up Cashflow'!FQ8&lt;=5,'Start-up Cashflow'!FQ8,0)),0)</f>
        <v>3</v>
      </c>
      <c r="FS8" s="385" t="n">
        <f aca="false">IF('Start-up Cashflow'!FS7&gt;EOMONTH('Project Assumptions'!$F$25,0),1+(IF('Start-up Cashflow'!FR8&lt;=5,'Start-up Cashflow'!FR8,0)),0)</f>
        <v>4</v>
      </c>
      <c r="FT8" s="385" t="n">
        <f aca="false">IF('Start-up Cashflow'!FT7&gt;EOMONTH('Project Assumptions'!$F$25,0),1+(IF('Start-up Cashflow'!FS8&lt;=5,'Start-up Cashflow'!FS8,0)),0)</f>
        <v>5</v>
      </c>
      <c r="FU8" s="385" t="n">
        <f aca="false">IF('Start-up Cashflow'!FU7&gt;EOMONTH('Project Assumptions'!$F$25,0),1+(IF('Start-up Cashflow'!FT8&lt;=5,'Start-up Cashflow'!FT8,0)),0)</f>
        <v>6</v>
      </c>
      <c r="FV8" s="385" t="n">
        <f aca="false">IF('Start-up Cashflow'!FV7&gt;EOMONTH('Project Assumptions'!$F$25,0),1+(IF('Start-up Cashflow'!FU8&lt;=5,'Start-up Cashflow'!FU8,0)),0)</f>
        <v>1</v>
      </c>
      <c r="FW8" s="385" t="n">
        <f aca="false">IF('Start-up Cashflow'!FW7&gt;EOMONTH('Project Assumptions'!$F$25,0),1+(IF('Start-up Cashflow'!FV8&lt;=5,'Start-up Cashflow'!FV8,0)),0)</f>
        <v>2</v>
      </c>
      <c r="FX8" s="385" t="n">
        <f aca="false">IF('Start-up Cashflow'!FX7&gt;EOMONTH('Project Assumptions'!$F$25,0),1+(IF('Start-up Cashflow'!FW8&lt;=5,'Start-up Cashflow'!FW8,0)),0)</f>
        <v>3</v>
      </c>
      <c r="FY8" s="385" t="n">
        <f aca="false">IF('Start-up Cashflow'!FY7&gt;EOMONTH('Project Assumptions'!$F$25,0),1+(IF('Start-up Cashflow'!FX8&lt;=5,'Start-up Cashflow'!FX8,0)),0)</f>
        <v>4</v>
      </c>
      <c r="FZ8" s="385" t="n">
        <f aca="false">IF('Start-up Cashflow'!FZ7&gt;EOMONTH('Project Assumptions'!$F$25,0),1+(IF('Start-up Cashflow'!FY8&lt;=5,'Start-up Cashflow'!FY8,0)),0)</f>
        <v>5</v>
      </c>
      <c r="GA8" s="385" t="n">
        <f aca="false">IF('Start-up Cashflow'!GA7&gt;EOMONTH('Project Assumptions'!$F$25,0),1+(IF('Start-up Cashflow'!FZ8&lt;=5,'Start-up Cashflow'!FZ8,0)),0)</f>
        <v>6</v>
      </c>
      <c r="GB8" s="385" t="n">
        <f aca="false">IF('Start-up Cashflow'!GB7&gt;EOMONTH('Project Assumptions'!$F$25,0),1+(IF('Start-up Cashflow'!GA8&lt;=5,'Start-up Cashflow'!GA8,0)),0)</f>
        <v>1</v>
      </c>
      <c r="GC8" s="385" t="n">
        <f aca="false">IF('Start-up Cashflow'!GC7&gt;EOMONTH('Project Assumptions'!$F$25,0),1+(IF('Start-up Cashflow'!GB8&lt;=5,'Start-up Cashflow'!GB8,0)),0)</f>
        <v>2</v>
      </c>
      <c r="GD8" s="385" t="n">
        <f aca="false">IF('Start-up Cashflow'!GD7&gt;EOMONTH('Project Assumptions'!$F$25,0),1+(IF('Start-up Cashflow'!GC8&lt;=5,'Start-up Cashflow'!GC8,0)),0)</f>
        <v>3</v>
      </c>
      <c r="GE8" s="385" t="n">
        <f aca="false">IF('Start-up Cashflow'!GE7&gt;EOMONTH('Project Assumptions'!$F$25,0),1+(IF('Start-up Cashflow'!GD8&lt;=5,'Start-up Cashflow'!GD8,0)),0)</f>
        <v>4</v>
      </c>
      <c r="GF8" s="385" t="n">
        <f aca="false">IF('Start-up Cashflow'!GF7&gt;EOMONTH('Project Assumptions'!$F$25,0),1+(IF('Start-up Cashflow'!GE8&lt;=5,'Start-up Cashflow'!GE8,0)),0)</f>
        <v>5</v>
      </c>
      <c r="GG8" s="385" t="n">
        <f aca="false">IF('Start-up Cashflow'!GG7&gt;EOMONTH('Project Assumptions'!$F$25,0),1+(IF('Start-up Cashflow'!GF8&lt;=5,'Start-up Cashflow'!GF8,0)),0)</f>
        <v>6</v>
      </c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</row>
    <row r="9" customFormat="false" ht="12.75" hidden="false" customHeight="false" outlineLevel="0" collapsed="false">
      <c r="A9" s="246" t="s">
        <v>387</v>
      </c>
      <c r="B9" s="246"/>
      <c r="C9" s="242"/>
      <c r="D9" s="242" t="n">
        <f aca="false">(IF('Project Assumptions'!$F$21&lt;'Start-up Cashflow'!D7,'Project Assumptions'!$I$21,0)+IF('Project Assumptions'!$F$22&lt;'Start-up Cashflow'!D7,'Project Assumptions'!$I$22,0)+IF('Project Assumptions'!$F$23&lt;'Start-up Cashflow'!D7,'Project Assumptions'!$I$23,0)+IF('Project Assumptions'!$F$24&lt;'Start-up Cashflow'!D7,'Project Assumptions'!$I$24,0)+IF('Project Assumptions'!$F$25&lt;'Start-up Cashflow'!D7,'Project Assumptions'!$I$25,0))</f>
        <v>183</v>
      </c>
      <c r="E9" s="242" t="n">
        <f aca="false">(IF('Project Assumptions'!$F$21&lt;'Start-up Cashflow'!E7,'Project Assumptions'!$I$21,0)+IF('Project Assumptions'!$F$22&lt;'Start-up Cashflow'!E7,'Project Assumptions'!$I$22,0)+IF('Project Assumptions'!$F$23&lt;'Start-up Cashflow'!E7,'Project Assumptions'!$I$23,0)+IF('Project Assumptions'!$F$24&lt;'Start-up Cashflow'!E7,'Project Assumptions'!$I$24,0)+IF('Project Assumptions'!$F$25&lt;'Start-up Cashflow'!E7,'Project Assumptions'!$I$25,0))</f>
        <v>183</v>
      </c>
      <c r="F9" s="242" t="n">
        <f aca="false">(IF('Project Assumptions'!$F$21&lt;'Start-up Cashflow'!F7,'Project Assumptions'!$I$21,0)+IF('Project Assumptions'!$F$22&lt;'Start-up Cashflow'!F7,'Project Assumptions'!$I$22,0)+IF('Project Assumptions'!$F$23&lt;'Start-up Cashflow'!F7,'Project Assumptions'!$I$23,0)+IF('Project Assumptions'!$F$24&lt;'Start-up Cashflow'!F7,'Project Assumptions'!$I$24,0)+IF('Project Assumptions'!$F$25&lt;'Start-up Cashflow'!F7,'Project Assumptions'!$I$25,0))</f>
        <v>259.5</v>
      </c>
      <c r="G9" s="242" t="n">
        <f aca="false">(IF('Project Assumptions'!$F$21&lt;'Start-up Cashflow'!G7,'Project Assumptions'!$I$21,0)+IF('Project Assumptions'!$F$22&lt;'Start-up Cashflow'!G7,'Project Assumptions'!$I$22,0)+IF('Project Assumptions'!$F$23&lt;'Start-up Cashflow'!G7,'Project Assumptions'!$I$23,0)+IF('Project Assumptions'!$F$24&lt;'Start-up Cashflow'!G7,'Project Assumptions'!$I$24,0)+IF('Project Assumptions'!$F$25&lt;'Start-up Cashflow'!G7,'Project Assumptions'!$I$25,0))</f>
        <v>259.5</v>
      </c>
      <c r="H9" s="242" t="n">
        <f aca="false">(IF('Project Assumptions'!$F$21&lt;'Start-up Cashflow'!H7,'Project Assumptions'!$I$21,0)+IF('Project Assumptions'!$F$22&lt;'Start-up Cashflow'!H7,'Project Assumptions'!$I$22,0)+IF('Project Assumptions'!$F$23&lt;'Start-up Cashflow'!H7,'Project Assumptions'!$I$23,0)+IF('Project Assumptions'!$F$24&lt;'Start-up Cashflow'!H7,'Project Assumptions'!$I$24,0)+IF('Project Assumptions'!$F$25&lt;'Start-up Cashflow'!H7,'Project Assumptions'!$I$25,0))</f>
        <v>259.5</v>
      </c>
      <c r="I9" s="242" t="n">
        <f aca="false">(IF('Project Assumptions'!$F$21&lt;'Start-up Cashflow'!I7,'Project Assumptions'!$I$21,0)+IF('Project Assumptions'!$F$22&lt;'Start-up Cashflow'!I7,'Project Assumptions'!$I$22,0)+IF('Project Assumptions'!$F$23&lt;'Start-up Cashflow'!I7,'Project Assumptions'!$I$23,0)+IF('Project Assumptions'!$F$24&lt;'Start-up Cashflow'!I7,'Project Assumptions'!$I$24,0)+IF('Project Assumptions'!$F$25&lt;'Start-up Cashflow'!I7,'Project Assumptions'!$I$25,0))</f>
        <v>259.5</v>
      </c>
      <c r="J9" s="242" t="n">
        <f aca="false">(IF('Project Assumptions'!$F$21&lt;'Start-up Cashflow'!J7,'Project Assumptions'!$I$21,0)+IF('Project Assumptions'!$F$22&lt;'Start-up Cashflow'!J7,'Project Assumptions'!$I$22,0)+IF('Project Assumptions'!$F$23&lt;'Start-up Cashflow'!J7,'Project Assumptions'!$I$23,0)+IF('Project Assumptions'!$F$24&lt;'Start-up Cashflow'!J7,'Project Assumptions'!$I$24,0)+IF('Project Assumptions'!$F$25&lt;'Start-up Cashflow'!J7,'Project Assumptions'!$I$25,0))</f>
        <v>336</v>
      </c>
      <c r="K9" s="242" t="n">
        <f aca="false">(IF('Project Assumptions'!$F$21&lt;'Start-up Cashflow'!K7,'Project Assumptions'!$I$21,0)+IF('Project Assumptions'!$F$22&lt;'Start-up Cashflow'!K7,'Project Assumptions'!$I$22,0)+IF('Project Assumptions'!$F$23&lt;'Start-up Cashflow'!K7,'Project Assumptions'!$I$23,0)+IF('Project Assumptions'!$F$24&lt;'Start-up Cashflow'!K7,'Project Assumptions'!$I$24,0)+IF('Project Assumptions'!$F$25&lt;'Start-up Cashflow'!K7,'Project Assumptions'!$I$25,0))</f>
        <v>336</v>
      </c>
      <c r="L9" s="242" t="n">
        <f aca="false">(IF('Project Assumptions'!$F$21&lt;'Start-up Cashflow'!L7,'Project Assumptions'!$I$21,0)+IF('Project Assumptions'!$F$22&lt;'Start-up Cashflow'!L7,'Project Assumptions'!$I$22,0)+IF('Project Assumptions'!$F$23&lt;'Start-up Cashflow'!L7,'Project Assumptions'!$I$23,0)+IF('Project Assumptions'!$F$24&lt;'Start-up Cashflow'!L7,'Project Assumptions'!$I$24,0)+IF('Project Assumptions'!$F$25&lt;'Start-up Cashflow'!L7,'Project Assumptions'!$I$25,0))</f>
        <v>336</v>
      </c>
      <c r="M9" s="242" t="n">
        <f aca="false">(IF('Project Assumptions'!$F$21&lt;'Start-up Cashflow'!M7,'Project Assumptions'!$I$21,0)+IF('Project Assumptions'!$F$22&lt;'Start-up Cashflow'!M7,'Project Assumptions'!$I$22,0)+IF('Project Assumptions'!$F$23&lt;'Start-up Cashflow'!M7,'Project Assumptions'!$I$23,0)+IF('Project Assumptions'!$F$24&lt;'Start-up Cashflow'!M7,'Project Assumptions'!$I$24,0)+IF('Project Assumptions'!$F$25&lt;'Start-up Cashflow'!M7,'Project Assumptions'!$I$25,0))</f>
        <v>336</v>
      </c>
      <c r="N9" s="242" t="n">
        <f aca="false">(IF('Project Assumptions'!$F$21&lt;'Start-up Cashflow'!N7,'Project Assumptions'!$I$21,0)+IF('Project Assumptions'!$F$22&lt;'Start-up Cashflow'!N7,'Project Assumptions'!$I$22,0)+IF('Project Assumptions'!$F$23&lt;'Start-up Cashflow'!N7,'Project Assumptions'!$I$23,0)+IF('Project Assumptions'!$F$24&lt;'Start-up Cashflow'!N7,'Project Assumptions'!$I$24,0)+IF('Project Assumptions'!$F$25&lt;'Start-up Cashflow'!N7,'Project Assumptions'!$I$25,0))</f>
        <v>336</v>
      </c>
      <c r="O9" s="242" t="n">
        <f aca="false">(IF('Project Assumptions'!$F$21&lt;'Start-up Cashflow'!O7,'Project Assumptions'!$I$21,0)+IF('Project Assumptions'!$F$22&lt;'Start-up Cashflow'!O7,'Project Assumptions'!$I$22,0)+IF('Project Assumptions'!$F$23&lt;'Start-up Cashflow'!O7,'Project Assumptions'!$I$23,0)+IF('Project Assumptions'!$F$24&lt;'Start-up Cashflow'!O7,'Project Assumptions'!$I$24,0)+IF('Project Assumptions'!$F$25&lt;'Start-up Cashflow'!O7,'Project Assumptions'!$I$25,0))</f>
        <v>336</v>
      </c>
      <c r="P9" s="242" t="n">
        <f aca="false">(IF('Project Assumptions'!$F$21&lt;'Start-up Cashflow'!P7,'Project Assumptions'!$I$21,0)+IF('Project Assumptions'!$F$22&lt;'Start-up Cashflow'!P7,'Project Assumptions'!$I$22,0)+IF('Project Assumptions'!$F$23&lt;'Start-up Cashflow'!P7,'Project Assumptions'!$I$23,0)+IF('Project Assumptions'!$F$24&lt;'Start-up Cashflow'!P7,'Project Assumptions'!$I$24,0)+IF('Project Assumptions'!$F$25&lt;'Start-up Cashflow'!P7,'Project Assumptions'!$I$25,0))</f>
        <v>336</v>
      </c>
      <c r="Q9" s="242" t="n">
        <f aca="false">(IF('Project Assumptions'!$F$21&lt;'Start-up Cashflow'!Q7,'Project Assumptions'!$I$21,0)+IF('Project Assumptions'!$F$22&lt;'Start-up Cashflow'!Q7,'Project Assumptions'!$I$22,0)+IF('Project Assumptions'!$F$23&lt;'Start-up Cashflow'!Q7,'Project Assumptions'!$I$23,0)+IF('Project Assumptions'!$F$24&lt;'Start-up Cashflow'!Q7,'Project Assumptions'!$I$24,0)+IF('Project Assumptions'!$F$25&lt;'Start-up Cashflow'!Q7,'Project Assumptions'!$I$25,0))</f>
        <v>336</v>
      </c>
      <c r="R9" s="242" t="n">
        <f aca="false">(IF('Project Assumptions'!$F$21&lt;'Start-up Cashflow'!R7,'Project Assumptions'!$I$21,0)+IF('Project Assumptions'!$F$22&lt;'Start-up Cashflow'!R7,'Project Assumptions'!$I$22,0)+IF('Project Assumptions'!$F$23&lt;'Start-up Cashflow'!R7,'Project Assumptions'!$I$23,0)+IF('Project Assumptions'!$F$24&lt;'Start-up Cashflow'!R7,'Project Assumptions'!$I$24,0)+IF('Project Assumptions'!$F$25&lt;'Start-up Cashflow'!R7,'Project Assumptions'!$I$25,0))</f>
        <v>336</v>
      </c>
      <c r="S9" s="242" t="n">
        <f aca="false">(IF('Project Assumptions'!$F$21&lt;'Start-up Cashflow'!S7,'Project Assumptions'!$I$21,0)+IF('Project Assumptions'!$F$22&lt;'Start-up Cashflow'!S7,'Project Assumptions'!$I$22,0)+IF('Project Assumptions'!$F$23&lt;'Start-up Cashflow'!S7,'Project Assumptions'!$I$23,0)+IF('Project Assumptions'!$F$24&lt;'Start-up Cashflow'!S7,'Project Assumptions'!$I$24,0)+IF('Project Assumptions'!$F$25&lt;'Start-up Cashflow'!S7,'Project Assumptions'!$I$25,0))</f>
        <v>336</v>
      </c>
      <c r="T9" s="242" t="n">
        <f aca="false">(IF('Project Assumptions'!$F$21&lt;'Start-up Cashflow'!T7,'Project Assumptions'!$I$21,0)+IF('Project Assumptions'!$F$22&lt;'Start-up Cashflow'!T7,'Project Assumptions'!$I$22,0)+IF('Project Assumptions'!$F$23&lt;'Start-up Cashflow'!T7,'Project Assumptions'!$I$23,0)+IF('Project Assumptions'!$F$24&lt;'Start-up Cashflow'!T7,'Project Assumptions'!$I$24,0)+IF('Project Assumptions'!$F$25&lt;'Start-up Cashflow'!T7,'Project Assumptions'!$I$25,0))</f>
        <v>336</v>
      </c>
      <c r="U9" s="242" t="n">
        <f aca="false">(IF('Project Assumptions'!$F$21&lt;'Start-up Cashflow'!U7,'Project Assumptions'!$I$21,0)+IF('Project Assumptions'!$F$22&lt;'Start-up Cashflow'!U7,'Project Assumptions'!$I$22,0)+IF('Project Assumptions'!$F$23&lt;'Start-up Cashflow'!U7,'Project Assumptions'!$I$23,0)+IF('Project Assumptions'!$F$24&lt;'Start-up Cashflow'!U7,'Project Assumptions'!$I$24,0)+IF('Project Assumptions'!$F$25&lt;'Start-up Cashflow'!U7,'Project Assumptions'!$I$25,0))</f>
        <v>336</v>
      </c>
      <c r="V9" s="242" t="n">
        <f aca="false">(IF('Project Assumptions'!$F$21&lt;'Start-up Cashflow'!V7,'Project Assumptions'!$I$21,0)+IF('Project Assumptions'!$F$22&lt;'Start-up Cashflow'!V7,'Project Assumptions'!$I$22,0)+IF('Project Assumptions'!$F$23&lt;'Start-up Cashflow'!V7,'Project Assumptions'!$I$23,0)+IF('Project Assumptions'!$F$24&lt;'Start-up Cashflow'!V7,'Project Assumptions'!$I$24,0)+IF('Project Assumptions'!$F$25&lt;'Start-up Cashflow'!V7,'Project Assumptions'!$I$25,0))</f>
        <v>336</v>
      </c>
      <c r="W9" s="242" t="n">
        <f aca="false">(IF('Project Assumptions'!$F$21&lt;'Start-up Cashflow'!W7,'Project Assumptions'!$I$21,0)+IF('Project Assumptions'!$F$22&lt;'Start-up Cashflow'!W7,'Project Assumptions'!$I$22,0)+IF('Project Assumptions'!$F$23&lt;'Start-up Cashflow'!W7,'Project Assumptions'!$I$23,0)+IF('Project Assumptions'!$F$24&lt;'Start-up Cashflow'!W7,'Project Assumptions'!$I$24,0)+IF('Project Assumptions'!$F$25&lt;'Start-up Cashflow'!W7,'Project Assumptions'!$I$25,0))</f>
        <v>336</v>
      </c>
      <c r="X9" s="242" t="n">
        <f aca="false">(IF('Project Assumptions'!$F$21&lt;'Start-up Cashflow'!X7,'Project Assumptions'!$I$21,0)+IF('Project Assumptions'!$F$22&lt;'Start-up Cashflow'!X7,'Project Assumptions'!$I$22,0)+IF('Project Assumptions'!$F$23&lt;'Start-up Cashflow'!X7,'Project Assumptions'!$I$23,0)+IF('Project Assumptions'!$F$24&lt;'Start-up Cashflow'!X7,'Project Assumptions'!$I$24,0)+IF('Project Assumptions'!$F$25&lt;'Start-up Cashflow'!X7,'Project Assumptions'!$I$25,0))</f>
        <v>336</v>
      </c>
      <c r="Y9" s="242" t="n">
        <f aca="false">(IF('Project Assumptions'!$F$21&lt;'Start-up Cashflow'!Y7,'Project Assumptions'!$I$21,0)+IF('Project Assumptions'!$F$22&lt;'Start-up Cashflow'!Y7,'Project Assumptions'!$I$22,0)+IF('Project Assumptions'!$F$23&lt;'Start-up Cashflow'!Y7,'Project Assumptions'!$I$23,0)+IF('Project Assumptions'!$F$24&lt;'Start-up Cashflow'!Y7,'Project Assumptions'!$I$24,0)+IF('Project Assumptions'!$F$25&lt;'Start-up Cashflow'!Y7,'Project Assumptions'!$I$25,0))</f>
        <v>336</v>
      </c>
      <c r="Z9" s="242" t="n">
        <f aca="false">(IF('Project Assumptions'!$F$21&lt;'Start-up Cashflow'!Z7,'Project Assumptions'!$I$21,0)+IF('Project Assumptions'!$F$22&lt;'Start-up Cashflow'!Z7,'Project Assumptions'!$I$22,0)+IF('Project Assumptions'!$F$23&lt;'Start-up Cashflow'!Z7,'Project Assumptions'!$I$23,0)+IF('Project Assumptions'!$F$24&lt;'Start-up Cashflow'!Z7,'Project Assumptions'!$I$24,0)+IF('Project Assumptions'!$F$25&lt;'Start-up Cashflow'!Z7,'Project Assumptions'!$I$25,0))</f>
        <v>336</v>
      </c>
      <c r="AA9" s="242" t="n">
        <f aca="false">(IF('Project Assumptions'!$F$21&lt;'Start-up Cashflow'!AA7,'Project Assumptions'!$I$21,0)+IF('Project Assumptions'!$F$22&lt;'Start-up Cashflow'!AA7,'Project Assumptions'!$I$22,0)+IF('Project Assumptions'!$F$23&lt;'Start-up Cashflow'!AA7,'Project Assumptions'!$I$23,0)+IF('Project Assumptions'!$F$24&lt;'Start-up Cashflow'!AA7,'Project Assumptions'!$I$24,0)+IF('Project Assumptions'!$F$25&lt;'Start-up Cashflow'!AA7,'Project Assumptions'!$I$25,0))</f>
        <v>336</v>
      </c>
      <c r="AB9" s="242" t="n">
        <f aca="false">(IF('Project Assumptions'!$F$21&lt;'Start-up Cashflow'!AB7,'Project Assumptions'!$I$21,0)+IF('Project Assumptions'!$F$22&lt;'Start-up Cashflow'!AB7,'Project Assumptions'!$I$22,0)+IF('Project Assumptions'!$F$23&lt;'Start-up Cashflow'!AB7,'Project Assumptions'!$I$23,0)+IF('Project Assumptions'!$F$24&lt;'Start-up Cashflow'!AB7,'Project Assumptions'!$I$24,0)+IF('Project Assumptions'!$F$25&lt;'Start-up Cashflow'!AB7,'Project Assumptions'!$I$25,0))</f>
        <v>336</v>
      </c>
      <c r="AC9" s="242" t="n">
        <f aca="false">(IF('Project Assumptions'!$F$21&lt;'Start-up Cashflow'!AC7,'Project Assumptions'!$I$21,0)+IF('Project Assumptions'!$F$22&lt;'Start-up Cashflow'!AC7,'Project Assumptions'!$I$22,0)+IF('Project Assumptions'!$F$23&lt;'Start-up Cashflow'!AC7,'Project Assumptions'!$I$23,0)+IF('Project Assumptions'!$F$24&lt;'Start-up Cashflow'!AC7,'Project Assumptions'!$I$24,0)+IF('Project Assumptions'!$F$25&lt;'Start-up Cashflow'!AC7,'Project Assumptions'!$I$25,0))</f>
        <v>336</v>
      </c>
      <c r="AD9" s="242" t="n">
        <f aca="false">(IF('Project Assumptions'!$F$21&lt;'Start-up Cashflow'!AD7,'Project Assumptions'!$I$21,0)+IF('Project Assumptions'!$F$22&lt;'Start-up Cashflow'!AD7,'Project Assumptions'!$I$22,0)+IF('Project Assumptions'!$F$23&lt;'Start-up Cashflow'!AD7,'Project Assumptions'!$I$23,0)+IF('Project Assumptions'!$F$24&lt;'Start-up Cashflow'!AD7,'Project Assumptions'!$I$24,0)+IF('Project Assumptions'!$F$25&lt;'Start-up Cashflow'!AD7,'Project Assumptions'!$I$25,0))</f>
        <v>336</v>
      </c>
      <c r="AE9" s="242" t="n">
        <f aca="false">(IF('Project Assumptions'!$F$21&lt;'Start-up Cashflow'!AE7,'Project Assumptions'!$I$21,0)+IF('Project Assumptions'!$F$22&lt;'Start-up Cashflow'!AE7,'Project Assumptions'!$I$22,0)+IF('Project Assumptions'!$F$23&lt;'Start-up Cashflow'!AE7,'Project Assumptions'!$I$23,0)+IF('Project Assumptions'!$F$24&lt;'Start-up Cashflow'!AE7,'Project Assumptions'!$I$24,0)+IF('Project Assumptions'!$F$25&lt;'Start-up Cashflow'!AE7,'Project Assumptions'!$I$25,0))</f>
        <v>336</v>
      </c>
      <c r="AF9" s="242" t="n">
        <f aca="false">(IF('Project Assumptions'!$F$21&lt;'Start-up Cashflow'!AF7,'Project Assumptions'!$I$21,0)+IF('Project Assumptions'!$F$22&lt;'Start-up Cashflow'!AF7,'Project Assumptions'!$I$22,0)+IF('Project Assumptions'!$F$23&lt;'Start-up Cashflow'!AF7,'Project Assumptions'!$I$23,0)+IF('Project Assumptions'!$F$24&lt;'Start-up Cashflow'!AF7,'Project Assumptions'!$I$24,0)+IF('Project Assumptions'!$F$25&lt;'Start-up Cashflow'!AF7,'Project Assumptions'!$I$25,0))</f>
        <v>336</v>
      </c>
      <c r="AG9" s="242" t="n">
        <f aca="false">(IF('Project Assumptions'!$F$21&lt;'Start-up Cashflow'!AG7,'Project Assumptions'!$I$21,0)+IF('Project Assumptions'!$F$22&lt;'Start-up Cashflow'!AG7,'Project Assumptions'!$I$22,0)+IF('Project Assumptions'!$F$23&lt;'Start-up Cashflow'!AG7,'Project Assumptions'!$I$23,0)+IF('Project Assumptions'!$F$24&lt;'Start-up Cashflow'!AG7,'Project Assumptions'!$I$24,0)+IF('Project Assumptions'!$F$25&lt;'Start-up Cashflow'!AG7,'Project Assumptions'!$I$25,0))</f>
        <v>336</v>
      </c>
      <c r="AH9" s="242" t="n">
        <f aca="false">(IF('Project Assumptions'!$F$21&lt;'Start-up Cashflow'!AH7,'Project Assumptions'!$I$21,0)+IF('Project Assumptions'!$F$22&lt;'Start-up Cashflow'!AH7,'Project Assumptions'!$I$22,0)+IF('Project Assumptions'!$F$23&lt;'Start-up Cashflow'!AH7,'Project Assumptions'!$I$23,0)+IF('Project Assumptions'!$F$24&lt;'Start-up Cashflow'!AH7,'Project Assumptions'!$I$24,0)+IF('Project Assumptions'!$F$25&lt;'Start-up Cashflow'!AH7,'Project Assumptions'!$I$25,0))</f>
        <v>336</v>
      </c>
      <c r="AI9" s="242" t="n">
        <f aca="false">(IF('Project Assumptions'!$F$21&lt;'Start-up Cashflow'!AI7,'Project Assumptions'!$I$21,0)+IF('Project Assumptions'!$F$22&lt;'Start-up Cashflow'!AI7,'Project Assumptions'!$I$22,0)+IF('Project Assumptions'!$F$23&lt;'Start-up Cashflow'!AI7,'Project Assumptions'!$I$23,0)+IF('Project Assumptions'!$F$24&lt;'Start-up Cashflow'!AI7,'Project Assumptions'!$I$24,0)+IF('Project Assumptions'!$F$25&lt;'Start-up Cashflow'!AI7,'Project Assumptions'!$I$25,0))</f>
        <v>336</v>
      </c>
      <c r="AJ9" s="242" t="n">
        <f aca="false">(IF('Project Assumptions'!$F$21&lt;'Start-up Cashflow'!AJ7,'Project Assumptions'!$I$21,0)+IF('Project Assumptions'!$F$22&lt;'Start-up Cashflow'!AJ7,'Project Assumptions'!$I$22,0)+IF('Project Assumptions'!$F$23&lt;'Start-up Cashflow'!AJ7,'Project Assumptions'!$I$23,0)+IF('Project Assumptions'!$F$24&lt;'Start-up Cashflow'!AJ7,'Project Assumptions'!$I$24,0)+IF('Project Assumptions'!$F$25&lt;'Start-up Cashflow'!AJ7,'Project Assumptions'!$I$25,0))</f>
        <v>336</v>
      </c>
      <c r="AK9" s="242" t="n">
        <f aca="false">(IF('Project Assumptions'!$F$21&lt;'Start-up Cashflow'!AK7,'Project Assumptions'!$I$21,0)+IF('Project Assumptions'!$F$22&lt;'Start-up Cashflow'!AK7,'Project Assumptions'!$I$22,0)+IF('Project Assumptions'!$F$23&lt;'Start-up Cashflow'!AK7,'Project Assumptions'!$I$23,0)+IF('Project Assumptions'!$F$24&lt;'Start-up Cashflow'!AK7,'Project Assumptions'!$I$24,0)+IF('Project Assumptions'!$F$25&lt;'Start-up Cashflow'!AK7,'Project Assumptions'!$I$25,0))</f>
        <v>336</v>
      </c>
      <c r="AL9" s="242" t="n">
        <f aca="false">(IF('Project Assumptions'!$F$21&lt;'Start-up Cashflow'!AL7,'Project Assumptions'!$I$21,0)+IF('Project Assumptions'!$F$22&lt;'Start-up Cashflow'!AL7,'Project Assumptions'!$I$22,0)+IF('Project Assumptions'!$F$23&lt;'Start-up Cashflow'!AL7,'Project Assumptions'!$I$23,0)+IF('Project Assumptions'!$F$24&lt;'Start-up Cashflow'!AL7,'Project Assumptions'!$I$24,0)+IF('Project Assumptions'!$F$25&lt;'Start-up Cashflow'!AL7,'Project Assumptions'!$I$25,0))</f>
        <v>336</v>
      </c>
      <c r="AM9" s="242" t="n">
        <f aca="false">(IF('Project Assumptions'!$F$21&lt;'Start-up Cashflow'!AM7,'Project Assumptions'!$I$21,0)+IF('Project Assumptions'!$F$22&lt;'Start-up Cashflow'!AM7,'Project Assumptions'!$I$22,0)+IF('Project Assumptions'!$F$23&lt;'Start-up Cashflow'!AM7,'Project Assumptions'!$I$23,0)+IF('Project Assumptions'!$F$24&lt;'Start-up Cashflow'!AM7,'Project Assumptions'!$I$24,0)+IF('Project Assumptions'!$F$25&lt;'Start-up Cashflow'!AM7,'Project Assumptions'!$I$25,0))</f>
        <v>336</v>
      </c>
      <c r="AN9" s="242" t="n">
        <f aca="false">(IF('Project Assumptions'!$F$21&lt;'Start-up Cashflow'!AN7,'Project Assumptions'!$I$21,0)+IF('Project Assumptions'!$F$22&lt;'Start-up Cashflow'!AN7,'Project Assumptions'!$I$22,0)+IF('Project Assumptions'!$F$23&lt;'Start-up Cashflow'!AN7,'Project Assumptions'!$I$23,0)+IF('Project Assumptions'!$F$24&lt;'Start-up Cashflow'!AN7,'Project Assumptions'!$I$24,0)+IF('Project Assumptions'!$F$25&lt;'Start-up Cashflow'!AN7,'Project Assumptions'!$I$25,0))</f>
        <v>336</v>
      </c>
      <c r="AO9" s="242" t="n">
        <f aca="false">(IF('Project Assumptions'!$F$21&lt;'Start-up Cashflow'!AO7,'Project Assumptions'!$I$21,0)+IF('Project Assumptions'!$F$22&lt;'Start-up Cashflow'!AO7,'Project Assumptions'!$I$22,0)+IF('Project Assumptions'!$F$23&lt;'Start-up Cashflow'!AO7,'Project Assumptions'!$I$23,0)+IF('Project Assumptions'!$F$24&lt;'Start-up Cashflow'!AO7,'Project Assumptions'!$I$24,0)+IF('Project Assumptions'!$F$25&lt;'Start-up Cashflow'!AO7,'Project Assumptions'!$I$25,0))</f>
        <v>336</v>
      </c>
      <c r="AP9" s="242" t="n">
        <f aca="false">(IF('Project Assumptions'!$F$21&lt;'Start-up Cashflow'!AP7,'Project Assumptions'!$I$21,0)+IF('Project Assumptions'!$F$22&lt;'Start-up Cashflow'!AP7,'Project Assumptions'!$I$22,0)+IF('Project Assumptions'!$F$23&lt;'Start-up Cashflow'!AP7,'Project Assumptions'!$I$23,0)+IF('Project Assumptions'!$F$24&lt;'Start-up Cashflow'!AP7,'Project Assumptions'!$I$24,0)+IF('Project Assumptions'!$F$25&lt;'Start-up Cashflow'!AP7,'Project Assumptions'!$I$25,0))</f>
        <v>336</v>
      </c>
      <c r="AQ9" s="242" t="n">
        <f aca="false">(IF('Project Assumptions'!$F$21&lt;'Start-up Cashflow'!AQ7,'Project Assumptions'!$I$21,0)+IF('Project Assumptions'!$F$22&lt;'Start-up Cashflow'!AQ7,'Project Assumptions'!$I$22,0)+IF('Project Assumptions'!$F$23&lt;'Start-up Cashflow'!AQ7,'Project Assumptions'!$I$23,0)+IF('Project Assumptions'!$F$24&lt;'Start-up Cashflow'!AQ7,'Project Assumptions'!$I$24,0)+IF('Project Assumptions'!$F$25&lt;'Start-up Cashflow'!AQ7,'Project Assumptions'!$I$25,0))</f>
        <v>336</v>
      </c>
      <c r="AR9" s="242" t="n">
        <f aca="false">(IF('Project Assumptions'!$F$21&lt;'Start-up Cashflow'!AR7,'Project Assumptions'!$I$21,0)+IF('Project Assumptions'!$F$22&lt;'Start-up Cashflow'!AR7,'Project Assumptions'!$I$22,0)+IF('Project Assumptions'!$F$23&lt;'Start-up Cashflow'!AR7,'Project Assumptions'!$I$23,0)+IF('Project Assumptions'!$F$24&lt;'Start-up Cashflow'!AR7,'Project Assumptions'!$I$24,0)+IF('Project Assumptions'!$F$25&lt;'Start-up Cashflow'!AR7,'Project Assumptions'!$I$25,0))</f>
        <v>336</v>
      </c>
      <c r="AS9" s="242" t="n">
        <f aca="false">(IF('Project Assumptions'!$F$21&lt;'Start-up Cashflow'!AS7,'Project Assumptions'!$I$21,0)+IF('Project Assumptions'!$F$22&lt;'Start-up Cashflow'!AS7,'Project Assumptions'!$I$22,0)+IF('Project Assumptions'!$F$23&lt;'Start-up Cashflow'!AS7,'Project Assumptions'!$I$23,0)+IF('Project Assumptions'!$F$24&lt;'Start-up Cashflow'!AS7,'Project Assumptions'!$I$24,0)+IF('Project Assumptions'!$F$25&lt;'Start-up Cashflow'!AS7,'Project Assumptions'!$I$25,0))</f>
        <v>336</v>
      </c>
      <c r="AT9" s="242" t="n">
        <f aca="false">(IF('Project Assumptions'!$F$21&lt;'Start-up Cashflow'!AT7,'Project Assumptions'!$I$21,0)+IF('Project Assumptions'!$F$22&lt;'Start-up Cashflow'!AT7,'Project Assumptions'!$I$22,0)+IF('Project Assumptions'!$F$23&lt;'Start-up Cashflow'!AT7,'Project Assumptions'!$I$23,0)+IF('Project Assumptions'!$F$24&lt;'Start-up Cashflow'!AT7,'Project Assumptions'!$I$24,0)+IF('Project Assumptions'!$F$25&lt;'Start-up Cashflow'!AT7,'Project Assumptions'!$I$25,0))</f>
        <v>336</v>
      </c>
      <c r="AU9" s="242" t="n">
        <f aca="false">(IF('Project Assumptions'!$F$21&lt;'Start-up Cashflow'!AU7,'Project Assumptions'!$I$21,0)+IF('Project Assumptions'!$F$22&lt;'Start-up Cashflow'!AU7,'Project Assumptions'!$I$22,0)+IF('Project Assumptions'!$F$23&lt;'Start-up Cashflow'!AU7,'Project Assumptions'!$I$23,0)+IF('Project Assumptions'!$F$24&lt;'Start-up Cashflow'!AU7,'Project Assumptions'!$I$24,0)+IF('Project Assumptions'!$F$25&lt;'Start-up Cashflow'!AU7,'Project Assumptions'!$I$25,0))</f>
        <v>336</v>
      </c>
      <c r="AV9" s="242" t="n">
        <f aca="false">(IF('Project Assumptions'!$F$21&lt;'Start-up Cashflow'!AV7,'Project Assumptions'!$I$21,0)+IF('Project Assumptions'!$F$22&lt;'Start-up Cashflow'!AV7,'Project Assumptions'!$I$22,0)+IF('Project Assumptions'!$F$23&lt;'Start-up Cashflow'!AV7,'Project Assumptions'!$I$23,0)+IF('Project Assumptions'!$F$24&lt;'Start-up Cashflow'!AV7,'Project Assumptions'!$I$24,0)+IF('Project Assumptions'!$F$25&lt;'Start-up Cashflow'!AV7,'Project Assumptions'!$I$25,0))</f>
        <v>336</v>
      </c>
      <c r="AW9" s="242" t="n">
        <f aca="false">(IF('Project Assumptions'!$F$21&lt;'Start-up Cashflow'!AW7,'Project Assumptions'!$I$21,0)+IF('Project Assumptions'!$F$22&lt;'Start-up Cashflow'!AW7,'Project Assumptions'!$I$22,0)+IF('Project Assumptions'!$F$23&lt;'Start-up Cashflow'!AW7,'Project Assumptions'!$I$23,0)+IF('Project Assumptions'!$F$24&lt;'Start-up Cashflow'!AW7,'Project Assumptions'!$I$24,0)+IF('Project Assumptions'!$F$25&lt;'Start-up Cashflow'!AW7,'Project Assumptions'!$I$25,0))</f>
        <v>336</v>
      </c>
      <c r="AX9" s="242" t="n">
        <f aca="false">(IF('Project Assumptions'!$F$21&lt;'Start-up Cashflow'!AX7,'Project Assumptions'!$I$21,0)+IF('Project Assumptions'!$F$22&lt;'Start-up Cashflow'!AX7,'Project Assumptions'!$I$22,0)+IF('Project Assumptions'!$F$23&lt;'Start-up Cashflow'!AX7,'Project Assumptions'!$I$23,0)+IF('Project Assumptions'!$F$24&lt;'Start-up Cashflow'!AX7,'Project Assumptions'!$I$24,0)+IF('Project Assumptions'!$F$25&lt;'Start-up Cashflow'!AX7,'Project Assumptions'!$I$25,0))</f>
        <v>336</v>
      </c>
      <c r="AY9" s="242" t="n">
        <f aca="false">(IF('Project Assumptions'!$F$21&lt;'Start-up Cashflow'!AY7,'Project Assumptions'!$I$21,0)+IF('Project Assumptions'!$F$22&lt;'Start-up Cashflow'!AY7,'Project Assumptions'!$I$22,0)+IF('Project Assumptions'!$F$23&lt;'Start-up Cashflow'!AY7,'Project Assumptions'!$I$23,0)+IF('Project Assumptions'!$F$24&lt;'Start-up Cashflow'!AY7,'Project Assumptions'!$I$24,0)+IF('Project Assumptions'!$F$25&lt;'Start-up Cashflow'!AY7,'Project Assumptions'!$I$25,0))</f>
        <v>336</v>
      </c>
      <c r="AZ9" s="242" t="n">
        <f aca="false">(IF('Project Assumptions'!$F$21&lt;'Start-up Cashflow'!AZ7,'Project Assumptions'!$I$21,0)+IF('Project Assumptions'!$F$22&lt;'Start-up Cashflow'!AZ7,'Project Assumptions'!$I$22,0)+IF('Project Assumptions'!$F$23&lt;'Start-up Cashflow'!AZ7,'Project Assumptions'!$I$23,0)+IF('Project Assumptions'!$F$24&lt;'Start-up Cashflow'!AZ7,'Project Assumptions'!$I$24,0)+IF('Project Assumptions'!$F$25&lt;'Start-up Cashflow'!AZ7,'Project Assumptions'!$I$25,0))</f>
        <v>336</v>
      </c>
      <c r="BA9" s="242" t="n">
        <f aca="false">(IF('Project Assumptions'!$F$21&lt;'Start-up Cashflow'!BA7,'Project Assumptions'!$I$21,0)+IF('Project Assumptions'!$F$22&lt;'Start-up Cashflow'!BA7,'Project Assumptions'!$I$22,0)+IF('Project Assumptions'!$F$23&lt;'Start-up Cashflow'!BA7,'Project Assumptions'!$I$23,0)+IF('Project Assumptions'!$F$24&lt;'Start-up Cashflow'!BA7,'Project Assumptions'!$I$24,0)+IF('Project Assumptions'!$F$25&lt;'Start-up Cashflow'!BA7,'Project Assumptions'!$I$25,0))</f>
        <v>336</v>
      </c>
      <c r="BB9" s="242" t="n">
        <f aca="false">(IF('Project Assumptions'!$F$21&lt;'Start-up Cashflow'!BB7,'Project Assumptions'!$I$21,0)+IF('Project Assumptions'!$F$22&lt;'Start-up Cashflow'!BB7,'Project Assumptions'!$I$22,0)+IF('Project Assumptions'!$F$23&lt;'Start-up Cashflow'!BB7,'Project Assumptions'!$I$23,0)+IF('Project Assumptions'!$F$24&lt;'Start-up Cashflow'!BB7,'Project Assumptions'!$I$24,0)+IF('Project Assumptions'!$F$25&lt;'Start-up Cashflow'!BB7,'Project Assumptions'!$I$25,0))</f>
        <v>336</v>
      </c>
      <c r="BC9" s="242" t="n">
        <f aca="false">(IF('Project Assumptions'!$F$21&lt;'Start-up Cashflow'!BC7,'Project Assumptions'!$I$21,0)+IF('Project Assumptions'!$F$22&lt;'Start-up Cashflow'!BC7,'Project Assumptions'!$I$22,0)+IF('Project Assumptions'!$F$23&lt;'Start-up Cashflow'!BC7,'Project Assumptions'!$I$23,0)+IF('Project Assumptions'!$F$24&lt;'Start-up Cashflow'!BC7,'Project Assumptions'!$I$24,0)+IF('Project Assumptions'!$F$25&lt;'Start-up Cashflow'!BC7,'Project Assumptions'!$I$25,0))</f>
        <v>336</v>
      </c>
      <c r="BD9" s="242" t="n">
        <f aca="false">(IF('Project Assumptions'!$F$21&lt;'Start-up Cashflow'!BD7,'Project Assumptions'!$I$21,0)+IF('Project Assumptions'!$F$22&lt;'Start-up Cashflow'!BD7,'Project Assumptions'!$I$22,0)+IF('Project Assumptions'!$F$23&lt;'Start-up Cashflow'!BD7,'Project Assumptions'!$I$23,0)+IF('Project Assumptions'!$F$24&lt;'Start-up Cashflow'!BD7,'Project Assumptions'!$I$24,0)+IF('Project Assumptions'!$F$25&lt;'Start-up Cashflow'!BD7,'Project Assumptions'!$I$25,0))</f>
        <v>336</v>
      </c>
      <c r="BE9" s="242" t="n">
        <f aca="false">(IF('Project Assumptions'!$F$21&lt;'Start-up Cashflow'!BE7,'Project Assumptions'!$I$21,0)+IF('Project Assumptions'!$F$22&lt;'Start-up Cashflow'!BE7,'Project Assumptions'!$I$22,0)+IF('Project Assumptions'!$F$23&lt;'Start-up Cashflow'!BE7,'Project Assumptions'!$I$23,0)+IF('Project Assumptions'!$F$24&lt;'Start-up Cashflow'!BE7,'Project Assumptions'!$I$24,0)+IF('Project Assumptions'!$F$25&lt;'Start-up Cashflow'!BE7,'Project Assumptions'!$I$25,0))</f>
        <v>336</v>
      </c>
      <c r="BF9" s="242" t="n">
        <f aca="false">(IF('Project Assumptions'!$F$21&lt;'Start-up Cashflow'!BF7,'Project Assumptions'!$I$21,0)+IF('Project Assumptions'!$F$22&lt;'Start-up Cashflow'!BF7,'Project Assumptions'!$I$22,0)+IF('Project Assumptions'!$F$23&lt;'Start-up Cashflow'!BF7,'Project Assumptions'!$I$23,0)+IF('Project Assumptions'!$F$24&lt;'Start-up Cashflow'!BF7,'Project Assumptions'!$I$24,0)+IF('Project Assumptions'!$F$25&lt;'Start-up Cashflow'!BF7,'Project Assumptions'!$I$25,0))</f>
        <v>336</v>
      </c>
      <c r="BG9" s="242" t="n">
        <f aca="false">(IF('Project Assumptions'!$F$21&lt;'Start-up Cashflow'!BG7,'Project Assumptions'!$I$21,0)+IF('Project Assumptions'!$F$22&lt;'Start-up Cashflow'!BG7,'Project Assumptions'!$I$22,0)+IF('Project Assumptions'!$F$23&lt;'Start-up Cashflow'!BG7,'Project Assumptions'!$I$23,0)+IF('Project Assumptions'!$F$24&lt;'Start-up Cashflow'!BG7,'Project Assumptions'!$I$24,0)+IF('Project Assumptions'!$F$25&lt;'Start-up Cashflow'!BG7,'Project Assumptions'!$I$25,0))</f>
        <v>336</v>
      </c>
      <c r="BH9" s="242" t="n">
        <f aca="false">(IF('Project Assumptions'!$F$21&lt;'Start-up Cashflow'!BH7,'Project Assumptions'!$I$21,0)+IF('Project Assumptions'!$F$22&lt;'Start-up Cashflow'!BH7,'Project Assumptions'!$I$22,0)+IF('Project Assumptions'!$F$23&lt;'Start-up Cashflow'!BH7,'Project Assumptions'!$I$23,0)+IF('Project Assumptions'!$F$24&lt;'Start-up Cashflow'!BH7,'Project Assumptions'!$I$24,0)+IF('Project Assumptions'!$F$25&lt;'Start-up Cashflow'!BH7,'Project Assumptions'!$I$25,0))</f>
        <v>336</v>
      </c>
      <c r="BI9" s="242" t="n">
        <f aca="false">(IF('Project Assumptions'!$F$21&lt;'Start-up Cashflow'!BI7,'Project Assumptions'!$I$21,0)+IF('Project Assumptions'!$F$22&lt;'Start-up Cashflow'!BI7,'Project Assumptions'!$I$22,0)+IF('Project Assumptions'!$F$23&lt;'Start-up Cashflow'!BI7,'Project Assumptions'!$I$23,0)+IF('Project Assumptions'!$F$24&lt;'Start-up Cashflow'!BI7,'Project Assumptions'!$I$24,0)+IF('Project Assumptions'!$F$25&lt;'Start-up Cashflow'!BI7,'Project Assumptions'!$I$25,0))</f>
        <v>336</v>
      </c>
      <c r="BJ9" s="242" t="n">
        <f aca="false">(IF('Project Assumptions'!$F$21&lt;'Start-up Cashflow'!BJ7,'Project Assumptions'!$I$21,0)+IF('Project Assumptions'!$F$22&lt;'Start-up Cashflow'!BJ7,'Project Assumptions'!$I$22,0)+IF('Project Assumptions'!$F$23&lt;'Start-up Cashflow'!BJ7,'Project Assumptions'!$I$23,0)+IF('Project Assumptions'!$F$24&lt;'Start-up Cashflow'!BJ7,'Project Assumptions'!$I$24,0)+IF('Project Assumptions'!$F$25&lt;'Start-up Cashflow'!BJ7,'Project Assumptions'!$I$25,0))</f>
        <v>336</v>
      </c>
      <c r="BK9" s="242" t="n">
        <f aca="false">(IF('Project Assumptions'!$F$21&lt;'Start-up Cashflow'!BK7,'Project Assumptions'!$I$21,0)+IF('Project Assumptions'!$F$22&lt;'Start-up Cashflow'!BK7,'Project Assumptions'!$I$22,0)+IF('Project Assumptions'!$F$23&lt;'Start-up Cashflow'!BK7,'Project Assumptions'!$I$23,0)+IF('Project Assumptions'!$F$24&lt;'Start-up Cashflow'!BK7,'Project Assumptions'!$I$24,0)+IF('Project Assumptions'!$F$25&lt;'Start-up Cashflow'!BK7,'Project Assumptions'!$I$25,0))</f>
        <v>336</v>
      </c>
      <c r="BL9" s="242" t="n">
        <f aca="false">(IF('Project Assumptions'!$F$21&lt;'Start-up Cashflow'!BL7,'Project Assumptions'!$I$21,0)+IF('Project Assumptions'!$F$22&lt;'Start-up Cashflow'!BL7,'Project Assumptions'!$I$22,0)+IF('Project Assumptions'!$F$23&lt;'Start-up Cashflow'!BL7,'Project Assumptions'!$I$23,0)+IF('Project Assumptions'!$F$24&lt;'Start-up Cashflow'!BL7,'Project Assumptions'!$I$24,0)+IF('Project Assumptions'!$F$25&lt;'Start-up Cashflow'!BL7,'Project Assumptions'!$I$25,0))</f>
        <v>336</v>
      </c>
      <c r="BM9" s="242" t="n">
        <f aca="false">(IF('Project Assumptions'!$F$21&lt;'Start-up Cashflow'!BM7,'Project Assumptions'!$I$21,0)+IF('Project Assumptions'!$F$22&lt;'Start-up Cashflow'!BM7,'Project Assumptions'!$I$22,0)+IF('Project Assumptions'!$F$23&lt;'Start-up Cashflow'!BM7,'Project Assumptions'!$I$23,0)+IF('Project Assumptions'!$F$24&lt;'Start-up Cashflow'!BM7,'Project Assumptions'!$I$24,0)+IF('Project Assumptions'!$F$25&lt;'Start-up Cashflow'!BM7,'Project Assumptions'!$I$25,0))</f>
        <v>336</v>
      </c>
      <c r="BN9" s="242" t="n">
        <f aca="false">(IF('Project Assumptions'!$F$21&lt;'Start-up Cashflow'!BN7,'Project Assumptions'!$I$21,0)+IF('Project Assumptions'!$F$22&lt;'Start-up Cashflow'!BN7,'Project Assumptions'!$I$22,0)+IF('Project Assumptions'!$F$23&lt;'Start-up Cashflow'!BN7,'Project Assumptions'!$I$23,0)+IF('Project Assumptions'!$F$24&lt;'Start-up Cashflow'!BN7,'Project Assumptions'!$I$24,0)+IF('Project Assumptions'!$F$25&lt;'Start-up Cashflow'!BN7,'Project Assumptions'!$I$25,0))</f>
        <v>336</v>
      </c>
      <c r="BO9" s="242" t="n">
        <f aca="false">(IF('Project Assumptions'!$F$21&lt;'Start-up Cashflow'!BO7,'Project Assumptions'!$I$21,0)+IF('Project Assumptions'!$F$22&lt;'Start-up Cashflow'!BO7,'Project Assumptions'!$I$22,0)+IF('Project Assumptions'!$F$23&lt;'Start-up Cashflow'!BO7,'Project Assumptions'!$I$23,0)+IF('Project Assumptions'!$F$24&lt;'Start-up Cashflow'!BO7,'Project Assumptions'!$I$24,0)+IF('Project Assumptions'!$F$25&lt;'Start-up Cashflow'!BO7,'Project Assumptions'!$I$25,0))</f>
        <v>336</v>
      </c>
      <c r="BP9" s="242" t="n">
        <f aca="false">(IF('Project Assumptions'!$F$21&lt;'Start-up Cashflow'!BP7,'Project Assumptions'!$I$21,0)+IF('Project Assumptions'!$F$22&lt;'Start-up Cashflow'!BP7,'Project Assumptions'!$I$22,0)+IF('Project Assumptions'!$F$23&lt;'Start-up Cashflow'!BP7,'Project Assumptions'!$I$23,0)+IF('Project Assumptions'!$F$24&lt;'Start-up Cashflow'!BP7,'Project Assumptions'!$I$24,0)+IF('Project Assumptions'!$F$25&lt;'Start-up Cashflow'!BP7,'Project Assumptions'!$I$25,0))</f>
        <v>336</v>
      </c>
      <c r="BQ9" s="242" t="n">
        <f aca="false">(IF('Project Assumptions'!$F$21&lt;'Start-up Cashflow'!BQ7,'Project Assumptions'!$I$21,0)+IF('Project Assumptions'!$F$22&lt;'Start-up Cashflow'!BQ7,'Project Assumptions'!$I$22,0)+IF('Project Assumptions'!$F$23&lt;'Start-up Cashflow'!BQ7,'Project Assumptions'!$I$23,0)+IF('Project Assumptions'!$F$24&lt;'Start-up Cashflow'!BQ7,'Project Assumptions'!$I$24,0)+IF('Project Assumptions'!$F$25&lt;'Start-up Cashflow'!BQ7,'Project Assumptions'!$I$25,0))</f>
        <v>336</v>
      </c>
      <c r="BR9" s="242" t="n">
        <f aca="false">(IF('Project Assumptions'!$F$21&lt;'Start-up Cashflow'!BR7,'Project Assumptions'!$I$21,0)+IF('Project Assumptions'!$F$22&lt;'Start-up Cashflow'!BR7,'Project Assumptions'!$I$22,0)+IF('Project Assumptions'!$F$23&lt;'Start-up Cashflow'!BR7,'Project Assumptions'!$I$23,0)+IF('Project Assumptions'!$F$24&lt;'Start-up Cashflow'!BR7,'Project Assumptions'!$I$24,0)+IF('Project Assumptions'!$F$25&lt;'Start-up Cashflow'!BR7,'Project Assumptions'!$I$25,0))</f>
        <v>336</v>
      </c>
      <c r="BS9" s="242" t="n">
        <f aca="false">(IF('Project Assumptions'!$F$21&lt;'Start-up Cashflow'!BS7,'Project Assumptions'!$I$21,0)+IF('Project Assumptions'!$F$22&lt;'Start-up Cashflow'!BS7,'Project Assumptions'!$I$22,0)+IF('Project Assumptions'!$F$23&lt;'Start-up Cashflow'!BS7,'Project Assumptions'!$I$23,0)+IF('Project Assumptions'!$F$24&lt;'Start-up Cashflow'!BS7,'Project Assumptions'!$I$24,0)+IF('Project Assumptions'!$F$25&lt;'Start-up Cashflow'!BS7,'Project Assumptions'!$I$25,0))</f>
        <v>336</v>
      </c>
      <c r="BT9" s="242" t="n">
        <f aca="false">(IF('Project Assumptions'!$F$21&lt;'Start-up Cashflow'!BT7,'Project Assumptions'!$I$21,0)+IF('Project Assumptions'!$F$22&lt;'Start-up Cashflow'!BT7,'Project Assumptions'!$I$22,0)+IF('Project Assumptions'!$F$23&lt;'Start-up Cashflow'!BT7,'Project Assumptions'!$I$23,0)+IF('Project Assumptions'!$F$24&lt;'Start-up Cashflow'!BT7,'Project Assumptions'!$I$24,0)+IF('Project Assumptions'!$F$25&lt;'Start-up Cashflow'!BT7,'Project Assumptions'!$I$25,0))</f>
        <v>336</v>
      </c>
      <c r="BU9" s="242" t="n">
        <f aca="false">(IF('Project Assumptions'!$F$21&lt;'Start-up Cashflow'!BU7,'Project Assumptions'!$I$21,0)+IF('Project Assumptions'!$F$22&lt;'Start-up Cashflow'!BU7,'Project Assumptions'!$I$22,0)+IF('Project Assumptions'!$F$23&lt;'Start-up Cashflow'!BU7,'Project Assumptions'!$I$23,0)+IF('Project Assumptions'!$F$24&lt;'Start-up Cashflow'!BU7,'Project Assumptions'!$I$24,0)+IF('Project Assumptions'!$F$25&lt;'Start-up Cashflow'!BU7,'Project Assumptions'!$I$25,0))</f>
        <v>336</v>
      </c>
      <c r="BV9" s="242" t="n">
        <f aca="false">(IF('Project Assumptions'!$F$21&lt;'Start-up Cashflow'!BV7,'Project Assumptions'!$I$21,0)+IF('Project Assumptions'!$F$22&lt;'Start-up Cashflow'!BV7,'Project Assumptions'!$I$22,0)+IF('Project Assumptions'!$F$23&lt;'Start-up Cashflow'!BV7,'Project Assumptions'!$I$23,0)+IF('Project Assumptions'!$F$24&lt;'Start-up Cashflow'!BV7,'Project Assumptions'!$I$24,0)+IF('Project Assumptions'!$F$25&lt;'Start-up Cashflow'!BV7,'Project Assumptions'!$I$25,0))</f>
        <v>336</v>
      </c>
      <c r="BW9" s="242" t="n">
        <f aca="false">(IF('Project Assumptions'!$F$21&lt;'Start-up Cashflow'!BW7,'Project Assumptions'!$I$21,0)+IF('Project Assumptions'!$F$22&lt;'Start-up Cashflow'!BW7,'Project Assumptions'!$I$22,0)+IF('Project Assumptions'!$F$23&lt;'Start-up Cashflow'!BW7,'Project Assumptions'!$I$23,0)+IF('Project Assumptions'!$F$24&lt;'Start-up Cashflow'!BW7,'Project Assumptions'!$I$24,0)+IF('Project Assumptions'!$F$25&lt;'Start-up Cashflow'!BW7,'Project Assumptions'!$I$25,0))</f>
        <v>336</v>
      </c>
      <c r="BX9" s="242" t="n">
        <f aca="false">(IF('Project Assumptions'!$F$21&lt;'Start-up Cashflow'!BX7,'Project Assumptions'!$I$21,0)+IF('Project Assumptions'!$F$22&lt;'Start-up Cashflow'!BX7,'Project Assumptions'!$I$22,0)+IF('Project Assumptions'!$F$23&lt;'Start-up Cashflow'!BX7,'Project Assumptions'!$I$23,0)+IF('Project Assumptions'!$F$24&lt;'Start-up Cashflow'!BX7,'Project Assumptions'!$I$24,0)+IF('Project Assumptions'!$F$25&lt;'Start-up Cashflow'!BX7,'Project Assumptions'!$I$25,0))</f>
        <v>336</v>
      </c>
      <c r="BY9" s="242" t="n">
        <f aca="false">(IF('Project Assumptions'!$F$21&lt;'Start-up Cashflow'!BY7,'Project Assumptions'!$I$21,0)+IF('Project Assumptions'!$F$22&lt;'Start-up Cashflow'!BY7,'Project Assumptions'!$I$22,0)+IF('Project Assumptions'!$F$23&lt;'Start-up Cashflow'!BY7,'Project Assumptions'!$I$23,0)+IF('Project Assumptions'!$F$24&lt;'Start-up Cashflow'!BY7,'Project Assumptions'!$I$24,0)+IF('Project Assumptions'!$F$25&lt;'Start-up Cashflow'!BY7,'Project Assumptions'!$I$25,0))</f>
        <v>336</v>
      </c>
      <c r="BZ9" s="242" t="n">
        <f aca="false">(IF('Project Assumptions'!$F$21&lt;'Start-up Cashflow'!BZ7,'Project Assumptions'!$I$21,0)+IF('Project Assumptions'!$F$22&lt;'Start-up Cashflow'!BZ7,'Project Assumptions'!$I$22,0)+IF('Project Assumptions'!$F$23&lt;'Start-up Cashflow'!BZ7,'Project Assumptions'!$I$23,0)+IF('Project Assumptions'!$F$24&lt;'Start-up Cashflow'!BZ7,'Project Assumptions'!$I$24,0)+IF('Project Assumptions'!$F$25&lt;'Start-up Cashflow'!BZ7,'Project Assumptions'!$I$25,0))</f>
        <v>336</v>
      </c>
      <c r="CA9" s="242" t="n">
        <f aca="false">(IF('Project Assumptions'!$F$21&lt;'Start-up Cashflow'!CA7,'Project Assumptions'!$I$21,0)+IF('Project Assumptions'!$F$22&lt;'Start-up Cashflow'!CA7,'Project Assumptions'!$I$22,0)+IF('Project Assumptions'!$F$23&lt;'Start-up Cashflow'!CA7,'Project Assumptions'!$I$23,0)+IF('Project Assumptions'!$F$24&lt;'Start-up Cashflow'!CA7,'Project Assumptions'!$I$24,0)+IF('Project Assumptions'!$F$25&lt;'Start-up Cashflow'!CA7,'Project Assumptions'!$I$25,0))</f>
        <v>336</v>
      </c>
      <c r="CB9" s="242" t="n">
        <f aca="false">(IF('Project Assumptions'!$F$21&lt;'Start-up Cashflow'!CB7,'Project Assumptions'!$I$21,0)+IF('Project Assumptions'!$F$22&lt;'Start-up Cashflow'!CB7,'Project Assumptions'!$I$22,0)+IF('Project Assumptions'!$F$23&lt;'Start-up Cashflow'!CB7,'Project Assumptions'!$I$23,0)+IF('Project Assumptions'!$F$24&lt;'Start-up Cashflow'!CB7,'Project Assumptions'!$I$24,0)+IF('Project Assumptions'!$F$25&lt;'Start-up Cashflow'!CB7,'Project Assumptions'!$I$25,0))</f>
        <v>336</v>
      </c>
      <c r="CC9" s="242" t="n">
        <f aca="false">(IF('Project Assumptions'!$F$21&lt;'Start-up Cashflow'!CC7,'Project Assumptions'!$I$21,0)+IF('Project Assumptions'!$F$22&lt;'Start-up Cashflow'!CC7,'Project Assumptions'!$I$22,0)+IF('Project Assumptions'!$F$23&lt;'Start-up Cashflow'!CC7,'Project Assumptions'!$I$23,0)+IF('Project Assumptions'!$F$24&lt;'Start-up Cashflow'!CC7,'Project Assumptions'!$I$24,0)+IF('Project Assumptions'!$F$25&lt;'Start-up Cashflow'!CC7,'Project Assumptions'!$I$25,0))</f>
        <v>336</v>
      </c>
      <c r="CD9" s="242" t="n">
        <f aca="false">(IF('Project Assumptions'!$F$21&lt;'Start-up Cashflow'!CD7,'Project Assumptions'!$I$21,0)+IF('Project Assumptions'!$F$22&lt;'Start-up Cashflow'!CD7,'Project Assumptions'!$I$22,0)+IF('Project Assumptions'!$F$23&lt;'Start-up Cashflow'!CD7,'Project Assumptions'!$I$23,0)+IF('Project Assumptions'!$F$24&lt;'Start-up Cashflow'!CD7,'Project Assumptions'!$I$24,0)+IF('Project Assumptions'!$F$25&lt;'Start-up Cashflow'!CD7,'Project Assumptions'!$I$25,0))</f>
        <v>336</v>
      </c>
      <c r="CE9" s="242" t="n">
        <f aca="false">(IF('Project Assumptions'!$F$21&lt;'Start-up Cashflow'!CE7,'Project Assumptions'!$I$21,0)+IF('Project Assumptions'!$F$22&lt;'Start-up Cashflow'!CE7,'Project Assumptions'!$I$22,0)+IF('Project Assumptions'!$F$23&lt;'Start-up Cashflow'!CE7,'Project Assumptions'!$I$23,0)+IF('Project Assumptions'!$F$24&lt;'Start-up Cashflow'!CE7,'Project Assumptions'!$I$24,0)+IF('Project Assumptions'!$F$25&lt;'Start-up Cashflow'!CE7,'Project Assumptions'!$I$25,0))</f>
        <v>336</v>
      </c>
      <c r="CF9" s="242" t="n">
        <f aca="false">(IF('Project Assumptions'!$F$21&lt;'Start-up Cashflow'!CF7,'Project Assumptions'!$I$21,0)+IF('Project Assumptions'!$F$22&lt;'Start-up Cashflow'!CF7,'Project Assumptions'!$I$22,0)+IF('Project Assumptions'!$F$23&lt;'Start-up Cashflow'!CF7,'Project Assumptions'!$I$23,0)+IF('Project Assumptions'!$F$24&lt;'Start-up Cashflow'!CF7,'Project Assumptions'!$I$24,0)+IF('Project Assumptions'!$F$25&lt;'Start-up Cashflow'!CF7,'Project Assumptions'!$I$25,0))</f>
        <v>336</v>
      </c>
      <c r="CG9" s="242" t="n">
        <f aca="false">(IF('Project Assumptions'!$F$21&lt;'Start-up Cashflow'!CG7,'Project Assumptions'!$I$21,0)+IF('Project Assumptions'!$F$22&lt;'Start-up Cashflow'!CG7,'Project Assumptions'!$I$22,0)+IF('Project Assumptions'!$F$23&lt;'Start-up Cashflow'!CG7,'Project Assumptions'!$I$23,0)+IF('Project Assumptions'!$F$24&lt;'Start-up Cashflow'!CG7,'Project Assumptions'!$I$24,0)+IF('Project Assumptions'!$F$25&lt;'Start-up Cashflow'!CG7,'Project Assumptions'!$I$25,0))</f>
        <v>336</v>
      </c>
      <c r="CH9" s="242" t="n">
        <f aca="false">(IF('Project Assumptions'!$F$21&lt;'Start-up Cashflow'!CH7,'Project Assumptions'!$I$21,0)+IF('Project Assumptions'!$F$22&lt;'Start-up Cashflow'!CH7,'Project Assumptions'!$I$22,0)+IF('Project Assumptions'!$F$23&lt;'Start-up Cashflow'!CH7,'Project Assumptions'!$I$23,0)+IF('Project Assumptions'!$F$24&lt;'Start-up Cashflow'!CH7,'Project Assumptions'!$I$24,0)+IF('Project Assumptions'!$F$25&lt;'Start-up Cashflow'!CH7,'Project Assumptions'!$I$25,0))</f>
        <v>336</v>
      </c>
      <c r="CI9" s="242" t="n">
        <f aca="false">(IF('Project Assumptions'!$F$21&lt;'Start-up Cashflow'!CI7,'Project Assumptions'!$I$21,0)+IF('Project Assumptions'!$F$22&lt;'Start-up Cashflow'!CI7,'Project Assumptions'!$I$22,0)+IF('Project Assumptions'!$F$23&lt;'Start-up Cashflow'!CI7,'Project Assumptions'!$I$23,0)+IF('Project Assumptions'!$F$24&lt;'Start-up Cashflow'!CI7,'Project Assumptions'!$I$24,0)+IF('Project Assumptions'!$F$25&lt;'Start-up Cashflow'!CI7,'Project Assumptions'!$I$25,0))</f>
        <v>336</v>
      </c>
      <c r="CJ9" s="242" t="n">
        <f aca="false">(IF('Project Assumptions'!$F$21&lt;'Start-up Cashflow'!CJ7,'Project Assumptions'!$I$21,0)+IF('Project Assumptions'!$F$22&lt;'Start-up Cashflow'!CJ7,'Project Assumptions'!$I$22,0)+IF('Project Assumptions'!$F$23&lt;'Start-up Cashflow'!CJ7,'Project Assumptions'!$I$23,0)+IF('Project Assumptions'!$F$24&lt;'Start-up Cashflow'!CJ7,'Project Assumptions'!$I$24,0)+IF('Project Assumptions'!$F$25&lt;'Start-up Cashflow'!CJ7,'Project Assumptions'!$I$25,0))</f>
        <v>336</v>
      </c>
      <c r="CK9" s="242" t="n">
        <f aca="false">(IF('Project Assumptions'!$F$21&lt;'Start-up Cashflow'!CK7,'Project Assumptions'!$I$21,0)+IF('Project Assumptions'!$F$22&lt;'Start-up Cashflow'!CK7,'Project Assumptions'!$I$22,0)+IF('Project Assumptions'!$F$23&lt;'Start-up Cashflow'!CK7,'Project Assumptions'!$I$23,0)+IF('Project Assumptions'!$F$24&lt;'Start-up Cashflow'!CK7,'Project Assumptions'!$I$24,0)+IF('Project Assumptions'!$F$25&lt;'Start-up Cashflow'!CK7,'Project Assumptions'!$I$25,0))</f>
        <v>336</v>
      </c>
      <c r="CL9" s="242" t="n">
        <f aca="false">(IF('Project Assumptions'!$F$21&lt;'Start-up Cashflow'!CL7,'Project Assumptions'!$I$21,0)+IF('Project Assumptions'!$F$22&lt;'Start-up Cashflow'!CL7,'Project Assumptions'!$I$22,0)+IF('Project Assumptions'!$F$23&lt;'Start-up Cashflow'!CL7,'Project Assumptions'!$I$23,0)+IF('Project Assumptions'!$F$24&lt;'Start-up Cashflow'!CL7,'Project Assumptions'!$I$24,0)+IF('Project Assumptions'!$F$25&lt;'Start-up Cashflow'!CL7,'Project Assumptions'!$I$25,0))</f>
        <v>336</v>
      </c>
      <c r="CM9" s="242" t="n">
        <f aca="false">(IF('Project Assumptions'!$F$21&lt;'Start-up Cashflow'!CM7,'Project Assumptions'!$I$21,0)+IF('Project Assumptions'!$F$22&lt;'Start-up Cashflow'!CM7,'Project Assumptions'!$I$22,0)+IF('Project Assumptions'!$F$23&lt;'Start-up Cashflow'!CM7,'Project Assumptions'!$I$23,0)+IF('Project Assumptions'!$F$24&lt;'Start-up Cashflow'!CM7,'Project Assumptions'!$I$24,0)+IF('Project Assumptions'!$F$25&lt;'Start-up Cashflow'!CM7,'Project Assumptions'!$I$25,0))</f>
        <v>336</v>
      </c>
      <c r="CN9" s="242" t="n">
        <f aca="false">(IF('Project Assumptions'!$F$21&lt;'Start-up Cashflow'!CN7,'Project Assumptions'!$I$21,0)+IF('Project Assumptions'!$F$22&lt;'Start-up Cashflow'!CN7,'Project Assumptions'!$I$22,0)+IF('Project Assumptions'!$F$23&lt;'Start-up Cashflow'!CN7,'Project Assumptions'!$I$23,0)+IF('Project Assumptions'!$F$24&lt;'Start-up Cashflow'!CN7,'Project Assumptions'!$I$24,0)+IF('Project Assumptions'!$F$25&lt;'Start-up Cashflow'!CN7,'Project Assumptions'!$I$25,0))</f>
        <v>336</v>
      </c>
      <c r="CO9" s="242" t="n">
        <f aca="false">(IF('Project Assumptions'!$F$21&lt;'Start-up Cashflow'!CO7,'Project Assumptions'!$I$21,0)+IF('Project Assumptions'!$F$22&lt;'Start-up Cashflow'!CO7,'Project Assumptions'!$I$22,0)+IF('Project Assumptions'!$F$23&lt;'Start-up Cashflow'!CO7,'Project Assumptions'!$I$23,0)+IF('Project Assumptions'!$F$24&lt;'Start-up Cashflow'!CO7,'Project Assumptions'!$I$24,0)+IF('Project Assumptions'!$F$25&lt;'Start-up Cashflow'!CO7,'Project Assumptions'!$I$25,0))</f>
        <v>336</v>
      </c>
      <c r="CP9" s="242" t="n">
        <f aca="false">(IF('Project Assumptions'!$F$21&lt;'Start-up Cashflow'!CP7,'Project Assumptions'!$I$21,0)+IF('Project Assumptions'!$F$22&lt;'Start-up Cashflow'!CP7,'Project Assumptions'!$I$22,0)+IF('Project Assumptions'!$F$23&lt;'Start-up Cashflow'!CP7,'Project Assumptions'!$I$23,0)+IF('Project Assumptions'!$F$24&lt;'Start-up Cashflow'!CP7,'Project Assumptions'!$I$24,0)+IF('Project Assumptions'!$F$25&lt;'Start-up Cashflow'!CP7,'Project Assumptions'!$I$25,0))</f>
        <v>336</v>
      </c>
      <c r="CQ9" s="242" t="n">
        <f aca="false">(IF('Project Assumptions'!$F$21&lt;'Start-up Cashflow'!CQ7,'Project Assumptions'!$I$21,0)+IF('Project Assumptions'!$F$22&lt;'Start-up Cashflow'!CQ7,'Project Assumptions'!$I$22,0)+IF('Project Assumptions'!$F$23&lt;'Start-up Cashflow'!CQ7,'Project Assumptions'!$I$23,0)+IF('Project Assumptions'!$F$24&lt;'Start-up Cashflow'!CQ7,'Project Assumptions'!$I$24,0)+IF('Project Assumptions'!$F$25&lt;'Start-up Cashflow'!CQ7,'Project Assumptions'!$I$25,0))</f>
        <v>336</v>
      </c>
      <c r="CR9" s="242" t="n">
        <f aca="false">(IF('Project Assumptions'!$F$21&lt;'Start-up Cashflow'!CR7,'Project Assumptions'!$I$21,0)+IF('Project Assumptions'!$F$22&lt;'Start-up Cashflow'!CR7,'Project Assumptions'!$I$22,0)+IF('Project Assumptions'!$F$23&lt;'Start-up Cashflow'!CR7,'Project Assumptions'!$I$23,0)+IF('Project Assumptions'!$F$24&lt;'Start-up Cashflow'!CR7,'Project Assumptions'!$I$24,0)+IF('Project Assumptions'!$F$25&lt;'Start-up Cashflow'!CR7,'Project Assumptions'!$I$25,0))</f>
        <v>336</v>
      </c>
      <c r="CS9" s="242" t="n">
        <f aca="false">(IF('Project Assumptions'!$F$21&lt;'Start-up Cashflow'!CS7,'Project Assumptions'!$I$21,0)+IF('Project Assumptions'!$F$22&lt;'Start-up Cashflow'!CS7,'Project Assumptions'!$I$22,0)+IF('Project Assumptions'!$F$23&lt;'Start-up Cashflow'!CS7,'Project Assumptions'!$I$23,0)+IF('Project Assumptions'!$F$24&lt;'Start-up Cashflow'!CS7,'Project Assumptions'!$I$24,0)+IF('Project Assumptions'!$F$25&lt;'Start-up Cashflow'!CS7,'Project Assumptions'!$I$25,0))</f>
        <v>336</v>
      </c>
      <c r="CT9" s="242" t="n">
        <f aca="false">(IF('Project Assumptions'!$F$21&lt;'Start-up Cashflow'!CT7,'Project Assumptions'!$I$21,0)+IF('Project Assumptions'!$F$22&lt;'Start-up Cashflow'!CT7,'Project Assumptions'!$I$22,0)+IF('Project Assumptions'!$F$23&lt;'Start-up Cashflow'!CT7,'Project Assumptions'!$I$23,0)+IF('Project Assumptions'!$F$24&lt;'Start-up Cashflow'!CT7,'Project Assumptions'!$I$24,0)+IF('Project Assumptions'!$F$25&lt;'Start-up Cashflow'!CT7,'Project Assumptions'!$I$25,0))</f>
        <v>336</v>
      </c>
      <c r="CU9" s="242" t="n">
        <f aca="false">(IF('Project Assumptions'!$F$21&lt;'Start-up Cashflow'!CU7,'Project Assumptions'!$I$21,0)+IF('Project Assumptions'!$F$22&lt;'Start-up Cashflow'!CU7,'Project Assumptions'!$I$22,0)+IF('Project Assumptions'!$F$23&lt;'Start-up Cashflow'!CU7,'Project Assumptions'!$I$23,0)+IF('Project Assumptions'!$F$24&lt;'Start-up Cashflow'!CU7,'Project Assumptions'!$I$24,0)+IF('Project Assumptions'!$F$25&lt;'Start-up Cashflow'!CU7,'Project Assumptions'!$I$25,0))</f>
        <v>336</v>
      </c>
      <c r="CV9" s="242" t="n">
        <f aca="false">(IF('Project Assumptions'!$F$21&lt;'Start-up Cashflow'!CV7,'Project Assumptions'!$I$21,0)+IF('Project Assumptions'!$F$22&lt;'Start-up Cashflow'!CV7,'Project Assumptions'!$I$22,0)+IF('Project Assumptions'!$F$23&lt;'Start-up Cashflow'!CV7,'Project Assumptions'!$I$23,0)+IF('Project Assumptions'!$F$24&lt;'Start-up Cashflow'!CV7,'Project Assumptions'!$I$24,0)+IF('Project Assumptions'!$F$25&lt;'Start-up Cashflow'!CV7,'Project Assumptions'!$I$25,0))</f>
        <v>336</v>
      </c>
      <c r="CW9" s="242" t="n">
        <f aca="false">(IF('Project Assumptions'!$F$21&lt;'Start-up Cashflow'!CW7,'Project Assumptions'!$I$21,0)+IF('Project Assumptions'!$F$22&lt;'Start-up Cashflow'!CW7,'Project Assumptions'!$I$22,0)+IF('Project Assumptions'!$F$23&lt;'Start-up Cashflow'!CW7,'Project Assumptions'!$I$23,0)+IF('Project Assumptions'!$F$24&lt;'Start-up Cashflow'!CW7,'Project Assumptions'!$I$24,0)+IF('Project Assumptions'!$F$25&lt;'Start-up Cashflow'!CW7,'Project Assumptions'!$I$25,0))</f>
        <v>336</v>
      </c>
      <c r="CX9" s="242" t="n">
        <f aca="false">(IF('Project Assumptions'!$F$21&lt;'Start-up Cashflow'!CX7,'Project Assumptions'!$I$21,0)+IF('Project Assumptions'!$F$22&lt;'Start-up Cashflow'!CX7,'Project Assumptions'!$I$22,0)+IF('Project Assumptions'!$F$23&lt;'Start-up Cashflow'!CX7,'Project Assumptions'!$I$23,0)+IF('Project Assumptions'!$F$24&lt;'Start-up Cashflow'!CX7,'Project Assumptions'!$I$24,0)+IF('Project Assumptions'!$F$25&lt;'Start-up Cashflow'!CX7,'Project Assumptions'!$I$25,0))</f>
        <v>336</v>
      </c>
      <c r="CY9" s="242" t="n">
        <f aca="false">(IF('Project Assumptions'!$F$21&lt;'Start-up Cashflow'!CY7,'Project Assumptions'!$I$21,0)+IF('Project Assumptions'!$F$22&lt;'Start-up Cashflow'!CY7,'Project Assumptions'!$I$22,0)+IF('Project Assumptions'!$F$23&lt;'Start-up Cashflow'!CY7,'Project Assumptions'!$I$23,0)+IF('Project Assumptions'!$F$24&lt;'Start-up Cashflow'!CY7,'Project Assumptions'!$I$24,0)+IF('Project Assumptions'!$F$25&lt;'Start-up Cashflow'!CY7,'Project Assumptions'!$I$25,0))</f>
        <v>336</v>
      </c>
      <c r="CZ9" s="242" t="n">
        <f aca="false">(IF('Project Assumptions'!$F$21&lt;'Start-up Cashflow'!CZ7,'Project Assumptions'!$I$21,0)+IF('Project Assumptions'!$F$22&lt;'Start-up Cashflow'!CZ7,'Project Assumptions'!$I$22,0)+IF('Project Assumptions'!$F$23&lt;'Start-up Cashflow'!CZ7,'Project Assumptions'!$I$23,0)+IF('Project Assumptions'!$F$24&lt;'Start-up Cashflow'!CZ7,'Project Assumptions'!$I$24,0)+IF('Project Assumptions'!$F$25&lt;'Start-up Cashflow'!CZ7,'Project Assumptions'!$I$25,0))</f>
        <v>336</v>
      </c>
      <c r="DA9" s="242" t="n">
        <f aca="false">(IF('Project Assumptions'!$F$21&lt;'Start-up Cashflow'!DA7,'Project Assumptions'!$I$21,0)+IF('Project Assumptions'!$F$22&lt;'Start-up Cashflow'!DA7,'Project Assumptions'!$I$22,0)+IF('Project Assumptions'!$F$23&lt;'Start-up Cashflow'!DA7,'Project Assumptions'!$I$23,0)+IF('Project Assumptions'!$F$24&lt;'Start-up Cashflow'!DA7,'Project Assumptions'!$I$24,0)+IF('Project Assumptions'!$F$25&lt;'Start-up Cashflow'!DA7,'Project Assumptions'!$I$25,0))</f>
        <v>336</v>
      </c>
      <c r="DB9" s="242" t="n">
        <f aca="false">(IF('Project Assumptions'!$F$21&lt;'Start-up Cashflow'!DB7,'Project Assumptions'!$I$21,0)+IF('Project Assumptions'!$F$22&lt;'Start-up Cashflow'!DB7,'Project Assumptions'!$I$22,0)+IF('Project Assumptions'!$F$23&lt;'Start-up Cashflow'!DB7,'Project Assumptions'!$I$23,0)+IF('Project Assumptions'!$F$24&lt;'Start-up Cashflow'!DB7,'Project Assumptions'!$I$24,0)+IF('Project Assumptions'!$F$25&lt;'Start-up Cashflow'!DB7,'Project Assumptions'!$I$25,0))</f>
        <v>336</v>
      </c>
      <c r="DC9" s="242" t="n">
        <f aca="false">(IF('Project Assumptions'!$F$21&lt;'Start-up Cashflow'!DC7,'Project Assumptions'!$I$21,0)+IF('Project Assumptions'!$F$22&lt;'Start-up Cashflow'!DC7,'Project Assumptions'!$I$22,0)+IF('Project Assumptions'!$F$23&lt;'Start-up Cashflow'!DC7,'Project Assumptions'!$I$23,0)+IF('Project Assumptions'!$F$24&lt;'Start-up Cashflow'!DC7,'Project Assumptions'!$I$24,0)+IF('Project Assumptions'!$F$25&lt;'Start-up Cashflow'!DC7,'Project Assumptions'!$I$25,0))</f>
        <v>336</v>
      </c>
      <c r="DD9" s="242" t="n">
        <f aca="false">(IF('Project Assumptions'!$F$21&lt;'Start-up Cashflow'!DD7,'Project Assumptions'!$I$21,0)+IF('Project Assumptions'!$F$22&lt;'Start-up Cashflow'!DD7,'Project Assumptions'!$I$22,0)+IF('Project Assumptions'!$F$23&lt;'Start-up Cashflow'!DD7,'Project Assumptions'!$I$23,0)+IF('Project Assumptions'!$F$24&lt;'Start-up Cashflow'!DD7,'Project Assumptions'!$I$24,0)+IF('Project Assumptions'!$F$25&lt;'Start-up Cashflow'!DD7,'Project Assumptions'!$I$25,0))</f>
        <v>336</v>
      </c>
      <c r="DE9" s="242" t="n">
        <f aca="false">(IF('Project Assumptions'!$F$21&lt;'Start-up Cashflow'!DE7,'Project Assumptions'!$I$21,0)+IF('Project Assumptions'!$F$22&lt;'Start-up Cashflow'!DE7,'Project Assumptions'!$I$22,0)+IF('Project Assumptions'!$F$23&lt;'Start-up Cashflow'!DE7,'Project Assumptions'!$I$23,0)+IF('Project Assumptions'!$F$24&lt;'Start-up Cashflow'!DE7,'Project Assumptions'!$I$24,0)+IF('Project Assumptions'!$F$25&lt;'Start-up Cashflow'!DE7,'Project Assumptions'!$I$25,0))</f>
        <v>336</v>
      </c>
      <c r="DF9" s="242" t="n">
        <f aca="false">(IF('Project Assumptions'!$F$21&lt;'Start-up Cashflow'!DF7,'Project Assumptions'!$I$21,0)+IF('Project Assumptions'!$F$22&lt;'Start-up Cashflow'!DF7,'Project Assumptions'!$I$22,0)+IF('Project Assumptions'!$F$23&lt;'Start-up Cashflow'!DF7,'Project Assumptions'!$I$23,0)+IF('Project Assumptions'!$F$24&lt;'Start-up Cashflow'!DF7,'Project Assumptions'!$I$24,0)+IF('Project Assumptions'!$F$25&lt;'Start-up Cashflow'!DF7,'Project Assumptions'!$I$25,0))</f>
        <v>336</v>
      </c>
      <c r="DG9" s="242" t="n">
        <f aca="false">(IF('Project Assumptions'!$F$21&lt;'Start-up Cashflow'!DG7,'Project Assumptions'!$I$21,0)+IF('Project Assumptions'!$F$22&lt;'Start-up Cashflow'!DG7,'Project Assumptions'!$I$22,0)+IF('Project Assumptions'!$F$23&lt;'Start-up Cashflow'!DG7,'Project Assumptions'!$I$23,0)+IF('Project Assumptions'!$F$24&lt;'Start-up Cashflow'!DG7,'Project Assumptions'!$I$24,0)+IF('Project Assumptions'!$F$25&lt;'Start-up Cashflow'!DG7,'Project Assumptions'!$I$25,0))</f>
        <v>336</v>
      </c>
      <c r="DH9" s="242" t="n">
        <f aca="false">(IF('Project Assumptions'!$F$21&lt;'Start-up Cashflow'!DH7,'Project Assumptions'!$I$21,0)+IF('Project Assumptions'!$F$22&lt;'Start-up Cashflow'!DH7,'Project Assumptions'!$I$22,0)+IF('Project Assumptions'!$F$23&lt;'Start-up Cashflow'!DH7,'Project Assumptions'!$I$23,0)+IF('Project Assumptions'!$F$24&lt;'Start-up Cashflow'!DH7,'Project Assumptions'!$I$24,0)+IF('Project Assumptions'!$F$25&lt;'Start-up Cashflow'!DH7,'Project Assumptions'!$I$25,0))</f>
        <v>336</v>
      </c>
      <c r="DI9" s="242" t="n">
        <f aca="false">(IF('Project Assumptions'!$F$21&lt;'Start-up Cashflow'!DI7,'Project Assumptions'!$I$21,0)+IF('Project Assumptions'!$F$22&lt;'Start-up Cashflow'!DI7,'Project Assumptions'!$I$22,0)+IF('Project Assumptions'!$F$23&lt;'Start-up Cashflow'!DI7,'Project Assumptions'!$I$23,0)+IF('Project Assumptions'!$F$24&lt;'Start-up Cashflow'!DI7,'Project Assumptions'!$I$24,0)+IF('Project Assumptions'!$F$25&lt;'Start-up Cashflow'!DI7,'Project Assumptions'!$I$25,0))</f>
        <v>336</v>
      </c>
      <c r="DJ9" s="242" t="n">
        <f aca="false">(IF('Project Assumptions'!$F$21&lt;'Start-up Cashflow'!DJ7,'Project Assumptions'!$I$21,0)+IF('Project Assumptions'!$F$22&lt;'Start-up Cashflow'!DJ7,'Project Assumptions'!$I$22,0)+IF('Project Assumptions'!$F$23&lt;'Start-up Cashflow'!DJ7,'Project Assumptions'!$I$23,0)+IF('Project Assumptions'!$F$24&lt;'Start-up Cashflow'!DJ7,'Project Assumptions'!$I$24,0)+IF('Project Assumptions'!$F$25&lt;'Start-up Cashflow'!DJ7,'Project Assumptions'!$I$25,0))</f>
        <v>336</v>
      </c>
      <c r="DK9" s="242" t="n">
        <f aca="false">(IF('Project Assumptions'!$F$21&lt;'Start-up Cashflow'!DK7,'Project Assumptions'!$I$21,0)+IF('Project Assumptions'!$F$22&lt;'Start-up Cashflow'!DK7,'Project Assumptions'!$I$22,0)+IF('Project Assumptions'!$F$23&lt;'Start-up Cashflow'!DK7,'Project Assumptions'!$I$23,0)+IF('Project Assumptions'!$F$24&lt;'Start-up Cashflow'!DK7,'Project Assumptions'!$I$24,0)+IF('Project Assumptions'!$F$25&lt;'Start-up Cashflow'!DK7,'Project Assumptions'!$I$25,0))</f>
        <v>336</v>
      </c>
      <c r="DL9" s="242" t="n">
        <f aca="false">(IF('Project Assumptions'!$F$21&lt;'Start-up Cashflow'!DL7,'Project Assumptions'!$I$21,0)+IF('Project Assumptions'!$F$22&lt;'Start-up Cashflow'!DL7,'Project Assumptions'!$I$22,0)+IF('Project Assumptions'!$F$23&lt;'Start-up Cashflow'!DL7,'Project Assumptions'!$I$23,0)+IF('Project Assumptions'!$F$24&lt;'Start-up Cashflow'!DL7,'Project Assumptions'!$I$24,0)+IF('Project Assumptions'!$F$25&lt;'Start-up Cashflow'!DL7,'Project Assumptions'!$I$25,0))</f>
        <v>336</v>
      </c>
      <c r="DM9" s="242" t="n">
        <f aca="false">(IF('Project Assumptions'!$F$21&lt;'Start-up Cashflow'!DM7,'Project Assumptions'!$I$21,0)+IF('Project Assumptions'!$F$22&lt;'Start-up Cashflow'!DM7,'Project Assumptions'!$I$22,0)+IF('Project Assumptions'!$F$23&lt;'Start-up Cashflow'!DM7,'Project Assumptions'!$I$23,0)+IF('Project Assumptions'!$F$24&lt;'Start-up Cashflow'!DM7,'Project Assumptions'!$I$24,0)+IF('Project Assumptions'!$F$25&lt;'Start-up Cashflow'!DM7,'Project Assumptions'!$I$25,0))</f>
        <v>336</v>
      </c>
      <c r="DN9" s="242" t="n">
        <f aca="false">(IF('Project Assumptions'!$F$21&lt;'Start-up Cashflow'!DN7,'Project Assumptions'!$I$21,0)+IF('Project Assumptions'!$F$22&lt;'Start-up Cashflow'!DN7,'Project Assumptions'!$I$22,0)+IF('Project Assumptions'!$F$23&lt;'Start-up Cashflow'!DN7,'Project Assumptions'!$I$23,0)+IF('Project Assumptions'!$F$24&lt;'Start-up Cashflow'!DN7,'Project Assumptions'!$I$24,0)+IF('Project Assumptions'!$F$25&lt;'Start-up Cashflow'!DN7,'Project Assumptions'!$I$25,0))</f>
        <v>336</v>
      </c>
      <c r="DO9" s="242" t="n">
        <f aca="false">(IF('Project Assumptions'!$F$21&lt;'Start-up Cashflow'!DO7,'Project Assumptions'!$I$21,0)+IF('Project Assumptions'!$F$22&lt;'Start-up Cashflow'!DO7,'Project Assumptions'!$I$22,0)+IF('Project Assumptions'!$F$23&lt;'Start-up Cashflow'!DO7,'Project Assumptions'!$I$23,0)+IF('Project Assumptions'!$F$24&lt;'Start-up Cashflow'!DO7,'Project Assumptions'!$I$24,0)+IF('Project Assumptions'!$F$25&lt;'Start-up Cashflow'!DO7,'Project Assumptions'!$I$25,0))</f>
        <v>336</v>
      </c>
      <c r="DP9" s="242" t="n">
        <f aca="false">(IF('Project Assumptions'!$F$21&lt;'Start-up Cashflow'!DP7,'Project Assumptions'!$I$21,0)+IF('Project Assumptions'!$F$22&lt;'Start-up Cashflow'!DP7,'Project Assumptions'!$I$22,0)+IF('Project Assumptions'!$F$23&lt;'Start-up Cashflow'!DP7,'Project Assumptions'!$I$23,0)+IF('Project Assumptions'!$F$24&lt;'Start-up Cashflow'!DP7,'Project Assumptions'!$I$24,0)+IF('Project Assumptions'!$F$25&lt;'Start-up Cashflow'!DP7,'Project Assumptions'!$I$25,0))</f>
        <v>336</v>
      </c>
      <c r="DQ9" s="242" t="n">
        <f aca="false">(IF('Project Assumptions'!$F$21&lt;'Start-up Cashflow'!DQ7,'Project Assumptions'!$I$21,0)+IF('Project Assumptions'!$F$22&lt;'Start-up Cashflow'!DQ7,'Project Assumptions'!$I$22,0)+IF('Project Assumptions'!$F$23&lt;'Start-up Cashflow'!DQ7,'Project Assumptions'!$I$23,0)+IF('Project Assumptions'!$F$24&lt;'Start-up Cashflow'!DQ7,'Project Assumptions'!$I$24,0)+IF('Project Assumptions'!$F$25&lt;'Start-up Cashflow'!DQ7,'Project Assumptions'!$I$25,0))</f>
        <v>336</v>
      </c>
      <c r="DR9" s="242" t="n">
        <f aca="false">(IF('Project Assumptions'!$F$21&lt;'Start-up Cashflow'!DR7,'Project Assumptions'!$I$21,0)+IF('Project Assumptions'!$F$22&lt;'Start-up Cashflow'!DR7,'Project Assumptions'!$I$22,0)+IF('Project Assumptions'!$F$23&lt;'Start-up Cashflow'!DR7,'Project Assumptions'!$I$23,0)+IF('Project Assumptions'!$F$24&lt;'Start-up Cashflow'!DR7,'Project Assumptions'!$I$24,0)+IF('Project Assumptions'!$F$25&lt;'Start-up Cashflow'!DR7,'Project Assumptions'!$I$25,0))</f>
        <v>336</v>
      </c>
      <c r="DS9" s="242" t="n">
        <f aca="false">(IF('Project Assumptions'!$F$21&lt;'Start-up Cashflow'!DS7,'Project Assumptions'!$I$21,0)+IF('Project Assumptions'!$F$22&lt;'Start-up Cashflow'!DS7,'Project Assumptions'!$I$22,0)+IF('Project Assumptions'!$F$23&lt;'Start-up Cashflow'!DS7,'Project Assumptions'!$I$23,0)+IF('Project Assumptions'!$F$24&lt;'Start-up Cashflow'!DS7,'Project Assumptions'!$I$24,0)+IF('Project Assumptions'!$F$25&lt;'Start-up Cashflow'!DS7,'Project Assumptions'!$I$25,0))</f>
        <v>336</v>
      </c>
      <c r="DT9" s="242" t="n">
        <f aca="false">(IF('Project Assumptions'!$F$21&lt;'Start-up Cashflow'!DT7,'Project Assumptions'!$I$21,0)+IF('Project Assumptions'!$F$22&lt;'Start-up Cashflow'!DT7,'Project Assumptions'!$I$22,0)+IF('Project Assumptions'!$F$23&lt;'Start-up Cashflow'!DT7,'Project Assumptions'!$I$23,0)+IF('Project Assumptions'!$F$24&lt;'Start-up Cashflow'!DT7,'Project Assumptions'!$I$24,0)+IF('Project Assumptions'!$F$25&lt;'Start-up Cashflow'!DT7,'Project Assumptions'!$I$25,0))</f>
        <v>336</v>
      </c>
      <c r="DU9" s="242" t="n">
        <f aca="false">(IF('Project Assumptions'!$F$21&lt;'Start-up Cashflow'!DU7,'Project Assumptions'!$I$21,0)+IF('Project Assumptions'!$F$22&lt;'Start-up Cashflow'!DU7,'Project Assumptions'!$I$22,0)+IF('Project Assumptions'!$F$23&lt;'Start-up Cashflow'!DU7,'Project Assumptions'!$I$23,0)+IF('Project Assumptions'!$F$24&lt;'Start-up Cashflow'!DU7,'Project Assumptions'!$I$24,0)+IF('Project Assumptions'!$F$25&lt;'Start-up Cashflow'!DU7,'Project Assumptions'!$I$25,0))</f>
        <v>336</v>
      </c>
      <c r="DV9" s="242" t="n">
        <f aca="false">(IF('Project Assumptions'!$F$21&lt;'Start-up Cashflow'!DV7,'Project Assumptions'!$I$21,0)+IF('Project Assumptions'!$F$22&lt;'Start-up Cashflow'!DV7,'Project Assumptions'!$I$22,0)+IF('Project Assumptions'!$F$23&lt;'Start-up Cashflow'!DV7,'Project Assumptions'!$I$23,0)+IF('Project Assumptions'!$F$24&lt;'Start-up Cashflow'!DV7,'Project Assumptions'!$I$24,0)+IF('Project Assumptions'!$F$25&lt;'Start-up Cashflow'!DV7,'Project Assumptions'!$I$25,0))</f>
        <v>336</v>
      </c>
      <c r="DW9" s="242" t="n">
        <f aca="false">(IF('Project Assumptions'!$F$21&lt;'Start-up Cashflow'!DW7,'Project Assumptions'!$I$21,0)+IF('Project Assumptions'!$F$22&lt;'Start-up Cashflow'!DW7,'Project Assumptions'!$I$22,0)+IF('Project Assumptions'!$F$23&lt;'Start-up Cashflow'!DW7,'Project Assumptions'!$I$23,0)+IF('Project Assumptions'!$F$24&lt;'Start-up Cashflow'!DW7,'Project Assumptions'!$I$24,0)+IF('Project Assumptions'!$F$25&lt;'Start-up Cashflow'!DW7,'Project Assumptions'!$I$25,0))</f>
        <v>336</v>
      </c>
      <c r="DX9" s="242" t="n">
        <f aca="false">(IF('Project Assumptions'!$F$21&lt;'Start-up Cashflow'!DX7,'Project Assumptions'!$I$21,0)+IF('Project Assumptions'!$F$22&lt;'Start-up Cashflow'!DX7,'Project Assumptions'!$I$22,0)+IF('Project Assumptions'!$F$23&lt;'Start-up Cashflow'!DX7,'Project Assumptions'!$I$23,0)+IF('Project Assumptions'!$F$24&lt;'Start-up Cashflow'!DX7,'Project Assumptions'!$I$24,0)+IF('Project Assumptions'!$F$25&lt;'Start-up Cashflow'!DX7,'Project Assumptions'!$I$25,0))</f>
        <v>336</v>
      </c>
      <c r="DY9" s="242" t="n">
        <f aca="false">(IF('Project Assumptions'!$F$21&lt;'Start-up Cashflow'!DY7,'Project Assumptions'!$I$21,0)+IF('Project Assumptions'!$F$22&lt;'Start-up Cashflow'!DY7,'Project Assumptions'!$I$22,0)+IF('Project Assumptions'!$F$23&lt;'Start-up Cashflow'!DY7,'Project Assumptions'!$I$23,0)+IF('Project Assumptions'!$F$24&lt;'Start-up Cashflow'!DY7,'Project Assumptions'!$I$24,0)+IF('Project Assumptions'!$F$25&lt;'Start-up Cashflow'!DY7,'Project Assumptions'!$I$25,0))</f>
        <v>336</v>
      </c>
      <c r="DZ9" s="242" t="n">
        <f aca="false">(IF('Project Assumptions'!$F$21&lt;'Start-up Cashflow'!DZ7,'Project Assumptions'!$I$21,0)+IF('Project Assumptions'!$F$22&lt;'Start-up Cashflow'!DZ7,'Project Assumptions'!$I$22,0)+IF('Project Assumptions'!$F$23&lt;'Start-up Cashflow'!DZ7,'Project Assumptions'!$I$23,0)+IF('Project Assumptions'!$F$24&lt;'Start-up Cashflow'!DZ7,'Project Assumptions'!$I$24,0)+IF('Project Assumptions'!$F$25&lt;'Start-up Cashflow'!DZ7,'Project Assumptions'!$I$25,0))</f>
        <v>336</v>
      </c>
      <c r="EA9" s="242" t="n">
        <f aca="false">(IF('Project Assumptions'!$F$21&lt;'Start-up Cashflow'!EA7,'Project Assumptions'!$I$21,0)+IF('Project Assumptions'!$F$22&lt;'Start-up Cashflow'!EA7,'Project Assumptions'!$I$22,0)+IF('Project Assumptions'!$F$23&lt;'Start-up Cashflow'!EA7,'Project Assumptions'!$I$23,0)+IF('Project Assumptions'!$F$24&lt;'Start-up Cashflow'!EA7,'Project Assumptions'!$I$24,0)+IF('Project Assumptions'!$F$25&lt;'Start-up Cashflow'!EA7,'Project Assumptions'!$I$25,0))</f>
        <v>336</v>
      </c>
      <c r="EB9" s="242" t="n">
        <f aca="false">(IF('Project Assumptions'!$F$21&lt;'Start-up Cashflow'!EB7,'Project Assumptions'!$I$21,0)+IF('Project Assumptions'!$F$22&lt;'Start-up Cashflow'!EB7,'Project Assumptions'!$I$22,0)+IF('Project Assumptions'!$F$23&lt;'Start-up Cashflow'!EB7,'Project Assumptions'!$I$23,0)+IF('Project Assumptions'!$F$24&lt;'Start-up Cashflow'!EB7,'Project Assumptions'!$I$24,0)+IF('Project Assumptions'!$F$25&lt;'Start-up Cashflow'!EB7,'Project Assumptions'!$I$25,0))</f>
        <v>336</v>
      </c>
      <c r="EC9" s="242" t="n">
        <f aca="false">(IF('Project Assumptions'!$F$21&lt;'Start-up Cashflow'!EC7,'Project Assumptions'!$I$21,0)+IF('Project Assumptions'!$F$22&lt;'Start-up Cashflow'!EC7,'Project Assumptions'!$I$22,0)+IF('Project Assumptions'!$F$23&lt;'Start-up Cashflow'!EC7,'Project Assumptions'!$I$23,0)+IF('Project Assumptions'!$F$24&lt;'Start-up Cashflow'!EC7,'Project Assumptions'!$I$24,0)+IF('Project Assumptions'!$F$25&lt;'Start-up Cashflow'!EC7,'Project Assumptions'!$I$25,0))</f>
        <v>336</v>
      </c>
      <c r="ED9" s="242" t="n">
        <f aca="false">(IF('Project Assumptions'!$F$21&lt;'Start-up Cashflow'!ED7,'Project Assumptions'!$I$21,0)+IF('Project Assumptions'!$F$22&lt;'Start-up Cashflow'!ED7,'Project Assumptions'!$I$22,0)+IF('Project Assumptions'!$F$23&lt;'Start-up Cashflow'!ED7,'Project Assumptions'!$I$23,0)+IF('Project Assumptions'!$F$24&lt;'Start-up Cashflow'!ED7,'Project Assumptions'!$I$24,0)+IF('Project Assumptions'!$F$25&lt;'Start-up Cashflow'!ED7,'Project Assumptions'!$I$25,0))</f>
        <v>336</v>
      </c>
      <c r="EE9" s="242" t="n">
        <f aca="false">(IF('Project Assumptions'!$F$21&lt;'Start-up Cashflow'!EE7,'Project Assumptions'!$I$21,0)+IF('Project Assumptions'!$F$22&lt;'Start-up Cashflow'!EE7,'Project Assumptions'!$I$22,0)+IF('Project Assumptions'!$F$23&lt;'Start-up Cashflow'!EE7,'Project Assumptions'!$I$23,0)+IF('Project Assumptions'!$F$24&lt;'Start-up Cashflow'!EE7,'Project Assumptions'!$I$24,0)+IF('Project Assumptions'!$F$25&lt;'Start-up Cashflow'!EE7,'Project Assumptions'!$I$25,0))</f>
        <v>336</v>
      </c>
      <c r="EF9" s="242" t="n">
        <f aca="false">(IF('Project Assumptions'!$F$21&lt;'Start-up Cashflow'!EF7,'Project Assumptions'!$I$21,0)+IF('Project Assumptions'!$F$22&lt;'Start-up Cashflow'!EF7,'Project Assumptions'!$I$22,0)+IF('Project Assumptions'!$F$23&lt;'Start-up Cashflow'!EF7,'Project Assumptions'!$I$23,0)+IF('Project Assumptions'!$F$24&lt;'Start-up Cashflow'!EF7,'Project Assumptions'!$I$24,0)+IF('Project Assumptions'!$F$25&lt;'Start-up Cashflow'!EF7,'Project Assumptions'!$I$25,0))</f>
        <v>336</v>
      </c>
      <c r="EG9" s="242" t="n">
        <f aca="false">(IF('Project Assumptions'!$F$21&lt;'Start-up Cashflow'!EG7,'Project Assumptions'!$I$21,0)+IF('Project Assumptions'!$F$22&lt;'Start-up Cashflow'!EG7,'Project Assumptions'!$I$22,0)+IF('Project Assumptions'!$F$23&lt;'Start-up Cashflow'!EG7,'Project Assumptions'!$I$23,0)+IF('Project Assumptions'!$F$24&lt;'Start-up Cashflow'!EG7,'Project Assumptions'!$I$24,0)+IF('Project Assumptions'!$F$25&lt;'Start-up Cashflow'!EG7,'Project Assumptions'!$I$25,0))</f>
        <v>336</v>
      </c>
      <c r="EH9" s="242" t="n">
        <f aca="false">(IF('Project Assumptions'!$F$21&lt;'Start-up Cashflow'!EH7,'Project Assumptions'!$I$21,0)+IF('Project Assumptions'!$F$22&lt;'Start-up Cashflow'!EH7,'Project Assumptions'!$I$22,0)+IF('Project Assumptions'!$F$23&lt;'Start-up Cashflow'!EH7,'Project Assumptions'!$I$23,0)+IF('Project Assumptions'!$F$24&lt;'Start-up Cashflow'!EH7,'Project Assumptions'!$I$24,0)+IF('Project Assumptions'!$F$25&lt;'Start-up Cashflow'!EH7,'Project Assumptions'!$I$25,0))</f>
        <v>336</v>
      </c>
      <c r="EI9" s="242" t="n">
        <f aca="false">(IF('Project Assumptions'!$F$21&lt;'Start-up Cashflow'!EI7,'Project Assumptions'!$I$21,0)+IF('Project Assumptions'!$F$22&lt;'Start-up Cashflow'!EI7,'Project Assumptions'!$I$22,0)+IF('Project Assumptions'!$F$23&lt;'Start-up Cashflow'!EI7,'Project Assumptions'!$I$23,0)+IF('Project Assumptions'!$F$24&lt;'Start-up Cashflow'!EI7,'Project Assumptions'!$I$24,0)+IF('Project Assumptions'!$F$25&lt;'Start-up Cashflow'!EI7,'Project Assumptions'!$I$25,0))</f>
        <v>336</v>
      </c>
      <c r="EJ9" s="242" t="n">
        <f aca="false">(IF('Project Assumptions'!$F$21&lt;'Start-up Cashflow'!EJ7,'Project Assumptions'!$I$21,0)+IF('Project Assumptions'!$F$22&lt;'Start-up Cashflow'!EJ7,'Project Assumptions'!$I$22,0)+IF('Project Assumptions'!$F$23&lt;'Start-up Cashflow'!EJ7,'Project Assumptions'!$I$23,0)+IF('Project Assumptions'!$F$24&lt;'Start-up Cashflow'!EJ7,'Project Assumptions'!$I$24,0)+IF('Project Assumptions'!$F$25&lt;'Start-up Cashflow'!EJ7,'Project Assumptions'!$I$25,0))</f>
        <v>336</v>
      </c>
      <c r="EK9" s="242" t="n">
        <f aca="false">(IF('Project Assumptions'!$F$21&lt;'Start-up Cashflow'!EK7,'Project Assumptions'!$I$21,0)+IF('Project Assumptions'!$F$22&lt;'Start-up Cashflow'!EK7,'Project Assumptions'!$I$22,0)+IF('Project Assumptions'!$F$23&lt;'Start-up Cashflow'!EK7,'Project Assumptions'!$I$23,0)+IF('Project Assumptions'!$F$24&lt;'Start-up Cashflow'!EK7,'Project Assumptions'!$I$24,0)+IF('Project Assumptions'!$F$25&lt;'Start-up Cashflow'!EK7,'Project Assumptions'!$I$25,0))</f>
        <v>336</v>
      </c>
      <c r="EL9" s="242" t="n">
        <f aca="false">(IF('Project Assumptions'!$F$21&lt;'Start-up Cashflow'!EL7,'Project Assumptions'!$I$21,0)+IF('Project Assumptions'!$F$22&lt;'Start-up Cashflow'!EL7,'Project Assumptions'!$I$22,0)+IF('Project Assumptions'!$F$23&lt;'Start-up Cashflow'!EL7,'Project Assumptions'!$I$23,0)+IF('Project Assumptions'!$F$24&lt;'Start-up Cashflow'!EL7,'Project Assumptions'!$I$24,0)+IF('Project Assumptions'!$F$25&lt;'Start-up Cashflow'!EL7,'Project Assumptions'!$I$25,0))</f>
        <v>336</v>
      </c>
      <c r="EM9" s="242" t="n">
        <f aca="false">(IF('Project Assumptions'!$F$21&lt;'Start-up Cashflow'!EM7,'Project Assumptions'!$I$21,0)+IF('Project Assumptions'!$F$22&lt;'Start-up Cashflow'!EM7,'Project Assumptions'!$I$22,0)+IF('Project Assumptions'!$F$23&lt;'Start-up Cashflow'!EM7,'Project Assumptions'!$I$23,0)+IF('Project Assumptions'!$F$24&lt;'Start-up Cashflow'!EM7,'Project Assumptions'!$I$24,0)+IF('Project Assumptions'!$F$25&lt;'Start-up Cashflow'!EM7,'Project Assumptions'!$I$25,0))</f>
        <v>336</v>
      </c>
      <c r="EN9" s="242" t="n">
        <f aca="false">(IF('Project Assumptions'!$F$21&lt;'Start-up Cashflow'!EN7,'Project Assumptions'!$I$21,0)+IF('Project Assumptions'!$F$22&lt;'Start-up Cashflow'!EN7,'Project Assumptions'!$I$22,0)+IF('Project Assumptions'!$F$23&lt;'Start-up Cashflow'!EN7,'Project Assumptions'!$I$23,0)+IF('Project Assumptions'!$F$24&lt;'Start-up Cashflow'!EN7,'Project Assumptions'!$I$24,0)+IF('Project Assumptions'!$F$25&lt;'Start-up Cashflow'!EN7,'Project Assumptions'!$I$25,0))</f>
        <v>336</v>
      </c>
      <c r="EO9" s="242" t="n">
        <f aca="false">(IF('Project Assumptions'!$F$21&lt;'Start-up Cashflow'!EO7,'Project Assumptions'!$I$21,0)+IF('Project Assumptions'!$F$22&lt;'Start-up Cashflow'!EO7,'Project Assumptions'!$I$22,0)+IF('Project Assumptions'!$F$23&lt;'Start-up Cashflow'!EO7,'Project Assumptions'!$I$23,0)+IF('Project Assumptions'!$F$24&lt;'Start-up Cashflow'!EO7,'Project Assumptions'!$I$24,0)+IF('Project Assumptions'!$F$25&lt;'Start-up Cashflow'!EO7,'Project Assumptions'!$I$25,0))</f>
        <v>336</v>
      </c>
      <c r="EP9" s="242" t="n">
        <f aca="false">(IF('Project Assumptions'!$F$21&lt;'Start-up Cashflow'!EP7,'Project Assumptions'!$I$21,0)+IF('Project Assumptions'!$F$22&lt;'Start-up Cashflow'!EP7,'Project Assumptions'!$I$22,0)+IF('Project Assumptions'!$F$23&lt;'Start-up Cashflow'!EP7,'Project Assumptions'!$I$23,0)+IF('Project Assumptions'!$F$24&lt;'Start-up Cashflow'!EP7,'Project Assumptions'!$I$24,0)+IF('Project Assumptions'!$F$25&lt;'Start-up Cashflow'!EP7,'Project Assumptions'!$I$25,0))</f>
        <v>336</v>
      </c>
      <c r="EQ9" s="242" t="n">
        <f aca="false">(IF('Project Assumptions'!$F$21&lt;'Start-up Cashflow'!EQ7,'Project Assumptions'!$I$21,0)+IF('Project Assumptions'!$F$22&lt;'Start-up Cashflow'!EQ7,'Project Assumptions'!$I$22,0)+IF('Project Assumptions'!$F$23&lt;'Start-up Cashflow'!EQ7,'Project Assumptions'!$I$23,0)+IF('Project Assumptions'!$F$24&lt;'Start-up Cashflow'!EQ7,'Project Assumptions'!$I$24,0)+IF('Project Assumptions'!$F$25&lt;'Start-up Cashflow'!EQ7,'Project Assumptions'!$I$25,0))</f>
        <v>336</v>
      </c>
      <c r="ER9" s="242" t="n">
        <f aca="false">(IF('Project Assumptions'!$F$21&lt;'Start-up Cashflow'!ER7,'Project Assumptions'!$I$21,0)+IF('Project Assumptions'!$F$22&lt;'Start-up Cashflow'!ER7,'Project Assumptions'!$I$22,0)+IF('Project Assumptions'!$F$23&lt;'Start-up Cashflow'!ER7,'Project Assumptions'!$I$23,0)+IF('Project Assumptions'!$F$24&lt;'Start-up Cashflow'!ER7,'Project Assumptions'!$I$24,0)+IF('Project Assumptions'!$F$25&lt;'Start-up Cashflow'!ER7,'Project Assumptions'!$I$25,0))</f>
        <v>336</v>
      </c>
      <c r="ES9" s="242" t="n">
        <f aca="false">(IF('Project Assumptions'!$F$21&lt;'Start-up Cashflow'!ES7,'Project Assumptions'!$I$21,0)+IF('Project Assumptions'!$F$22&lt;'Start-up Cashflow'!ES7,'Project Assumptions'!$I$22,0)+IF('Project Assumptions'!$F$23&lt;'Start-up Cashflow'!ES7,'Project Assumptions'!$I$23,0)+IF('Project Assumptions'!$F$24&lt;'Start-up Cashflow'!ES7,'Project Assumptions'!$I$24,0)+IF('Project Assumptions'!$F$25&lt;'Start-up Cashflow'!ES7,'Project Assumptions'!$I$25,0))</f>
        <v>336</v>
      </c>
      <c r="ET9" s="242" t="n">
        <f aca="false">(IF('Project Assumptions'!$F$21&lt;'Start-up Cashflow'!ET7,'Project Assumptions'!$I$21,0)+IF('Project Assumptions'!$F$22&lt;'Start-up Cashflow'!ET7,'Project Assumptions'!$I$22,0)+IF('Project Assumptions'!$F$23&lt;'Start-up Cashflow'!ET7,'Project Assumptions'!$I$23,0)+IF('Project Assumptions'!$F$24&lt;'Start-up Cashflow'!ET7,'Project Assumptions'!$I$24,0)+IF('Project Assumptions'!$F$25&lt;'Start-up Cashflow'!ET7,'Project Assumptions'!$I$25,0))</f>
        <v>336</v>
      </c>
      <c r="EU9" s="242" t="n">
        <f aca="false">(IF('Project Assumptions'!$F$21&lt;'Start-up Cashflow'!EU7,'Project Assumptions'!$I$21,0)+IF('Project Assumptions'!$F$22&lt;'Start-up Cashflow'!EU7,'Project Assumptions'!$I$22,0)+IF('Project Assumptions'!$F$23&lt;'Start-up Cashflow'!EU7,'Project Assumptions'!$I$23,0)+IF('Project Assumptions'!$F$24&lt;'Start-up Cashflow'!EU7,'Project Assumptions'!$I$24,0)+IF('Project Assumptions'!$F$25&lt;'Start-up Cashflow'!EU7,'Project Assumptions'!$I$25,0))</f>
        <v>336</v>
      </c>
      <c r="EV9" s="242" t="n">
        <f aca="false">(IF('Project Assumptions'!$F$21&lt;'Start-up Cashflow'!EV7,'Project Assumptions'!$I$21,0)+IF('Project Assumptions'!$F$22&lt;'Start-up Cashflow'!EV7,'Project Assumptions'!$I$22,0)+IF('Project Assumptions'!$F$23&lt;'Start-up Cashflow'!EV7,'Project Assumptions'!$I$23,0)+IF('Project Assumptions'!$F$24&lt;'Start-up Cashflow'!EV7,'Project Assumptions'!$I$24,0)+IF('Project Assumptions'!$F$25&lt;'Start-up Cashflow'!EV7,'Project Assumptions'!$I$25,0))</f>
        <v>336</v>
      </c>
      <c r="EW9" s="242" t="n">
        <f aca="false">(IF('Project Assumptions'!$F$21&lt;'Start-up Cashflow'!EW7,'Project Assumptions'!$I$21,0)+IF('Project Assumptions'!$F$22&lt;'Start-up Cashflow'!EW7,'Project Assumptions'!$I$22,0)+IF('Project Assumptions'!$F$23&lt;'Start-up Cashflow'!EW7,'Project Assumptions'!$I$23,0)+IF('Project Assumptions'!$F$24&lt;'Start-up Cashflow'!EW7,'Project Assumptions'!$I$24,0)+IF('Project Assumptions'!$F$25&lt;'Start-up Cashflow'!EW7,'Project Assumptions'!$I$25,0))</f>
        <v>336</v>
      </c>
      <c r="EX9" s="242" t="n">
        <f aca="false">(IF('Project Assumptions'!$F$21&lt;'Start-up Cashflow'!EX7,'Project Assumptions'!$I$21,0)+IF('Project Assumptions'!$F$22&lt;'Start-up Cashflow'!EX7,'Project Assumptions'!$I$22,0)+IF('Project Assumptions'!$F$23&lt;'Start-up Cashflow'!EX7,'Project Assumptions'!$I$23,0)+IF('Project Assumptions'!$F$24&lt;'Start-up Cashflow'!EX7,'Project Assumptions'!$I$24,0)+IF('Project Assumptions'!$F$25&lt;'Start-up Cashflow'!EX7,'Project Assumptions'!$I$25,0))</f>
        <v>336</v>
      </c>
      <c r="EY9" s="242" t="n">
        <f aca="false">(IF('Project Assumptions'!$F$21&lt;'Start-up Cashflow'!EY7,'Project Assumptions'!$I$21,0)+IF('Project Assumptions'!$F$22&lt;'Start-up Cashflow'!EY7,'Project Assumptions'!$I$22,0)+IF('Project Assumptions'!$F$23&lt;'Start-up Cashflow'!EY7,'Project Assumptions'!$I$23,0)+IF('Project Assumptions'!$F$24&lt;'Start-up Cashflow'!EY7,'Project Assumptions'!$I$24,0)+IF('Project Assumptions'!$F$25&lt;'Start-up Cashflow'!EY7,'Project Assumptions'!$I$25,0))</f>
        <v>336</v>
      </c>
      <c r="EZ9" s="242" t="n">
        <f aca="false">(IF('Project Assumptions'!$F$21&lt;'Start-up Cashflow'!EZ7,'Project Assumptions'!$I$21,0)+IF('Project Assumptions'!$F$22&lt;'Start-up Cashflow'!EZ7,'Project Assumptions'!$I$22,0)+IF('Project Assumptions'!$F$23&lt;'Start-up Cashflow'!EZ7,'Project Assumptions'!$I$23,0)+IF('Project Assumptions'!$F$24&lt;'Start-up Cashflow'!EZ7,'Project Assumptions'!$I$24,0)+IF('Project Assumptions'!$F$25&lt;'Start-up Cashflow'!EZ7,'Project Assumptions'!$I$25,0))</f>
        <v>336</v>
      </c>
      <c r="FA9" s="242" t="n">
        <f aca="false">(IF('Project Assumptions'!$F$21&lt;'Start-up Cashflow'!FA7,'Project Assumptions'!$I$21,0)+IF('Project Assumptions'!$F$22&lt;'Start-up Cashflow'!FA7,'Project Assumptions'!$I$22,0)+IF('Project Assumptions'!$F$23&lt;'Start-up Cashflow'!FA7,'Project Assumptions'!$I$23,0)+IF('Project Assumptions'!$F$24&lt;'Start-up Cashflow'!FA7,'Project Assumptions'!$I$24,0)+IF('Project Assumptions'!$F$25&lt;'Start-up Cashflow'!FA7,'Project Assumptions'!$I$25,0))</f>
        <v>336</v>
      </c>
      <c r="FB9" s="242" t="n">
        <f aca="false">(IF('Project Assumptions'!$F$21&lt;'Start-up Cashflow'!FB7,'Project Assumptions'!$I$21,0)+IF('Project Assumptions'!$F$22&lt;'Start-up Cashflow'!FB7,'Project Assumptions'!$I$22,0)+IF('Project Assumptions'!$F$23&lt;'Start-up Cashflow'!FB7,'Project Assumptions'!$I$23,0)+IF('Project Assumptions'!$F$24&lt;'Start-up Cashflow'!FB7,'Project Assumptions'!$I$24,0)+IF('Project Assumptions'!$F$25&lt;'Start-up Cashflow'!FB7,'Project Assumptions'!$I$25,0))</f>
        <v>336</v>
      </c>
      <c r="FC9" s="242" t="n">
        <f aca="false">(IF('Project Assumptions'!$F$21&lt;'Start-up Cashflow'!FC7,'Project Assumptions'!$I$21,0)+IF('Project Assumptions'!$F$22&lt;'Start-up Cashflow'!FC7,'Project Assumptions'!$I$22,0)+IF('Project Assumptions'!$F$23&lt;'Start-up Cashflow'!FC7,'Project Assumptions'!$I$23,0)+IF('Project Assumptions'!$F$24&lt;'Start-up Cashflow'!FC7,'Project Assumptions'!$I$24,0)+IF('Project Assumptions'!$F$25&lt;'Start-up Cashflow'!FC7,'Project Assumptions'!$I$25,0))</f>
        <v>336</v>
      </c>
      <c r="FD9" s="242" t="n">
        <f aca="false">(IF('Project Assumptions'!$F$21&lt;'Start-up Cashflow'!FD7,'Project Assumptions'!$I$21,0)+IF('Project Assumptions'!$F$22&lt;'Start-up Cashflow'!FD7,'Project Assumptions'!$I$22,0)+IF('Project Assumptions'!$F$23&lt;'Start-up Cashflow'!FD7,'Project Assumptions'!$I$23,0)+IF('Project Assumptions'!$F$24&lt;'Start-up Cashflow'!FD7,'Project Assumptions'!$I$24,0)+IF('Project Assumptions'!$F$25&lt;'Start-up Cashflow'!FD7,'Project Assumptions'!$I$25,0))</f>
        <v>336</v>
      </c>
      <c r="FE9" s="242" t="n">
        <f aca="false">(IF('Project Assumptions'!$F$21&lt;'Start-up Cashflow'!FE7,'Project Assumptions'!$I$21,0)+IF('Project Assumptions'!$F$22&lt;'Start-up Cashflow'!FE7,'Project Assumptions'!$I$22,0)+IF('Project Assumptions'!$F$23&lt;'Start-up Cashflow'!FE7,'Project Assumptions'!$I$23,0)+IF('Project Assumptions'!$F$24&lt;'Start-up Cashflow'!FE7,'Project Assumptions'!$I$24,0)+IF('Project Assumptions'!$F$25&lt;'Start-up Cashflow'!FE7,'Project Assumptions'!$I$25,0))</f>
        <v>336</v>
      </c>
      <c r="FF9" s="242" t="n">
        <f aca="false">(IF('Project Assumptions'!$F$21&lt;'Start-up Cashflow'!FF7,'Project Assumptions'!$I$21,0)+IF('Project Assumptions'!$F$22&lt;'Start-up Cashflow'!FF7,'Project Assumptions'!$I$22,0)+IF('Project Assumptions'!$F$23&lt;'Start-up Cashflow'!FF7,'Project Assumptions'!$I$23,0)+IF('Project Assumptions'!$F$24&lt;'Start-up Cashflow'!FF7,'Project Assumptions'!$I$24,0)+IF('Project Assumptions'!$F$25&lt;'Start-up Cashflow'!FF7,'Project Assumptions'!$I$25,0))</f>
        <v>336</v>
      </c>
      <c r="FG9" s="242" t="n">
        <f aca="false">(IF('Project Assumptions'!$F$21&lt;'Start-up Cashflow'!FG7,'Project Assumptions'!$I$21,0)+IF('Project Assumptions'!$F$22&lt;'Start-up Cashflow'!FG7,'Project Assumptions'!$I$22,0)+IF('Project Assumptions'!$F$23&lt;'Start-up Cashflow'!FG7,'Project Assumptions'!$I$23,0)+IF('Project Assumptions'!$F$24&lt;'Start-up Cashflow'!FG7,'Project Assumptions'!$I$24,0)+IF('Project Assumptions'!$F$25&lt;'Start-up Cashflow'!FG7,'Project Assumptions'!$I$25,0))</f>
        <v>336</v>
      </c>
      <c r="FH9" s="242" t="n">
        <f aca="false">(IF('Project Assumptions'!$F$21&lt;'Start-up Cashflow'!FH7,'Project Assumptions'!$I$21,0)+IF('Project Assumptions'!$F$22&lt;'Start-up Cashflow'!FH7,'Project Assumptions'!$I$22,0)+IF('Project Assumptions'!$F$23&lt;'Start-up Cashflow'!FH7,'Project Assumptions'!$I$23,0)+IF('Project Assumptions'!$F$24&lt;'Start-up Cashflow'!FH7,'Project Assumptions'!$I$24,0)+IF('Project Assumptions'!$F$25&lt;'Start-up Cashflow'!FH7,'Project Assumptions'!$I$25,0))</f>
        <v>336</v>
      </c>
      <c r="FI9" s="242" t="n">
        <f aca="false">(IF('Project Assumptions'!$F$21&lt;'Start-up Cashflow'!FI7,'Project Assumptions'!$I$21,0)+IF('Project Assumptions'!$F$22&lt;'Start-up Cashflow'!FI7,'Project Assumptions'!$I$22,0)+IF('Project Assumptions'!$F$23&lt;'Start-up Cashflow'!FI7,'Project Assumptions'!$I$23,0)+IF('Project Assumptions'!$F$24&lt;'Start-up Cashflow'!FI7,'Project Assumptions'!$I$24,0)+IF('Project Assumptions'!$F$25&lt;'Start-up Cashflow'!FI7,'Project Assumptions'!$I$25,0))</f>
        <v>336</v>
      </c>
      <c r="FJ9" s="242" t="n">
        <f aca="false">(IF('Project Assumptions'!$F$21&lt;'Start-up Cashflow'!FJ7,'Project Assumptions'!$I$21,0)+IF('Project Assumptions'!$F$22&lt;'Start-up Cashflow'!FJ7,'Project Assumptions'!$I$22,0)+IF('Project Assumptions'!$F$23&lt;'Start-up Cashflow'!FJ7,'Project Assumptions'!$I$23,0)+IF('Project Assumptions'!$F$24&lt;'Start-up Cashflow'!FJ7,'Project Assumptions'!$I$24,0)+IF('Project Assumptions'!$F$25&lt;'Start-up Cashflow'!FJ7,'Project Assumptions'!$I$25,0))</f>
        <v>336</v>
      </c>
      <c r="FK9" s="242" t="n">
        <f aca="false">(IF('Project Assumptions'!$F$21&lt;'Start-up Cashflow'!FK7,'Project Assumptions'!$I$21,0)+IF('Project Assumptions'!$F$22&lt;'Start-up Cashflow'!FK7,'Project Assumptions'!$I$22,0)+IF('Project Assumptions'!$F$23&lt;'Start-up Cashflow'!FK7,'Project Assumptions'!$I$23,0)+IF('Project Assumptions'!$F$24&lt;'Start-up Cashflow'!FK7,'Project Assumptions'!$I$24,0)+IF('Project Assumptions'!$F$25&lt;'Start-up Cashflow'!FK7,'Project Assumptions'!$I$25,0))</f>
        <v>336</v>
      </c>
      <c r="FL9" s="242" t="n">
        <f aca="false">(IF('Project Assumptions'!$F$21&lt;'Start-up Cashflow'!FL7,'Project Assumptions'!$I$21,0)+IF('Project Assumptions'!$F$22&lt;'Start-up Cashflow'!FL7,'Project Assumptions'!$I$22,0)+IF('Project Assumptions'!$F$23&lt;'Start-up Cashflow'!FL7,'Project Assumptions'!$I$23,0)+IF('Project Assumptions'!$F$24&lt;'Start-up Cashflow'!FL7,'Project Assumptions'!$I$24,0)+IF('Project Assumptions'!$F$25&lt;'Start-up Cashflow'!FL7,'Project Assumptions'!$I$25,0))</f>
        <v>336</v>
      </c>
      <c r="FM9" s="242" t="n">
        <f aca="false">(IF('Project Assumptions'!$F$21&lt;'Start-up Cashflow'!FM7,'Project Assumptions'!$I$21,0)+IF('Project Assumptions'!$F$22&lt;'Start-up Cashflow'!FM7,'Project Assumptions'!$I$22,0)+IF('Project Assumptions'!$F$23&lt;'Start-up Cashflow'!FM7,'Project Assumptions'!$I$23,0)+IF('Project Assumptions'!$F$24&lt;'Start-up Cashflow'!FM7,'Project Assumptions'!$I$24,0)+IF('Project Assumptions'!$F$25&lt;'Start-up Cashflow'!FM7,'Project Assumptions'!$I$25,0))</f>
        <v>336</v>
      </c>
      <c r="FN9" s="242" t="n">
        <f aca="false">(IF('Project Assumptions'!$F$21&lt;'Start-up Cashflow'!FN7,'Project Assumptions'!$I$21,0)+IF('Project Assumptions'!$F$22&lt;'Start-up Cashflow'!FN7,'Project Assumptions'!$I$22,0)+IF('Project Assumptions'!$F$23&lt;'Start-up Cashflow'!FN7,'Project Assumptions'!$I$23,0)+IF('Project Assumptions'!$F$24&lt;'Start-up Cashflow'!FN7,'Project Assumptions'!$I$24,0)+IF('Project Assumptions'!$F$25&lt;'Start-up Cashflow'!FN7,'Project Assumptions'!$I$25,0))</f>
        <v>336</v>
      </c>
      <c r="FO9" s="242" t="n">
        <f aca="false">(IF('Project Assumptions'!$F$21&lt;'Start-up Cashflow'!FO7,'Project Assumptions'!$I$21,0)+IF('Project Assumptions'!$F$22&lt;'Start-up Cashflow'!FO7,'Project Assumptions'!$I$22,0)+IF('Project Assumptions'!$F$23&lt;'Start-up Cashflow'!FO7,'Project Assumptions'!$I$23,0)+IF('Project Assumptions'!$F$24&lt;'Start-up Cashflow'!FO7,'Project Assumptions'!$I$24,0)+IF('Project Assumptions'!$F$25&lt;'Start-up Cashflow'!FO7,'Project Assumptions'!$I$25,0))</f>
        <v>336</v>
      </c>
      <c r="FP9" s="242" t="n">
        <f aca="false">(IF('Project Assumptions'!$F$21&lt;'Start-up Cashflow'!FP7,'Project Assumptions'!$I$21,0)+IF('Project Assumptions'!$F$22&lt;'Start-up Cashflow'!FP7,'Project Assumptions'!$I$22,0)+IF('Project Assumptions'!$F$23&lt;'Start-up Cashflow'!FP7,'Project Assumptions'!$I$23,0)+IF('Project Assumptions'!$F$24&lt;'Start-up Cashflow'!FP7,'Project Assumptions'!$I$24,0)+IF('Project Assumptions'!$F$25&lt;'Start-up Cashflow'!FP7,'Project Assumptions'!$I$25,0))</f>
        <v>336</v>
      </c>
      <c r="FQ9" s="242" t="n">
        <f aca="false">(IF('Project Assumptions'!$F$21&lt;'Start-up Cashflow'!FQ7,'Project Assumptions'!$I$21,0)+IF('Project Assumptions'!$F$22&lt;'Start-up Cashflow'!FQ7,'Project Assumptions'!$I$22,0)+IF('Project Assumptions'!$F$23&lt;'Start-up Cashflow'!FQ7,'Project Assumptions'!$I$23,0)+IF('Project Assumptions'!$F$24&lt;'Start-up Cashflow'!FQ7,'Project Assumptions'!$I$24,0)+IF('Project Assumptions'!$F$25&lt;'Start-up Cashflow'!FQ7,'Project Assumptions'!$I$25,0))</f>
        <v>336</v>
      </c>
      <c r="FR9" s="242" t="n">
        <f aca="false">(IF('Project Assumptions'!$F$21&lt;'Start-up Cashflow'!FR7,'Project Assumptions'!$I$21,0)+IF('Project Assumptions'!$F$22&lt;'Start-up Cashflow'!FR7,'Project Assumptions'!$I$22,0)+IF('Project Assumptions'!$F$23&lt;'Start-up Cashflow'!FR7,'Project Assumptions'!$I$23,0)+IF('Project Assumptions'!$F$24&lt;'Start-up Cashflow'!FR7,'Project Assumptions'!$I$24,0)+IF('Project Assumptions'!$F$25&lt;'Start-up Cashflow'!FR7,'Project Assumptions'!$I$25,0))</f>
        <v>336</v>
      </c>
      <c r="FS9" s="242" t="n">
        <f aca="false">(IF('Project Assumptions'!$F$21&lt;'Start-up Cashflow'!FS7,'Project Assumptions'!$I$21,0)+IF('Project Assumptions'!$F$22&lt;'Start-up Cashflow'!FS7,'Project Assumptions'!$I$22,0)+IF('Project Assumptions'!$F$23&lt;'Start-up Cashflow'!FS7,'Project Assumptions'!$I$23,0)+IF('Project Assumptions'!$F$24&lt;'Start-up Cashflow'!FS7,'Project Assumptions'!$I$24,0)+IF('Project Assumptions'!$F$25&lt;'Start-up Cashflow'!FS7,'Project Assumptions'!$I$25,0))</f>
        <v>336</v>
      </c>
      <c r="FT9" s="242" t="n">
        <f aca="false">(IF('Project Assumptions'!$F$21&lt;'Start-up Cashflow'!FT7,'Project Assumptions'!$I$21,0)+IF('Project Assumptions'!$F$22&lt;'Start-up Cashflow'!FT7,'Project Assumptions'!$I$22,0)+IF('Project Assumptions'!$F$23&lt;'Start-up Cashflow'!FT7,'Project Assumptions'!$I$23,0)+IF('Project Assumptions'!$F$24&lt;'Start-up Cashflow'!FT7,'Project Assumptions'!$I$24,0)+IF('Project Assumptions'!$F$25&lt;'Start-up Cashflow'!FT7,'Project Assumptions'!$I$25,0))</f>
        <v>336</v>
      </c>
      <c r="FU9" s="242" t="n">
        <f aca="false">(IF('Project Assumptions'!$F$21&lt;'Start-up Cashflow'!FU7,'Project Assumptions'!$I$21,0)+IF('Project Assumptions'!$F$22&lt;'Start-up Cashflow'!FU7,'Project Assumptions'!$I$22,0)+IF('Project Assumptions'!$F$23&lt;'Start-up Cashflow'!FU7,'Project Assumptions'!$I$23,0)+IF('Project Assumptions'!$F$24&lt;'Start-up Cashflow'!FU7,'Project Assumptions'!$I$24,0)+IF('Project Assumptions'!$F$25&lt;'Start-up Cashflow'!FU7,'Project Assumptions'!$I$25,0))</f>
        <v>336</v>
      </c>
      <c r="FV9" s="242" t="n">
        <f aca="false">(IF('Project Assumptions'!$F$21&lt;'Start-up Cashflow'!FV7,'Project Assumptions'!$I$21,0)+IF('Project Assumptions'!$F$22&lt;'Start-up Cashflow'!FV7,'Project Assumptions'!$I$22,0)+IF('Project Assumptions'!$F$23&lt;'Start-up Cashflow'!FV7,'Project Assumptions'!$I$23,0)+IF('Project Assumptions'!$F$24&lt;'Start-up Cashflow'!FV7,'Project Assumptions'!$I$24,0)+IF('Project Assumptions'!$F$25&lt;'Start-up Cashflow'!FV7,'Project Assumptions'!$I$25,0))</f>
        <v>336</v>
      </c>
      <c r="FW9" s="242" t="n">
        <f aca="false">(IF('Project Assumptions'!$F$21&lt;'Start-up Cashflow'!FW7,'Project Assumptions'!$I$21,0)+IF('Project Assumptions'!$F$22&lt;'Start-up Cashflow'!FW7,'Project Assumptions'!$I$22,0)+IF('Project Assumptions'!$F$23&lt;'Start-up Cashflow'!FW7,'Project Assumptions'!$I$23,0)+IF('Project Assumptions'!$F$24&lt;'Start-up Cashflow'!FW7,'Project Assumptions'!$I$24,0)+IF('Project Assumptions'!$F$25&lt;'Start-up Cashflow'!FW7,'Project Assumptions'!$I$25,0))</f>
        <v>336</v>
      </c>
      <c r="FX9" s="242" t="n">
        <f aca="false">(IF('Project Assumptions'!$F$21&lt;'Start-up Cashflow'!FX7,'Project Assumptions'!$I$21,0)+IF('Project Assumptions'!$F$22&lt;'Start-up Cashflow'!FX7,'Project Assumptions'!$I$22,0)+IF('Project Assumptions'!$F$23&lt;'Start-up Cashflow'!FX7,'Project Assumptions'!$I$23,0)+IF('Project Assumptions'!$F$24&lt;'Start-up Cashflow'!FX7,'Project Assumptions'!$I$24,0)+IF('Project Assumptions'!$F$25&lt;'Start-up Cashflow'!FX7,'Project Assumptions'!$I$25,0))</f>
        <v>336</v>
      </c>
      <c r="FY9" s="242" t="n">
        <f aca="false">(IF('Project Assumptions'!$F$21&lt;'Start-up Cashflow'!FY7,'Project Assumptions'!$I$21,0)+IF('Project Assumptions'!$F$22&lt;'Start-up Cashflow'!FY7,'Project Assumptions'!$I$22,0)+IF('Project Assumptions'!$F$23&lt;'Start-up Cashflow'!FY7,'Project Assumptions'!$I$23,0)+IF('Project Assumptions'!$F$24&lt;'Start-up Cashflow'!FY7,'Project Assumptions'!$I$24,0)+IF('Project Assumptions'!$F$25&lt;'Start-up Cashflow'!FY7,'Project Assumptions'!$I$25,0))</f>
        <v>336</v>
      </c>
      <c r="FZ9" s="242" t="n">
        <f aca="false">(IF('Project Assumptions'!$F$21&lt;'Start-up Cashflow'!FZ7,'Project Assumptions'!$I$21,0)+IF('Project Assumptions'!$F$22&lt;'Start-up Cashflow'!FZ7,'Project Assumptions'!$I$22,0)+IF('Project Assumptions'!$F$23&lt;'Start-up Cashflow'!FZ7,'Project Assumptions'!$I$23,0)+IF('Project Assumptions'!$F$24&lt;'Start-up Cashflow'!FZ7,'Project Assumptions'!$I$24,0)+IF('Project Assumptions'!$F$25&lt;'Start-up Cashflow'!FZ7,'Project Assumptions'!$I$25,0))</f>
        <v>336</v>
      </c>
      <c r="GA9" s="242" t="n">
        <f aca="false">(IF('Project Assumptions'!$F$21&lt;'Start-up Cashflow'!GA7,'Project Assumptions'!$I$21,0)+IF('Project Assumptions'!$F$22&lt;'Start-up Cashflow'!GA7,'Project Assumptions'!$I$22,0)+IF('Project Assumptions'!$F$23&lt;'Start-up Cashflow'!GA7,'Project Assumptions'!$I$23,0)+IF('Project Assumptions'!$F$24&lt;'Start-up Cashflow'!GA7,'Project Assumptions'!$I$24,0)+IF('Project Assumptions'!$F$25&lt;'Start-up Cashflow'!GA7,'Project Assumptions'!$I$25,0))</f>
        <v>336</v>
      </c>
      <c r="GB9" s="242" t="n">
        <f aca="false">(IF('Project Assumptions'!$F$21&lt;'Start-up Cashflow'!GB7,'Project Assumptions'!$I$21,0)+IF('Project Assumptions'!$F$22&lt;'Start-up Cashflow'!GB7,'Project Assumptions'!$I$22,0)+IF('Project Assumptions'!$F$23&lt;'Start-up Cashflow'!GB7,'Project Assumptions'!$I$23,0)+IF('Project Assumptions'!$F$24&lt;'Start-up Cashflow'!GB7,'Project Assumptions'!$I$24,0)+IF('Project Assumptions'!$F$25&lt;'Start-up Cashflow'!GB7,'Project Assumptions'!$I$25,0))</f>
        <v>336</v>
      </c>
      <c r="GC9" s="242" t="n">
        <f aca="false">(IF('Project Assumptions'!$F$21&lt;'Start-up Cashflow'!GC7,'Project Assumptions'!$I$21,0)+IF('Project Assumptions'!$F$22&lt;'Start-up Cashflow'!GC7,'Project Assumptions'!$I$22,0)+IF('Project Assumptions'!$F$23&lt;'Start-up Cashflow'!GC7,'Project Assumptions'!$I$23,0)+IF('Project Assumptions'!$F$24&lt;'Start-up Cashflow'!GC7,'Project Assumptions'!$I$24,0)+IF('Project Assumptions'!$F$25&lt;'Start-up Cashflow'!GC7,'Project Assumptions'!$I$25,0))</f>
        <v>336</v>
      </c>
      <c r="GD9" s="242" t="n">
        <f aca="false">(IF('Project Assumptions'!$F$21&lt;'Start-up Cashflow'!GD7,'Project Assumptions'!$I$21,0)+IF('Project Assumptions'!$F$22&lt;'Start-up Cashflow'!GD7,'Project Assumptions'!$I$22,0)+IF('Project Assumptions'!$F$23&lt;'Start-up Cashflow'!GD7,'Project Assumptions'!$I$23,0)+IF('Project Assumptions'!$F$24&lt;'Start-up Cashflow'!GD7,'Project Assumptions'!$I$24,0)+IF('Project Assumptions'!$F$25&lt;'Start-up Cashflow'!GD7,'Project Assumptions'!$I$25,0))</f>
        <v>336</v>
      </c>
      <c r="GE9" s="242" t="n">
        <f aca="false">(IF('Project Assumptions'!$F$21&lt;'Start-up Cashflow'!GE7,'Project Assumptions'!$I$21,0)+IF('Project Assumptions'!$F$22&lt;'Start-up Cashflow'!GE7,'Project Assumptions'!$I$22,0)+IF('Project Assumptions'!$F$23&lt;'Start-up Cashflow'!GE7,'Project Assumptions'!$I$23,0)+IF('Project Assumptions'!$F$24&lt;'Start-up Cashflow'!GE7,'Project Assumptions'!$I$24,0)+IF('Project Assumptions'!$F$25&lt;'Start-up Cashflow'!GE7,'Project Assumptions'!$I$25,0))</f>
        <v>336</v>
      </c>
      <c r="GF9" s="242" t="n">
        <f aca="false">(IF('Project Assumptions'!$F$21&lt;'Start-up Cashflow'!GF7,'Project Assumptions'!$I$21,0)+IF('Project Assumptions'!$F$22&lt;'Start-up Cashflow'!GF7,'Project Assumptions'!$I$22,0)+IF('Project Assumptions'!$F$23&lt;'Start-up Cashflow'!GF7,'Project Assumptions'!$I$23,0)+IF('Project Assumptions'!$F$24&lt;'Start-up Cashflow'!GF7,'Project Assumptions'!$I$24,0)+IF('Project Assumptions'!$F$25&lt;'Start-up Cashflow'!GF7,'Project Assumptions'!$I$25,0))</f>
        <v>336</v>
      </c>
      <c r="GG9" s="242" t="n">
        <f aca="false">(IF('Project Assumptions'!$F$21&lt;'Start-up Cashflow'!GG7,'Project Assumptions'!$I$21,0)+IF('Project Assumptions'!$F$22&lt;'Start-up Cashflow'!GG7,'Project Assumptions'!$I$22,0)+IF('Project Assumptions'!$F$23&lt;'Start-up Cashflow'!GG7,'Project Assumptions'!$I$23,0)+IF('Project Assumptions'!$F$24&lt;'Start-up Cashflow'!GG7,'Project Assumptions'!$I$24,0)+IF('Project Assumptions'!$F$25&lt;'Start-up Cashflow'!GG7,'Project Assumptions'!$I$25,0))</f>
        <v>336</v>
      </c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</row>
    <row r="10" customFormat="false" ht="12.75" hidden="false" customHeight="false" outlineLevel="0" collapsed="false">
      <c r="A10" s="246"/>
      <c r="B10" s="246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</row>
    <row r="11" customFormat="false" ht="12.75" hidden="false" customHeight="false" outlineLevel="0" collapsed="false">
      <c r="A11" s="245" t="s">
        <v>316</v>
      </c>
      <c r="B11" s="245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</row>
    <row r="12" customFormat="false" ht="15" hidden="false" customHeight="false" outlineLevel="0" collapsed="false">
      <c r="A12" s="248" t="s">
        <v>317</v>
      </c>
      <c r="B12" s="248"/>
      <c r="C12" s="242"/>
      <c r="D12" s="339" t="n">
        <f aca="false">IF(D7-C7&gt;=28,'Project Assumptions'!$I$28*'Start-up Cashflow'!D$9,'Project Assumptions'!$I$28*'Start-up Cashflow'!D$9*((D7-C7)/30.4375))</f>
        <v>282.627154004107</v>
      </c>
      <c r="E12" s="339" t="n">
        <f aca="false">IF(E7-D7&gt;=28,'Project Assumptions'!$I$28*'Start-up Cashflow'!E$9,'Project Assumptions'!$I$28*'Start-up Cashflow'!E$9*((E7-D7)/30.4375))</f>
        <v>537.654</v>
      </c>
      <c r="F12" s="339" t="n">
        <f aca="false">IF(F7-E7&gt;=28,'Project Assumptions'!$I$28*'Start-up Cashflow'!F$9,'Project Assumptions'!$I$28*'Start-up Cashflow'!F$9*((F7-E7)/30.4375))</f>
        <v>762.411</v>
      </c>
      <c r="G12" s="339" t="n">
        <f aca="false">IF(G7-F7&gt;=28,'Project Assumptions'!$I$28*'Start-up Cashflow'!G$9,'Project Assumptions'!$I$28*'Start-up Cashflow'!G$9*((G7-F7)/30.4375))</f>
        <v>0</v>
      </c>
      <c r="H12" s="339" t="n">
        <f aca="false">IF(H7-G7&gt;=28,'Project Assumptions'!$I$28*'Start-up Cashflow'!H$9,'Project Assumptions'!$I$28*'Start-up Cashflow'!H$9*((H7-G7)/30.4375))</f>
        <v>762.411</v>
      </c>
      <c r="I12" s="339" t="n">
        <f aca="false">IF(I7-H7&gt;=28,'Project Assumptions'!$I$28*'Start-up Cashflow'!I$9,'Project Assumptions'!$I$28*'Start-up Cashflow'!I$9*((I7-H7)/30.4375))</f>
        <v>0</v>
      </c>
      <c r="J12" s="339" t="n">
        <f aca="false">IF(J7-I7&gt;=28,'Project Assumptions'!$I$28*'Start-up Cashflow'!J$9,'Project Assumptions'!$I$28*'Start-up Cashflow'!J$9*((J7-I7)/30.4375))</f>
        <v>987.168</v>
      </c>
      <c r="K12" s="339" t="n">
        <f aca="false">IF(K7-J7&gt;=28,'Project Assumptions'!$I$28*'Start-up Cashflow'!K$9,'Project Assumptions'!$I$28*'Start-up Cashflow'!K$9*((K7-J7)/30.4375))</f>
        <v>987.168</v>
      </c>
      <c r="L12" s="339" t="n">
        <f aca="false">IF(L7-K7&gt;=28,'Project Assumptions'!$I$28*'Start-up Cashflow'!L$9,'Project Assumptions'!$I$28*'Start-up Cashflow'!L$9*((L7-K7)/30.4375))</f>
        <v>987.168</v>
      </c>
      <c r="M12" s="339" t="n">
        <f aca="false">IF(M7-L7&gt;=28,'Project Assumptions'!$I$28*'Start-up Cashflow'!M$9,'Project Assumptions'!$I$28*'Start-up Cashflow'!M$9*((M7-L7)/30.4375))</f>
        <v>987.168</v>
      </c>
      <c r="N12" s="339" t="n">
        <f aca="false">IF(N7-M7&gt;=28,'Project Assumptions'!$I$28*'Start-up Cashflow'!N$9,'Project Assumptions'!$I$28*'Start-up Cashflow'!N$9*((N7-M7)/30.4375))</f>
        <v>987.168</v>
      </c>
      <c r="O12" s="339" t="n">
        <f aca="false">IF(O7-N7&gt;=28,'Project Assumptions'!$I$28*'Start-up Cashflow'!O$9,'Project Assumptions'!$I$28*'Start-up Cashflow'!O$9*((O7-N7)/30.4375))</f>
        <v>987.168</v>
      </c>
      <c r="P12" s="339" t="n">
        <f aca="false">IF(P7-O7&gt;=28,'Project Assumptions'!$I$28*'Start-up Cashflow'!P$9,'Project Assumptions'!$I$28*'Start-up Cashflow'!P$9*((P7-O7)/30.4375))</f>
        <v>987.168</v>
      </c>
      <c r="Q12" s="339" t="n">
        <f aca="false">IF(Q7-P7&gt;=28,'Project Assumptions'!$I$28*'Start-up Cashflow'!Q$9,'Project Assumptions'!$I$28*'Start-up Cashflow'!Q$9*((Q7-P7)/30.4375))</f>
        <v>987.168</v>
      </c>
      <c r="R12" s="339" t="n">
        <f aca="false">IF(R7-Q7&gt;=28,'Project Assumptions'!$I$28*'Start-up Cashflow'!R$9,'Project Assumptions'!$I$28*'Start-up Cashflow'!R$9*((R7-Q7)/30.4375))</f>
        <v>987.168</v>
      </c>
      <c r="S12" s="339" t="n">
        <f aca="false">IF(S7-R7&gt;=28,'Project Assumptions'!$I$28*'Start-up Cashflow'!S$9,'Project Assumptions'!$I$28*'Start-up Cashflow'!S$9*((S7-R7)/30.4375))</f>
        <v>987.168</v>
      </c>
      <c r="T12" s="339" t="n">
        <f aca="false">IF(T7-S7&gt;=28,'Project Assumptions'!$I$28*'Start-up Cashflow'!T$9,'Project Assumptions'!$I$28*'Start-up Cashflow'!T$9*((T7-S7)/30.4375))</f>
        <v>987.168</v>
      </c>
      <c r="U12" s="339" t="n">
        <f aca="false">IF(U7-T7&gt;=28,'Project Assumptions'!$I$28*'Start-up Cashflow'!U$9,'Project Assumptions'!$I$28*'Start-up Cashflow'!U$9*((U7-T7)/30.4375))</f>
        <v>987.168</v>
      </c>
      <c r="V12" s="339" t="n">
        <f aca="false">IF(V7-U7&gt;=28,'Project Assumptions'!$I$28*'Start-up Cashflow'!V$9,'Project Assumptions'!$I$28*'Start-up Cashflow'!V$9*((V7-U7)/30.4375))</f>
        <v>987.168</v>
      </c>
      <c r="W12" s="339" t="n">
        <f aca="false">IF(W7-V7&gt;=28,'Project Assumptions'!$I$28*'Start-up Cashflow'!W$9,'Project Assumptions'!$I$28*'Start-up Cashflow'!W$9*((W7-V7)/30.4375))</f>
        <v>987.168</v>
      </c>
      <c r="X12" s="339" t="n">
        <f aca="false">IF(X7-W7&gt;=28,'Project Assumptions'!$I$28*'Start-up Cashflow'!X$9,'Project Assumptions'!$I$28*'Start-up Cashflow'!X$9*((X7-W7)/30.4375))</f>
        <v>987.168</v>
      </c>
      <c r="Y12" s="339" t="n">
        <f aca="false">IF(Y7-X7&gt;=28,'Project Assumptions'!$I$28*'Start-up Cashflow'!Y$9,'Project Assumptions'!$I$28*'Start-up Cashflow'!Y$9*((Y7-X7)/30.4375))</f>
        <v>987.168</v>
      </c>
      <c r="Z12" s="339" t="n">
        <f aca="false">IF(Z7-Y7&gt;=28,'Project Assumptions'!$I$28*'Start-up Cashflow'!Z$9,'Project Assumptions'!$I$28*'Start-up Cashflow'!Z$9*((Z7-Y7)/30.4375))</f>
        <v>987.168</v>
      </c>
      <c r="AA12" s="339" t="n">
        <f aca="false">IF(AA7-Z7&gt;=28,'Project Assumptions'!$I$28*'Start-up Cashflow'!AA$9,'Project Assumptions'!$I$28*'Start-up Cashflow'!AA$9*((AA7-Z7)/30.4375))</f>
        <v>987.168</v>
      </c>
      <c r="AB12" s="339" t="n">
        <f aca="false">IF(AB7-AA7&gt;=28,'Project Assumptions'!$I$28*'Start-up Cashflow'!AB$9,'Project Assumptions'!$I$28*'Start-up Cashflow'!AB$9*((AB7-AA7)/30.4375))</f>
        <v>987.168</v>
      </c>
      <c r="AC12" s="339" t="n">
        <f aca="false">IF(AC7-AB7&gt;=28,'Project Assumptions'!$I$28*'Start-up Cashflow'!AC$9,'Project Assumptions'!$I$28*'Start-up Cashflow'!AC$9*((AC7-AB7)/30.4375))</f>
        <v>987.168</v>
      </c>
      <c r="AD12" s="339" t="n">
        <f aca="false">IF(AD7-AC7&gt;=28,'Project Assumptions'!$I$28*'Start-up Cashflow'!AD$9,'Project Assumptions'!$I$28*'Start-up Cashflow'!AD$9*((AD7-AC7)/30.4375))</f>
        <v>987.168</v>
      </c>
      <c r="AE12" s="339" t="n">
        <f aca="false">IF(AE7-AD7&gt;=28,'Project Assumptions'!$I$28*'Start-up Cashflow'!AE$9,'Project Assumptions'!$I$28*'Start-up Cashflow'!AE$9*((AE7-AD7)/30.4375))</f>
        <v>987.168</v>
      </c>
      <c r="AF12" s="339" t="n">
        <f aca="false">IF(AF7-AE7&gt;=28,'Project Assumptions'!$I$28*'Start-up Cashflow'!AF$9,'Project Assumptions'!$I$28*'Start-up Cashflow'!AF$9*((AF7-AE7)/30.4375))</f>
        <v>987.168</v>
      </c>
      <c r="AG12" s="339" t="n">
        <f aca="false">IF(AG7-AF7&gt;=28,'Project Assumptions'!$I$28*'Start-up Cashflow'!AG$9,'Project Assumptions'!$I$28*'Start-up Cashflow'!AG$9*((AG7-AF7)/30.4375))</f>
        <v>987.168</v>
      </c>
      <c r="AH12" s="339" t="n">
        <f aca="false">IF(AH7-AG7&gt;=28,'Project Assumptions'!$I$28*'Start-up Cashflow'!AH$9,'Project Assumptions'!$I$28*'Start-up Cashflow'!AH$9*((AH7-AG7)/30.4375))</f>
        <v>987.168</v>
      </c>
      <c r="AI12" s="339" t="n">
        <f aca="false">IF(AI7-AH7&gt;=28,'Project Assumptions'!$I$28*'Start-up Cashflow'!AI$9,'Project Assumptions'!$I$28*'Start-up Cashflow'!AI$9*((AI7-AH7)/30.4375))</f>
        <v>987.168</v>
      </c>
      <c r="AJ12" s="339" t="n">
        <f aca="false">IF(AJ7-AI7&gt;=28,'Project Assumptions'!$I$28*'Start-up Cashflow'!AJ$9,'Project Assumptions'!$I$28*'Start-up Cashflow'!AJ$9*((AJ7-AI7)/30.4375))</f>
        <v>987.168</v>
      </c>
      <c r="AK12" s="339" t="n">
        <f aca="false">IF(AK7-AJ7&gt;=28,'Project Assumptions'!$I$28*'Start-up Cashflow'!AK$9,'Project Assumptions'!$I$28*'Start-up Cashflow'!AK$9*((AK7-AJ7)/30.4375))</f>
        <v>987.168</v>
      </c>
      <c r="AL12" s="339" t="n">
        <f aca="false">IF(AL7-AK7&gt;=28,'Project Assumptions'!$I$28*'Start-up Cashflow'!AL$9,'Project Assumptions'!$I$28*'Start-up Cashflow'!AL$9*((AL7-AK7)/30.4375))</f>
        <v>987.168</v>
      </c>
      <c r="AM12" s="339" t="n">
        <f aca="false">IF(AM7-AL7&gt;=28,'Project Assumptions'!$I$28*'Start-up Cashflow'!AM$9,'Project Assumptions'!$I$28*'Start-up Cashflow'!AM$9*((AM7-AL7)/30.4375))</f>
        <v>987.168</v>
      </c>
      <c r="AN12" s="339" t="n">
        <f aca="false">IF(AN7-AM7&gt;=28,'Project Assumptions'!$I$28*'Start-up Cashflow'!AN$9,'Project Assumptions'!$I$28*'Start-up Cashflow'!AN$9*((AN7-AM7)/30.4375))</f>
        <v>987.168</v>
      </c>
      <c r="AO12" s="339" t="n">
        <f aca="false">IF(AO7-AN7&gt;=28,'Project Assumptions'!$I$28*'Start-up Cashflow'!AO$9,'Project Assumptions'!$I$28*'Start-up Cashflow'!AO$9*((AO7-AN7)/30.4375))</f>
        <v>987.168</v>
      </c>
      <c r="AP12" s="339" t="n">
        <f aca="false">IF(AP7-AO7&gt;=28,'Project Assumptions'!$I$28*'Start-up Cashflow'!AP$9,'Project Assumptions'!$I$28*'Start-up Cashflow'!AP$9*((AP7-AO7)/30.4375))</f>
        <v>987.168</v>
      </c>
      <c r="AQ12" s="339" t="n">
        <f aca="false">IF(AQ7-AP7&gt;=28,'Project Assumptions'!$I$28*'Start-up Cashflow'!AQ$9,'Project Assumptions'!$I$28*'Start-up Cashflow'!AQ$9*((AQ7-AP7)/30.4375))</f>
        <v>987.168</v>
      </c>
      <c r="AR12" s="339" t="n">
        <f aca="false">IF(AR7-AQ7&gt;=28,'Project Assumptions'!$I$28*'Start-up Cashflow'!AR$9,'Project Assumptions'!$I$28*'Start-up Cashflow'!AR$9*((AR7-AQ7)/30.4375))</f>
        <v>987.168</v>
      </c>
      <c r="AS12" s="339" t="n">
        <f aca="false">IF(AS7-AR7&gt;=28,'Project Assumptions'!$I$28*'Start-up Cashflow'!AS$9,'Project Assumptions'!$I$28*'Start-up Cashflow'!AS$9*((AS7-AR7)/30.4375))</f>
        <v>987.168</v>
      </c>
      <c r="AT12" s="339" t="n">
        <f aca="false">IF(AT7-AS7&gt;=28,'Project Assumptions'!$I$28*'Start-up Cashflow'!AT$9,'Project Assumptions'!$I$28*'Start-up Cashflow'!AT$9*((AT7-AS7)/30.4375))</f>
        <v>987.168</v>
      </c>
      <c r="AU12" s="339" t="n">
        <f aca="false">IF(AU7-AT7&gt;=28,'Project Assumptions'!$I$28*'Start-up Cashflow'!AU$9,'Project Assumptions'!$I$28*'Start-up Cashflow'!AU$9*((AU7-AT7)/30.4375))</f>
        <v>987.168</v>
      </c>
      <c r="AV12" s="339" t="n">
        <f aca="false">IF(AV7-AU7&gt;=28,'Project Assumptions'!$I$28*'Start-up Cashflow'!AV$9,'Project Assumptions'!$I$28*'Start-up Cashflow'!AV$9*((AV7-AU7)/30.4375))</f>
        <v>987.168</v>
      </c>
      <c r="AW12" s="339" t="n">
        <f aca="false">IF(AW7-AV7&gt;=28,'Project Assumptions'!$I$28*'Start-up Cashflow'!AW$9,'Project Assumptions'!$I$28*'Start-up Cashflow'!AW$9*((AW7-AV7)/30.4375))</f>
        <v>987.168</v>
      </c>
      <c r="AX12" s="339" t="n">
        <f aca="false">IF(AX7-AW7&gt;=28,'Project Assumptions'!$I$28*'Start-up Cashflow'!AX$9,'Project Assumptions'!$I$28*'Start-up Cashflow'!AX$9*((AX7-AW7)/30.4375))</f>
        <v>987.168</v>
      </c>
      <c r="AY12" s="339" t="n">
        <f aca="false">IF(AY7-AX7&gt;=28,'Project Assumptions'!$I$28*'Start-up Cashflow'!AY$9,'Project Assumptions'!$I$28*'Start-up Cashflow'!AY$9*((AY7-AX7)/30.4375))</f>
        <v>987.168</v>
      </c>
      <c r="AZ12" s="339" t="n">
        <f aca="false">IF(AZ7-AY7&gt;=28,'Project Assumptions'!$I$28*'Start-up Cashflow'!AZ$9,'Project Assumptions'!$I$28*'Start-up Cashflow'!AZ$9*((AZ7-AY7)/30.4375))</f>
        <v>987.168</v>
      </c>
      <c r="BA12" s="339" t="n">
        <f aca="false">IF(BA7-AZ7&gt;=28,'Project Assumptions'!$I$28*'Start-up Cashflow'!BA$9,'Project Assumptions'!$I$28*'Start-up Cashflow'!BA$9*((BA7-AZ7)/30.4375))</f>
        <v>987.168</v>
      </c>
      <c r="BB12" s="339" t="n">
        <f aca="false">IF(BB7-BA7&gt;=28,'Project Assumptions'!$I$28*'Start-up Cashflow'!BB$9,'Project Assumptions'!$I$28*'Start-up Cashflow'!BB$9*((BB7-BA7)/30.4375))</f>
        <v>987.168</v>
      </c>
      <c r="BC12" s="339" t="n">
        <f aca="false">IF(BC7-BB7&gt;=28,'Project Assumptions'!$I$28*'Start-up Cashflow'!BC$9,'Project Assumptions'!$I$28*'Start-up Cashflow'!BC$9*((BC7-BB7)/30.4375))</f>
        <v>987.168</v>
      </c>
      <c r="BD12" s="339" t="n">
        <f aca="false">IF(BD7-BC7&gt;=28,'Project Assumptions'!$I$28*'Start-up Cashflow'!BD$9,'Project Assumptions'!$I$28*'Start-up Cashflow'!BD$9*((BD7-BC7)/30.4375))</f>
        <v>987.168</v>
      </c>
      <c r="BE12" s="339" t="n">
        <f aca="false">IF(BE7-BD7&gt;=28,'Project Assumptions'!$I$28*'Start-up Cashflow'!BE$9,'Project Assumptions'!$I$28*'Start-up Cashflow'!BE$9*((BE7-BD7)/30.4375))</f>
        <v>987.168</v>
      </c>
      <c r="BF12" s="339" t="n">
        <f aca="false">IF(BF7-BE7&gt;=28,'Project Assumptions'!$I$28*'Start-up Cashflow'!BF$9,'Project Assumptions'!$I$28*'Start-up Cashflow'!BF$9*((BF7-BE7)/30.4375))</f>
        <v>987.168</v>
      </c>
      <c r="BG12" s="339" t="n">
        <f aca="false">IF(BG7-BF7&gt;=28,'Project Assumptions'!$I$28*'Start-up Cashflow'!BG$9,'Project Assumptions'!$I$28*'Start-up Cashflow'!BG$9*((BG7-BF7)/30.4375))</f>
        <v>987.168</v>
      </c>
      <c r="BH12" s="339" t="n">
        <f aca="false">IF(BH7-BG7&gt;=28,'Project Assumptions'!$I$28*'Start-up Cashflow'!BH$9,'Project Assumptions'!$I$28*'Start-up Cashflow'!BH$9*((BH7-BG7)/30.4375))</f>
        <v>987.168</v>
      </c>
      <c r="BI12" s="339" t="n">
        <f aca="false">IF(BI7-BH7&gt;=28,'Project Assumptions'!$I$28*'Start-up Cashflow'!BI$9,'Project Assumptions'!$I$28*'Start-up Cashflow'!BI$9*((BI7-BH7)/30.4375))</f>
        <v>987.168</v>
      </c>
      <c r="BJ12" s="339" t="n">
        <f aca="false">IF(BJ7-BI7&gt;=28,'Project Assumptions'!$I$28*'Start-up Cashflow'!BJ$9,'Project Assumptions'!$I$28*'Start-up Cashflow'!BJ$9*((BJ7-BI7)/30.4375))</f>
        <v>987.168</v>
      </c>
      <c r="BK12" s="339" t="n">
        <f aca="false">IF(BK7-BJ7&gt;=28,'Project Assumptions'!$I$28*'Start-up Cashflow'!BK$9,'Project Assumptions'!$I$28*'Start-up Cashflow'!BK$9*((BK7-BJ7)/30.4375))</f>
        <v>987.168</v>
      </c>
      <c r="BL12" s="339" t="n">
        <f aca="false">IF(BL7-BK7&gt;=28,'Project Assumptions'!$I$28*'Start-up Cashflow'!BL$9,'Project Assumptions'!$I$28*'Start-up Cashflow'!BL$9*((BL7-BK7)/30.4375))</f>
        <v>987.168</v>
      </c>
      <c r="BM12" s="339" t="n">
        <f aca="false">IF(BM7-BL7&gt;=28,'Project Assumptions'!$I$28*'Start-up Cashflow'!BM$9,'Project Assumptions'!$I$28*'Start-up Cashflow'!BM$9*((BM7-BL7)/30.4375))</f>
        <v>987.168</v>
      </c>
      <c r="BN12" s="339" t="n">
        <f aca="false">IF(BN7-BM7&gt;=28,'Project Assumptions'!$I$28*'Start-up Cashflow'!BN$9,'Project Assumptions'!$I$28*'Start-up Cashflow'!BN$9*((BN7-BM7)/30.4375))</f>
        <v>987.168</v>
      </c>
      <c r="BO12" s="339" t="n">
        <f aca="false">IF(BO7-BN7&gt;=28,'Project Assumptions'!$I$28*'Start-up Cashflow'!BO$9,'Project Assumptions'!$I$28*'Start-up Cashflow'!BO$9*((BO7-BN7)/30.4375))</f>
        <v>987.168</v>
      </c>
      <c r="BP12" s="339" t="n">
        <f aca="false">IF(BP7-BO7&gt;=28,'Project Assumptions'!$I$28*'Start-up Cashflow'!BP$9,'Project Assumptions'!$I$28*'Start-up Cashflow'!BP$9*((BP7-BO7)/30.4375))</f>
        <v>987.168</v>
      </c>
      <c r="BQ12" s="339" t="n">
        <f aca="false">IF(BQ7-BP7&gt;=28,'Project Assumptions'!$I$28*'Start-up Cashflow'!BQ$9,'Project Assumptions'!$I$28*'Start-up Cashflow'!BQ$9*((BQ7-BP7)/30.4375))</f>
        <v>987.168</v>
      </c>
      <c r="BR12" s="339" t="n">
        <f aca="false">IF(BR7-BQ7&gt;=28,'Project Assumptions'!$I$28*'Start-up Cashflow'!BR$9,'Project Assumptions'!$I$28*'Start-up Cashflow'!BR$9*((BR7-BQ7)/30.4375))</f>
        <v>987.168</v>
      </c>
      <c r="BS12" s="339" t="n">
        <f aca="false">IF(BS7-BR7&gt;=28,'Project Assumptions'!$I$28*'Start-up Cashflow'!BS$9,'Project Assumptions'!$I$28*'Start-up Cashflow'!BS$9*((BS7-BR7)/30.4375))</f>
        <v>987.168</v>
      </c>
      <c r="BT12" s="339" t="n">
        <f aca="false">IF(BT7-BS7&gt;=28,'Project Assumptions'!$I$28*'Start-up Cashflow'!BT$9,'Project Assumptions'!$I$28*'Start-up Cashflow'!BT$9*((BT7-BS7)/30.4375))</f>
        <v>987.168</v>
      </c>
      <c r="BU12" s="339" t="n">
        <f aca="false">IF(BU7-BT7&gt;=28,'Project Assumptions'!$I$28*'Start-up Cashflow'!BU$9,'Project Assumptions'!$I$28*'Start-up Cashflow'!BU$9*((BU7-BT7)/30.4375))</f>
        <v>987.168</v>
      </c>
      <c r="BV12" s="339" t="n">
        <f aca="false">IF(BV7-BU7&gt;=28,'Project Assumptions'!$I$28*'Start-up Cashflow'!BV$9,'Project Assumptions'!$I$28*'Start-up Cashflow'!BV$9*((BV7-BU7)/30.4375))</f>
        <v>987.168</v>
      </c>
      <c r="BW12" s="339" t="n">
        <f aca="false">IF(BW7-BV7&gt;=28,'Project Assumptions'!$I$28*'Start-up Cashflow'!BW$9,'Project Assumptions'!$I$28*'Start-up Cashflow'!BW$9*((BW7-BV7)/30.4375))</f>
        <v>987.168</v>
      </c>
      <c r="BX12" s="339" t="n">
        <f aca="false">IF(BX7-BW7&gt;=28,'Project Assumptions'!$I$28*'Start-up Cashflow'!BX$9,'Project Assumptions'!$I$28*'Start-up Cashflow'!BX$9*((BX7-BW7)/30.4375))</f>
        <v>987.168</v>
      </c>
      <c r="BY12" s="339" t="n">
        <f aca="false">IF(BY7-BX7&gt;=28,'Project Assumptions'!$I$28*'Start-up Cashflow'!BY$9,'Project Assumptions'!$I$28*'Start-up Cashflow'!BY$9*((BY7-BX7)/30.4375))</f>
        <v>987.168</v>
      </c>
      <c r="BZ12" s="339" t="n">
        <f aca="false">IF(BZ7-BY7&gt;=28,'Project Assumptions'!$I$28*'Start-up Cashflow'!BZ$9,'Project Assumptions'!$I$28*'Start-up Cashflow'!BZ$9*((BZ7-BY7)/30.4375))</f>
        <v>987.168</v>
      </c>
      <c r="CA12" s="339" t="n">
        <f aca="false">IF(CA7-BZ7&gt;=28,'Project Assumptions'!$I$28*'Start-up Cashflow'!CA$9,'Project Assumptions'!$I$28*'Start-up Cashflow'!CA$9*((CA7-BZ7)/30.4375))</f>
        <v>987.168</v>
      </c>
      <c r="CB12" s="339" t="n">
        <f aca="false">IF(CB7-CA7&gt;=28,'Project Assumptions'!$I$28*'Start-up Cashflow'!CB$9,'Project Assumptions'!$I$28*'Start-up Cashflow'!CB$9*((CB7-CA7)/30.4375))</f>
        <v>987.168</v>
      </c>
      <c r="CC12" s="339" t="n">
        <f aca="false">IF(CC7-CB7&gt;=28,'Project Assumptions'!$I$28*'Start-up Cashflow'!CC$9,'Project Assumptions'!$I$28*'Start-up Cashflow'!CC$9*((CC7-CB7)/30.4375))</f>
        <v>987.168</v>
      </c>
      <c r="CD12" s="339" t="n">
        <f aca="false">IF(CD7-CC7&gt;=28,'Project Assumptions'!$I$28*'Start-up Cashflow'!CD$9,'Project Assumptions'!$I$28*'Start-up Cashflow'!CD$9*((CD7-CC7)/30.4375))</f>
        <v>987.168</v>
      </c>
      <c r="CE12" s="339" t="n">
        <f aca="false">IF(CE7-CD7&gt;=28,'Project Assumptions'!$I$28*'Start-up Cashflow'!CE$9,'Project Assumptions'!$I$28*'Start-up Cashflow'!CE$9*((CE7-CD7)/30.4375))</f>
        <v>987.168</v>
      </c>
      <c r="CF12" s="339" t="n">
        <f aca="false">IF(CF7-CE7&gt;=28,'Project Assumptions'!$I$28*'Start-up Cashflow'!CF$9,'Project Assumptions'!$I$28*'Start-up Cashflow'!CF$9*((CF7-CE7)/30.4375))</f>
        <v>987.168</v>
      </c>
      <c r="CG12" s="339" t="n">
        <f aca="false">IF(CG7-CF7&gt;=28,'Project Assumptions'!$I$28*'Start-up Cashflow'!CG$9,'Project Assumptions'!$I$28*'Start-up Cashflow'!CG$9*((CG7-CF7)/30.4375))</f>
        <v>987.168</v>
      </c>
      <c r="CH12" s="339" t="n">
        <f aca="false">IF(CH7-CG7&gt;=28,'Project Assumptions'!$I$28*'Start-up Cashflow'!CH$9,'Project Assumptions'!$I$28*'Start-up Cashflow'!CH$9*((CH7-CG7)/30.4375))</f>
        <v>987.168</v>
      </c>
      <c r="CI12" s="339" t="n">
        <f aca="false">IF(CI7-CH7&gt;=28,'Project Assumptions'!$I$28*'Start-up Cashflow'!CI$9,'Project Assumptions'!$I$28*'Start-up Cashflow'!CI$9*((CI7-CH7)/30.4375))</f>
        <v>987.168</v>
      </c>
      <c r="CJ12" s="339" t="n">
        <f aca="false">IF(CJ7-CI7&gt;=28,'Project Assumptions'!$I$28*'Start-up Cashflow'!CJ$9,'Project Assumptions'!$I$28*'Start-up Cashflow'!CJ$9*((CJ7-CI7)/30.4375))</f>
        <v>987.168</v>
      </c>
      <c r="CK12" s="339" t="n">
        <f aca="false">IF(CK7-CJ7&gt;=28,'Project Assumptions'!$I$28*'Start-up Cashflow'!CK$9,'Project Assumptions'!$I$28*'Start-up Cashflow'!CK$9*((CK7-CJ7)/30.4375))</f>
        <v>987.168</v>
      </c>
      <c r="CL12" s="339" t="n">
        <f aca="false">IF(CL7-CK7&gt;=28,'Project Assumptions'!$I$28*'Start-up Cashflow'!CL$9,'Project Assumptions'!$I$28*'Start-up Cashflow'!CL$9*((CL7-CK7)/30.4375))</f>
        <v>987.168</v>
      </c>
      <c r="CM12" s="339" t="n">
        <f aca="false">IF(CM7-CL7&gt;=28,'Project Assumptions'!$I$28*'Start-up Cashflow'!CM$9,'Project Assumptions'!$I$28*'Start-up Cashflow'!CM$9*((CM7-CL7)/30.4375))</f>
        <v>987.168</v>
      </c>
      <c r="CN12" s="339" t="n">
        <f aca="false">IF(CN7-CM7&gt;=28,'Project Assumptions'!$I$28*'Start-up Cashflow'!CN$9,'Project Assumptions'!$I$28*'Start-up Cashflow'!CN$9*((CN7-CM7)/30.4375))</f>
        <v>987.168</v>
      </c>
      <c r="CO12" s="339" t="n">
        <f aca="false">IF(CO7-CN7&gt;=28,'Project Assumptions'!$I$28*'Start-up Cashflow'!CO$9,'Project Assumptions'!$I$28*'Start-up Cashflow'!CO$9*((CO7-CN7)/30.4375))</f>
        <v>987.168</v>
      </c>
      <c r="CP12" s="339" t="n">
        <f aca="false">IF(CP7-CO7&gt;=28,'Project Assumptions'!$I$28*'Start-up Cashflow'!CP$9,'Project Assumptions'!$I$28*'Start-up Cashflow'!CP$9*((CP7-CO7)/30.4375))</f>
        <v>987.168</v>
      </c>
      <c r="CQ12" s="339" t="n">
        <f aca="false">IF(CQ7-CP7&gt;=28,'Project Assumptions'!$I$28*'Start-up Cashflow'!CQ$9,'Project Assumptions'!$I$28*'Start-up Cashflow'!CQ$9*((CQ7-CP7)/30.4375))</f>
        <v>987.168</v>
      </c>
      <c r="CR12" s="339" t="n">
        <f aca="false">IF(CR7-CQ7&gt;=28,'Project Assumptions'!$I$28*'Start-up Cashflow'!CR$9,'Project Assumptions'!$I$28*'Start-up Cashflow'!CR$9*((CR7-CQ7)/30.4375))</f>
        <v>987.168</v>
      </c>
      <c r="CS12" s="339" t="n">
        <f aca="false">IF(CS7-CR7&gt;=28,'Project Assumptions'!$I$28*'Start-up Cashflow'!CS$9,'Project Assumptions'!$I$28*'Start-up Cashflow'!CS$9*((CS7-CR7)/30.4375))</f>
        <v>987.168</v>
      </c>
      <c r="CT12" s="339" t="n">
        <f aca="false">IF(CT7-CS7&gt;=28,'Project Assumptions'!$I$28*'Start-up Cashflow'!CT$9,'Project Assumptions'!$I$28*'Start-up Cashflow'!CT$9*((CT7-CS7)/30.4375))</f>
        <v>987.168</v>
      </c>
      <c r="CU12" s="339" t="n">
        <f aca="false">IF(CU7-CT7&gt;=28,'Project Assumptions'!$I$28*'Start-up Cashflow'!CU$9,'Project Assumptions'!$I$28*'Start-up Cashflow'!CU$9*((CU7-CT7)/30.4375))</f>
        <v>987.168</v>
      </c>
      <c r="CV12" s="339" t="n">
        <f aca="false">IF(CV7-CU7&gt;=28,'Project Assumptions'!$I$28*'Start-up Cashflow'!CV$9,'Project Assumptions'!$I$28*'Start-up Cashflow'!CV$9*((CV7-CU7)/30.4375))</f>
        <v>987.168</v>
      </c>
      <c r="CW12" s="339" t="n">
        <f aca="false">IF(CW7-CV7&gt;=28,'Project Assumptions'!$I$28*'Start-up Cashflow'!CW$9,'Project Assumptions'!$I$28*'Start-up Cashflow'!CW$9*((CW7-CV7)/30.4375))</f>
        <v>987.168</v>
      </c>
      <c r="CX12" s="339" t="n">
        <f aca="false">IF(CX7-CW7&gt;=28,'Project Assumptions'!$I$28*'Start-up Cashflow'!CX$9,'Project Assumptions'!$I$28*'Start-up Cashflow'!CX$9*((CX7-CW7)/30.4375))</f>
        <v>987.168</v>
      </c>
      <c r="CY12" s="339" t="n">
        <f aca="false">IF(CY7-CX7&gt;=28,'Project Assumptions'!$I$28*'Start-up Cashflow'!CY$9,'Project Assumptions'!$I$28*'Start-up Cashflow'!CY$9*((CY7-CX7)/30.4375))</f>
        <v>987.168</v>
      </c>
      <c r="CZ12" s="339" t="n">
        <f aca="false">IF(CZ7-CY7&gt;=28,'Project Assumptions'!$I$28*'Start-up Cashflow'!CZ$9,'Project Assumptions'!$I$28*'Start-up Cashflow'!CZ$9*((CZ7-CY7)/30.4375))</f>
        <v>987.168</v>
      </c>
      <c r="DA12" s="339" t="n">
        <f aca="false">IF(DA7-CZ7&gt;=28,'Project Assumptions'!$I$28*'Start-up Cashflow'!DA$9,'Project Assumptions'!$I$28*'Start-up Cashflow'!DA$9*((DA7-CZ7)/30.4375))</f>
        <v>987.168</v>
      </c>
      <c r="DB12" s="339" t="n">
        <f aca="false">IF(DB7-DA7&gt;=28,'Project Assumptions'!$I$28*'Start-up Cashflow'!DB$9,'Project Assumptions'!$I$28*'Start-up Cashflow'!DB$9*((DB7-DA7)/30.4375))</f>
        <v>987.168</v>
      </c>
      <c r="DC12" s="339" t="n">
        <f aca="false">IF(DC7-DB7&gt;=28,'Project Assumptions'!$I$28*'Start-up Cashflow'!DC$9,'Project Assumptions'!$I$28*'Start-up Cashflow'!DC$9*((DC7-DB7)/30.4375))</f>
        <v>987.168</v>
      </c>
      <c r="DD12" s="339" t="n">
        <f aca="false">IF(DD7-DC7&gt;=28,'Project Assumptions'!$I$28*'Start-up Cashflow'!DD$9,'Project Assumptions'!$I$28*'Start-up Cashflow'!DD$9*((DD7-DC7)/30.4375))</f>
        <v>987.168</v>
      </c>
      <c r="DE12" s="339" t="n">
        <f aca="false">IF(DE7-DD7&gt;=28,'Project Assumptions'!$I$28*'Start-up Cashflow'!DE$9,'Project Assumptions'!$I$28*'Start-up Cashflow'!DE$9*((DE7-DD7)/30.4375))</f>
        <v>987.168</v>
      </c>
      <c r="DF12" s="339" t="n">
        <f aca="false">IF(DF7-DE7&gt;=28,'Project Assumptions'!$I$28*'Start-up Cashflow'!DF$9,'Project Assumptions'!$I$28*'Start-up Cashflow'!DF$9*((DF7-DE7)/30.4375))</f>
        <v>987.168</v>
      </c>
      <c r="DG12" s="339" t="n">
        <f aca="false">IF(DG7-DF7&gt;=28,'Project Assumptions'!$I$28*'Start-up Cashflow'!DG$9,'Project Assumptions'!$I$28*'Start-up Cashflow'!DG$9*((DG7-DF7)/30.4375))</f>
        <v>987.168</v>
      </c>
      <c r="DH12" s="339" t="n">
        <f aca="false">IF(DH7-DG7&gt;=28,'Project Assumptions'!$I$28*'Start-up Cashflow'!DH$9,'Project Assumptions'!$I$28*'Start-up Cashflow'!DH$9*((DH7-DG7)/30.4375))</f>
        <v>987.168</v>
      </c>
      <c r="DI12" s="339" t="n">
        <f aca="false">IF(DI7-DH7&gt;=28,'Project Assumptions'!$I$28*'Start-up Cashflow'!DI$9,'Project Assumptions'!$I$28*'Start-up Cashflow'!DI$9*((DI7-DH7)/30.4375))</f>
        <v>987.168</v>
      </c>
      <c r="DJ12" s="339" t="n">
        <f aca="false">IF(DJ7-DI7&gt;=28,'Project Assumptions'!$I$28*'Start-up Cashflow'!DJ$9,'Project Assumptions'!$I$28*'Start-up Cashflow'!DJ$9*((DJ7-DI7)/30.4375))</f>
        <v>987.168</v>
      </c>
      <c r="DK12" s="339" t="n">
        <f aca="false">IF(DK7-DJ7&gt;=28,'Project Assumptions'!$I$28*'Start-up Cashflow'!DK$9,'Project Assumptions'!$I$28*'Start-up Cashflow'!DK$9*((DK7-DJ7)/30.4375))</f>
        <v>987.168</v>
      </c>
      <c r="DL12" s="339" t="n">
        <f aca="false">IF(DL7-DK7&gt;=28,'Project Assumptions'!$I$28*'Start-up Cashflow'!DL$9,'Project Assumptions'!$I$28*'Start-up Cashflow'!DL$9*((DL7-DK7)/30.4375))</f>
        <v>987.168</v>
      </c>
      <c r="DM12" s="339" t="n">
        <f aca="false">IF(DM7-DL7&gt;=28,'Project Assumptions'!$I$28*'Start-up Cashflow'!DM$9,'Project Assumptions'!$I$28*'Start-up Cashflow'!DM$9*((DM7-DL7)/30.4375))</f>
        <v>987.168</v>
      </c>
      <c r="DN12" s="339" t="n">
        <f aca="false">IF(DN7-DM7&gt;=28,'Project Assumptions'!$I$28*'Start-up Cashflow'!DN$9,'Project Assumptions'!$I$28*'Start-up Cashflow'!DN$9*((DN7-DM7)/30.4375))</f>
        <v>987.168</v>
      </c>
      <c r="DO12" s="339" t="n">
        <f aca="false">IF(DO7-DN7&gt;=28,'Project Assumptions'!$I$28*'Start-up Cashflow'!DO$9,'Project Assumptions'!$I$28*'Start-up Cashflow'!DO$9*((DO7-DN7)/30.4375))</f>
        <v>987.168</v>
      </c>
      <c r="DP12" s="339" t="n">
        <f aca="false">IF(DP7-DO7&gt;=28,'Project Assumptions'!$I$28*'Start-up Cashflow'!DP$9,'Project Assumptions'!$I$28*'Start-up Cashflow'!DP$9*((DP7-DO7)/30.4375))</f>
        <v>987.168</v>
      </c>
      <c r="DQ12" s="339" t="n">
        <f aca="false">IF(DQ7-DP7&gt;=28,'Project Assumptions'!$I$28*'Start-up Cashflow'!DQ$9,'Project Assumptions'!$I$28*'Start-up Cashflow'!DQ$9*((DQ7-DP7)/30.4375))</f>
        <v>987.168</v>
      </c>
      <c r="DR12" s="339" t="n">
        <f aca="false">IF(DR7-DQ7&gt;=28,'Project Assumptions'!$I$28*'Start-up Cashflow'!DR$9,'Project Assumptions'!$I$28*'Start-up Cashflow'!DR$9*((DR7-DQ7)/30.4375))</f>
        <v>987.168</v>
      </c>
      <c r="DS12" s="339" t="n">
        <f aca="false">IF(DS7-DR7&gt;=28,'Project Assumptions'!$I$28*'Start-up Cashflow'!DS$9,'Project Assumptions'!$I$28*'Start-up Cashflow'!DS$9*((DS7-DR7)/30.4375))</f>
        <v>987.168</v>
      </c>
      <c r="DT12" s="339" t="n">
        <f aca="false">IF(DT7-DS7&gt;=28,'Project Assumptions'!$I$28*'Start-up Cashflow'!DT$9,'Project Assumptions'!$I$28*'Start-up Cashflow'!DT$9*((DT7-DS7)/30.4375))</f>
        <v>987.168</v>
      </c>
      <c r="DU12" s="339" t="n">
        <f aca="false">IF(DU7-DT7&gt;=28,'Project Assumptions'!$I$28*'Start-up Cashflow'!DU$9,'Project Assumptions'!$I$28*'Start-up Cashflow'!DU$9*((DU7-DT7)/30.4375))</f>
        <v>987.168</v>
      </c>
      <c r="DV12" s="339" t="n">
        <f aca="false">IF(DV7-DU7&gt;=28,'Project Assumptions'!$I$28*'Start-up Cashflow'!DV$9,'Project Assumptions'!$I$28*'Start-up Cashflow'!DV$9*((DV7-DU7)/30.4375))</f>
        <v>987.168</v>
      </c>
      <c r="DW12" s="339" t="n">
        <f aca="false">IF(DW7-DV7&gt;=28,'Project Assumptions'!$I$28*'Start-up Cashflow'!DW$9,'Project Assumptions'!$I$28*'Start-up Cashflow'!DW$9*((DW7-DV7)/30.4375))</f>
        <v>987.168</v>
      </c>
      <c r="DX12" s="339" t="n">
        <f aca="false">IF(DX7-DW7&gt;=28,'Project Assumptions'!$I$28*'Start-up Cashflow'!DX$9,'Project Assumptions'!$I$28*'Start-up Cashflow'!DX$9*((DX7-DW7)/30.4375))</f>
        <v>987.168</v>
      </c>
      <c r="DY12" s="339" t="n">
        <f aca="false">IF(DY7-DX7&gt;=28,'Project Assumptions'!$I$28*'Start-up Cashflow'!DY$9,'Project Assumptions'!$I$28*'Start-up Cashflow'!DY$9*((DY7-DX7)/30.4375))</f>
        <v>987.168</v>
      </c>
      <c r="DZ12" s="339" t="n">
        <f aca="false">IF(DZ7-DY7&gt;=28,'Project Assumptions'!$I$28*'Start-up Cashflow'!DZ$9,'Project Assumptions'!$I$28*'Start-up Cashflow'!DZ$9*((DZ7-DY7)/30.4375))</f>
        <v>987.168</v>
      </c>
      <c r="EA12" s="339" t="n">
        <f aca="false">IF(EA7-DZ7&gt;=28,'Project Assumptions'!$I$28*'Start-up Cashflow'!EA$9,'Project Assumptions'!$I$28*'Start-up Cashflow'!EA$9*((EA7-DZ7)/30.4375))</f>
        <v>987.168</v>
      </c>
      <c r="EB12" s="339" t="n">
        <f aca="false">IF(EB7-EA7&gt;=28,'Project Assumptions'!$I$28*'Start-up Cashflow'!EB$9,'Project Assumptions'!$I$28*'Start-up Cashflow'!EB$9*((EB7-EA7)/30.4375))</f>
        <v>987.168</v>
      </c>
      <c r="EC12" s="339" t="n">
        <f aca="false">IF(EC7-EB7&gt;=28,'Project Assumptions'!$I$28*'Start-up Cashflow'!EC$9,'Project Assumptions'!$I$28*'Start-up Cashflow'!EC$9*((EC7-EB7)/30.4375))</f>
        <v>987.168</v>
      </c>
      <c r="ED12" s="339" t="n">
        <f aca="false">IF(ED7-EC7&gt;=28,'Project Assumptions'!$I$28*'Start-up Cashflow'!ED$9,'Project Assumptions'!$I$28*'Start-up Cashflow'!ED$9*((ED7-EC7)/30.4375))</f>
        <v>987.168</v>
      </c>
      <c r="EE12" s="339" t="n">
        <f aca="false">IF(EE7-ED7&gt;=28,'Project Assumptions'!$I$28*'Start-up Cashflow'!EE$9,'Project Assumptions'!$I$28*'Start-up Cashflow'!EE$9*((EE7-ED7)/30.4375))</f>
        <v>987.168</v>
      </c>
      <c r="EF12" s="339" t="n">
        <f aca="false">IF(EF7-EE7&gt;=28,'Project Assumptions'!$I$28*'Start-up Cashflow'!EF$9,'Project Assumptions'!$I$28*'Start-up Cashflow'!EF$9*((EF7-EE7)/30.4375))</f>
        <v>987.168</v>
      </c>
      <c r="EG12" s="339" t="n">
        <f aca="false">IF(EG7-EF7&gt;=28,'Project Assumptions'!$I$28*'Start-up Cashflow'!EG$9,'Project Assumptions'!$I$28*'Start-up Cashflow'!EG$9*((EG7-EF7)/30.4375))</f>
        <v>987.168</v>
      </c>
      <c r="EH12" s="339" t="n">
        <f aca="false">IF(EH7-EG7&gt;=28,'Project Assumptions'!$I$28*'Start-up Cashflow'!EH$9,'Project Assumptions'!$I$28*'Start-up Cashflow'!EH$9*((EH7-EG7)/30.4375))</f>
        <v>987.168</v>
      </c>
      <c r="EI12" s="339" t="n">
        <f aca="false">IF(EI7-EH7&gt;=28,'Project Assumptions'!$I$28*'Start-up Cashflow'!EI$9,'Project Assumptions'!$I$28*'Start-up Cashflow'!EI$9*((EI7-EH7)/30.4375))</f>
        <v>987.168</v>
      </c>
      <c r="EJ12" s="339" t="n">
        <f aca="false">IF(EJ7-EI7&gt;=28,'Project Assumptions'!$I$28*'Start-up Cashflow'!EJ$9,'Project Assumptions'!$I$28*'Start-up Cashflow'!EJ$9*((EJ7-EI7)/30.4375))</f>
        <v>987.168</v>
      </c>
      <c r="EK12" s="339" t="n">
        <f aca="false">IF(EK7-EJ7&gt;=28,'Project Assumptions'!$I$28*'Start-up Cashflow'!EK$9,'Project Assumptions'!$I$28*'Start-up Cashflow'!EK$9*((EK7-EJ7)/30.4375))</f>
        <v>987.168</v>
      </c>
      <c r="EL12" s="339" t="n">
        <f aca="false">IF(EL7-EK7&gt;=28,'Project Assumptions'!$I$28*'Start-up Cashflow'!EL$9,'Project Assumptions'!$I$28*'Start-up Cashflow'!EL$9*((EL7-EK7)/30.4375))</f>
        <v>987.168</v>
      </c>
      <c r="EM12" s="339" t="n">
        <f aca="false">IF(EM7-EL7&gt;=28,'Project Assumptions'!$I$28*'Start-up Cashflow'!EM$9,'Project Assumptions'!$I$28*'Start-up Cashflow'!EM$9*((EM7-EL7)/30.4375))</f>
        <v>987.168</v>
      </c>
      <c r="EN12" s="339" t="n">
        <f aca="false">IF(EN7-EM7&gt;=28,'Project Assumptions'!$I$28*'Start-up Cashflow'!EN$9,'Project Assumptions'!$I$28*'Start-up Cashflow'!EN$9*((EN7-EM7)/30.4375))</f>
        <v>987.168</v>
      </c>
      <c r="EO12" s="339" t="n">
        <f aca="false">IF(EO7-EN7&gt;=28,'Project Assumptions'!$I$28*'Start-up Cashflow'!EO$9,'Project Assumptions'!$I$28*'Start-up Cashflow'!EO$9*((EO7-EN7)/30.4375))</f>
        <v>987.168</v>
      </c>
      <c r="EP12" s="339" t="n">
        <f aca="false">IF(EP7-EO7&gt;=28,'Project Assumptions'!$I$28*'Start-up Cashflow'!EP$9,'Project Assumptions'!$I$28*'Start-up Cashflow'!EP$9*((EP7-EO7)/30.4375))</f>
        <v>987.168</v>
      </c>
      <c r="EQ12" s="339" t="n">
        <f aca="false">IF(EQ7-EP7&gt;=28,'Project Assumptions'!$I$28*'Start-up Cashflow'!EQ$9,'Project Assumptions'!$I$28*'Start-up Cashflow'!EQ$9*((EQ7-EP7)/30.4375))</f>
        <v>987.168</v>
      </c>
      <c r="ER12" s="339" t="n">
        <f aca="false">IF(ER7-EQ7&gt;=28,'Project Assumptions'!$I$28*'Start-up Cashflow'!ER$9,'Project Assumptions'!$I$28*'Start-up Cashflow'!ER$9*((ER7-EQ7)/30.4375))</f>
        <v>987.168</v>
      </c>
      <c r="ES12" s="339" t="n">
        <f aca="false">IF(ES7-ER7&gt;=28,'Project Assumptions'!$I$28*'Start-up Cashflow'!ES$9,'Project Assumptions'!$I$28*'Start-up Cashflow'!ES$9*((ES7-ER7)/30.4375))</f>
        <v>987.168</v>
      </c>
      <c r="ET12" s="339" t="n">
        <f aca="false">IF(ET7-ES7&gt;=28,'Project Assumptions'!$I$28*'Start-up Cashflow'!ET$9,'Project Assumptions'!$I$28*'Start-up Cashflow'!ET$9*((ET7-ES7)/30.4375))</f>
        <v>987.168</v>
      </c>
      <c r="EU12" s="339" t="n">
        <f aca="false">IF(EU7-ET7&gt;=28,'Project Assumptions'!$I$28*'Start-up Cashflow'!EU$9,'Project Assumptions'!$I$28*'Start-up Cashflow'!EU$9*((EU7-ET7)/30.4375))</f>
        <v>987.168</v>
      </c>
      <c r="EV12" s="339" t="n">
        <f aca="false">IF(EV7-EU7&gt;=28,'Project Assumptions'!$I$28*'Start-up Cashflow'!EV$9,'Project Assumptions'!$I$28*'Start-up Cashflow'!EV$9*((EV7-EU7)/30.4375))</f>
        <v>987.168</v>
      </c>
      <c r="EW12" s="339" t="n">
        <f aca="false">IF(EW7-EV7&gt;=28,'Project Assumptions'!$I$28*'Start-up Cashflow'!EW$9,'Project Assumptions'!$I$28*'Start-up Cashflow'!EW$9*((EW7-EV7)/30.4375))</f>
        <v>987.168</v>
      </c>
      <c r="EX12" s="339" t="n">
        <f aca="false">IF(EX7-EW7&gt;=28,'Project Assumptions'!$I$28*'Start-up Cashflow'!EX$9,'Project Assumptions'!$I$28*'Start-up Cashflow'!EX$9*((EX7-EW7)/30.4375))</f>
        <v>987.168</v>
      </c>
      <c r="EY12" s="339" t="n">
        <f aca="false">IF(EY7-EX7&gt;=28,'Project Assumptions'!$I$28*'Start-up Cashflow'!EY$9,'Project Assumptions'!$I$28*'Start-up Cashflow'!EY$9*((EY7-EX7)/30.4375))</f>
        <v>987.168</v>
      </c>
      <c r="EZ12" s="339" t="n">
        <f aca="false">IF(EZ7-EY7&gt;=28,'Project Assumptions'!$I$28*'Start-up Cashflow'!EZ$9,'Project Assumptions'!$I$28*'Start-up Cashflow'!EZ$9*((EZ7-EY7)/30.4375))</f>
        <v>987.168</v>
      </c>
      <c r="FA12" s="339" t="n">
        <f aca="false">IF(FA7-EZ7&gt;=28,'Project Assumptions'!$I$28*'Start-up Cashflow'!FA$9,'Project Assumptions'!$I$28*'Start-up Cashflow'!FA$9*((FA7-EZ7)/30.4375))</f>
        <v>987.168</v>
      </c>
      <c r="FB12" s="339" t="n">
        <f aca="false">IF(FB7-FA7&gt;=28,'Project Assumptions'!$I$28*'Start-up Cashflow'!FB$9,'Project Assumptions'!$I$28*'Start-up Cashflow'!FB$9*((FB7-FA7)/30.4375))</f>
        <v>987.168</v>
      </c>
      <c r="FC12" s="339" t="n">
        <f aca="false">IF(FC7-FB7&gt;=28,'Project Assumptions'!$I$28*'Start-up Cashflow'!FC$9,'Project Assumptions'!$I$28*'Start-up Cashflow'!FC$9*((FC7-FB7)/30.4375))</f>
        <v>987.168</v>
      </c>
      <c r="FD12" s="339" t="n">
        <f aca="false">IF(FD7-FC7&gt;=28,'Project Assumptions'!$I$28*'Start-up Cashflow'!FD$9,'Project Assumptions'!$I$28*'Start-up Cashflow'!FD$9*((FD7-FC7)/30.4375))</f>
        <v>987.168</v>
      </c>
      <c r="FE12" s="339" t="n">
        <f aca="false">IF(FE7-FD7&gt;=28,'Project Assumptions'!$I$28*'Start-up Cashflow'!FE$9,'Project Assumptions'!$I$28*'Start-up Cashflow'!FE$9*((FE7-FD7)/30.4375))</f>
        <v>987.168</v>
      </c>
      <c r="FF12" s="339" t="n">
        <f aca="false">IF(FF7-FE7&gt;=28,'Project Assumptions'!$I$28*'Start-up Cashflow'!FF$9,'Project Assumptions'!$I$28*'Start-up Cashflow'!FF$9*((FF7-FE7)/30.4375))</f>
        <v>987.168</v>
      </c>
      <c r="FG12" s="339" t="n">
        <f aca="false">IF(FG7-FF7&gt;=28,'Project Assumptions'!$I$28*'Start-up Cashflow'!FG$9,'Project Assumptions'!$I$28*'Start-up Cashflow'!FG$9*((FG7-FF7)/30.4375))</f>
        <v>987.168</v>
      </c>
      <c r="FH12" s="339" t="n">
        <f aca="false">IF(FH7-FG7&gt;=28,'Project Assumptions'!$I$28*'Start-up Cashflow'!FH$9,'Project Assumptions'!$I$28*'Start-up Cashflow'!FH$9*((FH7-FG7)/30.4375))</f>
        <v>987.168</v>
      </c>
      <c r="FI12" s="339" t="n">
        <f aca="false">IF(FI7-FH7&gt;=28,'Project Assumptions'!$I$28*'Start-up Cashflow'!FI$9,'Project Assumptions'!$I$28*'Start-up Cashflow'!FI$9*((FI7-FH7)/30.4375))</f>
        <v>987.168</v>
      </c>
      <c r="FJ12" s="339" t="n">
        <f aca="false">IF(FJ7-FI7&gt;=28,'Project Assumptions'!$I$28*'Start-up Cashflow'!FJ$9,'Project Assumptions'!$I$28*'Start-up Cashflow'!FJ$9*((FJ7-FI7)/30.4375))</f>
        <v>987.168</v>
      </c>
      <c r="FK12" s="339" t="n">
        <f aca="false">IF(FK7-FJ7&gt;=28,'Project Assumptions'!$I$28*'Start-up Cashflow'!FK$9,'Project Assumptions'!$I$28*'Start-up Cashflow'!FK$9*((FK7-FJ7)/30.4375))</f>
        <v>987.168</v>
      </c>
      <c r="FL12" s="339" t="n">
        <f aca="false">IF(FL7-FK7&gt;=28,'Project Assumptions'!$I$28*'Start-up Cashflow'!FL$9,'Project Assumptions'!$I$28*'Start-up Cashflow'!FL$9*((FL7-FK7)/30.4375))</f>
        <v>987.168</v>
      </c>
      <c r="FM12" s="339" t="n">
        <f aca="false">IF(FM7-FL7&gt;=28,'Project Assumptions'!$I$28*'Start-up Cashflow'!FM$9,'Project Assumptions'!$I$28*'Start-up Cashflow'!FM$9*((FM7-FL7)/30.4375))</f>
        <v>987.168</v>
      </c>
      <c r="FN12" s="339" t="n">
        <f aca="false">IF(FN7-FM7&gt;=28,'Project Assumptions'!$I$28*'Start-up Cashflow'!FN$9,'Project Assumptions'!$I$28*'Start-up Cashflow'!FN$9*((FN7-FM7)/30.4375))</f>
        <v>987.168</v>
      </c>
      <c r="FO12" s="339" t="n">
        <f aca="false">IF(FO7-FN7&gt;=28,'Project Assumptions'!$I$28*'Start-up Cashflow'!FO$9,'Project Assumptions'!$I$28*'Start-up Cashflow'!FO$9*((FO7-FN7)/30.4375))</f>
        <v>987.168</v>
      </c>
      <c r="FP12" s="339" t="n">
        <f aca="false">IF(FP7-FO7&gt;=28,'Project Assumptions'!$I$28*'Start-up Cashflow'!FP$9,'Project Assumptions'!$I$28*'Start-up Cashflow'!FP$9*((FP7-FO7)/30.4375))</f>
        <v>987.168</v>
      </c>
      <c r="FQ12" s="339" t="n">
        <f aca="false">IF(FQ7-FP7&gt;=28,'Project Assumptions'!$I$28*'Start-up Cashflow'!FQ$9,'Project Assumptions'!$I$28*'Start-up Cashflow'!FQ$9*((FQ7-FP7)/30.4375))</f>
        <v>987.168</v>
      </c>
      <c r="FR12" s="339" t="n">
        <f aca="false">IF(FR7-FQ7&gt;=28,'Project Assumptions'!$I$28*'Start-up Cashflow'!FR$9,'Project Assumptions'!$I$28*'Start-up Cashflow'!FR$9*((FR7-FQ7)/30.4375))</f>
        <v>987.168</v>
      </c>
      <c r="FS12" s="339" t="n">
        <f aca="false">IF(FS7-FR7&gt;=28,'Project Assumptions'!$I$28*'Start-up Cashflow'!FS$9,'Project Assumptions'!$I$28*'Start-up Cashflow'!FS$9*((FS7-FR7)/30.4375))</f>
        <v>987.168</v>
      </c>
      <c r="FT12" s="339" t="n">
        <f aca="false">IF(FT7-FS7&gt;=28,'Project Assumptions'!$I$28*'Start-up Cashflow'!FT$9,'Project Assumptions'!$I$28*'Start-up Cashflow'!FT$9*((FT7-FS7)/30.4375))</f>
        <v>987.168</v>
      </c>
      <c r="FU12" s="339" t="n">
        <f aca="false">IF(FU7-FT7&gt;=28,'Project Assumptions'!$I$28*'Start-up Cashflow'!FU$9,'Project Assumptions'!$I$28*'Start-up Cashflow'!FU$9*((FU7-FT7)/30.4375))</f>
        <v>987.168</v>
      </c>
      <c r="FV12" s="339" t="n">
        <f aca="false">IF(FV7-FU7&gt;=28,'Project Assumptions'!$I$28*'Start-up Cashflow'!FV$9,'Project Assumptions'!$I$28*'Start-up Cashflow'!FV$9*((FV7-FU7)/30.4375))</f>
        <v>987.168</v>
      </c>
      <c r="FW12" s="339" t="n">
        <f aca="false">IF(FW7-FV7&gt;=28,'Project Assumptions'!$I$28*'Start-up Cashflow'!FW$9,'Project Assumptions'!$I$28*'Start-up Cashflow'!FW$9*((FW7-FV7)/30.4375))</f>
        <v>987.168</v>
      </c>
      <c r="FX12" s="339" t="n">
        <f aca="false">IF(FX7-FW7&gt;=28,'Project Assumptions'!$I$28*'Start-up Cashflow'!FX$9,'Project Assumptions'!$I$28*'Start-up Cashflow'!FX$9*((FX7-FW7)/30.4375))</f>
        <v>987.168</v>
      </c>
      <c r="FY12" s="339" t="n">
        <f aca="false">IF(FY7-FX7&gt;=28,'Project Assumptions'!$I$28*'Start-up Cashflow'!FY$9,'Project Assumptions'!$I$28*'Start-up Cashflow'!FY$9*((FY7-FX7)/30.4375))</f>
        <v>987.168</v>
      </c>
      <c r="FZ12" s="339" t="n">
        <f aca="false">IF(FZ7-FY7&gt;=28,'Project Assumptions'!$I$28*'Start-up Cashflow'!FZ$9,'Project Assumptions'!$I$28*'Start-up Cashflow'!FZ$9*((FZ7-FY7)/30.4375))</f>
        <v>987.168</v>
      </c>
      <c r="GA12" s="339" t="n">
        <f aca="false">IF(GA7-FZ7&gt;=28,'Project Assumptions'!$I$28*'Start-up Cashflow'!GA$9,'Project Assumptions'!$I$28*'Start-up Cashflow'!GA$9*((GA7-FZ7)/30.4375))</f>
        <v>987.168</v>
      </c>
      <c r="GB12" s="339" t="n">
        <f aca="false">IF(GB7-GA7&gt;=28,'Project Assumptions'!$I$28*'Start-up Cashflow'!GB$9,'Project Assumptions'!$I$28*'Start-up Cashflow'!GB$9*((GB7-GA7)/30.4375))</f>
        <v>987.168</v>
      </c>
      <c r="GC12" s="339" t="n">
        <f aca="false">IF(GC7-GB7&gt;=28,'Project Assumptions'!$I$28*'Start-up Cashflow'!GC$9,'Project Assumptions'!$I$28*'Start-up Cashflow'!GC$9*((GC7-GB7)/30.4375))</f>
        <v>987.168</v>
      </c>
      <c r="GD12" s="339" t="n">
        <f aca="false">IF(GD7-GC7&gt;=28,'Project Assumptions'!$I$28*'Start-up Cashflow'!GD$9,'Project Assumptions'!$I$28*'Start-up Cashflow'!GD$9*((GD7-GC7)/30.4375))</f>
        <v>987.168</v>
      </c>
      <c r="GE12" s="339" t="n">
        <f aca="false">IF(GE7-GD7&gt;=28,'Project Assumptions'!$I$28*'Start-up Cashflow'!GE$9,'Project Assumptions'!$I$28*'Start-up Cashflow'!GE$9*((GE7-GD7)/30.4375))</f>
        <v>987.168</v>
      </c>
      <c r="GF12" s="339" t="n">
        <f aca="false">IF(GF7-GE7&gt;=28,'Project Assumptions'!$I$28*'Start-up Cashflow'!GF$9,'Project Assumptions'!$I$28*'Start-up Cashflow'!GF$9*((GF7-GE7)/30.4375))</f>
        <v>987.168</v>
      </c>
      <c r="GG12" s="339" t="n">
        <f aca="false">IF(GG7-GF7&gt;=28,'Project Assumptions'!$I$28*'Start-up Cashflow'!GG$9,'Project Assumptions'!$I$28*'Start-up Cashflow'!GG$9*((GG7-GF7)/30.4375))</f>
        <v>987.168</v>
      </c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</row>
    <row r="13" customFormat="false" ht="12.75" hidden="false" customHeight="false" outlineLevel="0" collapsed="false">
      <c r="A13" s="245" t="s">
        <v>322</v>
      </c>
      <c r="B13" s="245"/>
      <c r="C13" s="242"/>
      <c r="D13" s="239" t="n">
        <f aca="false">SUM(D12)</f>
        <v>282.627154004107</v>
      </c>
      <c r="E13" s="239" t="n">
        <f aca="false">SUM(E12)</f>
        <v>537.654</v>
      </c>
      <c r="F13" s="239" t="n">
        <f aca="false">SUM(F12)</f>
        <v>762.411</v>
      </c>
      <c r="G13" s="239" t="n">
        <f aca="false">SUM(G12)</f>
        <v>0</v>
      </c>
      <c r="H13" s="239" t="n">
        <f aca="false">SUM(H12)</f>
        <v>762.411</v>
      </c>
      <c r="I13" s="239" t="n">
        <f aca="false">SUM(I12)</f>
        <v>0</v>
      </c>
      <c r="J13" s="239" t="n">
        <f aca="false">SUM(J12)</f>
        <v>987.168</v>
      </c>
      <c r="K13" s="239" t="n">
        <f aca="false">SUM(K12)</f>
        <v>987.168</v>
      </c>
      <c r="L13" s="239" t="n">
        <f aca="false">SUM(L12)</f>
        <v>987.168</v>
      </c>
      <c r="M13" s="239" t="n">
        <f aca="false">SUM(M12)</f>
        <v>987.168</v>
      </c>
      <c r="N13" s="239" t="n">
        <f aca="false">SUM(N12)</f>
        <v>987.168</v>
      </c>
      <c r="O13" s="239" t="n">
        <f aca="false">SUM(O12)</f>
        <v>987.168</v>
      </c>
      <c r="P13" s="239" t="n">
        <f aca="false">SUM(P12)</f>
        <v>987.168</v>
      </c>
      <c r="Q13" s="239" t="n">
        <f aca="false">SUM(Q12)</f>
        <v>987.168</v>
      </c>
      <c r="R13" s="239" t="n">
        <f aca="false">SUM(R12)</f>
        <v>987.168</v>
      </c>
      <c r="S13" s="239" t="n">
        <f aca="false">SUM(S12)</f>
        <v>987.168</v>
      </c>
      <c r="T13" s="239" t="n">
        <f aca="false">SUM(T12)</f>
        <v>987.168</v>
      </c>
      <c r="U13" s="239" t="n">
        <f aca="false">SUM(U12)</f>
        <v>987.168</v>
      </c>
      <c r="V13" s="239" t="n">
        <f aca="false">SUM(V12)</f>
        <v>987.168</v>
      </c>
      <c r="W13" s="239" t="n">
        <f aca="false">SUM(W12)</f>
        <v>987.168</v>
      </c>
      <c r="X13" s="239" t="n">
        <f aca="false">SUM(X12)</f>
        <v>987.168</v>
      </c>
      <c r="Y13" s="239" t="n">
        <f aca="false">SUM(Y12)</f>
        <v>987.168</v>
      </c>
      <c r="Z13" s="239" t="n">
        <f aca="false">SUM(Z12)</f>
        <v>987.168</v>
      </c>
      <c r="AA13" s="239" t="n">
        <f aca="false">SUM(AA12)</f>
        <v>987.168</v>
      </c>
      <c r="AB13" s="239" t="n">
        <f aca="false">SUM(AB12)</f>
        <v>987.168</v>
      </c>
      <c r="AC13" s="239" t="n">
        <f aca="false">SUM(AC12)</f>
        <v>987.168</v>
      </c>
      <c r="AD13" s="239" t="n">
        <f aca="false">SUM(AD12)</f>
        <v>987.168</v>
      </c>
      <c r="AE13" s="239" t="n">
        <f aca="false">SUM(AE12)</f>
        <v>987.168</v>
      </c>
      <c r="AF13" s="239" t="n">
        <f aca="false">SUM(AF12)</f>
        <v>987.168</v>
      </c>
      <c r="AG13" s="239" t="n">
        <f aca="false">SUM(AG12)</f>
        <v>987.168</v>
      </c>
      <c r="AH13" s="239" t="n">
        <f aca="false">SUM(AH12)</f>
        <v>987.168</v>
      </c>
      <c r="AI13" s="239" t="n">
        <f aca="false">SUM(AI12)</f>
        <v>987.168</v>
      </c>
      <c r="AJ13" s="239" t="n">
        <f aca="false">SUM(AJ12)</f>
        <v>987.168</v>
      </c>
      <c r="AK13" s="239" t="n">
        <f aca="false">SUM(AK12)</f>
        <v>987.168</v>
      </c>
      <c r="AL13" s="239" t="n">
        <f aca="false">SUM(AL12)</f>
        <v>987.168</v>
      </c>
      <c r="AM13" s="239" t="n">
        <f aca="false">SUM(AM12)</f>
        <v>987.168</v>
      </c>
      <c r="AN13" s="239" t="n">
        <f aca="false">SUM(AN12)</f>
        <v>987.168</v>
      </c>
      <c r="AO13" s="239" t="n">
        <f aca="false">SUM(AO12)</f>
        <v>987.168</v>
      </c>
      <c r="AP13" s="239" t="n">
        <f aca="false">SUM(AP12)</f>
        <v>987.168</v>
      </c>
      <c r="AQ13" s="239" t="n">
        <f aca="false">SUM(AQ12)</f>
        <v>987.168</v>
      </c>
      <c r="AR13" s="239" t="n">
        <f aca="false">SUM(AR12)</f>
        <v>987.168</v>
      </c>
      <c r="AS13" s="239" t="n">
        <f aca="false">SUM(AS12)</f>
        <v>987.168</v>
      </c>
      <c r="AT13" s="239" t="n">
        <f aca="false">SUM(AT12)</f>
        <v>987.168</v>
      </c>
      <c r="AU13" s="239" t="n">
        <f aca="false">SUM(AU12)</f>
        <v>987.168</v>
      </c>
      <c r="AV13" s="239" t="n">
        <f aca="false">SUM(AV12)</f>
        <v>987.168</v>
      </c>
      <c r="AW13" s="239" t="n">
        <f aca="false">SUM(AW12)</f>
        <v>987.168</v>
      </c>
      <c r="AX13" s="239" t="n">
        <f aca="false">SUM(AX12)</f>
        <v>987.168</v>
      </c>
      <c r="AY13" s="239" t="n">
        <f aca="false">SUM(AY12)</f>
        <v>987.168</v>
      </c>
      <c r="AZ13" s="239" t="n">
        <f aca="false">SUM(AZ12)</f>
        <v>987.168</v>
      </c>
      <c r="BA13" s="239" t="n">
        <f aca="false">SUM(BA12)</f>
        <v>987.168</v>
      </c>
      <c r="BB13" s="239" t="n">
        <f aca="false">SUM(BB12)</f>
        <v>987.168</v>
      </c>
      <c r="BC13" s="239" t="n">
        <f aca="false">SUM(BC12)</f>
        <v>987.168</v>
      </c>
      <c r="BD13" s="239" t="n">
        <f aca="false">SUM(BD12)</f>
        <v>987.168</v>
      </c>
      <c r="BE13" s="239" t="n">
        <f aca="false">SUM(BE12)</f>
        <v>987.168</v>
      </c>
      <c r="BF13" s="239" t="n">
        <f aca="false">SUM(BF12)</f>
        <v>987.168</v>
      </c>
      <c r="BG13" s="239" t="n">
        <f aca="false">SUM(BG12)</f>
        <v>987.168</v>
      </c>
      <c r="BH13" s="239" t="n">
        <f aca="false">SUM(BH12)</f>
        <v>987.168</v>
      </c>
      <c r="BI13" s="239" t="n">
        <f aca="false">SUM(BI12)</f>
        <v>987.168</v>
      </c>
      <c r="BJ13" s="239" t="n">
        <f aca="false">SUM(BJ12)</f>
        <v>987.168</v>
      </c>
      <c r="BK13" s="239" t="n">
        <f aca="false">SUM(BK12)</f>
        <v>987.168</v>
      </c>
      <c r="BL13" s="239" t="n">
        <f aca="false">SUM(BL12)</f>
        <v>987.168</v>
      </c>
      <c r="BM13" s="239" t="n">
        <f aca="false">SUM(BM12)</f>
        <v>987.168</v>
      </c>
      <c r="BN13" s="239" t="n">
        <f aca="false">SUM(BN12)</f>
        <v>987.168</v>
      </c>
      <c r="BO13" s="239" t="n">
        <f aca="false">SUM(BO12)</f>
        <v>987.168</v>
      </c>
      <c r="BP13" s="239" t="n">
        <f aca="false">SUM(BP12)</f>
        <v>987.168</v>
      </c>
      <c r="BQ13" s="239" t="n">
        <f aca="false">SUM(BQ12)</f>
        <v>987.168</v>
      </c>
      <c r="BR13" s="239" t="n">
        <f aca="false">SUM(BR12)</f>
        <v>987.168</v>
      </c>
      <c r="BS13" s="239" t="n">
        <f aca="false">SUM(BS12)</f>
        <v>987.168</v>
      </c>
      <c r="BT13" s="239" t="n">
        <f aca="false">SUM(BT12)</f>
        <v>987.168</v>
      </c>
      <c r="BU13" s="239" t="n">
        <f aca="false">SUM(BU12)</f>
        <v>987.168</v>
      </c>
      <c r="BV13" s="239" t="n">
        <f aca="false">SUM(BV12)</f>
        <v>987.168</v>
      </c>
      <c r="BW13" s="239" t="n">
        <f aca="false">SUM(BW12)</f>
        <v>987.168</v>
      </c>
      <c r="BX13" s="239" t="n">
        <f aca="false">SUM(BX12)</f>
        <v>987.168</v>
      </c>
      <c r="BY13" s="239" t="n">
        <f aca="false">SUM(BY12)</f>
        <v>987.168</v>
      </c>
      <c r="BZ13" s="239" t="n">
        <f aca="false">SUM(BZ12)</f>
        <v>987.168</v>
      </c>
      <c r="CA13" s="239" t="n">
        <f aca="false">SUM(CA12)</f>
        <v>987.168</v>
      </c>
      <c r="CB13" s="239" t="n">
        <f aca="false">SUM(CB12)</f>
        <v>987.168</v>
      </c>
      <c r="CC13" s="239" t="n">
        <f aca="false">SUM(CC12)</f>
        <v>987.168</v>
      </c>
      <c r="CD13" s="239" t="n">
        <f aca="false">SUM(CD12)</f>
        <v>987.168</v>
      </c>
      <c r="CE13" s="239" t="n">
        <f aca="false">SUM(CE12)</f>
        <v>987.168</v>
      </c>
      <c r="CF13" s="239" t="n">
        <f aca="false">SUM(CF12)</f>
        <v>987.168</v>
      </c>
      <c r="CG13" s="239" t="n">
        <f aca="false">SUM(CG12)</f>
        <v>987.168</v>
      </c>
      <c r="CH13" s="239" t="n">
        <f aca="false">SUM(CH12)</f>
        <v>987.168</v>
      </c>
      <c r="CI13" s="239" t="n">
        <f aca="false">SUM(CI12)</f>
        <v>987.168</v>
      </c>
      <c r="CJ13" s="239" t="n">
        <f aca="false">SUM(CJ12)</f>
        <v>987.168</v>
      </c>
      <c r="CK13" s="239" t="n">
        <f aca="false">SUM(CK12)</f>
        <v>987.168</v>
      </c>
      <c r="CL13" s="239" t="n">
        <f aca="false">SUM(CL12)</f>
        <v>987.168</v>
      </c>
      <c r="CM13" s="239" t="n">
        <f aca="false">SUM(CM12)</f>
        <v>987.168</v>
      </c>
      <c r="CN13" s="239" t="n">
        <f aca="false">SUM(CN12)</f>
        <v>987.168</v>
      </c>
      <c r="CO13" s="239" t="n">
        <f aca="false">SUM(CO12)</f>
        <v>987.168</v>
      </c>
      <c r="CP13" s="239" t="n">
        <f aca="false">SUM(CP12)</f>
        <v>987.168</v>
      </c>
      <c r="CQ13" s="239" t="n">
        <f aca="false">SUM(CQ12)</f>
        <v>987.168</v>
      </c>
      <c r="CR13" s="239" t="n">
        <f aca="false">SUM(CR12)</f>
        <v>987.168</v>
      </c>
      <c r="CS13" s="239" t="n">
        <f aca="false">SUM(CS12)</f>
        <v>987.168</v>
      </c>
      <c r="CT13" s="239" t="n">
        <f aca="false">SUM(CT12)</f>
        <v>987.168</v>
      </c>
      <c r="CU13" s="239" t="n">
        <f aca="false">SUM(CU12)</f>
        <v>987.168</v>
      </c>
      <c r="CV13" s="239" t="n">
        <f aca="false">SUM(CV12)</f>
        <v>987.168</v>
      </c>
      <c r="CW13" s="239" t="n">
        <f aca="false">SUM(CW12)</f>
        <v>987.168</v>
      </c>
      <c r="CX13" s="239" t="n">
        <f aca="false">SUM(CX12)</f>
        <v>987.168</v>
      </c>
      <c r="CY13" s="239" t="n">
        <f aca="false">SUM(CY12)</f>
        <v>987.168</v>
      </c>
      <c r="CZ13" s="239" t="n">
        <f aca="false">SUM(CZ12)</f>
        <v>987.168</v>
      </c>
      <c r="DA13" s="239" t="n">
        <f aca="false">SUM(DA12)</f>
        <v>987.168</v>
      </c>
      <c r="DB13" s="239" t="n">
        <f aca="false">SUM(DB12)</f>
        <v>987.168</v>
      </c>
      <c r="DC13" s="239" t="n">
        <f aca="false">SUM(DC12)</f>
        <v>987.168</v>
      </c>
      <c r="DD13" s="239" t="n">
        <f aca="false">SUM(DD12)</f>
        <v>987.168</v>
      </c>
      <c r="DE13" s="239" t="n">
        <f aca="false">SUM(DE12)</f>
        <v>987.168</v>
      </c>
      <c r="DF13" s="239" t="n">
        <f aca="false">SUM(DF12)</f>
        <v>987.168</v>
      </c>
      <c r="DG13" s="239" t="n">
        <f aca="false">SUM(DG12)</f>
        <v>987.168</v>
      </c>
      <c r="DH13" s="239" t="n">
        <f aca="false">SUM(DH12)</f>
        <v>987.168</v>
      </c>
      <c r="DI13" s="239" t="n">
        <f aca="false">SUM(DI12)</f>
        <v>987.168</v>
      </c>
      <c r="DJ13" s="239" t="n">
        <f aca="false">SUM(DJ12)</f>
        <v>987.168</v>
      </c>
      <c r="DK13" s="239" t="n">
        <f aca="false">SUM(DK12)</f>
        <v>987.168</v>
      </c>
      <c r="DL13" s="239" t="n">
        <f aca="false">SUM(DL12)</f>
        <v>987.168</v>
      </c>
      <c r="DM13" s="239" t="n">
        <f aca="false">SUM(DM12)</f>
        <v>987.168</v>
      </c>
      <c r="DN13" s="239" t="n">
        <f aca="false">SUM(DN12)</f>
        <v>987.168</v>
      </c>
      <c r="DO13" s="239" t="n">
        <f aca="false">SUM(DO12)</f>
        <v>987.168</v>
      </c>
      <c r="DP13" s="239" t="n">
        <f aca="false">SUM(DP12)</f>
        <v>987.168</v>
      </c>
      <c r="DQ13" s="239" t="n">
        <f aca="false">SUM(DQ12)</f>
        <v>987.168</v>
      </c>
      <c r="DR13" s="239" t="n">
        <f aca="false">SUM(DR12)</f>
        <v>987.168</v>
      </c>
      <c r="DS13" s="239" t="n">
        <f aca="false">SUM(DS12)</f>
        <v>987.168</v>
      </c>
      <c r="DT13" s="239" t="n">
        <f aca="false">SUM(DT12)</f>
        <v>987.168</v>
      </c>
      <c r="DU13" s="239" t="n">
        <f aca="false">SUM(DU12)</f>
        <v>987.168</v>
      </c>
      <c r="DV13" s="239" t="n">
        <f aca="false">SUM(DV12)</f>
        <v>987.168</v>
      </c>
      <c r="DW13" s="239" t="n">
        <f aca="false">SUM(DW12)</f>
        <v>987.168</v>
      </c>
      <c r="DX13" s="239" t="n">
        <f aca="false">SUM(DX12)</f>
        <v>987.168</v>
      </c>
      <c r="DY13" s="239" t="n">
        <f aca="false">SUM(DY12)</f>
        <v>987.168</v>
      </c>
      <c r="DZ13" s="239" t="n">
        <f aca="false">SUM(DZ12)</f>
        <v>987.168</v>
      </c>
      <c r="EA13" s="239" t="n">
        <f aca="false">SUM(EA12)</f>
        <v>987.168</v>
      </c>
      <c r="EB13" s="239" t="n">
        <f aca="false">SUM(EB12)</f>
        <v>987.168</v>
      </c>
      <c r="EC13" s="239" t="n">
        <f aca="false">SUM(EC12)</f>
        <v>987.168</v>
      </c>
      <c r="ED13" s="239" t="n">
        <f aca="false">SUM(ED12)</f>
        <v>987.168</v>
      </c>
      <c r="EE13" s="239" t="n">
        <f aca="false">SUM(EE12)</f>
        <v>987.168</v>
      </c>
      <c r="EF13" s="239" t="n">
        <f aca="false">SUM(EF12)</f>
        <v>987.168</v>
      </c>
      <c r="EG13" s="239" t="n">
        <f aca="false">SUM(EG12)</f>
        <v>987.168</v>
      </c>
      <c r="EH13" s="239" t="n">
        <f aca="false">SUM(EH12)</f>
        <v>987.168</v>
      </c>
      <c r="EI13" s="239" t="n">
        <f aca="false">SUM(EI12)</f>
        <v>987.168</v>
      </c>
      <c r="EJ13" s="239" t="n">
        <f aca="false">SUM(EJ12)</f>
        <v>987.168</v>
      </c>
      <c r="EK13" s="239" t="n">
        <f aca="false">SUM(EK12)</f>
        <v>987.168</v>
      </c>
      <c r="EL13" s="239" t="n">
        <f aca="false">SUM(EL12)</f>
        <v>987.168</v>
      </c>
      <c r="EM13" s="239" t="n">
        <f aca="false">SUM(EM12)</f>
        <v>987.168</v>
      </c>
      <c r="EN13" s="239" t="n">
        <f aca="false">SUM(EN12)</f>
        <v>987.168</v>
      </c>
      <c r="EO13" s="239" t="n">
        <f aca="false">SUM(EO12)</f>
        <v>987.168</v>
      </c>
      <c r="EP13" s="239" t="n">
        <f aca="false">SUM(EP12)</f>
        <v>987.168</v>
      </c>
      <c r="EQ13" s="239" t="n">
        <f aca="false">SUM(EQ12)</f>
        <v>987.168</v>
      </c>
      <c r="ER13" s="239" t="n">
        <f aca="false">SUM(ER12)</f>
        <v>987.168</v>
      </c>
      <c r="ES13" s="239" t="n">
        <f aca="false">SUM(ES12)</f>
        <v>987.168</v>
      </c>
      <c r="ET13" s="239" t="n">
        <f aca="false">SUM(ET12)</f>
        <v>987.168</v>
      </c>
      <c r="EU13" s="239" t="n">
        <f aca="false">SUM(EU12)</f>
        <v>987.168</v>
      </c>
      <c r="EV13" s="239" t="n">
        <f aca="false">SUM(EV12)</f>
        <v>987.168</v>
      </c>
      <c r="EW13" s="239" t="n">
        <f aca="false">SUM(EW12)</f>
        <v>987.168</v>
      </c>
      <c r="EX13" s="239" t="n">
        <f aca="false">SUM(EX12)</f>
        <v>987.168</v>
      </c>
      <c r="EY13" s="239" t="n">
        <f aca="false">SUM(EY12)</f>
        <v>987.168</v>
      </c>
      <c r="EZ13" s="239" t="n">
        <f aca="false">SUM(EZ12)</f>
        <v>987.168</v>
      </c>
      <c r="FA13" s="239" t="n">
        <f aca="false">SUM(FA12)</f>
        <v>987.168</v>
      </c>
      <c r="FB13" s="239" t="n">
        <f aca="false">SUM(FB12)</f>
        <v>987.168</v>
      </c>
      <c r="FC13" s="239" t="n">
        <f aca="false">SUM(FC12)</f>
        <v>987.168</v>
      </c>
      <c r="FD13" s="239" t="n">
        <f aca="false">SUM(FD12)</f>
        <v>987.168</v>
      </c>
      <c r="FE13" s="239" t="n">
        <f aca="false">SUM(FE12)</f>
        <v>987.168</v>
      </c>
      <c r="FF13" s="239" t="n">
        <f aca="false">SUM(FF12)</f>
        <v>987.168</v>
      </c>
      <c r="FG13" s="239" t="n">
        <f aca="false">SUM(FG12)</f>
        <v>987.168</v>
      </c>
      <c r="FH13" s="239" t="n">
        <f aca="false">SUM(FH12)</f>
        <v>987.168</v>
      </c>
      <c r="FI13" s="239" t="n">
        <f aca="false">SUM(FI12)</f>
        <v>987.168</v>
      </c>
      <c r="FJ13" s="239" t="n">
        <f aca="false">SUM(FJ12)</f>
        <v>987.168</v>
      </c>
      <c r="FK13" s="239" t="n">
        <f aca="false">SUM(FK12)</f>
        <v>987.168</v>
      </c>
      <c r="FL13" s="239" t="n">
        <f aca="false">SUM(FL12)</f>
        <v>987.168</v>
      </c>
      <c r="FM13" s="239" t="n">
        <f aca="false">SUM(FM12)</f>
        <v>987.168</v>
      </c>
      <c r="FN13" s="239" t="n">
        <f aca="false">SUM(FN12)</f>
        <v>987.168</v>
      </c>
      <c r="FO13" s="239" t="n">
        <f aca="false">SUM(FO12)</f>
        <v>987.168</v>
      </c>
      <c r="FP13" s="239" t="n">
        <f aca="false">SUM(FP12)</f>
        <v>987.168</v>
      </c>
      <c r="FQ13" s="239" t="n">
        <f aca="false">SUM(FQ12)</f>
        <v>987.168</v>
      </c>
      <c r="FR13" s="239" t="n">
        <f aca="false">SUM(FR12)</f>
        <v>987.168</v>
      </c>
      <c r="FS13" s="239" t="n">
        <f aca="false">SUM(FS12)</f>
        <v>987.168</v>
      </c>
      <c r="FT13" s="239" t="n">
        <f aca="false">SUM(FT12)</f>
        <v>987.168</v>
      </c>
      <c r="FU13" s="239" t="n">
        <f aca="false">SUM(FU12)</f>
        <v>987.168</v>
      </c>
      <c r="FV13" s="239" t="n">
        <f aca="false">SUM(FV12)</f>
        <v>987.168</v>
      </c>
      <c r="FW13" s="239" t="n">
        <f aca="false">SUM(FW12)</f>
        <v>987.168</v>
      </c>
      <c r="FX13" s="239" t="n">
        <f aca="false">SUM(FX12)</f>
        <v>987.168</v>
      </c>
      <c r="FY13" s="239" t="n">
        <f aca="false">SUM(FY12)</f>
        <v>987.168</v>
      </c>
      <c r="FZ13" s="239" t="n">
        <f aca="false">SUM(FZ12)</f>
        <v>987.168</v>
      </c>
      <c r="GA13" s="239" t="n">
        <f aca="false">SUM(GA12)</f>
        <v>987.168</v>
      </c>
      <c r="GB13" s="239" t="n">
        <f aca="false">SUM(GB12)</f>
        <v>987.168</v>
      </c>
      <c r="GC13" s="239" t="n">
        <f aca="false">SUM(GC12)</f>
        <v>987.168</v>
      </c>
      <c r="GD13" s="239" t="n">
        <f aca="false">SUM(GD12)</f>
        <v>987.168</v>
      </c>
      <c r="GE13" s="239" t="n">
        <f aca="false">SUM(GE12)</f>
        <v>987.168</v>
      </c>
      <c r="GF13" s="239" t="n">
        <f aca="false">SUM(GF12)</f>
        <v>987.168</v>
      </c>
      <c r="GG13" s="239" t="n">
        <f aca="false">SUM(GG12)</f>
        <v>987.168</v>
      </c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</row>
    <row r="14" customFormat="false" ht="12.75" hidden="false" customHeight="false" outlineLevel="0" collapsed="false">
      <c r="A14" s="248"/>
      <c r="B14" s="248"/>
      <c r="C14" s="242" t="s">
        <v>323</v>
      </c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</row>
    <row r="15" customFormat="false" ht="12.75" hidden="false" customHeight="false" outlineLevel="0" collapsed="false">
      <c r="A15" s="248"/>
      <c r="B15" s="248"/>
      <c r="C15" s="242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</row>
    <row r="16" customFormat="false" ht="12.75" hidden="false" customHeight="false" outlineLevel="0" collapsed="false">
      <c r="A16" s="245" t="s">
        <v>388</v>
      </c>
      <c r="B16" s="245"/>
      <c r="C16" s="242"/>
      <c r="D16" s="336"/>
      <c r="E16" s="24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</row>
    <row r="17" customFormat="false" ht="12.75" hidden="false" customHeight="false" outlineLevel="0" collapsed="false">
      <c r="A17" s="248" t="s">
        <v>326</v>
      </c>
      <c r="B17" s="248"/>
      <c r="C17" s="242"/>
      <c r="D17" s="239" t="n">
        <f aca="false">(D7-C7)*2</f>
        <v>32</v>
      </c>
      <c r="E17" s="239" t="n">
        <f aca="false">(E7-D7)*2</f>
        <v>60</v>
      </c>
      <c r="F17" s="239" t="n">
        <f aca="false">(F7-E7)*2</f>
        <v>62</v>
      </c>
      <c r="G17" s="239" t="n">
        <f aca="false">(G7-F7)*2</f>
        <v>0</v>
      </c>
      <c r="H17" s="239" t="n">
        <f aca="false">(H7-G7)*1</f>
        <v>31</v>
      </c>
      <c r="I17" s="239" t="n">
        <v>0</v>
      </c>
      <c r="J17" s="239" t="n">
        <v>0</v>
      </c>
      <c r="K17" s="239" t="n">
        <v>0</v>
      </c>
      <c r="L17" s="239" t="n">
        <v>0</v>
      </c>
      <c r="M17" s="239" t="n">
        <v>0</v>
      </c>
      <c r="N17" s="239" t="n">
        <v>0</v>
      </c>
      <c r="O17" s="239" t="n">
        <v>0</v>
      </c>
      <c r="P17" s="239" t="n">
        <v>0</v>
      </c>
      <c r="Q17" s="239" t="n">
        <v>0</v>
      </c>
      <c r="R17" s="239" t="n">
        <v>0</v>
      </c>
      <c r="S17" s="239" t="n">
        <v>0</v>
      </c>
      <c r="T17" s="239" t="n">
        <v>0</v>
      </c>
      <c r="U17" s="239" t="n">
        <v>0</v>
      </c>
      <c r="V17" s="239" t="n">
        <v>0</v>
      </c>
      <c r="W17" s="239" t="n">
        <v>0</v>
      </c>
      <c r="X17" s="239" t="n">
        <v>0</v>
      </c>
      <c r="Y17" s="239" t="n">
        <v>0</v>
      </c>
      <c r="Z17" s="239" t="n">
        <v>0</v>
      </c>
      <c r="AA17" s="239" t="n">
        <v>0</v>
      </c>
      <c r="AB17" s="239" t="n">
        <v>0</v>
      </c>
      <c r="AC17" s="239" t="n">
        <v>0</v>
      </c>
      <c r="AD17" s="239" t="n">
        <v>0</v>
      </c>
      <c r="AE17" s="239" t="n">
        <v>0</v>
      </c>
      <c r="AF17" s="239" t="n">
        <v>0</v>
      </c>
      <c r="AG17" s="239" t="n">
        <v>0</v>
      </c>
      <c r="AH17" s="239" t="n">
        <v>0</v>
      </c>
      <c r="AI17" s="239" t="n">
        <v>0</v>
      </c>
      <c r="AJ17" s="239" t="n">
        <v>0</v>
      </c>
      <c r="AK17" s="239" t="n">
        <v>0</v>
      </c>
      <c r="AL17" s="239" t="n">
        <v>0</v>
      </c>
      <c r="AM17" s="239" t="n">
        <v>0</v>
      </c>
      <c r="AN17" s="239" t="n">
        <v>0</v>
      </c>
      <c r="AO17" s="239" t="n">
        <v>0</v>
      </c>
      <c r="AP17" s="239" t="n">
        <v>0</v>
      </c>
      <c r="AQ17" s="239" t="n">
        <v>0</v>
      </c>
      <c r="AR17" s="239" t="n">
        <v>0</v>
      </c>
      <c r="AS17" s="239" t="n">
        <v>0</v>
      </c>
      <c r="AT17" s="239" t="n">
        <v>0</v>
      </c>
      <c r="AU17" s="239" t="n">
        <v>0</v>
      </c>
      <c r="AV17" s="239" t="n">
        <v>0</v>
      </c>
      <c r="AW17" s="239" t="n">
        <v>0</v>
      </c>
      <c r="AX17" s="239" t="n">
        <v>0</v>
      </c>
      <c r="AY17" s="239" t="n">
        <v>0</v>
      </c>
      <c r="AZ17" s="239" t="n">
        <v>0</v>
      </c>
      <c r="BA17" s="239" t="n">
        <v>0</v>
      </c>
      <c r="BB17" s="239" t="n">
        <v>0</v>
      </c>
      <c r="BC17" s="239" t="n">
        <v>0</v>
      </c>
      <c r="BD17" s="239" t="n">
        <v>0</v>
      </c>
      <c r="BE17" s="239" t="n">
        <v>0</v>
      </c>
      <c r="BF17" s="239" t="n">
        <v>0</v>
      </c>
      <c r="BG17" s="239" t="n">
        <v>0</v>
      </c>
      <c r="BH17" s="239" t="n">
        <v>0</v>
      </c>
      <c r="BI17" s="239" t="n">
        <v>0</v>
      </c>
      <c r="BJ17" s="239" t="n">
        <v>0</v>
      </c>
      <c r="BK17" s="239" t="n">
        <v>0</v>
      </c>
      <c r="BL17" s="239" t="n">
        <v>0</v>
      </c>
      <c r="BM17" s="239" t="n">
        <v>0</v>
      </c>
      <c r="BN17" s="239" t="n">
        <v>0</v>
      </c>
      <c r="BO17" s="239" t="n">
        <v>0</v>
      </c>
      <c r="BP17" s="239" t="n">
        <v>0</v>
      </c>
      <c r="BQ17" s="239" t="n">
        <v>0</v>
      </c>
      <c r="BR17" s="239" t="n">
        <v>0</v>
      </c>
      <c r="BS17" s="239" t="n">
        <v>0</v>
      </c>
      <c r="BT17" s="239" t="n">
        <v>0</v>
      </c>
      <c r="BU17" s="239" t="n">
        <v>0</v>
      </c>
      <c r="BV17" s="239" t="n">
        <v>0</v>
      </c>
      <c r="BW17" s="239" t="n">
        <v>0</v>
      </c>
      <c r="BX17" s="239" t="n">
        <v>0</v>
      </c>
      <c r="BY17" s="239" t="n">
        <v>0</v>
      </c>
      <c r="BZ17" s="239" t="n">
        <v>0</v>
      </c>
      <c r="CA17" s="239" t="n">
        <v>0</v>
      </c>
      <c r="CB17" s="239" t="n">
        <v>0</v>
      </c>
      <c r="CC17" s="239" t="n">
        <v>0</v>
      </c>
      <c r="CD17" s="239" t="n">
        <v>0</v>
      </c>
      <c r="CE17" s="239" t="n">
        <v>0</v>
      </c>
      <c r="CF17" s="239" t="n">
        <v>0</v>
      </c>
      <c r="CG17" s="239" t="n">
        <v>0</v>
      </c>
      <c r="CH17" s="239" t="n">
        <v>0</v>
      </c>
      <c r="CI17" s="239" t="n">
        <v>0</v>
      </c>
      <c r="CJ17" s="239" t="n">
        <v>0</v>
      </c>
      <c r="CK17" s="239" t="n">
        <v>0</v>
      </c>
      <c r="CL17" s="239" t="n">
        <v>0</v>
      </c>
      <c r="CM17" s="239" t="n">
        <v>0</v>
      </c>
      <c r="CN17" s="239" t="n">
        <v>0</v>
      </c>
      <c r="CO17" s="239" t="n">
        <v>0</v>
      </c>
      <c r="CP17" s="239" t="n">
        <v>0</v>
      </c>
      <c r="CQ17" s="239" t="n">
        <v>0</v>
      </c>
      <c r="CR17" s="239" t="n">
        <v>0</v>
      </c>
      <c r="CS17" s="239" t="n">
        <v>0</v>
      </c>
      <c r="CT17" s="239" t="n">
        <v>0</v>
      </c>
      <c r="CU17" s="239" t="n">
        <v>0</v>
      </c>
      <c r="CV17" s="239" t="n">
        <v>0</v>
      </c>
      <c r="CW17" s="239" t="n">
        <v>0</v>
      </c>
      <c r="CX17" s="239" t="n">
        <v>0</v>
      </c>
      <c r="CY17" s="239" t="n">
        <v>0</v>
      </c>
      <c r="CZ17" s="239" t="n">
        <v>0</v>
      </c>
      <c r="DA17" s="239" t="n">
        <v>0</v>
      </c>
      <c r="DB17" s="239" t="n">
        <v>0</v>
      </c>
      <c r="DC17" s="239" t="n">
        <v>0</v>
      </c>
      <c r="DD17" s="239" t="n">
        <v>0</v>
      </c>
      <c r="DE17" s="239" t="n">
        <v>0</v>
      </c>
      <c r="DF17" s="239" t="n">
        <v>0</v>
      </c>
      <c r="DG17" s="239" t="n">
        <v>0</v>
      </c>
      <c r="DH17" s="239" t="n">
        <v>0</v>
      </c>
      <c r="DI17" s="239" t="n">
        <v>0</v>
      </c>
      <c r="DJ17" s="239" t="n">
        <v>0</v>
      </c>
      <c r="DK17" s="239" t="n">
        <v>0</v>
      </c>
      <c r="DL17" s="239" t="n">
        <v>0</v>
      </c>
      <c r="DM17" s="239" t="n">
        <v>0</v>
      </c>
      <c r="DN17" s="239" t="n">
        <v>0</v>
      </c>
      <c r="DO17" s="239" t="n">
        <v>0</v>
      </c>
      <c r="DP17" s="239" t="n">
        <v>0</v>
      </c>
      <c r="DQ17" s="239" t="n">
        <v>0</v>
      </c>
      <c r="DR17" s="239" t="n">
        <v>0</v>
      </c>
      <c r="DS17" s="239" t="n">
        <v>0</v>
      </c>
      <c r="DT17" s="239" t="n">
        <v>0</v>
      </c>
      <c r="DU17" s="239" t="n">
        <v>0</v>
      </c>
      <c r="DV17" s="239" t="n">
        <v>0</v>
      </c>
      <c r="DW17" s="239" t="n">
        <v>0</v>
      </c>
      <c r="DX17" s="239" t="n">
        <v>0</v>
      </c>
      <c r="DY17" s="239" t="n">
        <v>0</v>
      </c>
      <c r="DZ17" s="239" t="n">
        <v>0</v>
      </c>
      <c r="EA17" s="239" t="n">
        <v>0</v>
      </c>
      <c r="EB17" s="239" t="n">
        <v>0</v>
      </c>
      <c r="EC17" s="239" t="n">
        <v>0</v>
      </c>
      <c r="ED17" s="239" t="n">
        <v>0</v>
      </c>
      <c r="EE17" s="239" t="n">
        <v>0</v>
      </c>
      <c r="EF17" s="239" t="n">
        <v>0</v>
      </c>
      <c r="EG17" s="239" t="n">
        <v>0</v>
      </c>
      <c r="EH17" s="239" t="n">
        <v>0</v>
      </c>
      <c r="EI17" s="239" t="n">
        <v>0</v>
      </c>
      <c r="EJ17" s="239" t="n">
        <v>0</v>
      </c>
      <c r="EK17" s="239" t="n">
        <v>0</v>
      </c>
      <c r="EL17" s="239" t="n">
        <v>0</v>
      </c>
      <c r="EM17" s="239" t="n">
        <v>0</v>
      </c>
      <c r="EN17" s="239" t="n">
        <v>0</v>
      </c>
      <c r="EO17" s="239" t="n">
        <v>0</v>
      </c>
      <c r="EP17" s="239" t="n">
        <v>0</v>
      </c>
      <c r="EQ17" s="239" t="n">
        <v>0</v>
      </c>
      <c r="ER17" s="239" t="n">
        <v>0</v>
      </c>
      <c r="ES17" s="239" t="n">
        <v>0</v>
      </c>
      <c r="ET17" s="239" t="n">
        <v>0</v>
      </c>
      <c r="EU17" s="239" t="n">
        <v>0</v>
      </c>
      <c r="EV17" s="239" t="n">
        <v>0</v>
      </c>
      <c r="EW17" s="239" t="n">
        <v>0</v>
      </c>
      <c r="EX17" s="239" t="n">
        <v>0</v>
      </c>
      <c r="EY17" s="239" t="n">
        <v>0</v>
      </c>
      <c r="EZ17" s="239" t="n">
        <v>0</v>
      </c>
      <c r="FA17" s="239" t="n">
        <v>0</v>
      </c>
      <c r="FB17" s="239" t="n">
        <v>0</v>
      </c>
      <c r="FC17" s="239" t="n">
        <v>0</v>
      </c>
      <c r="FD17" s="239" t="n">
        <v>0</v>
      </c>
      <c r="FE17" s="239" t="n">
        <v>0</v>
      </c>
      <c r="FF17" s="239" t="n">
        <v>0</v>
      </c>
      <c r="FG17" s="239" t="n">
        <v>0</v>
      </c>
      <c r="FH17" s="239" t="n">
        <v>0</v>
      </c>
      <c r="FI17" s="239" t="n">
        <v>0</v>
      </c>
      <c r="FJ17" s="239" t="n">
        <v>0</v>
      </c>
      <c r="FK17" s="239" t="n">
        <v>0</v>
      </c>
      <c r="FL17" s="239" t="n">
        <v>0</v>
      </c>
      <c r="FM17" s="239" t="n">
        <v>0</v>
      </c>
      <c r="FN17" s="239" t="n">
        <v>0</v>
      </c>
      <c r="FO17" s="239" t="n">
        <v>0</v>
      </c>
      <c r="FP17" s="239" t="n">
        <v>0</v>
      </c>
      <c r="FQ17" s="239" t="n">
        <v>0</v>
      </c>
      <c r="FR17" s="239" t="n">
        <v>0</v>
      </c>
      <c r="FS17" s="239" t="n">
        <v>0</v>
      </c>
      <c r="FT17" s="239" t="n">
        <v>0</v>
      </c>
      <c r="FU17" s="239" t="n">
        <v>0</v>
      </c>
      <c r="FV17" s="239" t="n">
        <v>0</v>
      </c>
      <c r="FW17" s="239" t="n">
        <v>0</v>
      </c>
      <c r="FX17" s="239" t="n">
        <v>0</v>
      </c>
      <c r="FY17" s="239" t="n">
        <v>0</v>
      </c>
      <c r="FZ17" s="239" t="n">
        <v>0</v>
      </c>
      <c r="GA17" s="239" t="n">
        <v>0</v>
      </c>
      <c r="GB17" s="239" t="n">
        <v>0</v>
      </c>
      <c r="GC17" s="239" t="n">
        <v>0</v>
      </c>
      <c r="GD17" s="239" t="n">
        <v>0</v>
      </c>
      <c r="GE17" s="239" t="n">
        <v>0</v>
      </c>
      <c r="GF17" s="239" t="n">
        <v>0</v>
      </c>
      <c r="GG17" s="239" t="n">
        <v>0</v>
      </c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</row>
    <row r="18" customFormat="false" ht="12.75" hidden="false" customHeight="false" outlineLevel="0" collapsed="false">
      <c r="A18" s="248" t="s">
        <v>389</v>
      </c>
      <c r="B18" s="248"/>
      <c r="C18" s="242"/>
      <c r="D18" s="254" t="n">
        <v>0</v>
      </c>
      <c r="E18" s="254" t="n">
        <v>0</v>
      </c>
      <c r="F18" s="254" t="n">
        <v>0</v>
      </c>
      <c r="G18" s="254" t="n">
        <v>0</v>
      </c>
      <c r="H18" s="254" t="n">
        <v>0</v>
      </c>
      <c r="I18" s="254" t="n">
        <f aca="false">IDC!Y32</f>
        <v>564.18117335752</v>
      </c>
      <c r="J18" s="254" t="n">
        <f aca="false">IDC!Z32</f>
        <v>-0</v>
      </c>
      <c r="K18" s="254" t="n">
        <v>0</v>
      </c>
      <c r="L18" s="254" t="n">
        <v>0</v>
      </c>
      <c r="M18" s="254" t="n">
        <v>0</v>
      </c>
      <c r="N18" s="254" t="n">
        <v>0</v>
      </c>
      <c r="O18" s="254" t="n">
        <v>0</v>
      </c>
      <c r="P18" s="254" t="n">
        <v>0</v>
      </c>
      <c r="Q18" s="254" t="n">
        <v>0</v>
      </c>
      <c r="R18" s="254" t="n">
        <v>0</v>
      </c>
      <c r="S18" s="254" t="n">
        <v>0</v>
      </c>
      <c r="T18" s="254" t="n">
        <v>0</v>
      </c>
      <c r="U18" s="254" t="n">
        <v>0</v>
      </c>
      <c r="V18" s="254" t="n">
        <v>0</v>
      </c>
      <c r="W18" s="254" t="n">
        <v>0</v>
      </c>
      <c r="X18" s="254" t="n">
        <v>0</v>
      </c>
      <c r="Y18" s="254" t="n">
        <v>0</v>
      </c>
      <c r="Z18" s="254" t="n">
        <v>0</v>
      </c>
      <c r="AA18" s="254" t="n">
        <v>0</v>
      </c>
      <c r="AB18" s="254" t="n">
        <v>0</v>
      </c>
      <c r="AC18" s="254" t="n">
        <v>0</v>
      </c>
      <c r="AD18" s="254" t="n">
        <v>0</v>
      </c>
      <c r="AE18" s="254" t="n">
        <v>0</v>
      </c>
      <c r="AF18" s="254" t="n">
        <v>0</v>
      </c>
      <c r="AG18" s="254" t="n">
        <v>0</v>
      </c>
      <c r="AH18" s="254" t="n">
        <v>0</v>
      </c>
      <c r="AI18" s="254" t="n">
        <v>0</v>
      </c>
      <c r="AJ18" s="254" t="n">
        <v>0</v>
      </c>
      <c r="AK18" s="254" t="n">
        <v>0</v>
      </c>
      <c r="AL18" s="254" t="n">
        <v>0</v>
      </c>
      <c r="AM18" s="254" t="n">
        <v>0</v>
      </c>
      <c r="AN18" s="254" t="n">
        <v>0</v>
      </c>
      <c r="AO18" s="254" t="n">
        <v>0</v>
      </c>
      <c r="AP18" s="254" t="n">
        <v>0</v>
      </c>
      <c r="AQ18" s="254" t="n">
        <v>0</v>
      </c>
      <c r="AR18" s="254" t="n">
        <v>0</v>
      </c>
      <c r="AS18" s="254" t="n">
        <v>0</v>
      </c>
      <c r="AT18" s="254" t="n">
        <v>0</v>
      </c>
      <c r="AU18" s="254" t="n">
        <v>0</v>
      </c>
      <c r="AV18" s="254" t="n">
        <v>0</v>
      </c>
      <c r="AW18" s="254" t="n">
        <v>0</v>
      </c>
      <c r="AX18" s="254" t="n">
        <v>0</v>
      </c>
      <c r="AY18" s="254" t="n">
        <v>0</v>
      </c>
      <c r="AZ18" s="254" t="n">
        <v>0</v>
      </c>
      <c r="BA18" s="254" t="n">
        <v>0</v>
      </c>
      <c r="BB18" s="254" t="n">
        <v>0</v>
      </c>
      <c r="BC18" s="254" t="n">
        <v>0</v>
      </c>
      <c r="BD18" s="254" t="n">
        <v>0</v>
      </c>
      <c r="BE18" s="254" t="n">
        <v>0</v>
      </c>
      <c r="BF18" s="254" t="n">
        <v>0</v>
      </c>
      <c r="BG18" s="254" t="n">
        <v>0</v>
      </c>
      <c r="BH18" s="254" t="n">
        <v>0</v>
      </c>
      <c r="BI18" s="254" t="n">
        <v>0</v>
      </c>
      <c r="BJ18" s="254" t="n">
        <v>0</v>
      </c>
      <c r="BK18" s="254" t="n">
        <v>0</v>
      </c>
      <c r="BL18" s="254" t="n">
        <v>0</v>
      </c>
      <c r="BM18" s="254" t="n">
        <v>0</v>
      </c>
      <c r="BN18" s="254" t="n">
        <v>0</v>
      </c>
      <c r="BO18" s="254" t="n">
        <v>0</v>
      </c>
      <c r="BP18" s="254" t="n">
        <v>0</v>
      </c>
      <c r="BQ18" s="254" t="n">
        <v>0</v>
      </c>
      <c r="BR18" s="254" t="n">
        <v>0</v>
      </c>
      <c r="BS18" s="254" t="n">
        <v>0</v>
      </c>
      <c r="BT18" s="254" t="n">
        <v>0</v>
      </c>
      <c r="BU18" s="254" t="n">
        <v>0</v>
      </c>
      <c r="BV18" s="254" t="n">
        <v>0</v>
      </c>
      <c r="BW18" s="254" t="n">
        <v>0</v>
      </c>
      <c r="BX18" s="254" t="n">
        <v>0</v>
      </c>
      <c r="BY18" s="254" t="n">
        <v>0</v>
      </c>
      <c r="BZ18" s="254" t="n">
        <v>0</v>
      </c>
      <c r="CA18" s="254" t="n">
        <v>0</v>
      </c>
      <c r="CB18" s="254" t="n">
        <v>0</v>
      </c>
      <c r="CC18" s="254" t="n">
        <v>0</v>
      </c>
      <c r="CD18" s="254" t="n">
        <v>0</v>
      </c>
      <c r="CE18" s="254" t="n">
        <v>0</v>
      </c>
      <c r="CF18" s="254" t="n">
        <v>0</v>
      </c>
      <c r="CG18" s="254" t="n">
        <v>0</v>
      </c>
      <c r="CH18" s="254" t="n">
        <v>0</v>
      </c>
      <c r="CI18" s="254" t="n">
        <v>0</v>
      </c>
      <c r="CJ18" s="254" t="n">
        <v>0</v>
      </c>
      <c r="CK18" s="254" t="n">
        <v>0</v>
      </c>
      <c r="CL18" s="254" t="n">
        <v>0</v>
      </c>
      <c r="CM18" s="254" t="n">
        <v>0</v>
      </c>
      <c r="CN18" s="254" t="n">
        <v>0</v>
      </c>
      <c r="CO18" s="254" t="n">
        <v>0</v>
      </c>
      <c r="CP18" s="254" t="n">
        <v>0</v>
      </c>
      <c r="CQ18" s="254" t="n">
        <v>0</v>
      </c>
      <c r="CR18" s="254" t="n">
        <v>0</v>
      </c>
      <c r="CS18" s="254" t="n">
        <v>0</v>
      </c>
      <c r="CT18" s="254" t="n">
        <v>0</v>
      </c>
      <c r="CU18" s="254" t="n">
        <v>0</v>
      </c>
      <c r="CV18" s="254" t="n">
        <v>0</v>
      </c>
      <c r="CW18" s="254" t="n">
        <v>0</v>
      </c>
      <c r="CX18" s="254" t="n">
        <v>0</v>
      </c>
      <c r="CY18" s="254" t="n">
        <v>0</v>
      </c>
      <c r="CZ18" s="254" t="n">
        <v>0</v>
      </c>
      <c r="DA18" s="254" t="n">
        <v>0</v>
      </c>
      <c r="DB18" s="254" t="n">
        <v>0</v>
      </c>
      <c r="DC18" s="254" t="n">
        <v>0</v>
      </c>
      <c r="DD18" s="254" t="n">
        <v>0</v>
      </c>
      <c r="DE18" s="254" t="n">
        <v>0</v>
      </c>
      <c r="DF18" s="254" t="n">
        <v>0</v>
      </c>
      <c r="DG18" s="254" t="n">
        <v>0</v>
      </c>
      <c r="DH18" s="254" t="n">
        <v>0</v>
      </c>
      <c r="DI18" s="254" t="n">
        <v>0</v>
      </c>
      <c r="DJ18" s="254" t="n">
        <v>0</v>
      </c>
      <c r="DK18" s="254" t="n">
        <v>0</v>
      </c>
      <c r="DL18" s="254" t="n">
        <v>0</v>
      </c>
      <c r="DM18" s="254" t="n">
        <v>0</v>
      </c>
      <c r="DN18" s="254" t="n">
        <v>0</v>
      </c>
      <c r="DO18" s="254" t="n">
        <v>0</v>
      </c>
      <c r="DP18" s="254" t="n">
        <v>0</v>
      </c>
      <c r="DQ18" s="254" t="n">
        <v>0</v>
      </c>
      <c r="DR18" s="254" t="n">
        <v>0</v>
      </c>
      <c r="DS18" s="254" t="n">
        <v>0</v>
      </c>
      <c r="DT18" s="254" t="n">
        <v>0</v>
      </c>
      <c r="DU18" s="254" t="n">
        <v>0</v>
      </c>
      <c r="DV18" s="254" t="n">
        <v>0</v>
      </c>
      <c r="DW18" s="254" t="n">
        <v>0</v>
      </c>
      <c r="DX18" s="254" t="n">
        <v>0</v>
      </c>
      <c r="DY18" s="254" t="n">
        <v>0</v>
      </c>
      <c r="DZ18" s="254" t="n">
        <v>0</v>
      </c>
      <c r="EA18" s="254" t="n">
        <v>0</v>
      </c>
      <c r="EB18" s="254" t="n">
        <v>0</v>
      </c>
      <c r="EC18" s="254" t="n">
        <v>0</v>
      </c>
      <c r="ED18" s="254" t="n">
        <v>0</v>
      </c>
      <c r="EE18" s="254" t="n">
        <v>0</v>
      </c>
      <c r="EF18" s="254" t="n">
        <v>0</v>
      </c>
      <c r="EG18" s="254" t="n">
        <v>0</v>
      </c>
      <c r="EH18" s="254" t="n">
        <v>0</v>
      </c>
      <c r="EI18" s="254" t="n">
        <v>0</v>
      </c>
      <c r="EJ18" s="254" t="n">
        <v>0</v>
      </c>
      <c r="EK18" s="254" t="n">
        <v>0</v>
      </c>
      <c r="EL18" s="254" t="n">
        <v>0</v>
      </c>
      <c r="EM18" s="254" t="n">
        <v>0</v>
      </c>
      <c r="EN18" s="254" t="n">
        <v>0</v>
      </c>
      <c r="EO18" s="254" t="n">
        <v>0</v>
      </c>
      <c r="EP18" s="254" t="n">
        <v>0</v>
      </c>
      <c r="EQ18" s="254" t="n">
        <v>0</v>
      </c>
      <c r="ER18" s="254" t="n">
        <v>0</v>
      </c>
      <c r="ES18" s="254" t="n">
        <v>0</v>
      </c>
      <c r="ET18" s="254" t="n">
        <v>0</v>
      </c>
      <c r="EU18" s="254" t="n">
        <v>0</v>
      </c>
      <c r="EV18" s="254" t="n">
        <v>0</v>
      </c>
      <c r="EW18" s="254" t="n">
        <v>0</v>
      </c>
      <c r="EX18" s="254" t="n">
        <v>0</v>
      </c>
      <c r="EY18" s="254" t="n">
        <v>0</v>
      </c>
      <c r="EZ18" s="254" t="n">
        <v>0</v>
      </c>
      <c r="FA18" s="254" t="n">
        <v>0</v>
      </c>
      <c r="FB18" s="254" t="n">
        <v>0</v>
      </c>
      <c r="FC18" s="254" t="n">
        <v>0</v>
      </c>
      <c r="FD18" s="254" t="n">
        <v>0</v>
      </c>
      <c r="FE18" s="254" t="n">
        <v>0</v>
      </c>
      <c r="FF18" s="254" t="n">
        <v>0</v>
      </c>
      <c r="FG18" s="254" t="n">
        <v>0</v>
      </c>
      <c r="FH18" s="254" t="n">
        <v>0</v>
      </c>
      <c r="FI18" s="254" t="n">
        <v>0</v>
      </c>
      <c r="FJ18" s="254" t="n">
        <v>0</v>
      </c>
      <c r="FK18" s="254" t="n">
        <v>0</v>
      </c>
      <c r="FL18" s="254" t="n">
        <v>0</v>
      </c>
      <c r="FM18" s="254" t="n">
        <v>0</v>
      </c>
      <c r="FN18" s="254" t="n">
        <v>0</v>
      </c>
      <c r="FO18" s="254" t="n">
        <v>0</v>
      </c>
      <c r="FP18" s="254" t="n">
        <v>0</v>
      </c>
      <c r="FQ18" s="254" t="n">
        <v>0</v>
      </c>
      <c r="FR18" s="254" t="n">
        <v>0</v>
      </c>
      <c r="FS18" s="254" t="n">
        <v>0</v>
      </c>
      <c r="FT18" s="254" t="n">
        <v>0</v>
      </c>
      <c r="FU18" s="254" t="n">
        <v>0</v>
      </c>
      <c r="FV18" s="254" t="n">
        <v>0</v>
      </c>
      <c r="FW18" s="254" t="n">
        <v>0</v>
      </c>
      <c r="FX18" s="254" t="n">
        <v>0</v>
      </c>
      <c r="FY18" s="254" t="n">
        <v>0</v>
      </c>
      <c r="FZ18" s="254" t="n">
        <v>0</v>
      </c>
      <c r="GA18" s="254" t="n">
        <v>0</v>
      </c>
      <c r="GB18" s="254" t="n">
        <v>0</v>
      </c>
      <c r="GC18" s="254" t="n">
        <v>0</v>
      </c>
      <c r="GD18" s="254" t="n">
        <v>0</v>
      </c>
      <c r="GE18" s="254" t="n">
        <v>0</v>
      </c>
      <c r="GF18" s="254" t="n">
        <v>0</v>
      </c>
      <c r="GG18" s="254" t="n">
        <v>0</v>
      </c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</row>
    <row r="19" customFormat="false" ht="15" hidden="false" customHeight="false" outlineLevel="0" collapsed="false">
      <c r="A19" s="248" t="s">
        <v>390</v>
      </c>
      <c r="B19" s="248"/>
      <c r="C19" s="242"/>
      <c r="D19" s="257" t="n">
        <f aca="false">+IF(D8=6,'Debt Amortization'!$E$77,0)</f>
        <v>0</v>
      </c>
      <c r="E19" s="257" t="n">
        <f aca="false">+IF(E8=6,'Debt Amortization'!$E$77,0)</f>
        <v>0</v>
      </c>
      <c r="F19" s="257" t="n">
        <f aca="false">+IF(F8=6,'Debt Amortization'!$E$77,0)</f>
        <v>0</v>
      </c>
      <c r="G19" s="257" t="n">
        <f aca="false">+IF(G8=6,'Debt Amortization'!$E$77,0)</f>
        <v>0</v>
      </c>
      <c r="H19" s="257" t="n">
        <f aca="false">+IF(H8=6,'Debt Amortization'!$E$77,0)</f>
        <v>0</v>
      </c>
      <c r="I19" s="257" t="n">
        <f aca="false">+IF(I8=6,'Debt Amortization'!$E$77,0)</f>
        <v>0</v>
      </c>
      <c r="J19" s="257" t="n">
        <f aca="false">+IF(J8=6,'Debt Amortization'!$E$77,0)</f>
        <v>0</v>
      </c>
      <c r="K19" s="257" t="n">
        <f aca="false">+IF(K8=6,'Debt Amortization'!$E$77,0)</f>
        <v>0</v>
      </c>
      <c r="L19" s="257" t="n">
        <f aca="false">+IF(L8=6,'Debt Amortization'!$E$77,0)</f>
        <v>0</v>
      </c>
      <c r="M19" s="257" t="n">
        <f aca="false">+IF(M8=6,'Debt Amortization'!$E$77,0)</f>
        <v>0</v>
      </c>
      <c r="N19" s="257" t="n">
        <f aca="false">+IF(N8=6,'Debt Amortization'!$E$77,0)</f>
        <v>0</v>
      </c>
      <c r="O19" s="257" t="n">
        <f aca="false">+IF(O8=6,'Debt Amortization'!$E$77,0)</f>
        <v>5782.77426106475</v>
      </c>
      <c r="P19" s="257" t="n">
        <f aca="false">+IF(P8=6,'Debt Amortization'!$E$77,0)</f>
        <v>0</v>
      </c>
      <c r="Q19" s="257" t="n">
        <f aca="false">+IF(Q8=6,'Debt Amortization'!$E$77,0)</f>
        <v>0</v>
      </c>
      <c r="R19" s="257" t="n">
        <f aca="false">+IF(R8=6,'Debt Amortization'!$E$77,0)</f>
        <v>0</v>
      </c>
      <c r="S19" s="257" t="n">
        <f aca="false">+IF(S8=6,'Debt Amortization'!$E$77,0)</f>
        <v>0</v>
      </c>
      <c r="T19" s="257" t="n">
        <f aca="false">+IF(T8=6,'Debt Amortization'!$E$77,0)</f>
        <v>0</v>
      </c>
      <c r="U19" s="257" t="n">
        <f aca="false">+IF(U8=6,'Debt Amortization'!$E$77,0)</f>
        <v>5782.77426106475</v>
      </c>
      <c r="V19" s="257" t="n">
        <f aca="false">+IF(V8=6,'Debt Amortization'!$E$77,0)</f>
        <v>0</v>
      </c>
      <c r="W19" s="257" t="n">
        <f aca="false">+IF(W8=6,'Debt Amortization'!$E$77,0)</f>
        <v>0</v>
      </c>
      <c r="X19" s="257" t="n">
        <f aca="false">+IF(X8=6,'Debt Amortization'!$E$77,0)</f>
        <v>0</v>
      </c>
      <c r="Y19" s="257" t="n">
        <f aca="false">+IF(Y8=6,'Debt Amortization'!$E$77,0)</f>
        <v>0</v>
      </c>
      <c r="Z19" s="257" t="n">
        <f aca="false">+IF(Z8=6,'Debt Amortization'!$E$77,0)</f>
        <v>0</v>
      </c>
      <c r="AA19" s="257" t="n">
        <f aca="false">+IF(AA8=6,'Debt Amortization'!$E$77,0)</f>
        <v>5782.77426106475</v>
      </c>
      <c r="AB19" s="257" t="n">
        <f aca="false">+IF(AB8=6,'Debt Amortization'!$E$77,0)</f>
        <v>0</v>
      </c>
      <c r="AC19" s="257" t="n">
        <f aca="false">+IF(AC8=6,'Debt Amortization'!$E$77,0)</f>
        <v>0</v>
      </c>
      <c r="AD19" s="257" t="n">
        <f aca="false">+IF(AD8=6,'Debt Amortization'!$E$77,0)</f>
        <v>0</v>
      </c>
      <c r="AE19" s="257" t="n">
        <f aca="false">+IF(AE8=6,'Debt Amortization'!$E$77,0)</f>
        <v>0</v>
      </c>
      <c r="AF19" s="257" t="n">
        <f aca="false">+IF(AF8=6,'Debt Amortization'!$E$77,0)</f>
        <v>0</v>
      </c>
      <c r="AG19" s="257" t="n">
        <f aca="false">+IF(AG8=6,'Debt Amortization'!$E$77,0)</f>
        <v>5782.77426106475</v>
      </c>
      <c r="AH19" s="257" t="n">
        <f aca="false">+IF(AH8=6,'Debt Amortization'!$E$77,0)</f>
        <v>0</v>
      </c>
      <c r="AI19" s="257" t="n">
        <f aca="false">+IF(AI8=6,'Debt Amortization'!$E$77,0)</f>
        <v>0</v>
      </c>
      <c r="AJ19" s="257" t="n">
        <f aca="false">+IF(AJ8=6,'Debt Amortization'!$E$77,0)</f>
        <v>0</v>
      </c>
      <c r="AK19" s="257" t="n">
        <f aca="false">+IF(AK8=6,'Debt Amortization'!$E$77,0)</f>
        <v>0</v>
      </c>
      <c r="AL19" s="257" t="n">
        <f aca="false">+IF(AL8=6,'Debt Amortization'!$E$77,0)</f>
        <v>0</v>
      </c>
      <c r="AM19" s="257" t="n">
        <f aca="false">+IF(AM8=6,'Debt Amortization'!$E$77,0)</f>
        <v>5782.77426106475</v>
      </c>
      <c r="AN19" s="257" t="n">
        <f aca="false">+IF(AN8=6,'Debt Amortization'!$E$77,0)</f>
        <v>0</v>
      </c>
      <c r="AO19" s="257" t="n">
        <f aca="false">+IF(AO8=6,'Debt Amortization'!$E$77,0)</f>
        <v>0</v>
      </c>
      <c r="AP19" s="257" t="n">
        <f aca="false">+IF(AP8=6,'Debt Amortization'!$E$77,0)</f>
        <v>0</v>
      </c>
      <c r="AQ19" s="257" t="n">
        <f aca="false">+IF(AQ8=6,'Debt Amortization'!$E$77,0)</f>
        <v>0</v>
      </c>
      <c r="AR19" s="257" t="n">
        <f aca="false">+IF(AR8=6,'Debt Amortization'!$E$77,0)</f>
        <v>0</v>
      </c>
      <c r="AS19" s="257" t="n">
        <f aca="false">+IF(AS8=6,'Debt Amortization'!$E$77,0)</f>
        <v>5782.77426106475</v>
      </c>
      <c r="AT19" s="257" t="n">
        <f aca="false">+IF(AT8=6,'Debt Amortization'!$E$77,0)</f>
        <v>0</v>
      </c>
      <c r="AU19" s="257" t="n">
        <f aca="false">+IF(AU8=6,'Debt Amortization'!$E$77,0)</f>
        <v>0</v>
      </c>
      <c r="AV19" s="257" t="n">
        <f aca="false">+IF(AV8=6,'Debt Amortization'!$E$77,0)</f>
        <v>0</v>
      </c>
      <c r="AW19" s="257" t="n">
        <f aca="false">+IF(AW8=6,'Debt Amortization'!$E$77,0)</f>
        <v>0</v>
      </c>
      <c r="AX19" s="257" t="n">
        <f aca="false">+IF(AX8=6,'Debt Amortization'!$E$77,0)</f>
        <v>0</v>
      </c>
      <c r="AY19" s="257" t="n">
        <f aca="false">+IF(AY8=6,'Debt Amortization'!$E$77,0)</f>
        <v>5782.77426106475</v>
      </c>
      <c r="AZ19" s="257" t="n">
        <f aca="false">+IF(AZ8=6,'Debt Amortization'!$E$77,0)</f>
        <v>0</v>
      </c>
      <c r="BA19" s="257" t="n">
        <f aca="false">+IF(BA8=6,'Debt Amortization'!$E$77,0)</f>
        <v>0</v>
      </c>
      <c r="BB19" s="257" t="n">
        <f aca="false">+IF(BB8=6,'Debt Amortization'!$E$77,0)</f>
        <v>0</v>
      </c>
      <c r="BC19" s="257" t="n">
        <f aca="false">+IF(BC8=6,'Debt Amortization'!$E$77,0)</f>
        <v>0</v>
      </c>
      <c r="BD19" s="257" t="n">
        <f aca="false">+IF(BD8=6,'Debt Amortization'!$E$77,0)</f>
        <v>0</v>
      </c>
      <c r="BE19" s="257" t="n">
        <f aca="false">+IF(BE8=6,'Debt Amortization'!$E$77,0)</f>
        <v>5782.77426106475</v>
      </c>
      <c r="BF19" s="257" t="n">
        <f aca="false">+IF(BF8=6,'Debt Amortization'!$E$77,0)</f>
        <v>0</v>
      </c>
      <c r="BG19" s="257" t="n">
        <f aca="false">+IF(BG8=6,'Debt Amortization'!$E$77,0)</f>
        <v>0</v>
      </c>
      <c r="BH19" s="257" t="n">
        <f aca="false">+IF(BH8=6,'Debt Amortization'!$E$77,0)</f>
        <v>0</v>
      </c>
      <c r="BI19" s="257" t="n">
        <f aca="false">+IF(BI8=6,'Debt Amortization'!$E$77,0)</f>
        <v>0</v>
      </c>
      <c r="BJ19" s="257" t="n">
        <f aca="false">+IF(BJ8=6,'Debt Amortization'!$E$77,0)</f>
        <v>0</v>
      </c>
      <c r="BK19" s="257" t="n">
        <f aca="false">+IF(BK8=6,'Debt Amortization'!$E$77,0)</f>
        <v>5782.77426106475</v>
      </c>
      <c r="BL19" s="257" t="n">
        <f aca="false">+IF(BL8=6,'Debt Amortization'!$E$77,0)</f>
        <v>0</v>
      </c>
      <c r="BM19" s="257" t="n">
        <f aca="false">+IF(BM8=6,'Debt Amortization'!$E$77,0)</f>
        <v>0</v>
      </c>
      <c r="BN19" s="257" t="n">
        <f aca="false">+IF(BN8=6,'Debt Amortization'!$E$77,0)</f>
        <v>0</v>
      </c>
      <c r="BO19" s="257" t="n">
        <f aca="false">+IF(BO8=6,'Debt Amortization'!$E$77,0)</f>
        <v>0</v>
      </c>
      <c r="BP19" s="257" t="n">
        <f aca="false">+IF(BP8=6,'Debt Amortization'!$E$77,0)</f>
        <v>0</v>
      </c>
      <c r="BQ19" s="257" t="n">
        <f aca="false">+IF(BQ8=6,'Debt Amortization'!$E$77,0)</f>
        <v>5782.77426106475</v>
      </c>
      <c r="BR19" s="257" t="n">
        <f aca="false">+IF(BR8=6,'Debt Amortization'!$E$77,0)</f>
        <v>0</v>
      </c>
      <c r="BS19" s="257" t="n">
        <f aca="false">+IF(BS8=6,'Debt Amortization'!$E$77,0)</f>
        <v>0</v>
      </c>
      <c r="BT19" s="257" t="n">
        <f aca="false">+IF(BT8=6,'Debt Amortization'!$E$77,0)</f>
        <v>0</v>
      </c>
      <c r="BU19" s="257" t="n">
        <f aca="false">+IF(BU8=6,'Debt Amortization'!$E$77,0)</f>
        <v>0</v>
      </c>
      <c r="BV19" s="257" t="n">
        <f aca="false">+IF(BV8=6,'Debt Amortization'!$E$77,0)</f>
        <v>0</v>
      </c>
      <c r="BW19" s="257" t="n">
        <f aca="false">+IF(BW8=6,'Debt Amortization'!$E$77,0)</f>
        <v>5782.77426106475</v>
      </c>
      <c r="BX19" s="257" t="n">
        <f aca="false">+IF(BX8=6,'Debt Amortization'!$E$77,0)</f>
        <v>0</v>
      </c>
      <c r="BY19" s="257" t="n">
        <f aca="false">+IF(BY8=6,'Debt Amortization'!$E$77,0)</f>
        <v>0</v>
      </c>
      <c r="BZ19" s="257" t="n">
        <f aca="false">+IF(BZ8=6,'Debt Amortization'!$E$77,0)</f>
        <v>0</v>
      </c>
      <c r="CA19" s="257" t="n">
        <f aca="false">+IF(CA8=6,'Debt Amortization'!$E$77,0)</f>
        <v>0</v>
      </c>
      <c r="CB19" s="257" t="n">
        <f aca="false">+IF(CB8=6,'Debt Amortization'!$E$77,0)</f>
        <v>0</v>
      </c>
      <c r="CC19" s="257" t="n">
        <f aca="false">+IF(CC8=6,'Debt Amortization'!$E$77,0)</f>
        <v>5782.77426106475</v>
      </c>
      <c r="CD19" s="257" t="n">
        <f aca="false">+IF(CD8=6,'Debt Amortization'!$E$77,0)</f>
        <v>0</v>
      </c>
      <c r="CE19" s="257" t="n">
        <f aca="false">+IF(CE8=6,'Debt Amortization'!$E$77,0)</f>
        <v>0</v>
      </c>
      <c r="CF19" s="257" t="n">
        <f aca="false">+IF(CF8=6,'Debt Amortization'!$E$77,0)</f>
        <v>0</v>
      </c>
      <c r="CG19" s="257" t="n">
        <f aca="false">+IF(CG8=6,'Debt Amortization'!$E$77,0)</f>
        <v>0</v>
      </c>
      <c r="CH19" s="257" t="n">
        <f aca="false">+IF(CH8=6,'Debt Amortization'!$E$77,0)</f>
        <v>0</v>
      </c>
      <c r="CI19" s="257" t="n">
        <f aca="false">+IF(CI8=6,'Debt Amortization'!$E$77,0)</f>
        <v>5782.77426106475</v>
      </c>
      <c r="CJ19" s="257" t="n">
        <f aca="false">+IF(CJ8=6,'Debt Amortization'!$E$77,0)</f>
        <v>0</v>
      </c>
      <c r="CK19" s="257" t="n">
        <f aca="false">+IF(CK8=6,'Debt Amortization'!$E$77,0)</f>
        <v>0</v>
      </c>
      <c r="CL19" s="257" t="n">
        <f aca="false">+IF(CL8=6,'Debt Amortization'!$E$77,0)</f>
        <v>0</v>
      </c>
      <c r="CM19" s="257" t="n">
        <f aca="false">+IF(CM8=6,'Debt Amortization'!$E$77,0)</f>
        <v>0</v>
      </c>
      <c r="CN19" s="257" t="n">
        <f aca="false">+IF(CN8=6,'Debt Amortization'!$E$77,0)</f>
        <v>0</v>
      </c>
      <c r="CO19" s="257" t="n">
        <f aca="false">+IF(CO8=6,'Debt Amortization'!$E$77,0)</f>
        <v>5782.77426106475</v>
      </c>
      <c r="CP19" s="257" t="n">
        <f aca="false">+IF(CP8=6,'Debt Amortization'!$E$77,0)</f>
        <v>0</v>
      </c>
      <c r="CQ19" s="257" t="n">
        <f aca="false">+IF(CQ8=6,'Debt Amortization'!$E$77,0)</f>
        <v>0</v>
      </c>
      <c r="CR19" s="257" t="n">
        <f aca="false">+IF(CR8=6,'Debt Amortization'!$E$77,0)</f>
        <v>0</v>
      </c>
      <c r="CS19" s="257" t="n">
        <f aca="false">+IF(CS8=6,'Debt Amortization'!$E$77,0)</f>
        <v>0</v>
      </c>
      <c r="CT19" s="257" t="n">
        <f aca="false">+IF(CT8=6,'Debt Amortization'!$E$77,0)</f>
        <v>0</v>
      </c>
      <c r="CU19" s="257" t="n">
        <f aca="false">+IF(CU8=6,'Debt Amortization'!$E$77,0)</f>
        <v>5782.77426106475</v>
      </c>
      <c r="CV19" s="257" t="n">
        <f aca="false">+IF(CV8=6,'Debt Amortization'!$E$77,0)</f>
        <v>0</v>
      </c>
      <c r="CW19" s="257" t="n">
        <f aca="false">+IF(CW8=6,'Debt Amortization'!$E$77,0)</f>
        <v>0</v>
      </c>
      <c r="CX19" s="257" t="n">
        <f aca="false">+IF(CX8=6,'Debt Amortization'!$E$77,0)</f>
        <v>0</v>
      </c>
      <c r="CY19" s="257" t="n">
        <f aca="false">+IF(CY8=6,'Debt Amortization'!$E$77,0)</f>
        <v>0</v>
      </c>
      <c r="CZ19" s="257" t="n">
        <f aca="false">+IF(CZ8=6,'Debt Amortization'!$E$77,0)</f>
        <v>0</v>
      </c>
      <c r="DA19" s="257" t="n">
        <f aca="false">+IF(DA8=6,'Debt Amortization'!$E$77,0)</f>
        <v>5782.77426106475</v>
      </c>
      <c r="DB19" s="257" t="n">
        <f aca="false">+IF(DB8=6,'Debt Amortization'!$E$77,0)</f>
        <v>0</v>
      </c>
      <c r="DC19" s="257" t="n">
        <f aca="false">+IF(DC8=6,'Debt Amortization'!$E$77,0)</f>
        <v>0</v>
      </c>
      <c r="DD19" s="257" t="n">
        <f aca="false">+IF(DD8=6,'Debt Amortization'!$E$77,0)</f>
        <v>0</v>
      </c>
      <c r="DE19" s="257" t="n">
        <f aca="false">+IF(DE8=6,'Debt Amortization'!$E$77,0)</f>
        <v>0</v>
      </c>
      <c r="DF19" s="257" t="n">
        <f aca="false">+IF(DF8=6,'Debt Amortization'!$E$77,0)</f>
        <v>0</v>
      </c>
      <c r="DG19" s="257" t="n">
        <f aca="false">+IF(DG8=6,'Debt Amortization'!$E$77,0)</f>
        <v>5782.77426106475</v>
      </c>
      <c r="DH19" s="257" t="n">
        <f aca="false">+IF(DH8=6,'Debt Amortization'!$E$77,0)</f>
        <v>0</v>
      </c>
      <c r="DI19" s="257" t="n">
        <f aca="false">+IF(DI8=6,'Debt Amortization'!$E$77,0)</f>
        <v>0</v>
      </c>
      <c r="DJ19" s="257" t="n">
        <f aca="false">+IF(DJ8=6,'Debt Amortization'!$E$77,0)</f>
        <v>0</v>
      </c>
      <c r="DK19" s="257" t="n">
        <f aca="false">+IF(DK8=6,'Debt Amortization'!$E$77,0)</f>
        <v>0</v>
      </c>
      <c r="DL19" s="257" t="n">
        <f aca="false">+IF(DL8=6,'Debt Amortization'!$E$77,0)</f>
        <v>0</v>
      </c>
      <c r="DM19" s="257" t="n">
        <f aca="false">+IF(DM8=6,'Debt Amortization'!$E$77,0)</f>
        <v>5782.77426106475</v>
      </c>
      <c r="DN19" s="257" t="n">
        <f aca="false">+IF(DN8=6,'Debt Amortization'!$E$77,0)</f>
        <v>0</v>
      </c>
      <c r="DO19" s="257" t="n">
        <f aca="false">+IF(DO8=6,'Debt Amortization'!$E$77,0)</f>
        <v>0</v>
      </c>
      <c r="DP19" s="257" t="n">
        <f aca="false">+IF(DP8=6,'Debt Amortization'!$E$77,0)</f>
        <v>0</v>
      </c>
      <c r="DQ19" s="257" t="n">
        <f aca="false">+IF(DQ8=6,'Debt Amortization'!$E$77,0)</f>
        <v>0</v>
      </c>
      <c r="DR19" s="257" t="n">
        <f aca="false">+IF(DR8=6,'Debt Amortization'!$E$77,0)</f>
        <v>0</v>
      </c>
      <c r="DS19" s="257" t="n">
        <f aca="false">+IF(DS8=6,'Debt Amortization'!$E$77,0)</f>
        <v>5782.77426106475</v>
      </c>
      <c r="DT19" s="257" t="n">
        <f aca="false">+IF(DT8=6,'Debt Amortization'!$E$77,0)</f>
        <v>0</v>
      </c>
      <c r="DU19" s="257" t="n">
        <f aca="false">+IF(DU8=6,'Debt Amortization'!$E$77,0)</f>
        <v>0</v>
      </c>
      <c r="DV19" s="257" t="n">
        <f aca="false">+IF(DV8=6,'Debt Amortization'!$E$77,0)</f>
        <v>0</v>
      </c>
      <c r="DW19" s="257" t="n">
        <f aca="false">+IF(DW8=6,'Debt Amortization'!$E$77,0)</f>
        <v>0</v>
      </c>
      <c r="DX19" s="257" t="n">
        <f aca="false">+IF(DX8=6,'Debt Amortization'!$E$77,0)</f>
        <v>0</v>
      </c>
      <c r="DY19" s="257" t="n">
        <f aca="false">+IF(DY8=6,'Debt Amortization'!$E$77,0)</f>
        <v>5782.77426106475</v>
      </c>
      <c r="DZ19" s="257" t="n">
        <f aca="false">+IF(DZ8=6,'Debt Amortization'!$E$77,0)</f>
        <v>0</v>
      </c>
      <c r="EA19" s="257" t="n">
        <f aca="false">+IF(EA8=6,'Debt Amortization'!$E$77,0)</f>
        <v>0</v>
      </c>
      <c r="EB19" s="257" t="n">
        <f aca="false">+IF(EB8=6,'Debt Amortization'!$E$77,0)</f>
        <v>0</v>
      </c>
      <c r="EC19" s="257" t="n">
        <f aca="false">+IF(EC8=6,'Debt Amortization'!$E$77,0)</f>
        <v>0</v>
      </c>
      <c r="ED19" s="257" t="n">
        <f aca="false">+IF(ED8=6,'Debt Amortization'!$E$77,0)</f>
        <v>0</v>
      </c>
      <c r="EE19" s="257" t="n">
        <f aca="false">+IF(EE8=6,'Debt Amortization'!$E$77,0)</f>
        <v>5782.77426106475</v>
      </c>
      <c r="EF19" s="257" t="n">
        <f aca="false">+IF(EF8=6,'Debt Amortization'!$E$77,0)</f>
        <v>0</v>
      </c>
      <c r="EG19" s="257" t="n">
        <f aca="false">+IF(EG8=6,'Debt Amortization'!$E$77,0)</f>
        <v>0</v>
      </c>
      <c r="EH19" s="257" t="n">
        <f aca="false">+IF(EH8=6,'Debt Amortization'!$E$77,0)</f>
        <v>0</v>
      </c>
      <c r="EI19" s="257" t="n">
        <f aca="false">+IF(EI8=6,'Debt Amortization'!$E$77,0)</f>
        <v>0</v>
      </c>
      <c r="EJ19" s="257" t="n">
        <f aca="false">+IF(EJ8=6,'Debt Amortization'!$E$77,0)</f>
        <v>0</v>
      </c>
      <c r="EK19" s="257" t="n">
        <f aca="false">+IF(EK8=6,'Debt Amortization'!$E$77,0)</f>
        <v>5782.77426106475</v>
      </c>
      <c r="EL19" s="257" t="n">
        <f aca="false">+IF(EL8=6,'Debt Amortization'!$E$77,0)</f>
        <v>0</v>
      </c>
      <c r="EM19" s="257" t="n">
        <f aca="false">+IF(EM8=6,'Debt Amortization'!$E$77,0)</f>
        <v>0</v>
      </c>
      <c r="EN19" s="257" t="n">
        <f aca="false">+IF(EN8=6,'Debt Amortization'!$E$77,0)</f>
        <v>0</v>
      </c>
      <c r="EO19" s="257" t="n">
        <f aca="false">+IF(EO8=6,'Debt Amortization'!$E$77,0)</f>
        <v>0</v>
      </c>
      <c r="EP19" s="257" t="n">
        <f aca="false">+IF(EP8=6,'Debt Amortization'!$E$77,0)</f>
        <v>0</v>
      </c>
      <c r="EQ19" s="257" t="n">
        <f aca="false">+IF(EQ8=6,'Debt Amortization'!$E$77,0)</f>
        <v>5782.77426106475</v>
      </c>
      <c r="ER19" s="257" t="n">
        <f aca="false">+IF(ER8=6,'Debt Amortization'!$E$77,0)</f>
        <v>0</v>
      </c>
      <c r="ES19" s="257" t="n">
        <f aca="false">+IF(ES8=6,'Debt Amortization'!$E$77,0)</f>
        <v>0</v>
      </c>
      <c r="ET19" s="257" t="n">
        <f aca="false">+IF(ET8=6,'Debt Amortization'!$E$77,0)</f>
        <v>0</v>
      </c>
      <c r="EU19" s="257" t="n">
        <f aca="false">+IF(EU8=6,'Debt Amortization'!$E$77,0)</f>
        <v>0</v>
      </c>
      <c r="EV19" s="257" t="n">
        <f aca="false">+IF(EV8=6,'Debt Amortization'!$E$77,0)</f>
        <v>0</v>
      </c>
      <c r="EW19" s="257" t="n">
        <f aca="false">+IF(EW8=6,'Debt Amortization'!$E$77,0)</f>
        <v>5782.77426106475</v>
      </c>
      <c r="EX19" s="257" t="n">
        <f aca="false">+IF(EX8=6,'Debt Amortization'!$E$77,0)</f>
        <v>0</v>
      </c>
      <c r="EY19" s="257" t="n">
        <f aca="false">+IF(EY8=6,'Debt Amortization'!$E$77,0)</f>
        <v>0</v>
      </c>
      <c r="EZ19" s="257" t="n">
        <f aca="false">+IF(EZ8=6,'Debt Amortization'!$E$77,0)</f>
        <v>0</v>
      </c>
      <c r="FA19" s="257" t="n">
        <f aca="false">+IF(FA8=6,'Debt Amortization'!$E$77,0)</f>
        <v>0</v>
      </c>
      <c r="FB19" s="257" t="n">
        <f aca="false">+IF(FB8=6,'Debt Amortization'!$E$77,0)</f>
        <v>0</v>
      </c>
      <c r="FC19" s="257" t="n">
        <f aca="false">+IF(FC8=6,'Debt Amortization'!$E$77,0)</f>
        <v>5782.77426106475</v>
      </c>
      <c r="FD19" s="257" t="n">
        <f aca="false">+IF(FD8=6,'Debt Amortization'!$E$77,0)</f>
        <v>0</v>
      </c>
      <c r="FE19" s="257" t="n">
        <f aca="false">+IF(FE8=6,'Debt Amortization'!$E$77,0)</f>
        <v>0</v>
      </c>
      <c r="FF19" s="257" t="n">
        <f aca="false">+IF(FF8=6,'Debt Amortization'!$E$77,0)</f>
        <v>0</v>
      </c>
      <c r="FG19" s="257" t="n">
        <f aca="false">+IF(FG8=6,'Debt Amortization'!$E$77,0)</f>
        <v>0</v>
      </c>
      <c r="FH19" s="257" t="n">
        <f aca="false">+IF(FH8=6,'Debt Amortization'!$E$77,0)</f>
        <v>0</v>
      </c>
      <c r="FI19" s="257" t="n">
        <f aca="false">+IF(FI8=6,'Debt Amortization'!$E$77,0)</f>
        <v>5782.77426106475</v>
      </c>
      <c r="FJ19" s="257" t="n">
        <f aca="false">+IF(FJ8=6,'Debt Amortization'!$E$77,0)</f>
        <v>0</v>
      </c>
      <c r="FK19" s="257" t="n">
        <f aca="false">+IF(FK8=6,'Debt Amortization'!$E$77,0)</f>
        <v>0</v>
      </c>
      <c r="FL19" s="257" t="n">
        <f aca="false">+IF(FL8=6,'Debt Amortization'!$E$77,0)</f>
        <v>0</v>
      </c>
      <c r="FM19" s="257" t="n">
        <f aca="false">+IF(FM8=6,'Debt Amortization'!$E$77,0)</f>
        <v>0</v>
      </c>
      <c r="FN19" s="257" t="n">
        <f aca="false">+IF(FN8=6,'Debt Amortization'!$E$77,0)</f>
        <v>0</v>
      </c>
      <c r="FO19" s="257" t="n">
        <f aca="false">+IF(FO8=6,'Debt Amortization'!$E$77,0)</f>
        <v>5782.77426106475</v>
      </c>
      <c r="FP19" s="257" t="n">
        <f aca="false">+IF(FP8=6,'Debt Amortization'!$E$77,0)</f>
        <v>0</v>
      </c>
      <c r="FQ19" s="257" t="n">
        <f aca="false">+IF(FQ8=6,'Debt Amortization'!$E$77,0)</f>
        <v>0</v>
      </c>
      <c r="FR19" s="257" t="n">
        <f aca="false">+IF(FR8=6,'Debt Amortization'!$E$77,0)</f>
        <v>0</v>
      </c>
      <c r="FS19" s="257" t="n">
        <f aca="false">+IF(FS8=6,'Debt Amortization'!$E$77,0)</f>
        <v>0</v>
      </c>
      <c r="FT19" s="257" t="n">
        <f aca="false">+IF(FT8=6,'Debt Amortization'!$E$77,0)</f>
        <v>0</v>
      </c>
      <c r="FU19" s="257" t="n">
        <f aca="false">+IF(FU8=6,'Debt Amortization'!$E$77,0)</f>
        <v>5782.77426106475</v>
      </c>
      <c r="FV19" s="257" t="n">
        <f aca="false">+IF(FV8=6,'Debt Amortization'!$E$77,0)</f>
        <v>0</v>
      </c>
      <c r="FW19" s="257" t="n">
        <f aca="false">+IF(FW8=6,'Debt Amortization'!$E$77,0)</f>
        <v>0</v>
      </c>
      <c r="FX19" s="257" t="n">
        <f aca="false">+IF(FX8=6,'Debt Amortization'!$E$77,0)</f>
        <v>0</v>
      </c>
      <c r="FY19" s="257" t="n">
        <f aca="false">+IF(FY8=6,'Debt Amortization'!$E$77,0)</f>
        <v>0</v>
      </c>
      <c r="FZ19" s="257" t="n">
        <f aca="false">+IF(FZ8=6,'Debt Amortization'!$E$77,0)</f>
        <v>0</v>
      </c>
      <c r="GA19" s="257" t="n">
        <f aca="false">+IF(GA8=6,'Debt Amortization'!$E$77,0)</f>
        <v>5782.77426106475</v>
      </c>
      <c r="GB19" s="257" t="n">
        <f aca="false">+IF(GB8=6,'Debt Amortization'!$E$77,0)</f>
        <v>0</v>
      </c>
      <c r="GC19" s="257" t="n">
        <f aca="false">+IF(GC8=6,'Debt Amortization'!$E$77,0)</f>
        <v>0</v>
      </c>
      <c r="GD19" s="257" t="n">
        <f aca="false">+IF(GD8=6,'Debt Amortization'!$E$77,0)</f>
        <v>0</v>
      </c>
      <c r="GE19" s="257" t="n">
        <f aca="false">+IF(GE8=6,'Debt Amortization'!$E$77,0)</f>
        <v>0</v>
      </c>
      <c r="GF19" s="257" t="n">
        <f aca="false">+IF(GF8=6,'Debt Amortization'!$E$77,0)</f>
        <v>0</v>
      </c>
      <c r="GG19" s="257" t="n">
        <f aca="false">+IF(GG8=6,'Debt Amortization'!$E$77,0)</f>
        <v>5782.77426106475</v>
      </c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</row>
    <row r="20" customFormat="false" ht="12.75" hidden="false" customHeight="false" outlineLevel="0" collapsed="false">
      <c r="A20" s="245" t="s">
        <v>391</v>
      </c>
      <c r="B20" s="245"/>
      <c r="C20" s="242"/>
      <c r="D20" s="239" t="n">
        <f aca="false">SUM(D17:D19)</f>
        <v>32</v>
      </c>
      <c r="E20" s="239" t="n">
        <f aca="false">SUM(E17:E19)</f>
        <v>60</v>
      </c>
      <c r="F20" s="239" t="n">
        <f aca="false">SUM(F17:F19)</f>
        <v>62</v>
      </c>
      <c r="G20" s="239" t="n">
        <f aca="false">SUM(G17:G19)</f>
        <v>0</v>
      </c>
      <c r="H20" s="239" t="n">
        <f aca="false">SUM(H17:H19)</f>
        <v>31</v>
      </c>
      <c r="I20" s="239" t="n">
        <f aca="false">SUM(I17:I19)</f>
        <v>564.18117335752</v>
      </c>
      <c r="J20" s="239" t="n">
        <f aca="false">SUM(J17:J19)</f>
        <v>0</v>
      </c>
      <c r="K20" s="239" t="n">
        <f aca="false">SUM(K17:K19)</f>
        <v>0</v>
      </c>
      <c r="L20" s="239" t="n">
        <f aca="false">SUM(L17:L19)</f>
        <v>0</v>
      </c>
      <c r="M20" s="239" t="n">
        <f aca="false">SUM(M17:M19)</f>
        <v>0</v>
      </c>
      <c r="N20" s="239" t="n">
        <f aca="false">SUM(N17:N19)</f>
        <v>0</v>
      </c>
      <c r="O20" s="239" t="n">
        <f aca="false">SUM(O17:O19)</f>
        <v>5782.77426106475</v>
      </c>
      <c r="P20" s="239" t="n">
        <f aca="false">SUM(P17:P19)</f>
        <v>0</v>
      </c>
      <c r="Q20" s="239" t="n">
        <f aca="false">SUM(Q17:Q19)</f>
        <v>0</v>
      </c>
      <c r="R20" s="239" t="n">
        <f aca="false">SUM(R17:R19)</f>
        <v>0</v>
      </c>
      <c r="S20" s="239" t="n">
        <f aca="false">SUM(S17:S19)</f>
        <v>0</v>
      </c>
      <c r="T20" s="239" t="n">
        <f aca="false">SUM(T17:T19)</f>
        <v>0</v>
      </c>
      <c r="U20" s="239" t="n">
        <f aca="false">SUM(U17:U19)</f>
        <v>5782.77426106475</v>
      </c>
      <c r="V20" s="239" t="n">
        <f aca="false">SUM(V17:V19)</f>
        <v>0</v>
      </c>
      <c r="W20" s="239" t="n">
        <f aca="false">SUM(W17:W19)</f>
        <v>0</v>
      </c>
      <c r="X20" s="239" t="n">
        <f aca="false">SUM(X17:X19)</f>
        <v>0</v>
      </c>
      <c r="Y20" s="239" t="n">
        <f aca="false">SUM(Y17:Y19)</f>
        <v>0</v>
      </c>
      <c r="Z20" s="239" t="n">
        <f aca="false">SUM(Z17:Z19)</f>
        <v>0</v>
      </c>
      <c r="AA20" s="239" t="n">
        <f aca="false">SUM(AA17:AA19)</f>
        <v>5782.77426106475</v>
      </c>
      <c r="AB20" s="239" t="n">
        <f aca="false">SUM(AB17:AB19)</f>
        <v>0</v>
      </c>
      <c r="AC20" s="239" t="n">
        <f aca="false">SUM(AC17:AC19)</f>
        <v>0</v>
      </c>
      <c r="AD20" s="239" t="n">
        <f aca="false">SUM(AD17:AD19)</f>
        <v>0</v>
      </c>
      <c r="AE20" s="239" t="n">
        <f aca="false">SUM(AE17:AE19)</f>
        <v>0</v>
      </c>
      <c r="AF20" s="239" t="n">
        <f aca="false">SUM(AF17:AF19)</f>
        <v>0</v>
      </c>
      <c r="AG20" s="239" t="n">
        <f aca="false">SUM(AG17:AG19)</f>
        <v>5782.77426106475</v>
      </c>
      <c r="AH20" s="239" t="n">
        <f aca="false">SUM(AH17:AH19)</f>
        <v>0</v>
      </c>
      <c r="AI20" s="239" t="n">
        <f aca="false">SUM(AI17:AI19)</f>
        <v>0</v>
      </c>
      <c r="AJ20" s="239" t="n">
        <f aca="false">SUM(AJ17:AJ19)</f>
        <v>0</v>
      </c>
      <c r="AK20" s="239" t="n">
        <f aca="false">SUM(AK17:AK19)</f>
        <v>0</v>
      </c>
      <c r="AL20" s="239" t="n">
        <f aca="false">SUM(AL17:AL19)</f>
        <v>0</v>
      </c>
      <c r="AM20" s="239" t="n">
        <f aca="false">SUM(AM17:AM19)</f>
        <v>5782.77426106475</v>
      </c>
      <c r="AN20" s="239" t="n">
        <f aca="false">SUM(AN17:AN19)</f>
        <v>0</v>
      </c>
      <c r="AO20" s="239" t="n">
        <f aca="false">SUM(AO17:AO19)</f>
        <v>0</v>
      </c>
      <c r="AP20" s="239" t="n">
        <f aca="false">SUM(AP17:AP19)</f>
        <v>0</v>
      </c>
      <c r="AQ20" s="239" t="n">
        <f aca="false">SUM(AQ17:AQ19)</f>
        <v>0</v>
      </c>
      <c r="AR20" s="239" t="n">
        <f aca="false">SUM(AR17:AR19)</f>
        <v>0</v>
      </c>
      <c r="AS20" s="239" t="n">
        <f aca="false">SUM(AS17:AS19)</f>
        <v>5782.77426106475</v>
      </c>
      <c r="AT20" s="239" t="n">
        <f aca="false">SUM(AT17:AT19)</f>
        <v>0</v>
      </c>
      <c r="AU20" s="239" t="n">
        <f aca="false">SUM(AU17:AU19)</f>
        <v>0</v>
      </c>
      <c r="AV20" s="239" t="n">
        <f aca="false">SUM(AV17:AV19)</f>
        <v>0</v>
      </c>
      <c r="AW20" s="239" t="n">
        <f aca="false">SUM(AW17:AW19)</f>
        <v>0</v>
      </c>
      <c r="AX20" s="239" t="n">
        <f aca="false">SUM(AX17:AX19)</f>
        <v>0</v>
      </c>
      <c r="AY20" s="239" t="n">
        <f aca="false">SUM(AY17:AY19)</f>
        <v>5782.77426106475</v>
      </c>
      <c r="AZ20" s="239" t="n">
        <f aca="false">SUM(AZ17:AZ19)</f>
        <v>0</v>
      </c>
      <c r="BA20" s="239" t="n">
        <f aca="false">SUM(BA17:BA19)</f>
        <v>0</v>
      </c>
      <c r="BB20" s="239" t="n">
        <f aca="false">SUM(BB17:BB19)</f>
        <v>0</v>
      </c>
      <c r="BC20" s="239" t="n">
        <f aca="false">SUM(BC17:BC19)</f>
        <v>0</v>
      </c>
      <c r="BD20" s="239" t="n">
        <f aca="false">SUM(BD17:BD19)</f>
        <v>0</v>
      </c>
      <c r="BE20" s="239" t="n">
        <f aca="false">SUM(BE17:BE19)</f>
        <v>5782.77426106475</v>
      </c>
      <c r="BF20" s="239" t="n">
        <f aca="false">SUM(BF17:BF19)</f>
        <v>0</v>
      </c>
      <c r="BG20" s="239" t="n">
        <f aca="false">SUM(BG17:BG19)</f>
        <v>0</v>
      </c>
      <c r="BH20" s="239" t="n">
        <f aca="false">SUM(BH17:BH19)</f>
        <v>0</v>
      </c>
      <c r="BI20" s="239" t="n">
        <f aca="false">SUM(BI17:BI19)</f>
        <v>0</v>
      </c>
      <c r="BJ20" s="239" t="n">
        <f aca="false">SUM(BJ17:BJ19)</f>
        <v>0</v>
      </c>
      <c r="BK20" s="239" t="n">
        <f aca="false">SUM(BK17:BK19)</f>
        <v>5782.77426106475</v>
      </c>
      <c r="BL20" s="239" t="n">
        <f aca="false">SUM(BL17:BL19)</f>
        <v>0</v>
      </c>
      <c r="BM20" s="239" t="n">
        <f aca="false">SUM(BM17:BM19)</f>
        <v>0</v>
      </c>
      <c r="BN20" s="239" t="n">
        <f aca="false">SUM(BN17:BN19)</f>
        <v>0</v>
      </c>
      <c r="BO20" s="239" t="n">
        <f aca="false">SUM(BO17:BO19)</f>
        <v>0</v>
      </c>
      <c r="BP20" s="239" t="n">
        <f aca="false">SUM(BP17:BP19)</f>
        <v>0</v>
      </c>
      <c r="BQ20" s="239" t="n">
        <f aca="false">SUM(BQ17:BQ19)</f>
        <v>5782.77426106475</v>
      </c>
      <c r="BR20" s="239" t="n">
        <f aca="false">SUM(BR17:BR19)</f>
        <v>0</v>
      </c>
      <c r="BS20" s="239" t="n">
        <f aca="false">SUM(BS17:BS19)</f>
        <v>0</v>
      </c>
      <c r="BT20" s="239" t="n">
        <f aca="false">SUM(BT17:BT19)</f>
        <v>0</v>
      </c>
      <c r="BU20" s="239" t="n">
        <f aca="false">SUM(BU17:BU19)</f>
        <v>0</v>
      </c>
      <c r="BV20" s="239" t="n">
        <f aca="false">SUM(BV17:BV19)</f>
        <v>0</v>
      </c>
      <c r="BW20" s="239" t="n">
        <f aca="false">SUM(BW17:BW19)</f>
        <v>5782.77426106475</v>
      </c>
      <c r="BX20" s="239" t="n">
        <f aca="false">SUM(BX17:BX19)</f>
        <v>0</v>
      </c>
      <c r="BY20" s="239" t="n">
        <f aca="false">SUM(BY17:BY19)</f>
        <v>0</v>
      </c>
      <c r="BZ20" s="239" t="n">
        <f aca="false">SUM(BZ17:BZ19)</f>
        <v>0</v>
      </c>
      <c r="CA20" s="239" t="n">
        <f aca="false">SUM(CA17:CA19)</f>
        <v>0</v>
      </c>
      <c r="CB20" s="239" t="n">
        <f aca="false">SUM(CB17:CB19)</f>
        <v>0</v>
      </c>
      <c r="CC20" s="239" t="n">
        <f aca="false">SUM(CC17:CC19)</f>
        <v>5782.77426106475</v>
      </c>
      <c r="CD20" s="239" t="n">
        <f aca="false">SUM(CD17:CD19)</f>
        <v>0</v>
      </c>
      <c r="CE20" s="239" t="n">
        <f aca="false">SUM(CE17:CE19)</f>
        <v>0</v>
      </c>
      <c r="CF20" s="239" t="n">
        <f aca="false">SUM(CF17:CF19)</f>
        <v>0</v>
      </c>
      <c r="CG20" s="239" t="n">
        <f aca="false">SUM(CG17:CG19)</f>
        <v>0</v>
      </c>
      <c r="CH20" s="239" t="n">
        <f aca="false">SUM(CH17:CH19)</f>
        <v>0</v>
      </c>
      <c r="CI20" s="239" t="n">
        <f aca="false">SUM(CI17:CI19)</f>
        <v>5782.77426106475</v>
      </c>
      <c r="CJ20" s="239" t="n">
        <f aca="false">SUM(CJ17:CJ19)</f>
        <v>0</v>
      </c>
      <c r="CK20" s="239" t="n">
        <f aca="false">SUM(CK17:CK19)</f>
        <v>0</v>
      </c>
      <c r="CL20" s="239" t="n">
        <f aca="false">SUM(CL17:CL19)</f>
        <v>0</v>
      </c>
      <c r="CM20" s="239" t="n">
        <f aca="false">SUM(CM17:CM19)</f>
        <v>0</v>
      </c>
      <c r="CN20" s="239" t="n">
        <f aca="false">SUM(CN17:CN19)</f>
        <v>0</v>
      </c>
      <c r="CO20" s="239" t="n">
        <f aca="false">SUM(CO17:CO19)</f>
        <v>5782.77426106475</v>
      </c>
      <c r="CP20" s="239" t="n">
        <f aca="false">SUM(CP17:CP19)</f>
        <v>0</v>
      </c>
      <c r="CQ20" s="239" t="n">
        <f aca="false">SUM(CQ17:CQ19)</f>
        <v>0</v>
      </c>
      <c r="CR20" s="239" t="n">
        <f aca="false">SUM(CR17:CR19)</f>
        <v>0</v>
      </c>
      <c r="CS20" s="239" t="n">
        <f aca="false">SUM(CS17:CS19)</f>
        <v>0</v>
      </c>
      <c r="CT20" s="239" t="n">
        <f aca="false">SUM(CT17:CT19)</f>
        <v>0</v>
      </c>
      <c r="CU20" s="239" t="n">
        <f aca="false">SUM(CU17:CU19)</f>
        <v>5782.77426106475</v>
      </c>
      <c r="CV20" s="239" t="n">
        <f aca="false">SUM(CV17:CV19)</f>
        <v>0</v>
      </c>
      <c r="CW20" s="239" t="n">
        <f aca="false">SUM(CW17:CW19)</f>
        <v>0</v>
      </c>
      <c r="CX20" s="239" t="n">
        <f aca="false">SUM(CX17:CX19)</f>
        <v>0</v>
      </c>
      <c r="CY20" s="239" t="n">
        <f aca="false">SUM(CY17:CY19)</f>
        <v>0</v>
      </c>
      <c r="CZ20" s="239" t="n">
        <f aca="false">SUM(CZ17:CZ19)</f>
        <v>0</v>
      </c>
      <c r="DA20" s="239" t="n">
        <f aca="false">SUM(DA17:DA19)</f>
        <v>5782.77426106475</v>
      </c>
      <c r="DB20" s="239" t="n">
        <f aca="false">SUM(DB17:DB19)</f>
        <v>0</v>
      </c>
      <c r="DC20" s="239" t="n">
        <f aca="false">SUM(DC17:DC19)</f>
        <v>0</v>
      </c>
      <c r="DD20" s="239" t="n">
        <f aca="false">SUM(DD17:DD19)</f>
        <v>0</v>
      </c>
      <c r="DE20" s="239" t="n">
        <f aca="false">SUM(DE17:DE19)</f>
        <v>0</v>
      </c>
      <c r="DF20" s="239" t="n">
        <f aca="false">SUM(DF17:DF19)</f>
        <v>0</v>
      </c>
      <c r="DG20" s="239" t="n">
        <f aca="false">SUM(DG17:DG19)</f>
        <v>5782.77426106475</v>
      </c>
      <c r="DH20" s="239" t="n">
        <f aca="false">SUM(DH17:DH19)</f>
        <v>0</v>
      </c>
      <c r="DI20" s="239" t="n">
        <f aca="false">SUM(DI17:DI19)</f>
        <v>0</v>
      </c>
      <c r="DJ20" s="239" t="n">
        <f aca="false">SUM(DJ17:DJ19)</f>
        <v>0</v>
      </c>
      <c r="DK20" s="239" t="n">
        <f aca="false">SUM(DK17:DK19)</f>
        <v>0</v>
      </c>
      <c r="DL20" s="239" t="n">
        <f aca="false">SUM(DL17:DL19)</f>
        <v>0</v>
      </c>
      <c r="DM20" s="239" t="n">
        <f aca="false">SUM(DM17:DM19)</f>
        <v>5782.77426106475</v>
      </c>
      <c r="DN20" s="239" t="n">
        <f aca="false">SUM(DN17:DN19)</f>
        <v>0</v>
      </c>
      <c r="DO20" s="239" t="n">
        <f aca="false">SUM(DO17:DO19)</f>
        <v>0</v>
      </c>
      <c r="DP20" s="239" t="n">
        <f aca="false">SUM(DP17:DP19)</f>
        <v>0</v>
      </c>
      <c r="DQ20" s="239" t="n">
        <f aca="false">SUM(DQ17:DQ19)</f>
        <v>0</v>
      </c>
      <c r="DR20" s="239" t="n">
        <f aca="false">SUM(DR17:DR19)</f>
        <v>0</v>
      </c>
      <c r="DS20" s="239" t="n">
        <f aca="false">SUM(DS17:DS19)</f>
        <v>5782.77426106475</v>
      </c>
      <c r="DT20" s="239" t="n">
        <f aca="false">SUM(DT17:DT19)</f>
        <v>0</v>
      </c>
      <c r="DU20" s="239" t="n">
        <f aca="false">SUM(DU17:DU19)</f>
        <v>0</v>
      </c>
      <c r="DV20" s="239" t="n">
        <f aca="false">SUM(DV17:DV19)</f>
        <v>0</v>
      </c>
      <c r="DW20" s="239" t="n">
        <f aca="false">SUM(DW17:DW19)</f>
        <v>0</v>
      </c>
      <c r="DX20" s="239" t="n">
        <f aca="false">SUM(DX17:DX19)</f>
        <v>0</v>
      </c>
      <c r="DY20" s="239" t="n">
        <f aca="false">SUM(DY17:DY19)</f>
        <v>5782.77426106475</v>
      </c>
      <c r="DZ20" s="239" t="n">
        <f aca="false">SUM(DZ17:DZ19)</f>
        <v>0</v>
      </c>
      <c r="EA20" s="239" t="n">
        <f aca="false">SUM(EA17:EA19)</f>
        <v>0</v>
      </c>
      <c r="EB20" s="239" t="n">
        <f aca="false">SUM(EB17:EB19)</f>
        <v>0</v>
      </c>
      <c r="EC20" s="239" t="n">
        <f aca="false">SUM(EC17:EC19)</f>
        <v>0</v>
      </c>
      <c r="ED20" s="239" t="n">
        <f aca="false">SUM(ED17:ED19)</f>
        <v>0</v>
      </c>
      <c r="EE20" s="239" t="n">
        <f aca="false">SUM(EE17:EE19)</f>
        <v>5782.77426106475</v>
      </c>
      <c r="EF20" s="239" t="n">
        <f aca="false">SUM(EF17:EF19)</f>
        <v>0</v>
      </c>
      <c r="EG20" s="239" t="n">
        <f aca="false">SUM(EG17:EG19)</f>
        <v>0</v>
      </c>
      <c r="EH20" s="239" t="n">
        <f aca="false">SUM(EH17:EH19)</f>
        <v>0</v>
      </c>
      <c r="EI20" s="239" t="n">
        <f aca="false">SUM(EI17:EI19)</f>
        <v>0</v>
      </c>
      <c r="EJ20" s="239" t="n">
        <f aca="false">SUM(EJ17:EJ19)</f>
        <v>0</v>
      </c>
      <c r="EK20" s="239" t="n">
        <f aca="false">SUM(EK17:EK19)</f>
        <v>5782.77426106475</v>
      </c>
      <c r="EL20" s="239" t="n">
        <f aca="false">SUM(EL17:EL19)</f>
        <v>0</v>
      </c>
      <c r="EM20" s="239" t="n">
        <f aca="false">SUM(EM17:EM19)</f>
        <v>0</v>
      </c>
      <c r="EN20" s="239" t="n">
        <f aca="false">SUM(EN17:EN19)</f>
        <v>0</v>
      </c>
      <c r="EO20" s="239" t="n">
        <f aca="false">SUM(EO17:EO19)</f>
        <v>0</v>
      </c>
      <c r="EP20" s="239" t="n">
        <f aca="false">SUM(EP17:EP19)</f>
        <v>0</v>
      </c>
      <c r="EQ20" s="239" t="n">
        <f aca="false">SUM(EQ17:EQ19)</f>
        <v>5782.77426106475</v>
      </c>
      <c r="ER20" s="239" t="n">
        <f aca="false">SUM(ER17:ER19)</f>
        <v>0</v>
      </c>
      <c r="ES20" s="239" t="n">
        <f aca="false">SUM(ES17:ES19)</f>
        <v>0</v>
      </c>
      <c r="ET20" s="239" t="n">
        <f aca="false">SUM(ET17:ET19)</f>
        <v>0</v>
      </c>
      <c r="EU20" s="239" t="n">
        <f aca="false">SUM(EU17:EU19)</f>
        <v>0</v>
      </c>
      <c r="EV20" s="239" t="n">
        <f aca="false">SUM(EV17:EV19)</f>
        <v>0</v>
      </c>
      <c r="EW20" s="239" t="n">
        <f aca="false">SUM(EW17:EW19)</f>
        <v>5782.77426106475</v>
      </c>
      <c r="EX20" s="239" t="n">
        <f aca="false">SUM(EX17:EX19)</f>
        <v>0</v>
      </c>
      <c r="EY20" s="239" t="n">
        <f aca="false">SUM(EY17:EY19)</f>
        <v>0</v>
      </c>
      <c r="EZ20" s="239" t="n">
        <f aca="false">SUM(EZ17:EZ19)</f>
        <v>0</v>
      </c>
      <c r="FA20" s="239" t="n">
        <f aca="false">SUM(FA17:FA19)</f>
        <v>0</v>
      </c>
      <c r="FB20" s="239" t="n">
        <f aca="false">SUM(FB17:FB19)</f>
        <v>0</v>
      </c>
      <c r="FC20" s="239" t="n">
        <f aca="false">SUM(FC17:FC19)</f>
        <v>5782.77426106475</v>
      </c>
      <c r="FD20" s="239" t="n">
        <f aca="false">SUM(FD17:FD19)</f>
        <v>0</v>
      </c>
      <c r="FE20" s="239" t="n">
        <f aca="false">SUM(FE17:FE19)</f>
        <v>0</v>
      </c>
      <c r="FF20" s="239" t="n">
        <f aca="false">SUM(FF17:FF19)</f>
        <v>0</v>
      </c>
      <c r="FG20" s="239" t="n">
        <f aca="false">SUM(FG17:FG19)</f>
        <v>0</v>
      </c>
      <c r="FH20" s="239" t="n">
        <f aca="false">SUM(FH17:FH19)</f>
        <v>0</v>
      </c>
      <c r="FI20" s="239" t="n">
        <f aca="false">SUM(FI17:FI19)</f>
        <v>5782.77426106475</v>
      </c>
      <c r="FJ20" s="239" t="n">
        <f aca="false">SUM(FJ17:FJ19)</f>
        <v>0</v>
      </c>
      <c r="FK20" s="239" t="n">
        <f aca="false">SUM(FK17:FK19)</f>
        <v>0</v>
      </c>
      <c r="FL20" s="239" t="n">
        <f aca="false">SUM(FL17:FL19)</f>
        <v>0</v>
      </c>
      <c r="FM20" s="239" t="n">
        <f aca="false">SUM(FM17:FM19)</f>
        <v>0</v>
      </c>
      <c r="FN20" s="239" t="n">
        <f aca="false">SUM(FN17:FN19)</f>
        <v>0</v>
      </c>
      <c r="FO20" s="239" t="n">
        <f aca="false">SUM(FO17:FO19)</f>
        <v>5782.77426106475</v>
      </c>
      <c r="FP20" s="239" t="n">
        <f aca="false">SUM(FP17:FP19)</f>
        <v>0</v>
      </c>
      <c r="FQ20" s="239" t="n">
        <f aca="false">SUM(FQ17:FQ19)</f>
        <v>0</v>
      </c>
      <c r="FR20" s="239" t="n">
        <f aca="false">SUM(FR17:FR19)</f>
        <v>0</v>
      </c>
      <c r="FS20" s="239" t="n">
        <f aca="false">SUM(FS17:FS19)</f>
        <v>0</v>
      </c>
      <c r="FT20" s="239" t="n">
        <f aca="false">SUM(FT17:FT19)</f>
        <v>0</v>
      </c>
      <c r="FU20" s="239" t="n">
        <f aca="false">SUM(FU17:FU19)</f>
        <v>5782.77426106475</v>
      </c>
      <c r="FV20" s="239" t="n">
        <f aca="false">SUM(FV17:FV19)</f>
        <v>0</v>
      </c>
      <c r="FW20" s="239" t="n">
        <f aca="false">SUM(FW17:FW19)</f>
        <v>0</v>
      </c>
      <c r="FX20" s="239" t="n">
        <f aca="false">SUM(FX17:FX19)</f>
        <v>0</v>
      </c>
      <c r="FY20" s="239" t="n">
        <f aca="false">SUM(FY17:FY19)</f>
        <v>0</v>
      </c>
      <c r="FZ20" s="239" t="n">
        <f aca="false">SUM(FZ17:FZ19)</f>
        <v>0</v>
      </c>
      <c r="GA20" s="239" t="n">
        <f aca="false">SUM(GA17:GA19)</f>
        <v>5782.77426106475</v>
      </c>
      <c r="GB20" s="239" t="n">
        <f aca="false">SUM(GB17:GB19)</f>
        <v>0</v>
      </c>
      <c r="GC20" s="239" t="n">
        <f aca="false">SUM(GC17:GC19)</f>
        <v>0</v>
      </c>
      <c r="GD20" s="239" t="n">
        <f aca="false">SUM(GD17:GD19)</f>
        <v>0</v>
      </c>
      <c r="GE20" s="239" t="n">
        <f aca="false">SUM(GE17:GE19)</f>
        <v>0</v>
      </c>
      <c r="GF20" s="239" t="n">
        <f aca="false">SUM(GF17:GF19)</f>
        <v>0</v>
      </c>
      <c r="GG20" s="239" t="n">
        <f aca="false">SUM(GG17:GG19)</f>
        <v>5782.77426106475</v>
      </c>
      <c r="GH20" s="242"/>
      <c r="GI20" s="242"/>
      <c r="GJ20" s="242"/>
      <c r="GK20" s="242"/>
      <c r="GL20" s="242"/>
      <c r="GM20" s="242"/>
      <c r="GN20" s="242"/>
      <c r="GO20" s="242"/>
      <c r="GP20" s="242"/>
      <c r="GQ20" s="242"/>
      <c r="GR20" s="242"/>
      <c r="GS20" s="242"/>
      <c r="GT20" s="242"/>
      <c r="GU20" s="242"/>
      <c r="GV20" s="242"/>
      <c r="GW20" s="242"/>
      <c r="GX20" s="242"/>
      <c r="GY20" s="242"/>
      <c r="GZ20" s="242"/>
      <c r="HA20" s="242"/>
      <c r="HB20" s="242"/>
      <c r="HC20" s="242"/>
      <c r="HD20" s="242"/>
      <c r="HE20" s="242"/>
      <c r="HF20" s="242"/>
      <c r="HG20" s="242"/>
      <c r="HH20" s="242"/>
      <c r="HI20" s="242"/>
      <c r="HJ20" s="242"/>
      <c r="HK20" s="242"/>
      <c r="HL20" s="242"/>
      <c r="HM20" s="242"/>
      <c r="HN20" s="242"/>
      <c r="HO20" s="242"/>
      <c r="HP20" s="242"/>
      <c r="HQ20" s="242"/>
      <c r="HR20" s="242"/>
      <c r="HS20" s="242"/>
      <c r="HT20" s="242"/>
      <c r="HU20" s="242"/>
    </row>
    <row r="21" customFormat="false" ht="12.75" hidden="false" customHeight="false" outlineLevel="0" collapsed="false">
      <c r="A21" s="18"/>
      <c r="B21" s="18"/>
      <c r="C21" s="242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42"/>
      <c r="CR21" s="242"/>
      <c r="CS21" s="242"/>
      <c r="CT21" s="242"/>
      <c r="CU21" s="242"/>
      <c r="CV21" s="242"/>
      <c r="CW21" s="242"/>
      <c r="CX21" s="242"/>
      <c r="CY21" s="242"/>
      <c r="CZ21" s="242"/>
      <c r="DA21" s="242"/>
      <c r="DB21" s="242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2"/>
      <c r="EQ21" s="242"/>
      <c r="ER21" s="242"/>
      <c r="ES21" s="242"/>
      <c r="ET21" s="242"/>
      <c r="EU21" s="242"/>
      <c r="EV21" s="242"/>
      <c r="EW21" s="242"/>
      <c r="EX21" s="242"/>
      <c r="EY21" s="242"/>
      <c r="EZ21" s="242"/>
      <c r="FA21" s="242"/>
      <c r="FB21" s="242"/>
      <c r="FC21" s="242"/>
      <c r="FD21" s="242"/>
      <c r="FE21" s="242"/>
      <c r="FF21" s="242"/>
      <c r="FG21" s="242"/>
      <c r="FH21" s="242"/>
      <c r="FI21" s="242"/>
      <c r="FJ21" s="242"/>
      <c r="FK21" s="242"/>
      <c r="FL21" s="242"/>
      <c r="FM21" s="242"/>
      <c r="FN21" s="242"/>
      <c r="FO21" s="242"/>
      <c r="FP21" s="242"/>
      <c r="FQ21" s="242"/>
      <c r="FR21" s="242"/>
      <c r="FS21" s="242"/>
      <c r="FT21" s="242"/>
      <c r="FU21" s="242"/>
      <c r="FV21" s="242"/>
      <c r="FW21" s="242"/>
      <c r="FX21" s="242"/>
      <c r="FY21" s="242"/>
      <c r="FZ21" s="242"/>
      <c r="GA21" s="242"/>
      <c r="GB21" s="242"/>
      <c r="GC21" s="242"/>
      <c r="GD21" s="242"/>
      <c r="GE21" s="242"/>
      <c r="GF21" s="242"/>
      <c r="GG21" s="242"/>
      <c r="GH21" s="242"/>
      <c r="GI21" s="242"/>
      <c r="GJ21" s="242"/>
      <c r="GK21" s="242"/>
      <c r="GL21" s="242"/>
      <c r="GM21" s="242"/>
      <c r="GN21" s="242"/>
      <c r="GO21" s="242"/>
      <c r="GP21" s="242"/>
      <c r="GQ21" s="242"/>
      <c r="GR21" s="242"/>
      <c r="GS21" s="242"/>
      <c r="GT21" s="242"/>
      <c r="GU21" s="242"/>
      <c r="GV21" s="242"/>
      <c r="GW21" s="242"/>
      <c r="GX21" s="242"/>
      <c r="GY21" s="242"/>
      <c r="GZ21" s="242"/>
      <c r="HA21" s="242"/>
      <c r="HB21" s="242"/>
      <c r="HC21" s="242"/>
      <c r="HD21" s="242"/>
      <c r="HE21" s="242"/>
      <c r="HF21" s="242"/>
      <c r="HG21" s="242"/>
      <c r="HH21" s="242"/>
      <c r="HI21" s="242"/>
      <c r="HJ21" s="242"/>
      <c r="HK21" s="242"/>
      <c r="HL21" s="242"/>
      <c r="HM21" s="242"/>
      <c r="HN21" s="242"/>
      <c r="HO21" s="242"/>
      <c r="HP21" s="242"/>
      <c r="HQ21" s="242"/>
      <c r="HR21" s="242"/>
      <c r="HS21" s="242"/>
      <c r="HT21" s="242"/>
      <c r="HU21" s="242"/>
    </row>
    <row r="22" customFormat="false" ht="12.75" hidden="false" customHeight="false" outlineLevel="0" collapsed="false">
      <c r="A22" s="248"/>
      <c r="B22" s="248"/>
      <c r="C22" s="242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2"/>
      <c r="GC22" s="242"/>
      <c r="GD22" s="242"/>
      <c r="GE22" s="242"/>
      <c r="GF22" s="242"/>
      <c r="GG22" s="242"/>
      <c r="GH22" s="242"/>
      <c r="GI22" s="242"/>
      <c r="GJ22" s="242"/>
      <c r="GK22" s="242"/>
      <c r="GL22" s="242"/>
      <c r="GM22" s="242"/>
      <c r="GN22" s="242"/>
      <c r="GO22" s="242"/>
      <c r="GP22" s="242"/>
      <c r="GQ22" s="242"/>
      <c r="GR22" s="242"/>
      <c r="GS22" s="242"/>
      <c r="GT22" s="242"/>
      <c r="GU22" s="242"/>
      <c r="GV22" s="242"/>
      <c r="GW22" s="242"/>
      <c r="GX22" s="242"/>
      <c r="GY22" s="242"/>
      <c r="GZ22" s="242"/>
      <c r="HA22" s="242"/>
      <c r="HB22" s="242"/>
      <c r="HC22" s="242"/>
      <c r="HD22" s="242"/>
      <c r="HE22" s="242"/>
      <c r="HF22" s="242"/>
      <c r="HG22" s="242"/>
      <c r="HH22" s="242"/>
      <c r="HI22" s="242"/>
      <c r="HJ22" s="242"/>
      <c r="HK22" s="242"/>
      <c r="HL22" s="242"/>
      <c r="HM22" s="242"/>
      <c r="HN22" s="242"/>
      <c r="HO22" s="242"/>
      <c r="HP22" s="242"/>
      <c r="HQ22" s="242"/>
      <c r="HR22" s="242"/>
      <c r="HS22" s="242"/>
      <c r="HT22" s="242"/>
      <c r="HU22" s="242"/>
    </row>
    <row r="23" customFormat="false" ht="12.75" hidden="false" customHeight="false" outlineLevel="0" collapsed="false">
      <c r="A23" s="245" t="s">
        <v>392</v>
      </c>
      <c r="B23" s="245"/>
      <c r="C23" s="242"/>
      <c r="D23" s="239" t="n">
        <f aca="false">D13-D20</f>
        <v>250.627154004107</v>
      </c>
      <c r="E23" s="239" t="n">
        <f aca="false">D23+E13-E20</f>
        <v>728.281154004107</v>
      </c>
      <c r="F23" s="239" t="n">
        <f aca="false">E23+F13-F20</f>
        <v>1428.69215400411</v>
      </c>
      <c r="G23" s="239" t="n">
        <f aca="false">F23+G13-G20</f>
        <v>1428.69215400411</v>
      </c>
      <c r="H23" s="239" t="n">
        <f aca="false">G23+H13-H20</f>
        <v>2160.10315400411</v>
      </c>
      <c r="I23" s="239" t="n">
        <f aca="false">H23+I13-I20</f>
        <v>1595.92198064659</v>
      </c>
      <c r="J23" s="239" t="n">
        <f aca="false">I23+J13-J20</f>
        <v>2583.08998064659</v>
      </c>
      <c r="K23" s="239" t="n">
        <f aca="false">J23+K13-K20</f>
        <v>3570.25798064659</v>
      </c>
      <c r="L23" s="239" t="n">
        <f aca="false">K23+L13-L20</f>
        <v>4557.42598064659</v>
      </c>
      <c r="M23" s="239" t="n">
        <f aca="false">L23+M13-M20</f>
        <v>5544.59398064659</v>
      </c>
      <c r="N23" s="239" t="n">
        <f aca="false">M23+N13-N20</f>
        <v>6531.76198064659</v>
      </c>
      <c r="O23" s="239" t="n">
        <f aca="false">N23+O13-O20</f>
        <v>1736.15571958184</v>
      </c>
      <c r="P23" s="239" t="n">
        <f aca="false">O23+P13-P20</f>
        <v>2723.32371958184</v>
      </c>
      <c r="Q23" s="239" t="n">
        <f aca="false">P23+Q13-Q20</f>
        <v>3710.49171958184</v>
      </c>
      <c r="R23" s="239" t="n">
        <f aca="false">Q23+R13-R20</f>
        <v>4697.65971958184</v>
      </c>
      <c r="S23" s="239" t="n">
        <f aca="false">R23+S13-S20</f>
        <v>5684.82771958184</v>
      </c>
      <c r="T23" s="239" t="n">
        <f aca="false">S23+T13-T20</f>
        <v>6671.99571958184</v>
      </c>
      <c r="U23" s="239" t="n">
        <f aca="false">T23+U13-U20</f>
        <v>1876.3894585171</v>
      </c>
      <c r="V23" s="239" t="n">
        <f aca="false">U23+V13-V20</f>
        <v>2863.5574585171</v>
      </c>
      <c r="W23" s="239" t="n">
        <f aca="false">V23+W13-W20</f>
        <v>3850.7254585171</v>
      </c>
      <c r="X23" s="239" t="n">
        <f aca="false">W23+X13-X20</f>
        <v>4837.8934585171</v>
      </c>
      <c r="Y23" s="239" t="n">
        <f aca="false">X23+Y13-Y20</f>
        <v>5825.0614585171</v>
      </c>
      <c r="Z23" s="239" t="n">
        <f aca="false">Y23+Z13-Z20</f>
        <v>6812.2294585171</v>
      </c>
      <c r="AA23" s="239" t="n">
        <f aca="false">Z23+AA13-AA20</f>
        <v>2016.62319745235</v>
      </c>
      <c r="AB23" s="239" t="n">
        <f aca="false">AA23+AB13-AB20</f>
        <v>3003.79119745235</v>
      </c>
      <c r="AC23" s="239" t="n">
        <f aca="false">AB23+AC13-AC20</f>
        <v>3990.95919745235</v>
      </c>
      <c r="AD23" s="239" t="n">
        <f aca="false">AC23+AD13-AD20</f>
        <v>4978.12719745235</v>
      </c>
      <c r="AE23" s="239" t="n">
        <f aca="false">AD23+AE13-AE20</f>
        <v>5965.29519745235</v>
      </c>
      <c r="AF23" s="239" t="n">
        <f aca="false">AE23+AF13-AF20</f>
        <v>6952.46319745235</v>
      </c>
      <c r="AG23" s="239" t="n">
        <f aca="false">AF23+AG13-AG20</f>
        <v>2156.8569363876</v>
      </c>
      <c r="AH23" s="239" t="n">
        <f aca="false">AG23+AH13-AH20</f>
        <v>3144.0249363876</v>
      </c>
      <c r="AI23" s="239" t="n">
        <f aca="false">AH23+AI13-AI20</f>
        <v>4131.1929363876</v>
      </c>
      <c r="AJ23" s="239" t="n">
        <f aca="false">AI23+AJ13-AJ20</f>
        <v>5118.3609363876</v>
      </c>
      <c r="AK23" s="239" t="n">
        <f aca="false">AJ23+AK13-AK20</f>
        <v>6105.5289363876</v>
      </c>
      <c r="AL23" s="239" t="n">
        <f aca="false">AK23+AL13-AL20</f>
        <v>7092.6969363876</v>
      </c>
      <c r="AM23" s="239" t="n">
        <f aca="false">AL23+AM13-AM20</f>
        <v>2297.09067532286</v>
      </c>
      <c r="AN23" s="239" t="n">
        <f aca="false">AM23+AN13-AN20</f>
        <v>3284.25867532286</v>
      </c>
      <c r="AO23" s="239" t="n">
        <f aca="false">AN23+AO13-AO20</f>
        <v>4271.42667532286</v>
      </c>
      <c r="AP23" s="239" t="n">
        <f aca="false">AO23+AP13-AP20</f>
        <v>5258.59467532286</v>
      </c>
      <c r="AQ23" s="239" t="n">
        <f aca="false">AP23+AQ13-AQ20</f>
        <v>6245.76267532286</v>
      </c>
      <c r="AR23" s="239" t="n">
        <f aca="false">AQ23+AR13-AR20</f>
        <v>7232.93067532286</v>
      </c>
      <c r="AS23" s="239" t="n">
        <f aca="false">AR23+AS13-AS20</f>
        <v>2437.32441425811</v>
      </c>
      <c r="AT23" s="239" t="n">
        <f aca="false">AS23+AT13-AT20</f>
        <v>3424.49241425811</v>
      </c>
      <c r="AU23" s="239" t="n">
        <f aca="false">AT23+AU13-AU20</f>
        <v>4411.66041425811</v>
      </c>
      <c r="AV23" s="239" t="n">
        <f aca="false">AU23+AV13-AV20</f>
        <v>5398.82841425811</v>
      </c>
      <c r="AW23" s="239" t="n">
        <f aca="false">AV23+AW13-AW20</f>
        <v>6385.99641425811</v>
      </c>
      <c r="AX23" s="239" t="n">
        <f aca="false">AW23+AX13-AX20</f>
        <v>7373.16441425811</v>
      </c>
      <c r="AY23" s="239" t="n">
        <f aca="false">AX23+AY13-AY20</f>
        <v>2577.55815319337</v>
      </c>
      <c r="AZ23" s="239" t="n">
        <f aca="false">AY23+AZ13-AZ20</f>
        <v>3564.72615319337</v>
      </c>
      <c r="BA23" s="239" t="n">
        <f aca="false">AZ23+BA13-BA20</f>
        <v>4551.89415319337</v>
      </c>
      <c r="BB23" s="239" t="n">
        <f aca="false">BA23+BB13-BB20</f>
        <v>5539.06215319337</v>
      </c>
      <c r="BC23" s="239" t="n">
        <f aca="false">BB23+BC13-BC20</f>
        <v>6526.23015319337</v>
      </c>
      <c r="BD23" s="239" t="n">
        <f aca="false">BC23+BD13-BD20</f>
        <v>7513.39815319337</v>
      </c>
      <c r="BE23" s="239" t="n">
        <f aca="false">BD23+BE13-BE20</f>
        <v>2717.79189212862</v>
      </c>
      <c r="BF23" s="239" t="n">
        <f aca="false">BE23+BF13-BF20</f>
        <v>3704.95989212862</v>
      </c>
      <c r="BG23" s="239" t="n">
        <f aca="false">BF23+BG13-BG20</f>
        <v>4692.12789212862</v>
      </c>
      <c r="BH23" s="239" t="n">
        <f aca="false">BG23+BH13-BH20</f>
        <v>5679.29589212862</v>
      </c>
      <c r="BI23" s="239" t="n">
        <f aca="false">BH23+BI13-BI20</f>
        <v>6666.46389212862</v>
      </c>
      <c r="BJ23" s="239" t="n">
        <f aca="false">BI23+BJ13-BJ20</f>
        <v>7653.63189212862</v>
      </c>
      <c r="BK23" s="239" t="n">
        <f aca="false">BJ23+BK13-BK20</f>
        <v>2858.02563106388</v>
      </c>
      <c r="BL23" s="239" t="n">
        <f aca="false">BK23+BL13-BL20</f>
        <v>3845.19363106388</v>
      </c>
      <c r="BM23" s="239" t="n">
        <f aca="false">BL23+BM13-BM20</f>
        <v>4832.36163106388</v>
      </c>
      <c r="BN23" s="239" t="n">
        <f aca="false">BM23+BN13-BN20</f>
        <v>5819.52963106388</v>
      </c>
      <c r="BO23" s="239" t="n">
        <f aca="false">BN23+BO13-BO20</f>
        <v>6806.69763106388</v>
      </c>
      <c r="BP23" s="239" t="n">
        <f aca="false">BO23+BP13-BP20</f>
        <v>7793.86563106387</v>
      </c>
      <c r="BQ23" s="239" t="n">
        <f aca="false">BP23+BQ13-BQ20</f>
        <v>2998.25936999913</v>
      </c>
      <c r="BR23" s="239" t="n">
        <f aca="false">BQ23+BR13-BR20</f>
        <v>3985.42736999913</v>
      </c>
      <c r="BS23" s="239" t="n">
        <f aca="false">BR23+BS13-BS20</f>
        <v>4972.59536999913</v>
      </c>
      <c r="BT23" s="239" t="n">
        <f aca="false">BS23+BT13-BT20</f>
        <v>5959.76336999913</v>
      </c>
      <c r="BU23" s="239" t="n">
        <f aca="false">BT23+BU13-BU20</f>
        <v>6946.93136999913</v>
      </c>
      <c r="BV23" s="239" t="n">
        <f aca="false">BU23+BV13-BV20</f>
        <v>7934.09936999913</v>
      </c>
      <c r="BW23" s="239" t="n">
        <f aca="false">BV23+BW13-BW20</f>
        <v>3138.49310893438</v>
      </c>
      <c r="BX23" s="239" t="n">
        <f aca="false">BW23+BX13-BX20</f>
        <v>4125.66110893438</v>
      </c>
      <c r="BY23" s="239" t="n">
        <f aca="false">BX23+BY13-BY20</f>
        <v>5112.82910893438</v>
      </c>
      <c r="BZ23" s="239" t="n">
        <f aca="false">BY23+BZ13-BZ20</f>
        <v>6099.99710893438</v>
      </c>
      <c r="CA23" s="239" t="n">
        <f aca="false">BZ23+CA13-CA20</f>
        <v>7087.16510893438</v>
      </c>
      <c r="CB23" s="239" t="n">
        <f aca="false">CA23+CB13-CB20</f>
        <v>8074.33310893438</v>
      </c>
      <c r="CC23" s="239" t="n">
        <f aca="false">CB23+CC13-CC20</f>
        <v>3278.72684786964</v>
      </c>
      <c r="CD23" s="239" t="n">
        <f aca="false">CC23+CD13-CD20</f>
        <v>4265.89484786964</v>
      </c>
      <c r="CE23" s="239" t="n">
        <f aca="false">CD23+CE13-CE20</f>
        <v>5253.06284786964</v>
      </c>
      <c r="CF23" s="239" t="n">
        <f aca="false">CE23+CF13-CF20</f>
        <v>6240.23084786964</v>
      </c>
      <c r="CG23" s="239" t="n">
        <f aca="false">CF23+CG13-CG20</f>
        <v>7227.39884786964</v>
      </c>
      <c r="CH23" s="239" t="n">
        <f aca="false">CG23+CH13-CH20</f>
        <v>8214.56684786964</v>
      </c>
      <c r="CI23" s="239" t="n">
        <f aca="false">CH23+CI13-CI20</f>
        <v>3418.96058680489</v>
      </c>
      <c r="CJ23" s="239" t="n">
        <f aca="false">CI23+CJ13-CJ20</f>
        <v>4406.12858680489</v>
      </c>
      <c r="CK23" s="239" t="n">
        <f aca="false">CJ23+CK13-CK20</f>
        <v>5393.29658680489</v>
      </c>
      <c r="CL23" s="239" t="n">
        <f aca="false">CK23+CL13-CL20</f>
        <v>6380.46458680489</v>
      </c>
      <c r="CM23" s="239" t="n">
        <f aca="false">CL23+CM13-CM20</f>
        <v>7367.63258680489</v>
      </c>
      <c r="CN23" s="239" t="n">
        <f aca="false">CM23+CN13-CN20</f>
        <v>8354.80058680489</v>
      </c>
      <c r="CO23" s="239" t="n">
        <f aca="false">CN23+CO13-CO20</f>
        <v>3559.19432574015</v>
      </c>
      <c r="CP23" s="239" t="n">
        <f aca="false">CO23+CP13-CP20</f>
        <v>4546.36232574015</v>
      </c>
      <c r="CQ23" s="239" t="n">
        <f aca="false">CP23+CQ13-CQ20</f>
        <v>5533.53032574015</v>
      </c>
      <c r="CR23" s="239" t="n">
        <f aca="false">CQ23+CR13-CR20</f>
        <v>6520.69832574015</v>
      </c>
      <c r="CS23" s="239" t="n">
        <f aca="false">CR23+CS13-CS20</f>
        <v>7507.86632574015</v>
      </c>
      <c r="CT23" s="239" t="n">
        <f aca="false">CS23+CT13-CT20</f>
        <v>8495.03432574015</v>
      </c>
      <c r="CU23" s="239" t="n">
        <f aca="false">CT23+CU13-CU20</f>
        <v>3699.4280646754</v>
      </c>
      <c r="CV23" s="239" t="n">
        <f aca="false">CU23+CV13-CV20</f>
        <v>4686.5960646754</v>
      </c>
      <c r="CW23" s="239" t="n">
        <f aca="false">CV23+CW13-CW20</f>
        <v>5673.7640646754</v>
      </c>
      <c r="CX23" s="239" t="n">
        <f aca="false">CW23+CX13-CX20</f>
        <v>6660.9320646754</v>
      </c>
      <c r="CY23" s="239" t="n">
        <f aca="false">CX23+CY13-CY20</f>
        <v>7648.1000646754</v>
      </c>
      <c r="CZ23" s="239" t="n">
        <f aca="false">CY23+CZ13-CZ20</f>
        <v>8635.2680646754</v>
      </c>
      <c r="DA23" s="239" t="n">
        <f aca="false">CZ23+DA13-DA20</f>
        <v>3839.66180361065</v>
      </c>
      <c r="DB23" s="239" t="n">
        <f aca="false">DA23+DB13-DB20</f>
        <v>4826.82980361065</v>
      </c>
      <c r="DC23" s="239" t="n">
        <f aca="false">DB23+DC13-DC20</f>
        <v>5813.99780361065</v>
      </c>
      <c r="DD23" s="239" t="n">
        <f aca="false">DC23+DD13-DD20</f>
        <v>6801.16580361065</v>
      </c>
      <c r="DE23" s="239" t="n">
        <f aca="false">DD23+DE13-DE20</f>
        <v>7788.33380361065</v>
      </c>
      <c r="DF23" s="239" t="n">
        <f aca="false">DE23+DF13-DF20</f>
        <v>8775.50180361065</v>
      </c>
      <c r="DG23" s="239" t="n">
        <f aca="false">DF23+DG13-DG20</f>
        <v>3979.89554254591</v>
      </c>
      <c r="DH23" s="239" t="n">
        <f aca="false">DG23+DH13-DH20</f>
        <v>4967.06354254591</v>
      </c>
      <c r="DI23" s="239" t="n">
        <f aca="false">DH23+DI13-DI20</f>
        <v>5954.23154254591</v>
      </c>
      <c r="DJ23" s="239" t="n">
        <f aca="false">DI23+DJ13-DJ20</f>
        <v>6941.39954254591</v>
      </c>
      <c r="DK23" s="239" t="n">
        <f aca="false">DJ23+DK13-DK20</f>
        <v>7928.56754254591</v>
      </c>
      <c r="DL23" s="239" t="n">
        <f aca="false">DK23+DL13-DL20</f>
        <v>8915.73554254591</v>
      </c>
      <c r="DM23" s="239" t="n">
        <f aca="false">DL23+DM13-DM20</f>
        <v>4120.12928148116</v>
      </c>
      <c r="DN23" s="239" t="n">
        <f aca="false">DM23+DN13-DN20</f>
        <v>5107.29728148116</v>
      </c>
      <c r="DO23" s="239" t="n">
        <f aca="false">DN23+DO13-DO20</f>
        <v>6094.46528148116</v>
      </c>
      <c r="DP23" s="239" t="n">
        <f aca="false">DO23+DP13-DP20</f>
        <v>7081.63328148116</v>
      </c>
      <c r="DQ23" s="239" t="n">
        <f aca="false">DP23+DQ13-DQ20</f>
        <v>8068.80128148116</v>
      </c>
      <c r="DR23" s="239" t="n">
        <f aca="false">DQ23+DR13-DR20</f>
        <v>9055.96928148116</v>
      </c>
      <c r="DS23" s="239" t="n">
        <f aca="false">DR23+DS13-DS20</f>
        <v>4260.36302041642</v>
      </c>
      <c r="DT23" s="239" t="n">
        <f aca="false">DS23+DT13-DT20</f>
        <v>5247.53102041642</v>
      </c>
      <c r="DU23" s="239" t="n">
        <f aca="false">DT23+DU13-DU20</f>
        <v>6234.69902041642</v>
      </c>
      <c r="DV23" s="239" t="n">
        <f aca="false">DU23+DV13-DV20</f>
        <v>7221.86702041642</v>
      </c>
      <c r="DW23" s="239" t="n">
        <f aca="false">DV23+DW13-DW20</f>
        <v>8209.03502041642</v>
      </c>
      <c r="DX23" s="239" t="n">
        <f aca="false">DW23+DX13-DX20</f>
        <v>9196.20302041642</v>
      </c>
      <c r="DY23" s="239" t="n">
        <f aca="false">DX23+DY13-DY20</f>
        <v>4400.59675935167</v>
      </c>
      <c r="DZ23" s="239" t="n">
        <f aca="false">DY23+DZ13-DZ20</f>
        <v>5387.76475935167</v>
      </c>
      <c r="EA23" s="239" t="n">
        <f aca="false">DZ23+EA13-EA20</f>
        <v>6374.93275935167</v>
      </c>
      <c r="EB23" s="239" t="n">
        <f aca="false">EA23+EB13-EB20</f>
        <v>7362.10075935167</v>
      </c>
      <c r="EC23" s="239" t="n">
        <f aca="false">EB23+EC13-EC20</f>
        <v>8349.26875935167</v>
      </c>
      <c r="ED23" s="239" t="n">
        <f aca="false">EC23+ED13-ED20</f>
        <v>9336.43675935167</v>
      </c>
      <c r="EE23" s="239" t="n">
        <f aca="false">ED23+EE13-EE20</f>
        <v>4540.83049828693</v>
      </c>
      <c r="EF23" s="239" t="n">
        <f aca="false">EE23+EF13-EF20</f>
        <v>5527.99849828693</v>
      </c>
      <c r="EG23" s="239" t="n">
        <f aca="false">EF23+EG13-EG20</f>
        <v>6515.16649828693</v>
      </c>
      <c r="EH23" s="239" t="n">
        <f aca="false">EG23+EH13-EH20</f>
        <v>7502.33449828693</v>
      </c>
      <c r="EI23" s="239" t="n">
        <f aca="false">EH23+EI13-EI20</f>
        <v>8489.50249828693</v>
      </c>
      <c r="EJ23" s="239" t="n">
        <f aca="false">EI23+EJ13-EJ20</f>
        <v>9476.67049828693</v>
      </c>
      <c r="EK23" s="239" t="n">
        <f aca="false">EJ23+EK13-EK20</f>
        <v>4681.06423722218</v>
      </c>
      <c r="EL23" s="239" t="n">
        <f aca="false">EK23+EL13-EL20</f>
        <v>5668.23223722218</v>
      </c>
      <c r="EM23" s="239" t="n">
        <f aca="false">EL23+EM13-EM20</f>
        <v>6655.40023722218</v>
      </c>
      <c r="EN23" s="239" t="n">
        <f aca="false">EM23+EN13-EN20</f>
        <v>7642.56823722218</v>
      </c>
      <c r="EO23" s="239" t="n">
        <f aca="false">EN23+EO13-EO20</f>
        <v>8629.73623722218</v>
      </c>
      <c r="EP23" s="239" t="n">
        <f aca="false">EO23+EP13-EP20</f>
        <v>9616.90423722218</v>
      </c>
      <c r="EQ23" s="239" t="n">
        <f aca="false">EP23+EQ13-EQ20</f>
        <v>4821.29797615743</v>
      </c>
      <c r="ER23" s="239" t="n">
        <f aca="false">EQ23+ER13-ER20</f>
        <v>5808.46597615743</v>
      </c>
      <c r="ES23" s="239" t="n">
        <f aca="false">ER23+ES13-ES20</f>
        <v>6795.63397615743</v>
      </c>
      <c r="ET23" s="239" t="n">
        <f aca="false">ES23+ET13-ET20</f>
        <v>7782.80197615743</v>
      </c>
      <c r="EU23" s="239" t="n">
        <f aca="false">ET23+EU13-EU20</f>
        <v>8769.96997615743</v>
      </c>
      <c r="EV23" s="239" t="n">
        <f aca="false">EU23+EV13-EV20</f>
        <v>9757.13797615743</v>
      </c>
      <c r="EW23" s="239" t="n">
        <f aca="false">EV23+EW13-EW20</f>
        <v>4961.53171509269</v>
      </c>
      <c r="EX23" s="239" t="n">
        <f aca="false">EW23+EX13-EX20</f>
        <v>5948.69971509269</v>
      </c>
      <c r="EY23" s="239" t="n">
        <f aca="false">EX23+EY13-EY20</f>
        <v>6935.86771509269</v>
      </c>
      <c r="EZ23" s="239" t="n">
        <f aca="false">EY23+EZ13-EZ20</f>
        <v>7923.03571509269</v>
      </c>
      <c r="FA23" s="239" t="n">
        <f aca="false">EZ23+FA13-FA20</f>
        <v>8910.20371509269</v>
      </c>
      <c r="FB23" s="239" t="n">
        <f aca="false">FA23+FB13-FB20</f>
        <v>9897.37171509269</v>
      </c>
      <c r="FC23" s="239" t="n">
        <f aca="false">FB23+FC13-FC20</f>
        <v>5101.76545402794</v>
      </c>
      <c r="FD23" s="239" t="n">
        <f aca="false">FC23+FD13-FD20</f>
        <v>6088.93345402794</v>
      </c>
      <c r="FE23" s="239" t="n">
        <f aca="false">FD23+FE13-FE20</f>
        <v>7076.10145402794</v>
      </c>
      <c r="FF23" s="239" t="n">
        <f aca="false">FE23+FF13-FF20</f>
        <v>8063.26945402794</v>
      </c>
      <c r="FG23" s="239" t="n">
        <f aca="false">FF23+FG13-FG20</f>
        <v>9050.43745402794</v>
      </c>
      <c r="FH23" s="239" t="n">
        <f aca="false">FG23+FH13-FH20</f>
        <v>10037.6054540279</v>
      </c>
      <c r="FI23" s="239" t="n">
        <f aca="false">FH23+FI13-FI20</f>
        <v>5241.9991929632</v>
      </c>
      <c r="FJ23" s="239" t="n">
        <f aca="false">FI23+FJ13-FJ20</f>
        <v>6229.1671929632</v>
      </c>
      <c r="FK23" s="239" t="n">
        <f aca="false">FJ23+FK13-FK20</f>
        <v>7216.3351929632</v>
      </c>
      <c r="FL23" s="239" t="n">
        <f aca="false">FK23+FL13-FL20</f>
        <v>8203.5031929632</v>
      </c>
      <c r="FM23" s="239" t="n">
        <f aca="false">FL23+FM13-FM20</f>
        <v>9190.6711929632</v>
      </c>
      <c r="FN23" s="239" t="n">
        <f aca="false">FM23+FN13-FN20</f>
        <v>10177.8391929632</v>
      </c>
      <c r="FO23" s="239" t="n">
        <f aca="false">FN23+FO13-FO20</f>
        <v>5382.23293189845</v>
      </c>
      <c r="FP23" s="239" t="n">
        <f aca="false">FO23+FP13-FP20</f>
        <v>6369.40093189845</v>
      </c>
      <c r="FQ23" s="239" t="n">
        <f aca="false">FP23+FQ13-FQ20</f>
        <v>7356.56893189845</v>
      </c>
      <c r="FR23" s="239" t="n">
        <f aca="false">FQ23+FR13-FR20</f>
        <v>8343.73693189845</v>
      </c>
      <c r="FS23" s="239" t="n">
        <f aca="false">FR23+FS13-FS20</f>
        <v>9330.90493189845</v>
      </c>
      <c r="FT23" s="239" t="n">
        <f aca="false">FS23+FT13-FT20</f>
        <v>10318.0729318985</v>
      </c>
      <c r="FU23" s="239" t="n">
        <f aca="false">FT23+FU13-FU20</f>
        <v>5522.46667083371</v>
      </c>
      <c r="FV23" s="239" t="n">
        <f aca="false">FU23+FV13-FV20</f>
        <v>6509.63467083371</v>
      </c>
      <c r="FW23" s="239" t="n">
        <f aca="false">FV23+FW13-FW20</f>
        <v>7496.80267083371</v>
      </c>
      <c r="FX23" s="239" t="n">
        <f aca="false">FW23+FX13-FX20</f>
        <v>8483.97067083371</v>
      </c>
      <c r="FY23" s="239" t="n">
        <f aca="false">FX23+FY13-FY20</f>
        <v>9471.13867083371</v>
      </c>
      <c r="FZ23" s="239" t="n">
        <f aca="false">FY23+FZ13-FZ20</f>
        <v>10458.3066708337</v>
      </c>
      <c r="GA23" s="239" t="n">
        <f aca="false">FZ23+GA13-GA20</f>
        <v>5662.70040976896</v>
      </c>
      <c r="GB23" s="239" t="n">
        <f aca="false">GA23+GB13-GB20</f>
        <v>6649.86840976896</v>
      </c>
      <c r="GC23" s="239" t="n">
        <f aca="false">GB23+GC13-GC20</f>
        <v>7637.03640976896</v>
      </c>
      <c r="GD23" s="239" t="n">
        <f aca="false">GC23+GD13-GD20</f>
        <v>8624.20440976896</v>
      </c>
      <c r="GE23" s="239" t="n">
        <f aca="false">GD23+GE13-GE20</f>
        <v>9611.37240976896</v>
      </c>
      <c r="GF23" s="239" t="n">
        <f aca="false">GE23+GF13-GF20</f>
        <v>10598.540409769</v>
      </c>
      <c r="GG23" s="239" t="n">
        <f aca="false">GF23+GG13-GG20</f>
        <v>5802.93414870421</v>
      </c>
      <c r="GH23" s="242"/>
      <c r="GI23" s="242"/>
      <c r="GJ23" s="242"/>
      <c r="GK23" s="242"/>
      <c r="GL23" s="242"/>
      <c r="GM23" s="242"/>
      <c r="GN23" s="242"/>
      <c r="GO23" s="242"/>
      <c r="GP23" s="242"/>
      <c r="GQ23" s="242"/>
      <c r="GR23" s="242"/>
      <c r="GS23" s="242"/>
      <c r="GT23" s="242"/>
      <c r="GU23" s="242"/>
      <c r="GV23" s="242"/>
      <c r="GW23" s="242"/>
      <c r="GX23" s="242"/>
      <c r="GY23" s="242"/>
      <c r="GZ23" s="242"/>
      <c r="HA23" s="242"/>
      <c r="HB23" s="242"/>
      <c r="HC23" s="242"/>
      <c r="HD23" s="242"/>
      <c r="HE23" s="242"/>
      <c r="HF23" s="242"/>
      <c r="HG23" s="242"/>
      <c r="HH23" s="242"/>
      <c r="HI23" s="242"/>
      <c r="HJ23" s="242"/>
      <c r="HK23" s="242"/>
      <c r="HL23" s="242"/>
      <c r="HM23" s="242"/>
      <c r="HN23" s="242"/>
      <c r="HO23" s="242"/>
      <c r="HP23" s="242"/>
      <c r="HQ23" s="242"/>
      <c r="HR23" s="242"/>
      <c r="HS23" s="242"/>
      <c r="HT23" s="242"/>
      <c r="HU23" s="242"/>
    </row>
    <row r="26" customFormat="false" ht="12.75" hidden="false" customHeight="false" outlineLevel="0" collapsed="false">
      <c r="A26" s="320"/>
      <c r="B26" s="320" t="n">
        <f aca="false">+MIN(D26:IV26)</f>
        <v>1.30022885922961</v>
      </c>
      <c r="D26" s="320" t="str">
        <f aca="false">IF(D19&gt;0,(C23+D13)/D20,"")</f>
        <v/>
      </c>
      <c r="E26" s="320" t="str">
        <f aca="false">IF(E19&gt;0,(D23+E13)/E20,"")</f>
        <v/>
      </c>
      <c r="F26" s="320" t="str">
        <f aca="false">IF(F19&gt;0,(E23+F13)/F20,"")</f>
        <v/>
      </c>
      <c r="G26" s="320" t="str">
        <f aca="false">IF(G19&gt;0,(F23+G13)/G20,"")</f>
        <v/>
      </c>
      <c r="H26" s="320" t="str">
        <f aca="false">IF(H19&gt;0,(G23+H13)/H20,"")</f>
        <v/>
      </c>
      <c r="I26" s="320" t="str">
        <f aca="false">IF(I19&gt;0,(H23+I13)/I20,"")</f>
        <v/>
      </c>
      <c r="J26" s="320" t="str">
        <f aca="false">IF(J19&gt;0,(I23+J13)/J20,"")</f>
        <v/>
      </c>
      <c r="K26" s="320" t="str">
        <f aca="false">IF(K19&gt;0,(J23+K13)/K20,"")</f>
        <v/>
      </c>
      <c r="L26" s="320" t="str">
        <f aca="false">IF(L19&gt;0,(K23+L13)/L20,"")</f>
        <v/>
      </c>
      <c r="M26" s="320" t="str">
        <f aca="false">IF(M19&gt;0,(L23+M13)/M20,"")</f>
        <v/>
      </c>
      <c r="N26" s="320" t="str">
        <f aca="false">IF(N19&gt;0,(M23+N13)/N20,"")</f>
        <v/>
      </c>
      <c r="O26" s="320" t="n">
        <f aca="false">IF(O19&gt;0,(N23+O13)/O20,"")</f>
        <v>1.30022885922961</v>
      </c>
      <c r="P26" s="320" t="str">
        <f aca="false">IF(P19&gt;0,(O23+P13)/P20,"")</f>
        <v/>
      </c>
      <c r="Q26" s="320" t="str">
        <f aca="false">IF(Q19&gt;0,(P23+Q13)/Q20,"")</f>
        <v/>
      </c>
      <c r="R26" s="320" t="str">
        <f aca="false">IF(R19&gt;0,(Q23+R13)/R20,"")</f>
        <v/>
      </c>
      <c r="S26" s="320" t="str">
        <f aca="false">IF(S19&gt;0,(R23+S13)/S20,"")</f>
        <v/>
      </c>
      <c r="T26" s="320" t="str">
        <f aca="false">IF(T19&gt;0,(S23+T13)/T20,"")</f>
        <v/>
      </c>
      <c r="U26" s="320" t="n">
        <f aca="false">IF(U19&gt;0,(T23+U13)/U20,"")</f>
        <v>1.32447911224043</v>
      </c>
      <c r="V26" s="320" t="str">
        <f aca="false">IF(V19&gt;0,(U23+V13)/V20,"")</f>
        <v/>
      </c>
      <c r="W26" s="320" t="str">
        <f aca="false">IF(W19&gt;0,(V23+W13)/W20,"")</f>
        <v/>
      </c>
      <c r="X26" s="320" t="str">
        <f aca="false">IF(X19&gt;0,(W23+X13)/X20,"")</f>
        <v/>
      </c>
      <c r="Y26" s="320" t="str">
        <f aca="false">IF(Y19&gt;0,(X23+Y13)/Y20,"")</f>
        <v/>
      </c>
      <c r="Z26" s="320" t="str">
        <f aca="false">IF(Z19&gt;0,(Y23+Z13)/Z20,"")</f>
        <v/>
      </c>
      <c r="AA26" s="320" t="n">
        <f aca="false">IF(AA19&gt;0,(Z23+AA13)/AA20,"")</f>
        <v>1.34872936525125</v>
      </c>
      <c r="AB26" s="320" t="str">
        <f aca="false">IF(AB19&gt;0,(AA23+AB13)/AB20,"")</f>
        <v/>
      </c>
      <c r="AC26" s="320" t="str">
        <f aca="false">IF(AC19&gt;0,(AB23+AC13)/AC20,"")</f>
        <v/>
      </c>
      <c r="AD26" s="320" t="str">
        <f aca="false">IF(AD19&gt;0,(AC23+AD13)/AD20,"")</f>
        <v/>
      </c>
      <c r="AE26" s="320" t="str">
        <f aca="false">IF(AE19&gt;0,(AD23+AE13)/AE20,"")</f>
        <v/>
      </c>
      <c r="AF26" s="320" t="str">
        <f aca="false">IF(AF19&gt;0,(AE23+AF13)/AF20,"")</f>
        <v/>
      </c>
      <c r="AG26" s="320" t="n">
        <f aca="false">IF(AG19&gt;0,(AF23+AG13)/AG20,"")</f>
        <v>1.37297961826206</v>
      </c>
      <c r="AH26" s="320" t="str">
        <f aca="false">IF(AH19&gt;0,(AG23+AH13)/AH20,"")</f>
        <v/>
      </c>
      <c r="AI26" s="320" t="str">
        <f aca="false">IF(AI19&gt;0,(AH23+AI13)/AI20,"")</f>
        <v/>
      </c>
      <c r="AJ26" s="320" t="str">
        <f aca="false">IF(AJ19&gt;0,(AI23+AJ13)/AJ20,"")</f>
        <v/>
      </c>
      <c r="AK26" s="320" t="str">
        <f aca="false">IF(AK19&gt;0,(AJ23+AK13)/AK20,"")</f>
        <v/>
      </c>
      <c r="AL26" s="320" t="str">
        <f aca="false">IF(AL19&gt;0,(AK23+AL13)/AL20,"")</f>
        <v/>
      </c>
      <c r="AM26" s="320" t="n">
        <f aca="false">IF(AM19&gt;0,(AL23+AM13)/AM20,"")</f>
        <v>1.39722987127288</v>
      </c>
      <c r="AN26" s="320" t="str">
        <f aca="false">IF(AN19&gt;0,(AM23+AN13)/AN20,"")</f>
        <v/>
      </c>
      <c r="AO26" s="320" t="str">
        <f aca="false">IF(AO19&gt;0,(AN23+AO13)/AO20,"")</f>
        <v/>
      </c>
      <c r="AP26" s="320" t="str">
        <f aca="false">IF(AP19&gt;0,(AO23+AP13)/AP20,"")</f>
        <v/>
      </c>
      <c r="AQ26" s="320" t="str">
        <f aca="false">IF(AQ19&gt;0,(AP23+AQ13)/AQ20,"")</f>
        <v/>
      </c>
      <c r="AR26" s="320" t="str">
        <f aca="false">IF(AR19&gt;0,(AQ23+AR13)/AR20,"")</f>
        <v/>
      </c>
      <c r="AS26" s="320" t="n">
        <f aca="false">IF(AS19&gt;0,(AR23+AS13)/AS20,"")</f>
        <v>1.42148012428369</v>
      </c>
      <c r="AT26" s="320" t="str">
        <f aca="false">IF(AT19&gt;0,(AS23+AT13)/AT20,"")</f>
        <v/>
      </c>
      <c r="AU26" s="320" t="str">
        <f aca="false">IF(AU19&gt;0,(AT23+AU13)/AU20,"")</f>
        <v/>
      </c>
      <c r="AV26" s="320" t="str">
        <f aca="false">IF(AV19&gt;0,(AU23+AV13)/AV20,"")</f>
        <v/>
      </c>
      <c r="AW26" s="320" t="str">
        <f aca="false">IF(AW19&gt;0,(AV23+AW13)/AW20,"")</f>
        <v/>
      </c>
      <c r="AX26" s="320" t="str">
        <f aca="false">IF(AX19&gt;0,(AW23+AX13)/AX20,"")</f>
        <v/>
      </c>
      <c r="AY26" s="320" t="n">
        <f aca="false">IF(AY19&gt;0,(AX23+AY13)/AY20,"")</f>
        <v>1.44573037729451</v>
      </c>
      <c r="AZ26" s="320" t="str">
        <f aca="false">IF(AZ19&gt;0,(AY23+AZ13)/AZ20,"")</f>
        <v/>
      </c>
      <c r="BA26" s="320" t="str">
        <f aca="false">IF(BA19&gt;0,(AZ23+BA13)/BA20,"")</f>
        <v/>
      </c>
      <c r="BB26" s="320" t="str">
        <f aca="false">IF(BB19&gt;0,(BA23+BB13)/BB20,"")</f>
        <v/>
      </c>
      <c r="BC26" s="320" t="str">
        <f aca="false">IF(BC19&gt;0,(BB23+BC13)/BC20,"")</f>
        <v/>
      </c>
      <c r="BD26" s="320" t="str">
        <f aca="false">IF(BD19&gt;0,(BC23+BD13)/BD20,"")</f>
        <v/>
      </c>
      <c r="BE26" s="320" t="n">
        <f aca="false">IF(BE19&gt;0,(BD23+BE13)/BE20,"")</f>
        <v>1.46998063030533</v>
      </c>
      <c r="BF26" s="320" t="str">
        <f aca="false">IF(BF19&gt;0,(BE23+BF13)/BF20,"")</f>
        <v/>
      </c>
      <c r="BG26" s="320" t="str">
        <f aca="false">IF(BG19&gt;0,(BF23+BG13)/BG20,"")</f>
        <v/>
      </c>
      <c r="BH26" s="320" t="str">
        <f aca="false">IF(BH19&gt;0,(BG23+BH13)/BH20,"")</f>
        <v/>
      </c>
      <c r="BI26" s="320" t="str">
        <f aca="false">IF(BI19&gt;0,(BH23+BI13)/BI20,"")</f>
        <v/>
      </c>
      <c r="BJ26" s="320" t="str">
        <f aca="false">IF(BJ19&gt;0,(BI23+BJ13)/BJ20,"")</f>
        <v/>
      </c>
      <c r="BK26" s="320" t="n">
        <f aca="false">IF(BK19&gt;0,(BJ23+BK13)/BK20,"")</f>
        <v>1.49423088331614</v>
      </c>
      <c r="BL26" s="320" t="str">
        <f aca="false">IF(BL19&gt;0,(BK23+BL13)/BL20,"")</f>
        <v/>
      </c>
      <c r="BM26" s="320" t="str">
        <f aca="false">IF(BM19&gt;0,(BL23+BM13)/BM20,"")</f>
        <v/>
      </c>
      <c r="BN26" s="320" t="str">
        <f aca="false">IF(BN19&gt;0,(BM23+BN13)/BN20,"")</f>
        <v/>
      </c>
      <c r="BO26" s="320" t="str">
        <f aca="false">IF(BO19&gt;0,(BN23+BO13)/BO20,"")</f>
        <v/>
      </c>
      <c r="BP26" s="320" t="str">
        <f aca="false">IF(BP19&gt;0,(BO23+BP13)/BP20,"")</f>
        <v/>
      </c>
      <c r="BQ26" s="320" t="n">
        <f aca="false">IF(BQ19&gt;0,(BP23+BQ13)/BQ20,"")</f>
        <v>1.51848113632696</v>
      </c>
      <c r="BR26" s="320" t="str">
        <f aca="false">IF(BR19&gt;0,(BQ23+BR13)/BR20,"")</f>
        <v/>
      </c>
      <c r="BS26" s="320" t="str">
        <f aca="false">IF(BS19&gt;0,(BR23+BS13)/BS20,"")</f>
        <v/>
      </c>
      <c r="BT26" s="320" t="str">
        <f aca="false">IF(BT19&gt;0,(BS23+BT13)/BT20,"")</f>
        <v/>
      </c>
      <c r="BU26" s="320" t="str">
        <f aca="false">IF(BU19&gt;0,(BT23+BU13)/BU20,"")</f>
        <v/>
      </c>
      <c r="BV26" s="320" t="str">
        <f aca="false">IF(BV19&gt;0,(BU23+BV13)/BV20,"")</f>
        <v/>
      </c>
      <c r="BW26" s="320" t="n">
        <f aca="false">IF(BW19&gt;0,(BV23+BW13)/BW20,"")</f>
        <v>1.54273138933777</v>
      </c>
      <c r="BX26" s="320" t="str">
        <f aca="false">IF(BX19&gt;0,(BW23+BX13)/BX20,"")</f>
        <v/>
      </c>
      <c r="BY26" s="320" t="str">
        <f aca="false">IF(BY19&gt;0,(BX23+BY13)/BY20,"")</f>
        <v/>
      </c>
      <c r="BZ26" s="320" t="str">
        <f aca="false">IF(BZ19&gt;0,(BY23+BZ13)/BZ20,"")</f>
        <v/>
      </c>
      <c r="CA26" s="320" t="str">
        <f aca="false">IF(CA19&gt;0,(BZ23+CA13)/CA20,"")</f>
        <v/>
      </c>
      <c r="CB26" s="320" t="str">
        <f aca="false">IF(CB19&gt;0,(CA23+CB13)/CB20,"")</f>
        <v/>
      </c>
      <c r="CC26" s="320" t="n">
        <f aca="false">IF(CC19&gt;0,(CB23+CC13)/CC20,"")</f>
        <v>1.56698164234859</v>
      </c>
      <c r="CD26" s="320" t="str">
        <f aca="false">IF(CD19&gt;0,(CC23+CD13)/CD20,"")</f>
        <v/>
      </c>
      <c r="CE26" s="320" t="str">
        <f aca="false">IF(CE19&gt;0,(CD23+CE13)/CE20,"")</f>
        <v/>
      </c>
      <c r="CF26" s="320" t="str">
        <f aca="false">IF(CF19&gt;0,(CE23+CF13)/CF20,"")</f>
        <v/>
      </c>
      <c r="CG26" s="320" t="str">
        <f aca="false">IF(CG19&gt;0,(CF23+CG13)/CG20,"")</f>
        <v/>
      </c>
      <c r="CH26" s="320" t="str">
        <f aca="false">IF(CH19&gt;0,(CG23+CH13)/CH20,"")</f>
        <v/>
      </c>
      <c r="CI26" s="320" t="n">
        <f aca="false">IF(CI19&gt;0,(CH23+CI13)/CI20,"")</f>
        <v>1.59123189535941</v>
      </c>
      <c r="CJ26" s="320" t="str">
        <f aca="false">IF(CJ19&gt;0,(CI23+CJ13)/CJ20,"")</f>
        <v/>
      </c>
      <c r="CK26" s="320" t="str">
        <f aca="false">IF(CK19&gt;0,(CJ23+CK13)/CK20,"")</f>
        <v/>
      </c>
      <c r="CL26" s="320" t="str">
        <f aca="false">IF(CL19&gt;0,(CK23+CL13)/CL20,"")</f>
        <v/>
      </c>
      <c r="CM26" s="320" t="str">
        <f aca="false">IF(CM19&gt;0,(CL23+CM13)/CM20,"")</f>
        <v/>
      </c>
      <c r="CN26" s="320" t="str">
        <f aca="false">IF(CN19&gt;0,(CM23+CN13)/CN20,"")</f>
        <v/>
      </c>
      <c r="CO26" s="320" t="n">
        <f aca="false">IF(CO19&gt;0,(CN23+CO13)/CO20,"")</f>
        <v>1.61548214837022</v>
      </c>
      <c r="CP26" s="320" t="str">
        <f aca="false">IF(CP19&gt;0,(CO23+CP13)/CP20,"")</f>
        <v/>
      </c>
      <c r="CQ26" s="320" t="str">
        <f aca="false">IF(CQ19&gt;0,(CP23+CQ13)/CQ20,"")</f>
        <v/>
      </c>
      <c r="CR26" s="320" t="str">
        <f aca="false">IF(CR19&gt;0,(CQ23+CR13)/CR20,"")</f>
        <v/>
      </c>
      <c r="CS26" s="320" t="str">
        <f aca="false">IF(CS19&gt;0,(CR23+CS13)/CS20,"")</f>
        <v/>
      </c>
      <c r="CT26" s="320" t="str">
        <f aca="false">IF(CT19&gt;0,(CS23+CT13)/CT20,"")</f>
        <v/>
      </c>
      <c r="CU26" s="320" t="n">
        <f aca="false">IF(CU19&gt;0,(CT23+CU13)/CU20,"")</f>
        <v>1.63973240138104</v>
      </c>
      <c r="CV26" s="320" t="str">
        <f aca="false">IF(CV19&gt;0,(CU23+CV13)/CV20,"")</f>
        <v/>
      </c>
      <c r="CW26" s="320" t="str">
        <f aca="false">IF(CW19&gt;0,(CV23+CW13)/CW20,"")</f>
        <v/>
      </c>
      <c r="CX26" s="320" t="str">
        <f aca="false">IF(CX19&gt;0,(CW23+CX13)/CX20,"")</f>
        <v/>
      </c>
      <c r="CY26" s="320" t="str">
        <f aca="false">IF(CY19&gt;0,(CX23+CY13)/CY20,"")</f>
        <v/>
      </c>
      <c r="CZ26" s="320" t="str">
        <f aca="false">IF(CZ19&gt;0,(CY23+CZ13)/CZ20,"")</f>
        <v/>
      </c>
      <c r="DA26" s="320" t="n">
        <f aca="false">IF(DA19&gt;0,(CZ23+DA13)/DA20,"")</f>
        <v>1.66398265439185</v>
      </c>
      <c r="DB26" s="320" t="str">
        <f aca="false">IF(DB19&gt;0,(DA23+DB13)/DB20,"")</f>
        <v/>
      </c>
      <c r="DC26" s="320" t="str">
        <f aca="false">IF(DC19&gt;0,(DB23+DC13)/DC20,"")</f>
        <v/>
      </c>
      <c r="DD26" s="320" t="str">
        <f aca="false">IF(DD19&gt;0,(DC23+DD13)/DD20,"")</f>
        <v/>
      </c>
      <c r="DE26" s="320" t="str">
        <f aca="false">IF(DE19&gt;0,(DD23+DE13)/DE20,"")</f>
        <v/>
      </c>
      <c r="DF26" s="320" t="str">
        <f aca="false">IF(DF19&gt;0,(DE23+DF13)/DF20,"")</f>
        <v/>
      </c>
      <c r="DG26" s="320" t="n">
        <f aca="false">IF(DG19&gt;0,(DF23+DG13)/DG20,"")</f>
        <v>1.68823290740267</v>
      </c>
      <c r="DH26" s="320" t="str">
        <f aca="false">IF(DH19&gt;0,(DG23+DH13)/DH20,"")</f>
        <v/>
      </c>
      <c r="DI26" s="320" t="str">
        <f aca="false">IF(DI19&gt;0,(DH23+DI13)/DI20,"")</f>
        <v/>
      </c>
      <c r="DJ26" s="320" t="str">
        <f aca="false">IF(DJ19&gt;0,(DI23+DJ13)/DJ20,"")</f>
        <v/>
      </c>
      <c r="DK26" s="320" t="str">
        <f aca="false">IF(DK19&gt;0,(DJ23+DK13)/DK20,"")</f>
        <v/>
      </c>
      <c r="DL26" s="320" t="str">
        <f aca="false">IF(DL19&gt;0,(DK23+DL13)/DL20,"")</f>
        <v/>
      </c>
      <c r="DM26" s="320" t="n">
        <f aca="false">IF(DM19&gt;0,(DL23+DM13)/DM20,"")</f>
        <v>1.71248316041348</v>
      </c>
      <c r="DN26" s="320" t="str">
        <f aca="false">IF(DN19&gt;0,(DM23+DN13)/DN20,"")</f>
        <v/>
      </c>
      <c r="DO26" s="320" t="str">
        <f aca="false">IF(DO19&gt;0,(DN23+DO13)/DO20,"")</f>
        <v/>
      </c>
      <c r="DP26" s="320" t="str">
        <f aca="false">IF(DP19&gt;0,(DO23+DP13)/DP20,"")</f>
        <v/>
      </c>
      <c r="DQ26" s="320" t="str">
        <f aca="false">IF(DQ19&gt;0,(DP23+DQ13)/DQ20,"")</f>
        <v/>
      </c>
      <c r="DR26" s="320" t="str">
        <f aca="false">IF(DR19&gt;0,(DQ23+DR13)/DR20,"")</f>
        <v/>
      </c>
      <c r="DS26" s="320" t="n">
        <f aca="false">IF(DS19&gt;0,(DR23+DS13)/DS20,"")</f>
        <v>1.7367334134243</v>
      </c>
      <c r="DT26" s="320" t="str">
        <f aca="false">IF(DT19&gt;0,(DS23+DT13)/DT20,"")</f>
        <v/>
      </c>
      <c r="DU26" s="320" t="str">
        <f aca="false">IF(DU19&gt;0,(DT23+DU13)/DU20,"")</f>
        <v/>
      </c>
      <c r="DV26" s="320" t="str">
        <f aca="false">IF(DV19&gt;0,(DU23+DV13)/DV20,"")</f>
        <v/>
      </c>
      <c r="DW26" s="320" t="str">
        <f aca="false">IF(DW19&gt;0,(DV23+DW13)/DW20,"")</f>
        <v/>
      </c>
      <c r="DX26" s="320" t="str">
        <f aca="false">IF(DX19&gt;0,(DW23+DX13)/DX20,"")</f>
        <v/>
      </c>
      <c r="DY26" s="320" t="n">
        <f aca="false">IF(DY19&gt;0,(DX23+DY13)/DY20,"")</f>
        <v>1.76098366643512</v>
      </c>
      <c r="DZ26" s="320" t="str">
        <f aca="false">IF(DZ19&gt;0,(DY23+DZ13)/DZ20,"")</f>
        <v/>
      </c>
      <c r="EA26" s="320" t="str">
        <f aca="false">IF(EA19&gt;0,(DZ23+EA13)/EA20,"")</f>
        <v/>
      </c>
      <c r="EB26" s="320" t="str">
        <f aca="false">IF(EB19&gt;0,(EA23+EB13)/EB20,"")</f>
        <v/>
      </c>
      <c r="EC26" s="320" t="str">
        <f aca="false">IF(EC19&gt;0,(EB23+EC13)/EC20,"")</f>
        <v/>
      </c>
      <c r="ED26" s="320" t="str">
        <f aca="false">IF(ED19&gt;0,(EC23+ED13)/ED20,"")</f>
        <v/>
      </c>
      <c r="EE26" s="320" t="n">
        <f aca="false">IF(EE19&gt;0,(ED23+EE13)/EE20,"")</f>
        <v>1.78523391944593</v>
      </c>
      <c r="EF26" s="320" t="str">
        <f aca="false">IF(EF19&gt;0,(EE23+EF13)/EF20,"")</f>
        <v/>
      </c>
      <c r="EG26" s="320" t="str">
        <f aca="false">IF(EG19&gt;0,(EF23+EG13)/EG20,"")</f>
        <v/>
      </c>
      <c r="EH26" s="320" t="str">
        <f aca="false">IF(EH19&gt;0,(EG23+EH13)/EH20,"")</f>
        <v/>
      </c>
      <c r="EI26" s="320" t="str">
        <f aca="false">IF(EI19&gt;0,(EH23+EI13)/EI20,"")</f>
        <v/>
      </c>
      <c r="EJ26" s="320" t="str">
        <f aca="false">IF(EJ19&gt;0,(EI23+EJ13)/EJ20,"")</f>
        <v/>
      </c>
      <c r="EK26" s="320" t="n">
        <f aca="false">IF(EK19&gt;0,(EJ23+EK13)/EK20,"")</f>
        <v>1.80948417245675</v>
      </c>
      <c r="EL26" s="320" t="str">
        <f aca="false">IF(EL19&gt;0,(EK23+EL13)/EL20,"")</f>
        <v/>
      </c>
      <c r="EM26" s="320" t="str">
        <f aca="false">IF(EM19&gt;0,(EL23+EM13)/EM20,"")</f>
        <v/>
      </c>
      <c r="EN26" s="320" t="str">
        <f aca="false">IF(EN19&gt;0,(EM23+EN13)/EN20,"")</f>
        <v/>
      </c>
      <c r="EO26" s="320" t="str">
        <f aca="false">IF(EO19&gt;0,(EN23+EO13)/EO20,"")</f>
        <v/>
      </c>
      <c r="EP26" s="320" t="str">
        <f aca="false">IF(EP19&gt;0,(EO23+EP13)/EP20,"")</f>
        <v/>
      </c>
      <c r="EQ26" s="320" t="n">
        <f aca="false">IF(EQ19&gt;0,(EP23+EQ13)/EQ20,"")</f>
        <v>1.83373442546756</v>
      </c>
      <c r="ER26" s="320" t="str">
        <f aca="false">IF(ER19&gt;0,(EQ23+ER13)/ER20,"")</f>
        <v/>
      </c>
      <c r="ES26" s="320" t="str">
        <f aca="false">IF(ES19&gt;0,(ER23+ES13)/ES20,"")</f>
        <v/>
      </c>
      <c r="ET26" s="320" t="str">
        <f aca="false">IF(ET19&gt;0,(ES23+ET13)/ET20,"")</f>
        <v/>
      </c>
      <c r="EU26" s="320" t="str">
        <f aca="false">IF(EU19&gt;0,(ET23+EU13)/EU20,"")</f>
        <v/>
      </c>
      <c r="EV26" s="320" t="str">
        <f aca="false">IF(EV19&gt;0,(EU23+EV13)/EV20,"")</f>
        <v/>
      </c>
      <c r="EW26" s="320" t="n">
        <f aca="false">IF(EW19&gt;0,(EV23+EW13)/EW20,"")</f>
        <v>1.85798467847838</v>
      </c>
      <c r="EX26" s="320" t="str">
        <f aca="false">IF(EX19&gt;0,(EW23+EX13)/EX20,"")</f>
        <v/>
      </c>
      <c r="EY26" s="320" t="str">
        <f aca="false">IF(EY19&gt;0,(EX23+EY13)/EY20,"")</f>
        <v/>
      </c>
      <c r="EZ26" s="320" t="str">
        <f aca="false">IF(EZ19&gt;0,(EY23+EZ13)/EZ20,"")</f>
        <v/>
      </c>
      <c r="FA26" s="320" t="str">
        <f aca="false">IF(FA19&gt;0,(EZ23+FA13)/FA20,"")</f>
        <v/>
      </c>
      <c r="FB26" s="320" t="str">
        <f aca="false">IF(FB19&gt;0,(FA23+FB13)/FB20,"")</f>
        <v/>
      </c>
      <c r="FC26" s="320" t="n">
        <f aca="false">IF(FC19&gt;0,(FB23+FC13)/FC20,"")</f>
        <v>1.8822349314892</v>
      </c>
      <c r="FD26" s="320" t="str">
        <f aca="false">IF(FD19&gt;0,(FC23+FD13)/FD20,"")</f>
        <v/>
      </c>
      <c r="FE26" s="320" t="str">
        <f aca="false">IF(FE19&gt;0,(FD23+FE13)/FE20,"")</f>
        <v/>
      </c>
      <c r="FF26" s="320" t="str">
        <f aca="false">IF(FF19&gt;0,(FE23+FF13)/FF20,"")</f>
        <v/>
      </c>
      <c r="FG26" s="320" t="str">
        <f aca="false">IF(FG19&gt;0,(FF23+FG13)/FG20,"")</f>
        <v/>
      </c>
      <c r="FH26" s="320" t="str">
        <f aca="false">IF(FH19&gt;0,(FG23+FH13)/FH20,"")</f>
        <v/>
      </c>
      <c r="FI26" s="320" t="n">
        <f aca="false">IF(FI19&gt;0,(FH23+FI13)/FI20,"")</f>
        <v>1.90648518450001</v>
      </c>
      <c r="FJ26" s="320" t="str">
        <f aca="false">IF(FJ19&gt;0,(FI23+FJ13)/FJ20,"")</f>
        <v/>
      </c>
      <c r="FK26" s="320" t="str">
        <f aca="false">IF(FK19&gt;0,(FJ23+FK13)/FK20,"")</f>
        <v/>
      </c>
      <c r="FL26" s="320" t="str">
        <f aca="false">IF(FL19&gt;0,(FK23+FL13)/FL20,"")</f>
        <v/>
      </c>
      <c r="FM26" s="320" t="str">
        <f aca="false">IF(FM19&gt;0,(FL23+FM13)/FM20,"")</f>
        <v/>
      </c>
      <c r="FN26" s="320" t="str">
        <f aca="false">IF(FN19&gt;0,(FM23+FN13)/FN20,"")</f>
        <v/>
      </c>
      <c r="FO26" s="320" t="n">
        <f aca="false">IF(FO19&gt;0,(FN23+FO13)/FO20,"")</f>
        <v>1.93073543751083</v>
      </c>
      <c r="FP26" s="320" t="str">
        <f aca="false">IF(FP19&gt;0,(FO23+FP13)/FP20,"")</f>
        <v/>
      </c>
      <c r="FQ26" s="320" t="str">
        <f aca="false">IF(FQ19&gt;0,(FP23+FQ13)/FQ20,"")</f>
        <v/>
      </c>
      <c r="FR26" s="320" t="str">
        <f aca="false">IF(FR19&gt;0,(FQ23+FR13)/FR20,"")</f>
        <v/>
      </c>
      <c r="FS26" s="320" t="str">
        <f aca="false">IF(FS19&gt;0,(FR23+FS13)/FS20,"")</f>
        <v/>
      </c>
      <c r="FT26" s="320" t="str">
        <f aca="false">IF(FT19&gt;0,(FS23+FT13)/FT20,"")</f>
        <v/>
      </c>
      <c r="FU26" s="320" t="n">
        <f aca="false">IF(FU19&gt;0,(FT23+FU13)/FU20,"")</f>
        <v>1.95498569052164</v>
      </c>
      <c r="FV26" s="320" t="str">
        <f aca="false">IF(FV19&gt;0,(FU23+FV13)/FV20,"")</f>
        <v/>
      </c>
      <c r="FW26" s="320" t="str">
        <f aca="false">IF(FW19&gt;0,(FV23+FW13)/FW20,"")</f>
        <v/>
      </c>
      <c r="FX26" s="320" t="str">
        <f aca="false">IF(FX19&gt;0,(FW23+FX13)/FX20,"")</f>
        <v/>
      </c>
      <c r="FY26" s="320" t="str">
        <f aca="false">IF(FY19&gt;0,(FX23+FY13)/FY20,"")</f>
        <v/>
      </c>
      <c r="FZ26" s="320" t="str">
        <f aca="false">IF(FZ19&gt;0,(FY23+FZ13)/FZ20,"")</f>
        <v/>
      </c>
      <c r="GA26" s="320" t="n">
        <f aca="false">IF(GA19&gt;0,(FZ23+GA13)/GA20,"")</f>
        <v>1.97923594353246</v>
      </c>
      <c r="GB26" s="320" t="str">
        <f aca="false">IF(GB19&gt;0,(GA23+GB13)/GB20,"")</f>
        <v/>
      </c>
      <c r="GC26" s="320" t="str">
        <f aca="false">IF(GC19&gt;0,(GB23+GC13)/GC20,"")</f>
        <v/>
      </c>
      <c r="GD26" s="320" t="str">
        <f aca="false">IF(GD19&gt;0,(GC23+GD13)/GD20,"")</f>
        <v/>
      </c>
      <c r="GE26" s="320" t="str">
        <f aca="false">IF(GE19&gt;0,(GD23+GE13)/GE20,"")</f>
        <v/>
      </c>
      <c r="GF26" s="320" t="str">
        <f aca="false">IF(GF19&gt;0,(GE23+GF13)/GF20,"")</f>
        <v/>
      </c>
      <c r="GG26" s="320" t="n">
        <f aca="false">IF(GG19&gt;0,(GF23+GG13)/GG20,"")</f>
        <v>2.00348619654328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1997-11-12T23:08:26Z</dcterms:created>
  <dc:creator>ECT</dc:creator>
  <dc:description/>
  <dc:language>en-US</dc:language>
  <cp:lastModifiedBy>Bryan Garrett</cp:lastModifiedBy>
  <cp:lastPrinted>1999-08-17T16:58:10Z</cp:lastPrinted>
  <cp:revision>0</cp:revision>
  <dc:subject/>
  <dc:title/>
</cp:coreProperties>
</file>