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achment 8" sheetId="1" state="visible" r:id="rId3"/>
    <sheet name="Attachment 9" sheetId="2" state="visible" r:id="rId4"/>
    <sheet name="Attachment 8 Calc." sheetId="3" state="visible" r:id="rId5"/>
    <sheet name="Attachment 9 Calc." sheetId="4" state="visible" r:id="rId6"/>
  </sheets>
  <definedNames>
    <definedName function="false" hidden="false" localSheetId="0" name="_xlnm.Print_Titles" vbProcedure="false">'Attachment 8'!$B:$B</definedName>
    <definedName function="false" hidden="false" name="FR_AND_U" vbProcedure="false"/>
    <definedName function="false" hidden="false" name="FR_ONLY" vbProcedure="false"/>
    <definedName function="false" hidden="false" name="_Order1" vbProcedure="false">255</definedName>
    <definedName function="false" hidden="false" localSheetId="0" name="FR_AND_U" vbProcedure="false"/>
    <definedName function="false" hidden="false" localSheetId="0" name="FR_ONLY" vbProcedure="false"/>
    <definedName function="false" hidden="false" localSheetId="1" name="FR_AND_U" vbProcedure="false"/>
    <definedName function="false" hidden="false" localSheetId="1" name="FR_ONLY" vbProcedure="false"/>
    <definedName function="false" hidden="false" localSheetId="2" name="Excel_BuiltIn_Print_Titles" vbProcedure="false">'Attachment 8 Calc.'!$B:$B</definedName>
    <definedName function="false" hidden="false" localSheetId="2" name="solver_adj" vbProcedure="false">'Attachment 8 Calc.'!$D$59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0</definedName>
    <definedName function="false" hidden="false" localSheetId="2" name="solver_nwt" vbProcedure="false">1</definedName>
    <definedName function="false" hidden="false" localSheetId="2" name="solver_opt" vbProcedure="false">#REF!</definedName>
    <definedName function="false" hidden="false" localSheetId="2" name="solver_pre" vbProcedure="false">0.000001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73738</definedName>
    <definedName function="false" hidden="false" localSheetId="3" name="FR_AND_U" vbProcedure="false"/>
    <definedName function="false" hidden="false" localSheetId="3" name="FR_ONLY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<sst xmlns="http://schemas.openxmlformats.org/spreadsheetml/2006/main" count="141" uniqueCount="56">
  <si>
    <t xml:space="preserve">Amounts in Thousands</t>
  </si>
  <si>
    <t xml:space="preserve">Assumptions</t>
  </si>
  <si>
    <t xml:space="preserve">Value of Interstate Brokered Capacity (% ABR)</t>
  </si>
  <si>
    <t xml:space="preserve">Assumed PBR Inflator (illustrative)</t>
  </si>
  <si>
    <t xml:space="preserve">Residential</t>
  </si>
  <si>
    <t xml:space="preserve">Nonresidential</t>
  </si>
  <si>
    <t xml:space="preserve">Total</t>
  </si>
  <si>
    <t xml:space="preserve">CAT Market Share (assumed)</t>
  </si>
  <si>
    <t xml:space="preserve">Total Core Breakdown</t>
  </si>
  <si>
    <t xml:space="preserve">CAT Market Share Within Subclass</t>
  </si>
  <si>
    <t xml:space="preserve">Core (1)</t>
  </si>
  <si>
    <t xml:space="preserve">Noncore</t>
  </si>
  <si>
    <t xml:space="preserve">Non-Residential</t>
  </si>
  <si>
    <t xml:space="preserve">Total Core</t>
  </si>
  <si>
    <t xml:space="preserve">EG (including Cogen)</t>
  </si>
  <si>
    <t xml:space="preserve">C&amp;I Noncore (G30)</t>
  </si>
  <si>
    <t xml:space="preserve">Wholesale (includes DGN)</t>
  </si>
  <si>
    <t xml:space="preserve">Total Noncore Except EOR</t>
  </si>
  <si>
    <t xml:space="preserve">2000 BCAP Transportation Revenue Requirement Adjusted to 2002 (1)</t>
  </si>
  <si>
    <t xml:space="preserve">Bundled Transportation Revenue Requirement Except Pipeline Demand (2)</t>
  </si>
  <si>
    <t xml:space="preserve">Local Transmission</t>
  </si>
  <si>
    <t xml:space="preserve">Backbone Transmission (est.) (3)</t>
  </si>
  <si>
    <t xml:space="preserve">Company Use Fuel - Transmission (est.)</t>
  </si>
  <si>
    <t xml:space="preserve">Storage</t>
  </si>
  <si>
    <t xml:space="preserve">Balancing</t>
  </si>
  <si>
    <t xml:space="preserve">Company Use Fuel - Storage (est.)</t>
  </si>
  <si>
    <t xml:space="preserve">Variable Costs - Storage and Balancing</t>
  </si>
  <si>
    <t xml:space="preserve">Pipeline Demand Charges 2002 (est.)</t>
  </si>
  <si>
    <t xml:space="preserve">Change in Noncore ITCS 2002 (est.)</t>
  </si>
  <si>
    <t xml:space="preserve">CAT Unbundling Stranded Cost 2002 (est.)</t>
  </si>
  <si>
    <t xml:space="preserve">Implementation Costs</t>
  </si>
  <si>
    <t xml:space="preserve">Net Change from 2000 BCAP</t>
  </si>
  <si>
    <t xml:space="preserve">Average Year Throughput</t>
  </si>
  <si>
    <t xml:space="preserve">(1) Includes NSBA balance deferred in BCAP decision, adjusted to 2002.</t>
  </si>
  <si>
    <t xml:space="preserve">(2) Allocation of regulatory accounts and other cost items is assumed unchanged from the BCAP Decsion (D.00-04-060.  </t>
  </si>
  <si>
    <t xml:space="preserve">(3) Includes assumed secondary market sales by core procurement department.</t>
  </si>
  <si>
    <t xml:space="preserve">Cents per therm</t>
  </si>
  <si>
    <t xml:space="preserve">CAT Market Share</t>
  </si>
  <si>
    <t xml:space="preserve">Noncore Except EOR</t>
  </si>
  <si>
    <t xml:space="preserve">2000 BCAP Class Average Rates 
Adjusted to 2002</t>
  </si>
  <si>
    <t xml:space="preserve">Comprehensive Settlement Class Average Total Rates Including Estimated Unbundled Services</t>
  </si>
  <si>
    <t xml:space="preserve">Net Change from BCAP</t>
  </si>
  <si>
    <t xml:space="preserve">(1) Combines core procurement customers and CTA customers.  Benefits are not evenly distributed between these two customer categories.</t>
  </si>
  <si>
    <t xml:space="preserve">   Includes estimated cost of replacement interstate capacity for CTA customers.</t>
  </si>
  <si>
    <t xml:space="preserve">Estimated Cost Allocation Impacts of Comprehensive Settlement in 2002</t>
  </si>
  <si>
    <t xml:space="preserve">Retail Core</t>
  </si>
  <si>
    <t xml:space="preserve">Core Aggregators</t>
  </si>
  <si>
    <t xml:space="preserve">Core </t>
  </si>
  <si>
    <t xml:space="preserve">Line</t>
  </si>
  <si>
    <t xml:space="preserve">EOR</t>
  </si>
  <si>
    <t xml:space="preserve">Total System</t>
  </si>
  <si>
    <t xml:space="preserve">Bundled Transportation Revenue Requirement Except Pipeline Demand</t>
  </si>
  <si>
    <t xml:space="preserve">Backbone Transmission (est.) (2)</t>
  </si>
  <si>
    <t xml:space="preserve">Average Year TP (Mdth)</t>
  </si>
  <si>
    <t xml:space="preserve">Cold Year TP</t>
  </si>
  <si>
    <t xml:space="preserve">(1) Includes NSBA balance deferred in BCAP decision.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</si>
</sst>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0.000"/>
    <numFmt numFmtId="166" formatCode="0_);[RED]\-0_)"/>
    <numFmt numFmtId="167" formatCode="0.000_)"/>
    <numFmt numFmtId="168" formatCode="0%"/>
    <numFmt numFmtId="169" formatCode="0.0%"/>
    <numFmt numFmtId="170" formatCode="_(\$* #,##0.00_);_(\$* \(#,##0.00\);_(\$* \-??_);_(@_)"/>
    <numFmt numFmtId="171" formatCode="_(\$* #,##0.000_);_(\$* \(#,##0.000\);_(\$* \-??_);_(@_)"/>
    <numFmt numFmtId="172" formatCode="_(* #,##0.00_);_(* \(#,##0.00\);_(* \-??_);_(@_)"/>
    <numFmt numFmtId="173" formatCode="_(* #,##0_);_(* \(#,##0\);_(* \-??_);_(@_)"/>
    <numFmt numFmtId="174" formatCode="0.00_);[RED]\-0.00_)"/>
    <numFmt numFmtId="175" formatCode="0.000_);[RED]\-0.000_)"/>
    <numFmt numFmtId="176" formatCode="0"/>
    <numFmt numFmtId="177" formatCode="_(\$* #,##0.0000_);_(\$* \(#,##0.0000\);_(\$* \-??_);_(@_)"/>
    <numFmt numFmtId="178" formatCode="_(\$* #,##0_);_(\$* \(#,##0\);_(\$* \-??_);_(@_)"/>
    <numFmt numFmtId="179" formatCode="_(* #,##0.00000_);_(* \(#,##0.00000\);_(* \-??_);_(@_)"/>
    <numFmt numFmtId="180" formatCode="_(* #,##0.000_);_(* \(#,##0.000\);_(* \-??_);_(@_)"/>
    <numFmt numFmtId="181" formatCode="[$-409]#,##0_);\(#,##0\)"/>
    <numFmt numFmtId="182" formatCode="0.000000_);[RED]\-0.000000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5"/>
      <color rgb="FF800080"/>
      <name val="Arial"/>
      <family val="0"/>
    </font>
    <font>
      <u val="single"/>
      <sz val="15"/>
      <color rgb="FF0000FF"/>
      <name val="Arial"/>
      <family val="0"/>
    </font>
    <font>
      <sz val="10"/>
      <color rgb="FF000000"/>
      <name val="MS Sans Serif"/>
      <family val="0"/>
    </font>
    <font>
      <sz val="10"/>
      <name val="Book Antiqua"/>
      <family val="0"/>
    </font>
    <font>
      <sz val="12"/>
      <name val="Arial"/>
      <family val="0"/>
    </font>
    <font>
      <sz val="5"/>
      <name val="Arial"/>
      <family val="0"/>
    </font>
    <font>
      <sz val="8"/>
      <name val="Arial"/>
      <family val="0"/>
    </font>
    <font>
      <sz val="10"/>
      <name val="Times New Roman"/>
      <family val="0"/>
    </font>
    <font>
      <sz val="12"/>
      <name val="Arial"/>
      <family val="2"/>
    </font>
    <font>
      <b val="true"/>
      <sz val="12"/>
      <name val="Arial"/>
      <family val="2"/>
    </font>
    <font>
      <i val="true"/>
      <sz val="12"/>
      <name val="Arial"/>
      <family val="2"/>
    </font>
    <font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6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4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2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0" borderId="6" xfId="2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28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4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A" xfId="20"/>
    <cellStyle name="Followed Hyperlink" xfId="21"/>
    <cellStyle name="Hyperlink 1" xfId="22"/>
    <cellStyle name="Normal_Acct Dist" xfId="23"/>
    <cellStyle name="Normal_Assumptions" xfId="24"/>
    <cellStyle name="Normal_BaseRateEstimate" xfId="25"/>
    <cellStyle name="Normal_bidweek" xfId="26"/>
    <cellStyle name="Normal_card_gir 3-27" xfId="27"/>
    <cellStyle name="Normal_card_gir SCGC DR5" xfId="28"/>
    <cellStyle name="Normal_card_gir2" xfId="29"/>
    <cellStyle name="Normal_card_gir3" xfId="30"/>
    <cellStyle name="Normal_card_gir3a" xfId="31"/>
    <cellStyle name="Normal_core interstate impact 3-31" xfId="32"/>
    <cellStyle name="Normal_cost impact summary" xfId="33"/>
    <cellStyle name="Normal_CostAllocation_Final" xfId="34"/>
    <cellStyle name="Normal_forecast data" xfId="35"/>
    <cellStyle name="Normal_GCIM_Decision" xfId="36"/>
    <cellStyle name="Normal_GCIMRatepayer" xfId="37"/>
    <cellStyle name="Normal_GillanWright" xfId="38"/>
    <cellStyle name="Normal_GIRImpact_v5.xls Chart 1" xfId="39"/>
    <cellStyle name="Normal_GIRImpact_v5.xls Chart 2" xfId="40"/>
    <cellStyle name="Normal_GIRImpact_v5.xls Chart 3" xfId="41"/>
    <cellStyle name="Normal_LongVsInterm" xfId="42"/>
    <cellStyle name="Normal_NetPop2" xfId="43"/>
    <cellStyle name="Normal_Revised Summary" xfId="44"/>
    <cellStyle name="Normal_Risk_Matrix" xfId="45"/>
    <cellStyle name="Normal_SCG Cost Tables REVISED" xfId="46"/>
    <cellStyle name="Normal_SCGC5 Q23.xls Chart 2" xfId="47"/>
    <cellStyle name="Normal_Sheet1" xfId="48"/>
    <cellStyle name="Normal_Sheet1 (2)" xfId="49"/>
    <cellStyle name="Normal_Sheet1 (2)_1" xfId="50"/>
    <cellStyle name="Normal_Sheet1 (2)_Sheet1" xfId="51"/>
    <cellStyle name="Normal_Sheet1_bidweek" xfId="52"/>
    <cellStyle name="Normal_Sheet1_card_gir2" xfId="53"/>
    <cellStyle name="Normal_Sheet1_card_gir3" xfId="54"/>
    <cellStyle name="Normal_Sheet1_card_gir3a" xfId="55"/>
    <cellStyle name="Normal_Sheet1_core interstate impact 3-31" xfId="56"/>
    <cellStyle name="Normal_Sheet1_cost impact summary" xfId="57"/>
    <cellStyle name="Normal_Sheet4" xfId="58"/>
    <cellStyle name="Normal_summary settle 4-2" xfId="5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46.99"/>
    <col collapsed="false" customWidth="true" hidden="false" outlineLevel="0" max="2" min="2" style="1" width="13.85"/>
    <col collapsed="false" customWidth="true" hidden="false" outlineLevel="0" max="3" min="3" style="1" width="15.85"/>
    <col collapsed="false" customWidth="true" hidden="false" outlineLevel="0" max="4" min="4" style="1" width="15.13"/>
    <col collapsed="false" customWidth="true" hidden="false" outlineLevel="0" max="5" min="5" style="1" width="2.42"/>
    <col collapsed="false" customWidth="true" hidden="false" outlineLevel="0" max="6" min="6" style="1" width="14.56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6.56"/>
    <col collapsed="false" customWidth="true" hidden="false" outlineLevel="0" max="10" min="10" style="1" width="17.56"/>
    <col collapsed="false" customWidth="true" hidden="false" outlineLevel="0" max="11" min="11" style="1" width="19.14"/>
    <col collapsed="false" customWidth="true" hidden="false" outlineLevel="0" max="12" min="12" style="1" width="13.7"/>
    <col collapsed="false" customWidth="true" hidden="false" outlineLevel="0" max="13" min="13" style="1" width="13.28"/>
    <col collapsed="false" customWidth="false" hidden="false" outlineLevel="0" max="257" min="14" style="1" width="9.14"/>
  </cols>
  <sheetData>
    <row r="1" customFormat="false" ht="17" hidden="false" customHeight="false" outlineLevel="0" collapsed="false">
      <c r="A1" s="2"/>
    </row>
    <row r="2" customFormat="false" ht="17" hidden="false" customHeight="false" outlineLevel="0" collapsed="false">
      <c r="A2" s="3" t="s">
        <v>0</v>
      </c>
    </row>
    <row r="3" customFormat="false" ht="17" hidden="false" customHeight="false" outlineLevel="0" collapsed="false">
      <c r="A3" s="3"/>
    </row>
    <row r="4" customFormat="false" ht="17" hidden="false" customHeight="false" outlineLevel="0" collapsed="false">
      <c r="A4" s="4" t="s">
        <v>1</v>
      </c>
      <c r="B4" s="5"/>
      <c r="C4" s="5"/>
      <c r="D4" s="6"/>
    </row>
    <row r="5" customFormat="false" ht="17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7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7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7" hidden="false" customHeight="false" outlineLevel="0" collapsed="false">
      <c r="A8" s="13" t="s">
        <v>7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7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7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7" hidden="false" customHeight="false" outlineLevel="0" collapsed="false">
      <c r="A11" s="12"/>
      <c r="B11" s="16"/>
      <c r="C11" s="16"/>
      <c r="D11" s="9"/>
      <c r="L11" s="18"/>
    </row>
    <row r="12" customFormat="false" ht="17" hidden="false" customHeight="false" outlineLevel="0" collapsed="false">
      <c r="B12" s="19" t="s">
        <v>10</v>
      </c>
      <c r="C12" s="19"/>
      <c r="D12" s="19"/>
      <c r="E12" s="19"/>
      <c r="F12" s="19" t="s">
        <v>11</v>
      </c>
      <c r="G12" s="19"/>
      <c r="H12" s="19"/>
      <c r="I12" s="19"/>
    </row>
    <row r="13" customFormat="false" ht="41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1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28.35" hidden="false" customHeight="false" outlineLevel="0" collapsed="false">
      <c r="A14" s="22" t="s">
        <v>18</v>
      </c>
      <c r="B14" s="22" t="n">
        <v>1055862.57415563</v>
      </c>
      <c r="C14" s="22" t="n">
        <v>232134.564485717</v>
      </c>
      <c r="D14" s="22" t="n">
        <v>1287997.13864135</v>
      </c>
      <c r="E14" s="22"/>
      <c r="F14" s="22" t="n">
        <v>78852.7101943074</v>
      </c>
      <c r="G14" s="22" t="n">
        <v>74148.0150909471</v>
      </c>
      <c r="H14" s="22" t="n">
        <v>33148.0816514988</v>
      </c>
      <c r="I14" s="22" t="n">
        <v>186148.806936753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7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8.35" hidden="false" customHeight="false" outlineLevel="0" collapsed="false">
      <c r="A16" s="22" t="s">
        <v>19</v>
      </c>
      <c r="B16" s="22" t="n">
        <v>889565.78688648</v>
      </c>
      <c r="C16" s="22" t="n">
        <v>180635.434469063</v>
      </c>
      <c r="D16" s="22" t="n">
        <v>1070201.22135554</v>
      </c>
      <c r="E16" s="22"/>
      <c r="F16" s="22" t="n">
        <v>26326.6965549286</v>
      </c>
      <c r="G16" s="22" t="n">
        <v>50763.5573870989</v>
      </c>
      <c r="H16" s="22" t="n">
        <v>6224.5598598468</v>
      </c>
      <c r="I16" s="22" t="n">
        <v>83314.8138018743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7" hidden="false" customHeight="false" outlineLevel="0" collapsed="false">
      <c r="A17" s="23" t="s">
        <v>20</v>
      </c>
      <c r="B17" s="23" t="n">
        <v>18132.2450003968</v>
      </c>
      <c r="C17" s="23" t="n">
        <v>5660.25319587796</v>
      </c>
      <c r="D17" s="23" t="n">
        <v>23792.4981962747</v>
      </c>
      <c r="E17" s="23"/>
      <c r="F17" s="23" t="n">
        <v>18482.2397370579</v>
      </c>
      <c r="G17" s="23" t="n">
        <v>9220.85873123918</v>
      </c>
      <c r="H17" s="23" t="n">
        <v>11028.0293129226</v>
      </c>
      <c r="I17" s="23" t="n">
        <v>38731.1277812197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7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7" hidden="false" customHeight="false" outlineLevel="0" collapsed="false">
      <c r="A19" s="23" t="s">
        <v>21</v>
      </c>
      <c r="B19" s="23" t="n">
        <v>22673.3313896266</v>
      </c>
      <c r="C19" s="23" t="n">
        <v>6813.64434601784</v>
      </c>
      <c r="D19" s="23" t="n">
        <v>29486.9757356445</v>
      </c>
      <c r="E19" s="23"/>
      <c r="F19" s="23" t="n">
        <v>20350.493697784</v>
      </c>
      <c r="G19" s="23" t="n">
        <v>10069.0009496036</v>
      </c>
      <c r="H19" s="23" t="n">
        <v>11772.4829647598</v>
      </c>
      <c r="I19" s="23" t="n">
        <v>42191.9776121474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7" hidden="false" customHeight="false" outlineLevel="0" collapsed="false">
      <c r="A20" s="23" t="s">
        <v>22</v>
      </c>
      <c r="B20" s="23" t="n">
        <v>2705.13487714509</v>
      </c>
      <c r="C20" s="23" t="n">
        <v>904.817446885646</v>
      </c>
      <c r="D20" s="23" t="n">
        <v>3609.95232403073</v>
      </c>
      <c r="E20" s="23"/>
      <c r="F20" s="23" t="n">
        <v>3127.23781232413</v>
      </c>
      <c r="G20" s="23" t="n">
        <v>1547.2922165695</v>
      </c>
      <c r="H20" s="23" t="n">
        <v>1809.06440988935</v>
      </c>
      <c r="I20" s="23" t="n">
        <v>6483.59443878298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7" hidden="false" customHeight="false" outlineLevel="0" collapsed="false">
      <c r="A21" s="23" t="s">
        <v>23</v>
      </c>
      <c r="B21" s="23" t="n">
        <v>27247.6595722881</v>
      </c>
      <c r="C21" s="23" t="n">
        <v>7665.47187122652</v>
      </c>
      <c r="D21" s="23" t="n">
        <v>34913.1314435146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7" hidden="false" customHeight="false" outlineLevel="0" collapsed="false">
      <c r="A22" s="23" t="s">
        <v>24</v>
      </c>
      <c r="B22" s="23"/>
      <c r="C22" s="23"/>
      <c r="D22" s="23"/>
      <c r="E22" s="23"/>
      <c r="F22" s="23" t="n">
        <v>5676.1409523012</v>
      </c>
      <c r="G22" s="23" t="n">
        <v>2808.43646781052</v>
      </c>
      <c r="H22" s="23" t="n">
        <v>3283.5701019783</v>
      </c>
      <c r="I22" s="23" t="n">
        <v>11768.14752209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7" hidden="false" customHeight="false" outlineLevel="0" collapsed="false">
      <c r="A23" s="23" t="s">
        <v>25</v>
      </c>
      <c r="B23" s="23" t="n">
        <v>1990.5640426581</v>
      </c>
      <c r="C23" s="23" t="n">
        <v>559.997185680827</v>
      </c>
      <c r="D23" s="23" t="n">
        <v>2550.56122833892</v>
      </c>
      <c r="E23" s="23"/>
      <c r="F23" s="23" t="n">
        <v>871.606411446921</v>
      </c>
      <c r="G23" s="23" t="n">
        <v>431.25272118068</v>
      </c>
      <c r="H23" s="23" t="n">
        <v>501.760158625083</v>
      </c>
      <c r="I23" s="23" t="n">
        <v>1804.61929125268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7" hidden="false" customHeight="false" outlineLevel="0" collapsed="false">
      <c r="A24" s="23" t="s">
        <v>26</v>
      </c>
      <c r="B24" s="23" t="n">
        <v>1215.34386204731</v>
      </c>
      <c r="C24" s="23" t="n">
        <v>341.907684352691</v>
      </c>
      <c r="D24" s="23" t="n">
        <v>1557.2515464</v>
      </c>
      <c r="E24" s="23"/>
      <c r="F24" s="23" t="n">
        <v>202.365722397655</v>
      </c>
      <c r="G24" s="23" t="n">
        <v>100.126349819763</v>
      </c>
      <c r="H24" s="23" t="n">
        <v>117.065809555132</v>
      </c>
      <c r="I24" s="23" t="n">
        <v>419.557881772551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7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7" hidden="false" customHeight="false" outlineLevel="0" collapsed="false">
      <c r="A26" s="23" t="s">
        <v>27</v>
      </c>
      <c r="B26" s="23" t="n">
        <v>90221.0611610418</v>
      </c>
      <c r="C26" s="23" t="n">
        <v>25217.2931738333</v>
      </c>
      <c r="D26" s="23" t="n">
        <v>115438.354334875</v>
      </c>
      <c r="E26" s="23"/>
      <c r="F26" s="23" t="n">
        <v>0</v>
      </c>
      <c r="G26" s="23" t="n">
        <v>0</v>
      </c>
      <c r="H26" s="23" t="n">
        <v>0</v>
      </c>
      <c r="I26" s="23" t="n">
        <v>0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7" hidden="false" customHeight="false" outlineLevel="0" collapsed="false">
      <c r="A27" s="23" t="s">
        <v>28</v>
      </c>
      <c r="B27" s="23" t="n">
        <v>-5664.32669057309</v>
      </c>
      <c r="C27" s="23" t="n">
        <v>-1894.61222720972</v>
      </c>
      <c r="D27" s="23" t="n">
        <v>-7558.93891778281</v>
      </c>
      <c r="E27" s="23"/>
      <c r="F27" s="23" t="n">
        <v>3645.90966136617</v>
      </c>
      <c r="G27" s="23" t="n">
        <v>1803.92025803592</v>
      </c>
      <c r="H27" s="23" t="n">
        <v>2098.85125441304</v>
      </c>
      <c r="I27" s="23" t="n">
        <v>7548.68117381513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7" hidden="false" customHeight="false" outlineLevel="0" collapsed="false">
      <c r="A28" s="23" t="s">
        <v>29</v>
      </c>
      <c r="B28" s="23" t="n">
        <v>3463.98324900817</v>
      </c>
      <c r="C28" s="23" t="n">
        <v>2617.99987519048</v>
      </c>
      <c r="D28" s="23" t="n">
        <v>6081.98312419864</v>
      </c>
      <c r="E28" s="23"/>
      <c r="F28" s="23" t="n">
        <v>0</v>
      </c>
      <c r="G28" s="23" t="n">
        <v>0</v>
      </c>
      <c r="H28" s="23" t="n">
        <v>0</v>
      </c>
      <c r="I28" s="23" t="n">
        <v>0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7" hidden="false" customHeight="fals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7" hidden="false" customHeight="false" outlineLevel="0" collapsed="false">
      <c r="A30" s="23" t="s">
        <v>30</v>
      </c>
      <c r="B30" s="23" t="n">
        <v>536.012749673137</v>
      </c>
      <c r="C30" s="23" t="n">
        <v>179.286323855781</v>
      </c>
      <c r="D30" s="23" t="n">
        <v>715.299073528919</v>
      </c>
      <c r="E30" s="23"/>
      <c r="F30" s="23" t="n">
        <v>619.650928620134</v>
      </c>
      <c r="G30" s="23" t="n">
        <v>306.590389469435</v>
      </c>
      <c r="H30" s="23" t="n">
        <v>358.459608381513</v>
      </c>
      <c r="I30" s="23" t="n">
        <v>1284.70092647108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</row>
    <row r="31" customFormat="false" ht="17" hidden="false" customHeight="fals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7" hidden="false" customHeight="false" outlineLevel="0" collapsed="false">
      <c r="A32" s="23" t="s">
        <v>6</v>
      </c>
      <c r="B32" s="23" t="n">
        <v>1052086.79609979</v>
      </c>
      <c r="C32" s="23" t="n">
        <v>228701.493344774</v>
      </c>
      <c r="D32" s="23" t="n">
        <v>1280788.28944457</v>
      </c>
      <c r="E32" s="23"/>
      <c r="F32" s="23" t="n">
        <v>79302.3414782267</v>
      </c>
      <c r="G32" s="23" t="n">
        <v>77051.0354708275</v>
      </c>
      <c r="H32" s="23" t="n">
        <v>37193.8434803716</v>
      </c>
      <c r="I32" s="23" t="n">
        <v>193547.220429426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7" hidden="false" customHeight="fals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7" hidden="false" customHeight="false" outlineLevel="0" collapsed="false">
      <c r="A34" s="24" t="s">
        <v>31</v>
      </c>
      <c r="B34" s="24" t="n">
        <v>-3775.77805583924</v>
      </c>
      <c r="C34" s="24" t="n">
        <v>-3433.07114094283</v>
      </c>
      <c r="D34" s="24" t="n">
        <v>-7208.84919678187</v>
      </c>
      <c r="E34" s="24"/>
      <c r="F34" s="24" t="n">
        <v>449.631283919298</v>
      </c>
      <c r="G34" s="24" t="n">
        <v>2903.0203798804</v>
      </c>
      <c r="H34" s="24" t="n">
        <v>4045.76182887277</v>
      </c>
      <c r="I34" s="24" t="n">
        <v>7398.41349267247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6" customFormat="false" ht="17" hidden="false" customHeight="false" outlineLevel="0" collapsed="false">
      <c r="A36" s="23" t="s">
        <v>32</v>
      </c>
      <c r="B36" s="22" t="n">
        <v>254685.2</v>
      </c>
      <c r="C36" s="22" t="n">
        <v>85187.476</v>
      </c>
      <c r="D36" s="23" t="n">
        <v>339872.676</v>
      </c>
      <c r="E36" s="23"/>
      <c r="F36" s="23" t="n">
        <v>294425.684430158</v>
      </c>
      <c r="G36" s="23" t="n">
        <v>145675.703997185</v>
      </c>
      <c r="H36" s="23" t="n">
        <v>170321.241627627</v>
      </c>
      <c r="I36" s="23" t="n">
        <v>610422.63005497</v>
      </c>
    </row>
    <row r="37" customFormat="false" ht="17" hidden="false" customHeight="false" outlineLevel="0" collapsed="false">
      <c r="A37" s="23"/>
      <c r="I37" s="16"/>
    </row>
    <row r="38" customFormat="false" ht="17" hidden="false" customHeight="false" outlineLevel="0" collapsed="false">
      <c r="A38" s="1" t="s">
        <v>33</v>
      </c>
      <c r="D38" s="25"/>
      <c r="E38" s="25"/>
      <c r="F38" s="25"/>
      <c r="G38" s="25"/>
      <c r="H38" s="25"/>
      <c r="I38" s="16"/>
      <c r="J38" s="26"/>
    </row>
    <row r="39" customFormat="false" ht="17" hidden="false" customHeight="false" outlineLevel="0" collapsed="false">
      <c r="A39" s="1" t="s">
        <v>34</v>
      </c>
      <c r="D39" s="25"/>
      <c r="E39" s="25"/>
      <c r="F39" s="25"/>
      <c r="G39" s="25"/>
      <c r="H39" s="25"/>
      <c r="I39" s="16"/>
      <c r="J39" s="26"/>
    </row>
    <row r="40" customFormat="false" ht="17" hidden="false" customHeight="false" outlineLevel="0" collapsed="false">
      <c r="A40" s="1" t="s">
        <v>35</v>
      </c>
      <c r="D40" s="27"/>
      <c r="E40" s="27"/>
      <c r="F40" s="27"/>
      <c r="G40" s="27"/>
      <c r="H40" s="27"/>
      <c r="J40" s="16"/>
    </row>
    <row r="41" customFormat="false" ht="17" hidden="false" customHeight="false" outlineLevel="0" collapsed="false">
      <c r="D41" s="27"/>
      <c r="E41" s="27"/>
      <c r="F41" s="27"/>
      <c r="G41" s="27"/>
      <c r="H41" s="27"/>
      <c r="J41" s="16"/>
    </row>
    <row r="42" customFormat="false" ht="17" hidden="false" customHeight="false" outlineLevel="0" collapsed="false">
      <c r="D42" s="26"/>
      <c r="E42" s="26"/>
      <c r="F42" s="26"/>
      <c r="G42" s="26"/>
      <c r="H42" s="26"/>
    </row>
    <row r="43" customFormat="false" ht="17" hidden="false" customHeight="false" outlineLevel="0" collapsed="false">
      <c r="A43" s="28"/>
    </row>
    <row r="44" customFormat="false" ht="17" hidden="false" customHeight="false" outlineLevel="0" collapsed="false">
      <c r="A44" s="28"/>
    </row>
    <row r="45" customFormat="false" ht="17" hidden="false" customHeight="false" outlineLevel="0" collapsed="false">
      <c r="A45" s="28"/>
      <c r="D45" s="29"/>
      <c r="E45" s="29"/>
      <c r="F45" s="29"/>
      <c r="G45" s="29"/>
      <c r="H45" s="29"/>
      <c r="I45" s="29"/>
      <c r="J45" s="29"/>
      <c r="K45" s="29"/>
    </row>
    <row r="46" customFormat="false" ht="17" hidden="false" customHeight="false" outlineLevel="0" collapsed="false">
      <c r="A46" s="28"/>
      <c r="C46" s="29"/>
      <c r="D46" s="29"/>
      <c r="E46" s="29"/>
      <c r="F46" s="29"/>
      <c r="G46" s="29"/>
      <c r="H46" s="29"/>
      <c r="I46" s="29"/>
      <c r="J46" s="29"/>
    </row>
    <row r="47" customFormat="false" ht="17" hidden="false" customHeight="false" outlineLevel="0" collapsed="false">
      <c r="A47" s="28"/>
      <c r="C47" s="23"/>
      <c r="D47" s="23"/>
      <c r="E47" s="23"/>
      <c r="F47" s="23"/>
      <c r="G47" s="23"/>
      <c r="H47" s="23"/>
      <c r="I47" s="29"/>
      <c r="J47" s="29"/>
      <c r="K47" s="29"/>
    </row>
    <row r="48" customFormat="false" ht="17" hidden="false" customHeight="false" outlineLevel="0" collapsed="false">
      <c r="A48" s="28"/>
      <c r="C48" s="30"/>
      <c r="D48" s="31"/>
      <c r="E48" s="31"/>
      <c r="F48" s="31"/>
      <c r="G48" s="31"/>
      <c r="H48" s="31"/>
      <c r="I48" s="29"/>
      <c r="J48" s="29"/>
      <c r="K48" s="29"/>
    </row>
    <row r="49" customFormat="false" ht="17" hidden="false" customHeight="false" outlineLevel="0" collapsed="false">
      <c r="A49" s="28"/>
      <c r="C49" s="29"/>
      <c r="D49" s="23"/>
      <c r="E49" s="23"/>
      <c r="F49" s="23"/>
      <c r="G49" s="23"/>
      <c r="H49" s="23"/>
      <c r="I49" s="23"/>
      <c r="J49" s="23"/>
      <c r="K49" s="23"/>
    </row>
    <row r="50" customFormat="false" ht="17" hidden="false" customHeight="false" outlineLevel="0" collapsed="false">
      <c r="A50" s="32"/>
      <c r="C50" s="23"/>
      <c r="D50" s="8"/>
      <c r="E50" s="8"/>
      <c r="F50" s="8"/>
      <c r="G50" s="8"/>
      <c r="H50" s="8"/>
      <c r="I50" s="8"/>
      <c r="J50" s="8"/>
      <c r="K50" s="8"/>
    </row>
    <row r="51" customFormat="false" ht="17" hidden="false" customHeight="false" outlineLevel="0" collapsed="false">
      <c r="B51" s="23"/>
      <c r="C51" s="23"/>
      <c r="D51" s="23"/>
      <c r="E51" s="23"/>
      <c r="F51" s="23"/>
    </row>
    <row r="52" customFormat="false" ht="17" hidden="false" customHeight="false" outlineLevel="0" collapsed="false">
      <c r="A52" s="33"/>
      <c r="C52" s="26"/>
    </row>
    <row r="53" customFormat="false" ht="17" hidden="false" customHeight="false" outlineLevel="0" collapsed="false">
      <c r="A53" s="33"/>
      <c r="C53" s="34"/>
    </row>
    <row r="54" customFormat="false" ht="17" hidden="false" customHeight="false" outlineLevel="0" collapsed="false">
      <c r="A54" s="33"/>
      <c r="C54" s="35"/>
    </row>
    <row r="55" customFormat="false" ht="17" hidden="false" customHeight="false" outlineLevel="0" collapsed="false">
      <c r="A55" s="33"/>
    </row>
    <row r="56" customFormat="false" ht="17" hidden="false" customHeight="false" outlineLevel="0" collapsed="false">
      <c r="A56" s="33"/>
      <c r="C56" s="8"/>
    </row>
    <row r="57" customFormat="false" ht="17" hidden="false" customHeight="false" outlineLevel="0" collapsed="false">
      <c r="A57" s="33"/>
      <c r="C57" s="34"/>
    </row>
    <row r="58" customFormat="false" ht="17" hidden="false" customHeight="false" outlineLevel="0" collapsed="false">
      <c r="A58" s="33"/>
    </row>
    <row r="59" customFormat="false" ht="17" hidden="false" customHeight="false" outlineLevel="0" collapsed="false">
      <c r="A59" s="33"/>
      <c r="C59" s="36"/>
      <c r="D59" s="8"/>
      <c r="E59" s="8"/>
      <c r="F59" s="8"/>
      <c r="G59" s="8"/>
      <c r="H59" s="8"/>
      <c r="I59" s="8"/>
      <c r="J59" s="8"/>
      <c r="K59" s="8"/>
    </row>
    <row r="60" customFormat="false" ht="17" hidden="false" customHeight="false" outlineLevel="0" collapsed="false">
      <c r="A60" s="33"/>
      <c r="C60" s="35"/>
      <c r="D60" s="35"/>
      <c r="E60" s="35"/>
      <c r="F60" s="35"/>
      <c r="G60" s="35"/>
      <c r="H60" s="35"/>
      <c r="I60" s="35"/>
      <c r="J60" s="35"/>
      <c r="K60" s="35"/>
    </row>
    <row r="62" customFormat="false" ht="17" hidden="false" customHeight="false" outlineLevel="0" collapsed="false">
      <c r="A62" s="33"/>
      <c r="C62" s="36"/>
    </row>
  </sheetData>
  <mergeCells count="2">
    <mergeCell ref="B12:E12"/>
    <mergeCell ref="F12:I12"/>
  </mergeCells>
  <printOptions headings="false" gridLines="false" gridLinesSet="true" horizontalCentered="false" verticalCentered="false"/>
  <pageMargins left="0.747916666666667" right="0.747916666666667" top="1.6" bottom="0.759722222222222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 &amp;A&amp;C&amp;"Arial,Bold"&amp;12SOUTHERN CALIFORNIA GAS COMPANY
I.99-07-003
SCGC DATA REQUEST #5,
RESPONSE TO QUESTION 23
&amp;UATTACHMENT 8
&amp;UEstimated Cost Allocation Effects of Comprehensive Settlement in 2002</oddHeader>
    <oddFooter>&amp;L&amp;D&amp;CPage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 A2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13.28"/>
    <col collapsed="false" customWidth="true" hidden="false" outlineLevel="0" max="3" min="3" style="1" width="15.85"/>
    <col collapsed="false" customWidth="true" hidden="false" outlineLevel="0" max="4" min="4" style="1" width="18.14"/>
    <col collapsed="false" customWidth="true" hidden="false" outlineLevel="0" max="5" min="5" style="1" width="2.28"/>
    <col collapsed="false" customWidth="true" hidden="false" outlineLevel="0" max="6" min="6" style="1" width="14.56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7.42"/>
    <col collapsed="false" customWidth="true" hidden="false" outlineLevel="0" max="10" min="10" style="1" width="15.56"/>
    <col collapsed="false" customWidth="true" hidden="false" outlineLevel="0" max="11" min="11" style="1" width="19.14"/>
    <col collapsed="false" customWidth="true" hidden="false" outlineLevel="0" max="12" min="12" style="1" width="13.7"/>
    <col collapsed="false" customWidth="true" hidden="false" outlineLevel="0" max="13" min="13" style="1" width="13.28"/>
    <col collapsed="false" customWidth="false" hidden="false" outlineLevel="0" max="257" min="14" style="1" width="9.14"/>
  </cols>
  <sheetData>
    <row r="1" customFormat="false" ht="17" hidden="false" customHeight="false" outlineLevel="0" collapsed="false">
      <c r="A1" s="2"/>
    </row>
    <row r="2" customFormat="false" ht="17" hidden="false" customHeight="false" outlineLevel="0" collapsed="false">
      <c r="A2" s="3" t="s">
        <v>36</v>
      </c>
    </row>
    <row r="3" customFormat="false" ht="17" hidden="false" customHeight="false" outlineLevel="0" collapsed="false">
      <c r="A3" s="3"/>
    </row>
    <row r="4" customFormat="false" ht="17" hidden="false" customHeight="false" outlineLevel="0" collapsed="false">
      <c r="A4" s="4" t="s">
        <v>1</v>
      </c>
      <c r="B4" s="5"/>
      <c r="C4" s="5"/>
      <c r="D4" s="6"/>
    </row>
    <row r="5" customFormat="false" ht="17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7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7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7" hidden="false" customHeight="false" outlineLevel="0" collapsed="false">
      <c r="A8" s="13" t="s">
        <v>37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7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7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7" hidden="false" customHeight="false" outlineLevel="0" collapsed="false">
      <c r="A11" s="12"/>
      <c r="B11" s="37"/>
      <c r="C11" s="37"/>
      <c r="D11" s="37"/>
      <c r="E11" s="37"/>
      <c r="L11" s="18"/>
    </row>
    <row r="12" customFormat="false" ht="17" hidden="false" customHeight="false" outlineLevel="0" collapsed="false">
      <c r="B12" s="19" t="s">
        <v>10</v>
      </c>
      <c r="C12" s="19"/>
      <c r="D12" s="19"/>
      <c r="F12" s="19" t="s">
        <v>38</v>
      </c>
      <c r="G12" s="19"/>
      <c r="H12" s="19"/>
    </row>
    <row r="13" customFormat="false" ht="41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28.35" hidden="false" customHeight="false" outlineLevel="0" collapsed="false">
      <c r="A14" s="38" t="s">
        <v>39</v>
      </c>
      <c r="B14" s="38" t="n">
        <f aca="false">'Attachment 8'!B14/'Attachment 8'!B36*10</f>
        <v>41.4575552154437</v>
      </c>
      <c r="C14" s="38" t="n">
        <f aca="false">'Attachment 8'!C14/'Attachment 8'!C36*10</f>
        <v>27.2498465015816</v>
      </c>
      <c r="D14" s="38" t="n">
        <f aca="false">'Attachment 8'!D14/'Attachment 8'!D36*10</f>
        <v>37.896460339205</v>
      </c>
      <c r="E14" s="38"/>
      <c r="F14" s="38" t="n">
        <f aca="false">'Attachment 8'!F14/'Attachment 8'!F36*10</f>
        <v>2.67818720866428</v>
      </c>
      <c r="G14" s="38" t="n">
        <f aca="false">'Attachment 8'!G14/'Attachment 8'!G36*10</f>
        <v>5.08993696659123</v>
      </c>
      <c r="H14" s="38" t="n">
        <f aca="false">'Attachment 8'!H14/'Attachment 8'!H36*10</f>
        <v>1.94620948830154</v>
      </c>
      <c r="I14" s="38" t="n">
        <f aca="false">'Attachment 8'!I14/'Attachment 8'!I36*10</f>
        <v>3.04950697715762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7" hidden="false" customHeight="false" outlineLevel="0" collapsed="false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41" hidden="false" customHeight="false" outlineLevel="0" collapsed="false">
      <c r="A16" s="38" t="s">
        <v>40</v>
      </c>
      <c r="B16" s="38" t="n">
        <f aca="false">'Attachment 8'!B32/'Attachment 8'!B36*10</f>
        <v>41.3093024682939</v>
      </c>
      <c r="C16" s="38" t="n">
        <f aca="false">'Attachment 8'!C32/'Attachment 8'!C36*10</f>
        <v>26.8468446400236</v>
      </c>
      <c r="D16" s="38" t="n">
        <f aca="false">'Attachment 8'!D32/'Attachment 8'!D36*10</f>
        <v>37.6843559334722</v>
      </c>
      <c r="E16" s="38"/>
      <c r="F16" s="38" t="n">
        <f aca="false">'Attachment 8'!F32/'Attachment 8'!F36*10</f>
        <v>2.69345867809431</v>
      </c>
      <c r="G16" s="38" t="n">
        <f aca="false">'Attachment 8'!G32/'Attachment 8'!G36*10</f>
        <v>5.28921661997368</v>
      </c>
      <c r="H16" s="38" t="n">
        <f aca="false">'Attachment 8'!H32/'Attachment 8'!H36*10</f>
        <v>2.18374661462886</v>
      </c>
      <c r="I16" s="38" t="n">
        <f aca="false">'Attachment 8'!I32/'Attachment 8'!I36*10</f>
        <v>3.17070847147322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7" hidden="false" customHeight="false" outlineLevel="0" collapsed="false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7" hidden="false" customHeight="false" outlineLevel="0" collapsed="false">
      <c r="A18" s="39" t="s">
        <v>41</v>
      </c>
      <c r="B18" s="39" t="n">
        <f aca="false">B16-B14</f>
        <v>-0.14825274714979</v>
      </c>
      <c r="C18" s="39" t="n">
        <f aca="false">C16-C14</f>
        <v>-0.403001861558014</v>
      </c>
      <c r="D18" s="39" t="n">
        <f aca="false">D16-D14</f>
        <v>-0.212104405732866</v>
      </c>
      <c r="E18" s="39"/>
      <c r="F18" s="39" t="n">
        <f aca="false">F16-F14</f>
        <v>0.0152714694300373</v>
      </c>
      <c r="G18" s="39" t="n">
        <f aca="false">G16-G14</f>
        <v>0.199279653382455</v>
      </c>
      <c r="H18" s="39" t="n">
        <f aca="false">H16-H14</f>
        <v>0.23753712632732</v>
      </c>
      <c r="I18" s="39" t="n">
        <f aca="false">I16-I14</f>
        <v>0.121201494315606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7" hidden="false" customHeight="false" outlineLevel="0" collapsed="false">
      <c r="A20" s="1" t="s">
        <v>42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7" hidden="false" customHeight="false" outlineLevel="0" collapsed="false">
      <c r="A21" s="23" t="s">
        <v>43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7" hidden="false" customHeight="false" outlineLevel="0" collapsed="false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7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7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7" hidden="false" customHeight="false" outlineLevel="0" collapsed="false">
      <c r="A25" s="2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7" hidden="false" customHeight="false" outlineLevel="0" collapsed="false">
      <c r="A26" s="3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7" hidden="false" customHeight="false" outlineLevel="0" collapsed="false">
      <c r="A27" s="3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7" hidden="false" customHeight="false" outlineLevel="0" collapsed="false">
      <c r="A28" s="3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7" hidden="false" customHeight="false" outlineLevel="0" collapsed="false">
      <c r="A29" s="3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7" hidden="false" customHeight="false" outlineLevel="0" collapsed="false">
      <c r="A30" s="3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7" hidden="false" customHeight="false" outlineLevel="0" collapsed="false">
      <c r="A31" s="3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7" hidden="false" customHeight="false" outlineLevel="0" collapsed="false">
      <c r="A32" s="3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7" hidden="false" customHeight="false" outlineLevel="0" collapsed="false">
      <c r="A33" s="3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7" hidden="false" customHeight="false" outlineLevel="0" collapsed="false">
      <c r="A34" s="3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7" hidden="false" customHeight="false" outlineLevel="0" collapsed="false">
      <c r="A35" s="28"/>
      <c r="C35" s="30"/>
      <c r="D35" s="31"/>
      <c r="E35" s="31"/>
      <c r="F35" s="31"/>
      <c r="G35" s="31"/>
      <c r="H35" s="31"/>
      <c r="I35" s="29"/>
      <c r="J35" s="29"/>
      <c r="K35" s="29"/>
    </row>
    <row r="36" customFormat="false" ht="17" hidden="false" customHeight="false" outlineLevel="0" collapsed="false">
      <c r="A36" s="28"/>
      <c r="C36" s="29"/>
      <c r="D36" s="23"/>
      <c r="E36" s="23"/>
      <c r="F36" s="23"/>
      <c r="G36" s="23"/>
      <c r="H36" s="23"/>
      <c r="I36" s="23"/>
      <c r="J36" s="23"/>
      <c r="K36" s="23"/>
    </row>
    <row r="37" customFormat="false" ht="17" hidden="false" customHeight="false" outlineLevel="0" collapsed="false">
      <c r="A37" s="32"/>
      <c r="C37" s="23"/>
      <c r="D37" s="8"/>
      <c r="E37" s="8"/>
      <c r="F37" s="8"/>
      <c r="G37" s="8"/>
      <c r="H37" s="8"/>
      <c r="I37" s="8"/>
      <c r="J37" s="8"/>
      <c r="K37" s="8"/>
    </row>
    <row r="38" customFormat="false" ht="17" hidden="false" customHeight="false" outlineLevel="0" collapsed="false">
      <c r="B38" s="23"/>
      <c r="C38" s="23"/>
      <c r="D38" s="23"/>
      <c r="E38" s="23"/>
      <c r="F38" s="23"/>
    </row>
    <row r="39" customFormat="false" ht="17" hidden="false" customHeight="false" outlineLevel="0" collapsed="false">
      <c r="A39" s="33"/>
      <c r="C39" s="26"/>
    </row>
    <row r="40" customFormat="false" ht="17" hidden="false" customHeight="false" outlineLevel="0" collapsed="false">
      <c r="A40" s="33"/>
      <c r="C40" s="34"/>
    </row>
    <row r="41" customFormat="false" ht="17" hidden="false" customHeight="false" outlineLevel="0" collapsed="false">
      <c r="A41" s="33"/>
      <c r="C41" s="35"/>
    </row>
    <row r="42" customFormat="false" ht="17" hidden="false" customHeight="false" outlineLevel="0" collapsed="false">
      <c r="A42" s="33"/>
    </row>
    <row r="43" customFormat="false" ht="17" hidden="false" customHeight="false" outlineLevel="0" collapsed="false">
      <c r="A43" s="33"/>
      <c r="C43" s="8"/>
    </row>
    <row r="44" customFormat="false" ht="17" hidden="false" customHeight="false" outlineLevel="0" collapsed="false">
      <c r="A44" s="33"/>
      <c r="C44" s="34"/>
    </row>
    <row r="45" customFormat="false" ht="17" hidden="false" customHeight="false" outlineLevel="0" collapsed="false">
      <c r="A45" s="33"/>
    </row>
    <row r="46" customFormat="false" ht="17" hidden="false" customHeight="false" outlineLevel="0" collapsed="false">
      <c r="A46" s="33"/>
      <c r="C46" s="36"/>
      <c r="D46" s="8"/>
      <c r="E46" s="8"/>
      <c r="F46" s="8"/>
      <c r="G46" s="8"/>
      <c r="H46" s="8"/>
      <c r="I46" s="8"/>
      <c r="J46" s="8"/>
      <c r="K46" s="8"/>
    </row>
    <row r="47" customFormat="false" ht="17" hidden="false" customHeight="false" outlineLevel="0" collapsed="false">
      <c r="A47" s="33"/>
      <c r="C47" s="35"/>
      <c r="D47" s="35"/>
      <c r="E47" s="35"/>
      <c r="F47" s="35"/>
      <c r="G47" s="35"/>
      <c r="H47" s="35"/>
      <c r="I47" s="35"/>
      <c r="J47" s="35"/>
      <c r="K47" s="35"/>
    </row>
    <row r="49" customFormat="false" ht="17" hidden="false" customHeight="false" outlineLevel="0" collapsed="false">
      <c r="A49" s="33"/>
      <c r="C49" s="36"/>
    </row>
  </sheetData>
  <mergeCells count="2">
    <mergeCell ref="B12:D12"/>
    <mergeCell ref="F12:H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&amp;C&amp;"Arial,Bold"&amp;12Exhibit 9
Estimated Rate Impacts of Comprehensive Settlement in 2002
 Including Estimated Restructured Services</oddHeader>
    <oddFooter>&amp;LDRAFT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A37" activeCellId="0" sqref="A37 A37"/>
    </sheetView>
  </sheetViews>
  <sheetFormatPr defaultColWidth="11.41796875" defaultRowHeight="17" customHeight="true" zeroHeight="false" outlineLevelRow="0" outlineLevelCol="0"/>
  <cols>
    <col collapsed="false" customWidth="true" hidden="false" outlineLevel="0" max="1" min="1" style="40" width="9.14"/>
    <col collapsed="false" customWidth="true" hidden="false" outlineLevel="0" max="2" min="2" style="40" width="55.7"/>
    <col collapsed="false" customWidth="true" hidden="false" outlineLevel="0" max="3" min="3" style="40" width="13.85"/>
    <col collapsed="false" customWidth="true" hidden="false" outlineLevel="0" max="4" min="4" style="40" width="18.99"/>
    <col collapsed="false" customWidth="true" hidden="false" outlineLevel="0" max="5" min="5" style="40" width="16.7"/>
    <col collapsed="false" customWidth="true" hidden="false" outlineLevel="0" max="6" min="6" style="40" width="18.99"/>
    <col collapsed="false" customWidth="true" hidden="false" outlineLevel="0" max="7" min="7" style="40" width="13.85"/>
    <col collapsed="false" customWidth="true" hidden="false" outlineLevel="0" max="8" min="8" style="40" width="18.99"/>
    <col collapsed="false" customWidth="true" hidden="false" outlineLevel="0" max="9" min="9" style="40" width="13.28"/>
    <col collapsed="false" customWidth="true" hidden="false" outlineLevel="0" max="10" min="10" style="40" width="2.28"/>
    <col collapsed="false" customWidth="true" hidden="false" outlineLevel="0" max="11" min="11" style="40" width="15.99"/>
    <col collapsed="false" customWidth="true" hidden="false" outlineLevel="0" max="12" min="12" style="40" width="15.13"/>
    <col collapsed="false" customWidth="true" hidden="false" outlineLevel="0" max="13" min="13" style="40" width="17.85"/>
    <col collapsed="false" customWidth="true" hidden="false" outlineLevel="0" max="14" min="14" style="40" width="17.56"/>
    <col collapsed="false" customWidth="true" hidden="false" outlineLevel="0" max="15" min="15" style="40" width="1.85"/>
    <col collapsed="false" customWidth="true" hidden="false" outlineLevel="0" max="16" min="16" style="40" width="9.99"/>
    <col collapsed="false" customWidth="true" hidden="false" outlineLevel="0" max="17" min="17" style="40" width="15.41"/>
    <col collapsed="false" customWidth="true" hidden="false" outlineLevel="0" max="18" min="18" style="40" width="2.99"/>
    <col collapsed="false" customWidth="false" hidden="false" outlineLevel="0" max="19" min="19" style="40" width="11.42"/>
    <col collapsed="false" customWidth="true" hidden="false" outlineLevel="0" max="20" min="20" style="40" width="14.99"/>
    <col collapsed="false" customWidth="false" hidden="false" outlineLevel="0" max="257" min="21" style="40" width="11.42"/>
  </cols>
  <sheetData>
    <row r="1" customFormat="false" ht="17" hidden="false" customHeight="false" outlineLevel="0" collapsed="false">
      <c r="B1" s="41" t="s">
        <v>44</v>
      </c>
    </row>
    <row r="2" customFormat="false" ht="17" hidden="false" customHeight="false" outlineLevel="0" collapsed="false">
      <c r="B2" s="42" t="s">
        <v>0</v>
      </c>
    </row>
    <row r="3" customFormat="false" ht="17" hidden="false" customHeight="false" outlineLevel="0" collapsed="false">
      <c r="B3" s="42"/>
    </row>
    <row r="4" customFormat="false" ht="17" hidden="false" customHeight="false" outlineLevel="0" collapsed="false">
      <c r="B4" s="43" t="s">
        <v>1</v>
      </c>
      <c r="C4" s="44"/>
      <c r="D4" s="44"/>
      <c r="E4" s="45"/>
    </row>
    <row r="5" customFormat="false" ht="17" hidden="false" customHeight="false" outlineLevel="0" collapsed="false">
      <c r="B5" s="46" t="s">
        <v>2</v>
      </c>
      <c r="C5" s="8" t="n">
        <v>0.5</v>
      </c>
      <c r="D5" s="47"/>
      <c r="E5" s="48"/>
      <c r="F5" s="47"/>
      <c r="G5" s="47"/>
      <c r="H5" s="47"/>
      <c r="I5" s="47"/>
      <c r="J5" s="47"/>
      <c r="K5" s="47"/>
    </row>
    <row r="6" customFormat="false" ht="17" hidden="false" customHeight="false" outlineLevel="0" collapsed="false">
      <c r="B6" s="46" t="s">
        <v>3</v>
      </c>
      <c r="C6" s="8" t="n">
        <v>0.01</v>
      </c>
      <c r="D6" s="47"/>
      <c r="E6" s="48"/>
      <c r="F6" s="47"/>
      <c r="G6" s="47"/>
      <c r="H6" s="47"/>
      <c r="I6" s="47"/>
      <c r="J6" s="47"/>
      <c r="K6" s="47"/>
    </row>
    <row r="7" customFormat="false" ht="17" hidden="false" customHeight="false" outlineLevel="0" collapsed="false">
      <c r="B7" s="49"/>
      <c r="C7" s="47" t="s">
        <v>6</v>
      </c>
      <c r="D7" s="47" t="s">
        <v>4</v>
      </c>
      <c r="E7" s="48" t="s">
        <v>5</v>
      </c>
    </row>
    <row r="8" customFormat="false" ht="17" hidden="false" customHeight="false" outlineLevel="0" collapsed="false">
      <c r="B8" s="50" t="s">
        <v>37</v>
      </c>
      <c r="C8" s="51" t="n">
        <v>0.1</v>
      </c>
      <c r="D8" s="14" t="n">
        <f aca="false">C8-E8</f>
        <v>0.015</v>
      </c>
      <c r="E8" s="52" t="n">
        <f aca="false">MIN(85%*C8,E9)</f>
        <v>0.085</v>
      </c>
    </row>
    <row r="9" customFormat="false" ht="17" hidden="false" customHeight="false" outlineLevel="0" collapsed="false">
      <c r="B9" s="17" t="s">
        <v>8</v>
      </c>
      <c r="C9" s="8" t="n">
        <f aca="false">SUM(D9:E9)</f>
        <v>1</v>
      </c>
      <c r="D9" s="8" t="n">
        <v>0.749354737772448</v>
      </c>
      <c r="E9" s="8" t="n">
        <v>0.250645262227553</v>
      </c>
      <c r="I9" s="16"/>
      <c r="J9" s="16"/>
      <c r="K9" s="16"/>
    </row>
    <row r="10" customFormat="false" ht="17" hidden="false" customHeight="false" outlineLevel="0" collapsed="false">
      <c r="B10" s="53" t="s">
        <v>9</v>
      </c>
      <c r="C10" s="8" t="n">
        <f aca="false">C8/C9</f>
        <v>0.1</v>
      </c>
      <c r="D10" s="16" t="n">
        <f aca="false">D8/D9</f>
        <v>0.0200172218095123</v>
      </c>
      <c r="E10" s="16" t="n">
        <f aca="false">E8/E9</f>
        <v>0.339124702556042</v>
      </c>
      <c r="O10" s="18"/>
    </row>
    <row r="11" customFormat="false" ht="17" hidden="false" customHeight="false" outlineLevel="0" collapsed="false">
      <c r="B11" s="53"/>
      <c r="C11" s="16"/>
      <c r="D11" s="16"/>
      <c r="E11" s="47"/>
      <c r="O11" s="18"/>
    </row>
    <row r="12" customFormat="false" ht="17" hidden="false" customHeight="false" outlineLevel="0" collapsed="false">
      <c r="C12" s="54" t="s">
        <v>45</v>
      </c>
      <c r="D12" s="54"/>
      <c r="E12" s="54" t="s">
        <v>46</v>
      </c>
      <c r="F12" s="54"/>
      <c r="G12" s="54" t="s">
        <v>47</v>
      </c>
      <c r="H12" s="54"/>
      <c r="I12" s="54"/>
      <c r="K12" s="54" t="s">
        <v>11</v>
      </c>
      <c r="L12" s="54"/>
      <c r="M12" s="54"/>
    </row>
    <row r="13" customFormat="false" ht="41" hidden="false" customHeight="false" outlineLevel="0" collapsed="false">
      <c r="A13" s="20" t="s">
        <v>48</v>
      </c>
      <c r="B13" s="20"/>
      <c r="C13" s="20" t="s">
        <v>4</v>
      </c>
      <c r="D13" s="20" t="s">
        <v>12</v>
      </c>
      <c r="E13" s="20" t="s">
        <v>4</v>
      </c>
      <c r="F13" s="20" t="s">
        <v>12</v>
      </c>
      <c r="G13" s="20" t="s">
        <v>4</v>
      </c>
      <c r="H13" s="20" t="s">
        <v>12</v>
      </c>
      <c r="I13" s="21" t="s">
        <v>13</v>
      </c>
      <c r="J13" s="20"/>
      <c r="K13" s="20" t="s">
        <v>14</v>
      </c>
      <c r="L13" s="20" t="s">
        <v>15</v>
      </c>
      <c r="M13" s="20" t="s">
        <v>16</v>
      </c>
      <c r="N13" s="21" t="s">
        <v>17</v>
      </c>
      <c r="O13" s="20"/>
      <c r="P13" s="20" t="s">
        <v>49</v>
      </c>
      <c r="Q13" s="20" t="s">
        <v>50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28.35" hidden="false" customHeight="false" outlineLevel="0" collapsed="false">
      <c r="A14" s="22" t="n">
        <v>1</v>
      </c>
      <c r="B14" s="22" t="s">
        <v>18</v>
      </c>
      <c r="C14" s="22" t="e">
        <f aca="false">*(1-$D$10)</f>
        <v>#NAME?</v>
      </c>
      <c r="D14" s="22" t="e">
        <f aca="false">SUM()*(1-'Attachment 8 Calc.'!$E$10)</f>
        <v>#NAME?</v>
      </c>
      <c r="E14" s="22" t="e">
        <f aca="false">*($D$10)</f>
        <v>#NAME?</v>
      </c>
      <c r="F14" s="22" t="e">
        <f aca="false">SUM()*('Attachment 8 Calc.'!$E$10)</f>
        <v>#NAME?</v>
      </c>
      <c r="G14" s="22" t="e">
        <f aca="false"/>
        <v>#NAME?</v>
      </c>
      <c r="H14" s="22" t="e">
        <f aca="false">SUM()</f>
        <v>#NAME?</v>
      </c>
      <c r="I14" s="22" t="e">
        <f aca="false">SUM(G14:H14)</f>
        <v>#NAME?</v>
      </c>
      <c r="J14" s="22"/>
      <c r="K14" s="22" t="e">
        <f aca="false">SUM()</f>
        <v>#NAME?</v>
      </c>
      <c r="L14" s="22" t="e">
        <f aca="false"/>
        <v>#NAME?</v>
      </c>
      <c r="M14" s="22" t="e">
        <f aca="false">+</f>
        <v>#NAME?</v>
      </c>
      <c r="N14" s="22" t="e">
        <f aca="false">SUM(K14:M14)</f>
        <v>#NAME?</v>
      </c>
      <c r="O14" s="22"/>
      <c r="P14" s="22" t="n">
        <v>22784.2265925678</v>
      </c>
      <c r="Q14" s="22" t="e">
        <f aca="false">SUM(N14:P14,I14)</f>
        <v>#NAME?</v>
      </c>
      <c r="R14" s="22"/>
      <c r="S14" s="22"/>
      <c r="T14" s="55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7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41" hidden="false" customHeight="false" outlineLevel="0" collapsed="false">
      <c r="A16" s="22" t="n">
        <v>2</v>
      </c>
      <c r="B16" s="22" t="s">
        <v>51</v>
      </c>
      <c r="C16" s="22" t="e">
        <f aca="false">*(1-D10)</f>
        <v>#NAME?</v>
      </c>
      <c r="D16" s="22" t="e">
        <f aca="false">SUM()*(1-E10)</f>
        <v>#NAME?</v>
      </c>
      <c r="E16" s="22" t="e">
        <f aca="false">D10*</f>
        <v>#NAME?</v>
      </c>
      <c r="F16" s="22" t="e">
        <f aca="false">$E$10*SUM()</f>
        <v>#NAME?</v>
      </c>
      <c r="G16" s="22" t="e">
        <f aca="false"/>
        <v>#NAME?</v>
      </c>
      <c r="H16" s="22" t="e">
        <f aca="false">SUM()</f>
        <v>#NAME?</v>
      </c>
      <c r="I16" s="22" t="e">
        <f aca="false">SUM(G16:H16)</f>
        <v>#NAME?</v>
      </c>
      <c r="J16" s="22"/>
      <c r="K16" s="22" t="e">
        <f aca="false">SUM()</f>
        <v>#NAME?</v>
      </c>
      <c r="L16" s="22" t="e">
        <f aca="false"/>
        <v>#NAME?</v>
      </c>
      <c r="M16" s="22" t="e">
        <f aca="false">+</f>
        <v>#NAME?</v>
      </c>
      <c r="N16" s="22" t="e">
        <f aca="false">SUM(K16:M16)</f>
        <v>#NAME?</v>
      </c>
      <c r="O16" s="22"/>
      <c r="P16" s="22" t="e">
        <f aca="false"/>
        <v>#NAME?</v>
      </c>
      <c r="Q16" s="22" t="e">
        <f aca="false">SUM(N16:P16,I16)</f>
        <v>#NAME?</v>
      </c>
      <c r="R16" s="22"/>
      <c r="S16" s="22"/>
      <c r="T16" s="55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7" hidden="false" customHeight="false" outlineLevel="0" collapsed="false">
      <c r="A17" s="23" t="n">
        <v>3</v>
      </c>
      <c r="B17" s="23" t="s">
        <v>20</v>
      </c>
      <c r="C17" s="23" t="e">
        <f aca="false">$Q17*C38/$Q$38</f>
        <v>#NAME?</v>
      </c>
      <c r="D17" s="23" t="e">
        <f aca="false">$Q17*D38/$Q$38</f>
        <v>#NAME?</v>
      </c>
      <c r="E17" s="23" t="e">
        <f aca="false">$Q17*E38/$Q$38</f>
        <v>#NAME?</v>
      </c>
      <c r="F17" s="23" t="e">
        <f aca="false">$Q17*F38/$Q$38</f>
        <v>#NAME?</v>
      </c>
      <c r="G17" s="23" t="e">
        <f aca="false">$Q17*G38/$Q$38</f>
        <v>#NAME?</v>
      </c>
      <c r="H17" s="23" t="e">
        <f aca="false">$Q17*H38/$Q$38</f>
        <v>#NAME?</v>
      </c>
      <c r="I17" s="23" t="e">
        <f aca="false">$Q17*I38/$Q$38</f>
        <v>#NAME?</v>
      </c>
      <c r="J17" s="22"/>
      <c r="K17" s="23" t="e">
        <f aca="false">$Q17*K38/$Q$38</f>
        <v>#NAME?</v>
      </c>
      <c r="L17" s="23" t="e">
        <f aca="false">$Q17*L38/$Q$38</f>
        <v>#NAME?</v>
      </c>
      <c r="M17" s="23" t="e">
        <f aca="false">$Q17*M38/$Q$38</f>
        <v>#NAME?</v>
      </c>
      <c r="N17" s="23" t="e">
        <f aca="false">SUM(K17:M17)</f>
        <v>#NAME?</v>
      </c>
      <c r="O17" s="22"/>
      <c r="P17" s="23" t="e">
        <f aca="false">$Q17*P38/$Q$38</f>
        <v>#NAME?</v>
      </c>
      <c r="Q17" s="22" t="e">
        <f aca="false">/1000</f>
        <v>#NAME?</v>
      </c>
      <c r="R17" s="23"/>
      <c r="S17" s="23"/>
      <c r="T17" s="55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7" hidden="false" customHeight="false" outlineLevel="0" collapsed="false">
      <c r="A18" s="23" t="n">
        <v>4</v>
      </c>
      <c r="B18" s="23"/>
      <c r="C18" s="23"/>
      <c r="D18" s="23"/>
      <c r="E18" s="23"/>
      <c r="F18" s="23"/>
      <c r="G18" s="23"/>
      <c r="H18" s="23"/>
      <c r="I18" s="23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7" hidden="false" customHeight="false" outlineLevel="0" collapsed="false">
      <c r="A19" s="23" t="n">
        <v>5</v>
      </c>
      <c r="B19" s="23" t="s">
        <v>52</v>
      </c>
      <c r="C19" s="23" t="e">
        <f aca="false">(+)*C38/SUM($C$38:$D$38)</f>
        <v>#NAME?</v>
      </c>
      <c r="D19" s="23" t="e">
        <f aca="false">(+)*D38/SUM($C$38:$D$38)</f>
        <v>#NAME?</v>
      </c>
      <c r="E19" s="23" t="e">
        <f aca="false">*'Attachment 8 Calc.'!E37/SUM('Attachment 8 Calc.'!$E$37:$F$37)</f>
        <v>#NAME?</v>
      </c>
      <c r="F19" s="23" t="e">
        <f aca="false">*'Attachment 8 Calc.'!F37/SUM('Attachment 8 Calc.'!$E$37:$F$37)</f>
        <v>#NAME?</v>
      </c>
      <c r="G19" s="22" t="e">
        <f aca="false">SUM(C19,E19)</f>
        <v>#NAME?</v>
      </c>
      <c r="H19" s="22" t="e">
        <f aca="false">SUM(D19,F19)</f>
        <v>#NAME?</v>
      </c>
      <c r="I19" s="22" t="e">
        <f aca="false">SUM(G19:H19)</f>
        <v>#NAME?</v>
      </c>
      <c r="J19" s="22"/>
      <c r="K19" s="23" t="e">
        <f aca="false">(-'Attachment 8 Calc.'!$P$19)*'Attachment 8 Calc.'!K37/'Attachment 8 Calc.'!$N$37</f>
        <v>#NAME?</v>
      </c>
      <c r="L19" s="23" t="e">
        <f aca="false">(-'Attachment 8 Calc.'!$P$19)*'Attachment 8 Calc.'!L37/'Attachment 8 Calc.'!$N$37</f>
        <v>#NAME?</v>
      </c>
      <c r="M19" s="23" t="e">
        <f aca="false">(-'Attachment 8 Calc.'!$P$19)*'Attachment 8 Calc.'!M37/'Attachment 8 Calc.'!$N$37</f>
        <v>#NAME?</v>
      </c>
      <c r="N19" s="23" t="e">
        <f aca="false">SUM(K19:M19)</f>
        <v>#NAME?</v>
      </c>
      <c r="O19" s="22"/>
      <c r="P19" s="23" t="e">
        <f aca="false">*'Attachment 8 Calc.'!P37</f>
        <v>#NAME?</v>
      </c>
      <c r="Q19" s="22" t="e">
        <f aca="false">SUM(N19:P19,I19)</f>
        <v>#NAME?</v>
      </c>
      <c r="R19" s="23"/>
      <c r="S19" s="23"/>
      <c r="T19" s="5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7" hidden="false" customHeight="false" outlineLevel="0" collapsed="false">
      <c r="A20" s="23" t="n">
        <v>6</v>
      </c>
      <c r="B20" s="23" t="s">
        <v>22</v>
      </c>
      <c r="C20" s="23" t="e">
        <f aca="false">$Q$20*C37/$Q$37</f>
        <v>#NAME?</v>
      </c>
      <c r="D20" s="23" t="e">
        <f aca="false">$Q$20*D37/$Q$37</f>
        <v>#NAME?</v>
      </c>
      <c r="E20" s="23" t="e">
        <f aca="false">$Q$20*E37/$Q$37</f>
        <v>#NAME?</v>
      </c>
      <c r="F20" s="23" t="e">
        <f aca="false">$Q$20*F37/$Q$37</f>
        <v>#NAME?</v>
      </c>
      <c r="G20" s="56" t="e">
        <f aca="false">$Q$20*G37/$Q$37</f>
        <v>#NAME?</v>
      </c>
      <c r="H20" s="56" t="e">
        <f aca="false">$Q$20*H37/$Q$37</f>
        <v>#NAME?</v>
      </c>
      <c r="I20" s="22" t="e">
        <f aca="false">SUM(G20:H20)</f>
        <v>#NAME?</v>
      </c>
      <c r="J20" s="22"/>
      <c r="K20" s="56" t="e">
        <f aca="false">$Q$20*K37/$Q$37</f>
        <v>#NAME?</v>
      </c>
      <c r="L20" s="56" t="e">
        <f aca="false">$Q$20*L37/$Q$37</f>
        <v>#NAME?</v>
      </c>
      <c r="M20" s="56" t="e">
        <f aca="false">$Q$20*M37/$Q$37</f>
        <v>#NAME?</v>
      </c>
      <c r="N20" s="23" t="e">
        <f aca="false">SUM(K20:M20)</f>
        <v>#NAME?</v>
      </c>
      <c r="O20" s="22"/>
      <c r="P20" s="23" t="e">
        <f aca="false">$Q$20*P37/$Q$37</f>
        <v>#NAME?</v>
      </c>
      <c r="Q20" s="22" t="n">
        <v>10606.2535863228</v>
      </c>
      <c r="R20" s="23"/>
      <c r="S20" s="56"/>
      <c r="T20" s="55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7" hidden="false" customHeight="false" outlineLevel="0" collapsed="false">
      <c r="A21" s="23" t="n">
        <v>7</v>
      </c>
      <c r="B21" s="23" t="s">
        <v>23</v>
      </c>
      <c r="C21" s="23" t="e">
        <f aca="false"/>
        <v>#NAME?</v>
      </c>
      <c r="D21" s="23" t="e">
        <f aca="false"/>
        <v>#NAME?</v>
      </c>
      <c r="E21" s="23" t="e">
        <f aca="false"/>
        <v>#NAME?</v>
      </c>
      <c r="F21" s="23" t="e">
        <f aca="false"/>
        <v>#NAME?</v>
      </c>
      <c r="G21" s="22" t="e">
        <f aca="false">SUM(C21,E21)</f>
        <v>#NAME?</v>
      </c>
      <c r="H21" s="22" t="e">
        <f aca="false">SUM(D21,F21)</f>
        <v>#NAME?</v>
      </c>
      <c r="I21" s="22" t="e">
        <f aca="false">SUM(G21:H21)</f>
        <v>#NAME?</v>
      </c>
      <c r="J21" s="22"/>
      <c r="K21" s="23"/>
      <c r="L21" s="23"/>
      <c r="M21" s="23"/>
      <c r="N21" s="23"/>
      <c r="O21" s="23"/>
      <c r="P21" s="23"/>
      <c r="Q21" s="22" t="e">
        <f aca="false">SUM(N21:P21,I21)</f>
        <v>#NAME?</v>
      </c>
      <c r="R21" s="23"/>
      <c r="S21" s="5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7" hidden="false" customHeight="false" outlineLevel="0" collapsed="false">
      <c r="A22" s="23" t="n">
        <v>8</v>
      </c>
      <c r="B22" s="23" t="s">
        <v>24</v>
      </c>
      <c r="C22" s="23"/>
      <c r="D22" s="23"/>
      <c r="E22" s="23"/>
      <c r="F22" s="23"/>
      <c r="G22" s="23"/>
      <c r="H22" s="23"/>
      <c r="I22" s="23"/>
      <c r="J22" s="22"/>
      <c r="K22" s="23" t="e">
        <f aca="false">/1000*'Attachment 8 Calc.'!K37/SUM('Attachment 8 Calc.'!$N$37:$P$37)</f>
        <v>#NAME?</v>
      </c>
      <c r="L22" s="23" t="e">
        <f aca="false">/1000*'Attachment 8 Calc.'!L37/SUM('Attachment 8 Calc.'!$N$37:$P$37)</f>
        <v>#NAME?</v>
      </c>
      <c r="M22" s="23" t="e">
        <f aca="false">/1000*'Attachment 8 Calc.'!M37/SUM('Attachment 8 Calc.'!$N$37:$P$37)</f>
        <v>#NAME?</v>
      </c>
      <c r="N22" s="23" t="e">
        <f aca="false">SUM(K22:M22)</f>
        <v>#NAME?</v>
      </c>
      <c r="O22" s="23"/>
      <c r="P22" s="23" t="e">
        <f aca="false">/1000*'Attachment 8 Calc.'!P37/SUM('Attachment 8 Calc.'!$N$37:$P$37)</f>
        <v>#NAME?</v>
      </c>
      <c r="Q22" s="22" t="e">
        <f aca="false">SUM(N22:P22,I22)</f>
        <v>#NAME?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7" hidden="false" customHeight="false" outlineLevel="0" collapsed="false">
      <c r="A23" s="23" t="n">
        <v>9</v>
      </c>
      <c r="B23" s="23" t="s">
        <v>25</v>
      </c>
      <c r="C23" s="23" t="e">
        <f aca="false">$I$23*</f>
        <v>#NAME?</v>
      </c>
      <c r="D23" s="23" t="e">
        <f aca="false">$I$23*</f>
        <v>#NAME?</v>
      </c>
      <c r="E23" s="23" t="e">
        <f aca="false">$I$23*</f>
        <v>#NAME?</v>
      </c>
      <c r="F23" s="23" t="e">
        <f aca="false">$I$23*</f>
        <v>#NAME?</v>
      </c>
      <c r="G23" s="22" t="e">
        <f aca="false">SUM(C23,E23)</f>
        <v>#NAME?</v>
      </c>
      <c r="H23" s="22" t="e">
        <f aca="false">SUM(D23,F23)</f>
        <v>#NAME?</v>
      </c>
      <c r="I23" s="23" t="e">
        <f aca="false">*FR_AND_U</f>
        <v>#NAME?</v>
      </c>
      <c r="J23" s="22"/>
      <c r="K23" s="23" t="e">
        <f aca="false">*'Attachment 8 Calc.'!K37/('Attachment 8 Calc.'!$N$37+'Attachment 8 Calc.'!$P$37)*FR_AND_U</f>
        <v>#NAME?</v>
      </c>
      <c r="L23" s="23" t="e">
        <f aca="false">*'Attachment 8 Calc.'!L37/('Attachment 8 Calc.'!$N$37+'Attachment 8 Calc.'!$P$37)*FR_AND_U</f>
        <v>#NAME?</v>
      </c>
      <c r="M23" s="23" t="e">
        <f aca="false">*'Attachment 8 Calc.'!M37/('Attachment 8 Calc.'!$N$37+'Attachment 8 Calc.'!$P$37)*FR_ONLY</f>
        <v>#NAME?</v>
      </c>
      <c r="N23" s="23" t="e">
        <f aca="false">SUM(K23:M23)</f>
        <v>#NAME?</v>
      </c>
      <c r="O23" s="23"/>
      <c r="P23" s="23" t="e">
        <f aca="false">*'Attachment 8 Calc.'!P37/('Attachment 8 Calc.'!$N$37+'Attachment 8 Calc.'!$P$37)*FR_AND_U</f>
        <v>#NAME?</v>
      </c>
      <c r="Q23" s="22" t="e">
        <f aca="false">SUM(N23:P23,I23)</f>
        <v>#NAME?</v>
      </c>
      <c r="R23" s="23"/>
      <c r="S23" s="23"/>
      <c r="T23" s="5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7" hidden="false" customHeight="false" outlineLevel="0" collapsed="false">
      <c r="A24" s="23" t="n">
        <v>10</v>
      </c>
      <c r="B24" s="23" t="s">
        <v>26</v>
      </c>
      <c r="C24" s="23" t="e">
        <f aca="false"/>
        <v>#NAME?</v>
      </c>
      <c r="D24" s="23" t="e">
        <f aca="false"/>
        <v>#NAME?</v>
      </c>
      <c r="E24" s="23" t="e">
        <f aca="false"/>
        <v>#NAME?</v>
      </c>
      <c r="F24" s="23" t="e">
        <f aca="false">*1</f>
        <v>#NAME?</v>
      </c>
      <c r="G24" s="22" t="e">
        <f aca="false">SUM(C24,E24)</f>
        <v>#NAME?</v>
      </c>
      <c r="H24" s="22" t="e">
        <f aca="false">SUM(D24,F24)</f>
        <v>#NAME?</v>
      </c>
      <c r="I24" s="23" t="e">
        <f aca="false">SUM(C24:F24)</f>
        <v>#NAME?</v>
      </c>
      <c r="J24" s="22"/>
      <c r="K24" s="23" t="e">
        <f aca="false">/1000*'Attachment 8 Calc.'!K37/SUM('Attachment 8 Calc.'!$N$37:$P$37)</f>
        <v>#NAME?</v>
      </c>
      <c r="L24" s="23" t="e">
        <f aca="false">/1000*'Attachment 8 Calc.'!L37/SUM('Attachment 8 Calc.'!$N$37:$P$37)</f>
        <v>#NAME?</v>
      </c>
      <c r="M24" s="23" t="e">
        <f aca="false">/1000*'Attachment 8 Calc.'!M37/SUM('Attachment 8 Calc.'!$N$37:$P$37)</f>
        <v>#NAME?</v>
      </c>
      <c r="N24" s="23" t="e">
        <f aca="false">SUM(K24:M24)</f>
        <v>#NAME?</v>
      </c>
      <c r="O24" s="22"/>
      <c r="P24" s="23" t="e">
        <f aca="false">/1000*'Attachment 8 Calc.'!P37/SUM('Attachment 8 Calc.'!$N$37:$P$37)</f>
        <v>#NAME?</v>
      </c>
      <c r="Q24" s="22" t="e">
        <f aca="false">SUM(N24:P24,I24)</f>
        <v>#NAME?</v>
      </c>
      <c r="R24" s="23"/>
      <c r="S24" s="23"/>
      <c r="T24" s="55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7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7" hidden="false" customHeight="false" outlineLevel="0" collapsed="false">
      <c r="A26" s="23" t="n">
        <v>11</v>
      </c>
      <c r="B26" s="23" t="s">
        <v>27</v>
      </c>
      <c r="C26" s="23" t="e">
        <f aca="false">()*'Attachment 8 Calc.'!C37/SUM('Attachment 8 Calc.'!$C$37:$D$37)*1000*FR_AND_U</f>
        <v>#NAME?</v>
      </c>
      <c r="D26" s="23" t="e">
        <f aca="false">()*'Attachment 8 Calc.'!D37/SUM('Attachment 8 Calc.'!$C$37:$D$37)*1000*FR_AND_U</f>
        <v>#NAME?</v>
      </c>
      <c r="E26" s="23" t="e">
        <f aca="false">-*'Attachment 8 Calc.'!E37/SUM('Attachment 8 Calc.'!$E$37:$F$37)*1000</f>
        <v>#NAME?</v>
      </c>
      <c r="F26" s="23" t="e">
        <f aca="false">(-)*'Attachment 8 Calc.'!F37/SUM('Attachment 8 Calc.'!$E$37:$F$37)*1000</f>
        <v>#NAME?</v>
      </c>
      <c r="G26" s="22" t="e">
        <f aca="false">SUM(C26,E26)</f>
        <v>#NAME?</v>
      </c>
      <c r="H26" s="22" t="e">
        <f aca="false">SUM(D26,F26)</f>
        <v>#NAME?</v>
      </c>
      <c r="I26" s="23" t="e">
        <f aca="false">SUM(C26:F26)</f>
        <v>#NAME?</v>
      </c>
      <c r="J26" s="22"/>
      <c r="K26" s="23" t="n">
        <v>0</v>
      </c>
      <c r="L26" s="23" t="n">
        <v>0</v>
      </c>
      <c r="M26" s="23" t="n">
        <v>0</v>
      </c>
      <c r="N26" s="23" t="n">
        <f aca="false">SUM(K26:M26)</f>
        <v>0</v>
      </c>
      <c r="O26" s="22"/>
      <c r="P26" s="23"/>
      <c r="Q26" s="22" t="e">
        <f aca="false">SUM(N26:P26,I26)</f>
        <v>#NAME?</v>
      </c>
      <c r="R26" s="23"/>
      <c r="S26" s="23"/>
      <c r="T26" s="55"/>
      <c r="U26" s="57"/>
      <c r="V26" s="58"/>
      <c r="W26" s="58"/>
      <c r="X26" s="58"/>
      <c r="Y26" s="5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7" hidden="false" customHeight="false" outlineLevel="0" collapsed="false">
      <c r="A27" s="23" t="n">
        <v>12</v>
      </c>
      <c r="B27" s="23" t="s">
        <v>28</v>
      </c>
      <c r="C27" s="23" t="e">
        <f aca="false">(-)*1000*FR_AND_U</f>
        <v>#NAME?</v>
      </c>
      <c r="D27" s="23" t="e">
        <f aca="false">(-)*1000*FR_AND_U</f>
        <v>#NAME?</v>
      </c>
      <c r="E27" s="23" t="e">
        <f aca="false">(-)*1000*FR_AND_U</f>
        <v>#NAME?</v>
      </c>
      <c r="F27" s="23" t="e">
        <f aca="false">(-)*1000*FR_AND_U</f>
        <v>#NAME?</v>
      </c>
      <c r="G27" s="22" t="e">
        <f aca="false">SUM(C27,E27)</f>
        <v>#NAME?</v>
      </c>
      <c r="H27" s="22" t="e">
        <f aca="false">SUM(D27,F27)</f>
        <v>#NAME?</v>
      </c>
      <c r="I27" s="23" t="e">
        <f aca="false">SUM(C27:F27)</f>
        <v>#NAME?</v>
      </c>
      <c r="J27" s="22"/>
      <c r="K27" s="23" t="e">
        <f aca="false">()*'Attachment 8 Calc.'!K37/'Attachment 8 Calc.'!$N$37*1000*FR_AND_U</f>
        <v>#NAME?</v>
      </c>
      <c r="L27" s="23" t="e">
        <f aca="false">()*'Attachment 8 Calc.'!L37/'Attachment 8 Calc.'!$N$37*1000*FR_AND_U</f>
        <v>#NAME?</v>
      </c>
      <c r="M27" s="23" t="e">
        <f aca="false">()*'Attachment 8 Calc.'!M37/'Attachment 8 Calc.'!$N$37*1000*FR_ONLY</f>
        <v>#NAME?</v>
      </c>
      <c r="N27" s="23" t="e">
        <f aca="false">SUM(K27:M27)</f>
        <v>#NAME?</v>
      </c>
      <c r="O27" s="22"/>
      <c r="P27" s="23"/>
      <c r="Q27" s="22" t="e">
        <f aca="false">SUM(N27:P27,I27)</f>
        <v>#NAME?</v>
      </c>
      <c r="R27" s="23"/>
      <c r="S27" s="23"/>
      <c r="T27" s="5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7" hidden="false" customHeight="false" outlineLevel="0" collapsed="false">
      <c r="A28" s="23" t="n">
        <v>13</v>
      </c>
      <c r="B28" s="23" t="s">
        <v>29</v>
      </c>
      <c r="C28" s="23" t="e">
        <f aca="false">()*1000*FR_AND_U</f>
        <v>#NAME?</v>
      </c>
      <c r="D28" s="23" t="e">
        <f aca="false">()*1000*FR_AND_U</f>
        <v>#NAME?</v>
      </c>
      <c r="E28" s="23" t="e">
        <f aca="false">()*1000*FR_AND_U</f>
        <v>#NAME?</v>
      </c>
      <c r="F28" s="23" t="e">
        <f aca="false">()*1000*FR_AND_U</f>
        <v>#NAME?</v>
      </c>
      <c r="G28" s="22" t="e">
        <f aca="false">SUM(C28,E28)</f>
        <v>#NAME?</v>
      </c>
      <c r="H28" s="22" t="e">
        <f aca="false">SUM(D28,F28)</f>
        <v>#NAME?</v>
      </c>
      <c r="I28" s="23" t="e">
        <f aca="false">SUM(C28:F28)</f>
        <v>#NAME?</v>
      </c>
      <c r="J28" s="22"/>
      <c r="K28" s="23" t="n">
        <v>0</v>
      </c>
      <c r="L28" s="23" t="n">
        <v>0</v>
      </c>
      <c r="M28" s="23" t="n">
        <v>0</v>
      </c>
      <c r="N28" s="23" t="n">
        <f aca="false">SUM(K28:M28)</f>
        <v>0</v>
      </c>
      <c r="O28" s="22"/>
      <c r="P28" s="23"/>
      <c r="Q28" s="22" t="e">
        <f aca="false">SUM(N28:P28,I28)</f>
        <v>#NAME?</v>
      </c>
      <c r="R28" s="23"/>
      <c r="S28" s="23"/>
      <c r="T28" s="55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7" hidden="false" customHeight="false" outlineLevel="0" collapsed="false">
      <c r="A29" s="23"/>
      <c r="B29" s="23"/>
      <c r="C29" s="23"/>
      <c r="D29" s="23"/>
      <c r="E29" s="23"/>
      <c r="F29" s="23"/>
      <c r="G29" s="22"/>
      <c r="H29" s="22"/>
      <c r="I29" s="23"/>
      <c r="J29" s="22"/>
      <c r="K29" s="23"/>
      <c r="L29" s="23"/>
      <c r="M29" s="23"/>
      <c r="N29" s="23"/>
      <c r="O29" s="22"/>
      <c r="P29" s="23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7" hidden="false" customHeight="false" outlineLevel="0" collapsed="false">
      <c r="A30" s="23" t="n">
        <v>14</v>
      </c>
      <c r="B30" s="23" t="s">
        <v>30</v>
      </c>
      <c r="C30" s="23" t="e">
        <f aca="false">$Q$30*C37/($N$37+$I$37)</f>
        <v>#NAME?</v>
      </c>
      <c r="D30" s="23" t="e">
        <f aca="false">$Q$30*D37/($N$37+$I$37)</f>
        <v>#NAME?</v>
      </c>
      <c r="E30" s="23" t="e">
        <f aca="false">$Q$30*E37/($N$37+$I$37)</f>
        <v>#NAME?</v>
      </c>
      <c r="F30" s="23" t="e">
        <f aca="false">$Q$30*F37/($N$37+$I$37)</f>
        <v>#NAME?</v>
      </c>
      <c r="G30" s="23" t="e">
        <f aca="false">$Q$30*G37/($N$37+$I$37)</f>
        <v>#NAME?</v>
      </c>
      <c r="H30" s="23" t="e">
        <f aca="false">$Q$30*H37/($N$37+$I$37)</f>
        <v>#NAME?</v>
      </c>
      <c r="I30" s="23" t="e">
        <f aca="false">$Q$30*I37/($N$37+$I$37)</f>
        <v>#NAME?</v>
      </c>
      <c r="J30" s="22"/>
      <c r="K30" s="23" t="e">
        <f aca="false">$Q$30*K37/($N$37+$I$37)</f>
        <v>#NAME?</v>
      </c>
      <c r="L30" s="23" t="e">
        <f aca="false">$Q$30*L37/($N$37+$I$37)</f>
        <v>#NAME?</v>
      </c>
      <c r="M30" s="23" t="e">
        <f aca="false">$Q$30*M37/($N$37+$I$37)</f>
        <v>#NAME?</v>
      </c>
      <c r="N30" s="23" t="e">
        <f aca="false">$Q$30*N37/($N$37+$I$37)</f>
        <v>#NAME?</v>
      </c>
      <c r="O30" s="23"/>
      <c r="P30" s="23"/>
      <c r="Q30" s="23" t="n">
        <v>2000</v>
      </c>
      <c r="R30" s="23"/>
      <c r="S30" s="23"/>
      <c r="T30" s="55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7" hidden="false" customHeight="fals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7" hidden="false" customHeight="false" outlineLevel="0" collapsed="false">
      <c r="A32" s="23" t="n">
        <v>15</v>
      </c>
      <c r="B32" s="23" t="s">
        <v>6</v>
      </c>
      <c r="C32" s="23" t="e">
        <f aca="false">SUM(C16:C30)</f>
        <v>#NAME?</v>
      </c>
      <c r="D32" s="23" t="e">
        <f aca="false">SUM(D16:D30)</f>
        <v>#NAME?</v>
      </c>
      <c r="E32" s="23" t="e">
        <f aca="false">SUM(E16:E30)</f>
        <v>#NAME?</v>
      </c>
      <c r="F32" s="23" t="e">
        <f aca="false">SUM(F16:F30)</f>
        <v>#NAME?</v>
      </c>
      <c r="G32" s="23" t="e">
        <f aca="false">SUM(G16:G30)</f>
        <v>#NAME?</v>
      </c>
      <c r="H32" s="23" t="e">
        <f aca="false">SUM(H16:H30)</f>
        <v>#NAME?</v>
      </c>
      <c r="I32" s="23" t="e">
        <f aca="false">SUM(I16:I30)</f>
        <v>#NAME?</v>
      </c>
      <c r="J32" s="22"/>
      <c r="K32" s="23" t="e">
        <f aca="false">SUM(K16:K30)</f>
        <v>#NAME?</v>
      </c>
      <c r="L32" s="23" t="e">
        <f aca="false">SUM(L16:L30)</f>
        <v>#NAME?</v>
      </c>
      <c r="M32" s="23" t="e">
        <f aca="false">SUM(M16:M30)</f>
        <v>#NAME?</v>
      </c>
      <c r="N32" s="23" t="e">
        <f aca="false">SUM(N16:N30)</f>
        <v>#NAME?</v>
      </c>
      <c r="O32" s="23"/>
      <c r="P32" s="23" t="e">
        <f aca="false">SUM(P16:P30)</f>
        <v>#NAME?</v>
      </c>
      <c r="Q32" s="23" t="e">
        <f aca="false">SUM(Q16:Q30)</f>
        <v>#NAME?</v>
      </c>
      <c r="R32" s="23"/>
      <c r="S32" s="23"/>
      <c r="T32" s="55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7" hidden="false" customHeight="fals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2"/>
      <c r="K33" s="23"/>
      <c r="L33" s="23"/>
      <c r="M33" s="23"/>
      <c r="N33" s="23"/>
      <c r="O33" s="23"/>
      <c r="P33" s="23"/>
      <c r="Q33" s="23"/>
      <c r="R33" s="23"/>
      <c r="S33" s="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7" hidden="false" customHeight="false" outlineLevel="0" collapsed="false">
      <c r="A34" s="24" t="n">
        <v>16</v>
      </c>
      <c r="B34" s="24" t="s">
        <v>31</v>
      </c>
      <c r="C34" s="24" t="e">
        <f aca="false">C32-C14</f>
        <v>#NAME?</v>
      </c>
      <c r="D34" s="24" t="e">
        <f aca="false">D32-D14</f>
        <v>#NAME?</v>
      </c>
      <c r="E34" s="24" t="e">
        <f aca="false">E32-E14</f>
        <v>#NAME?</v>
      </c>
      <c r="F34" s="24" t="e">
        <f aca="false">F32-F14</f>
        <v>#NAME?</v>
      </c>
      <c r="G34" s="24" t="e">
        <f aca="false">G32-G14</f>
        <v>#NAME?</v>
      </c>
      <c r="H34" s="24" t="e">
        <f aca="false">H32-H14</f>
        <v>#NAME?</v>
      </c>
      <c r="I34" s="24" t="e">
        <f aca="false">I32-I14</f>
        <v>#NAME?</v>
      </c>
      <c r="J34" s="38"/>
      <c r="K34" s="24" t="e">
        <f aca="false">K32-K14</f>
        <v>#NAME?</v>
      </c>
      <c r="L34" s="24" t="e">
        <f aca="false">L32-L14</f>
        <v>#NAME?</v>
      </c>
      <c r="M34" s="24" t="e">
        <f aca="false">M32-M14</f>
        <v>#NAME?</v>
      </c>
      <c r="N34" s="24" t="e">
        <f aca="false">N32-N14</f>
        <v>#NAME?</v>
      </c>
      <c r="O34" s="24"/>
      <c r="P34" s="24" t="e">
        <f aca="false">P32-P14</f>
        <v>#NAME?</v>
      </c>
      <c r="Q34" s="59" t="e">
        <f aca="false">SUM(N34:P34,I34)</f>
        <v>#NAME?</v>
      </c>
      <c r="R34" s="24"/>
      <c r="S34" s="24"/>
      <c r="T34" s="55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</row>
    <row r="35" customFormat="false" ht="17" hidden="false" customHeight="false" outlineLevel="0" collapsed="false">
      <c r="A35" s="23"/>
      <c r="B35" s="23"/>
      <c r="C35" s="60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customFormat="false" ht="17" hidden="false" customHeight="false" outlineLevel="0" collapsed="false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17" hidden="false" customHeight="false" outlineLevel="0" collapsed="false">
      <c r="A37" s="23" t="n">
        <v>17</v>
      </c>
      <c r="B37" s="23" t="s">
        <v>53</v>
      </c>
      <c r="C37" s="23" t="e">
        <f aca="false">*(1-'Attachment 8 Calc.'!$D$10)</f>
        <v>#NAME?</v>
      </c>
      <c r="D37" s="23" t="e">
        <f aca="false">SUM()*(1-$E$10)</f>
        <v>#NAME?</v>
      </c>
      <c r="E37" s="23" t="e">
        <f aca="false">*('Attachment 8 Calc.'!$D$10)</f>
        <v>#NAME?</v>
      </c>
      <c r="F37" s="23" t="e">
        <f aca="false">SUM()*($E$10)</f>
        <v>#NAME?</v>
      </c>
      <c r="G37" s="22" t="e">
        <f aca="false">SUM(C37,E37)</f>
        <v>#NAME?</v>
      </c>
      <c r="H37" s="22" t="e">
        <f aca="false">SUM(D37,F37)</f>
        <v>#NAME?</v>
      </c>
      <c r="I37" s="23" t="e">
        <f aca="false">SUM(C37:F37)</f>
        <v>#NAME?</v>
      </c>
      <c r="J37" s="23"/>
      <c r="K37" s="23" t="e">
        <f aca="false">SUM()</f>
        <v>#NAME?</v>
      </c>
      <c r="L37" s="23" t="e">
        <f aca="false"/>
        <v>#NAME?</v>
      </c>
      <c r="M37" s="23" t="e">
        <f aca="false">SUM(,)</f>
        <v>#NAME?</v>
      </c>
      <c r="N37" s="23" t="e">
        <f aca="false">SUM(K37:M37)</f>
        <v>#NAME?</v>
      </c>
      <c r="O37" s="22"/>
      <c r="P37" s="23" t="n">
        <v>48270.7317073171</v>
      </c>
      <c r="Q37" s="23" t="e">
        <f aca="false">SUM(P37,N37,I37)</f>
        <v>#NAME?</v>
      </c>
      <c r="R37" s="23"/>
      <c r="S37" s="6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7" hidden="false" customHeight="false" outlineLevel="0" collapsed="false">
      <c r="A38" s="23" t="n">
        <v>18</v>
      </c>
      <c r="B38" s="23" t="s">
        <v>54</v>
      </c>
      <c r="C38" s="23" t="n">
        <v>283068.221476878</v>
      </c>
      <c r="D38" s="23" t="n">
        <v>59590.4234453543</v>
      </c>
      <c r="E38" s="23" t="n">
        <v>5781.97852312199</v>
      </c>
      <c r="F38" s="23" t="n">
        <v>30578.5141376208</v>
      </c>
      <c r="G38" s="22" t="n">
        <v>288850.2</v>
      </c>
      <c r="H38" s="22" t="n">
        <v>90168.9375829751</v>
      </c>
      <c r="I38" s="23" t="n">
        <v>379019.137582975</v>
      </c>
      <c r="J38" s="23"/>
      <c r="K38" s="23" t="n">
        <v>294425.684430158</v>
      </c>
      <c r="L38" s="23" t="n">
        <v>146890.078345616</v>
      </c>
      <c r="M38" s="23" t="n">
        <v>175678.658245234</v>
      </c>
      <c r="N38" s="23" t="n">
        <v>616994.421021008</v>
      </c>
      <c r="O38" s="22"/>
      <c r="P38" s="23" t="n">
        <v>48270.7317073171</v>
      </c>
      <c r="Q38" s="23" t="n">
        <v>1044284.2903113</v>
      </c>
      <c r="R38" s="23"/>
      <c r="S38" s="6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customFormat="false" ht="17" hidden="false" customHeight="false" outlineLevel="0" collapsed="false">
      <c r="E39" s="62"/>
      <c r="F39" s="62"/>
      <c r="G39" s="62"/>
      <c r="H39" s="62"/>
      <c r="I39" s="62"/>
      <c r="J39" s="62"/>
      <c r="K39" s="62"/>
      <c r="L39" s="58"/>
    </row>
    <row r="40" customFormat="false" ht="17" hidden="false" customHeight="false" outlineLevel="0" collapsed="false">
      <c r="B40" s="40" t="s">
        <v>55</v>
      </c>
      <c r="I40" s="62"/>
      <c r="K40" s="63"/>
      <c r="L40" s="16"/>
    </row>
    <row r="41" customFormat="false" ht="17" hidden="false" customHeight="false" outlineLevel="0" collapsed="false">
      <c r="B41" s="1" t="s">
        <v>34</v>
      </c>
      <c r="E41" s="62"/>
      <c r="F41" s="62"/>
      <c r="G41" s="62"/>
      <c r="H41" s="62"/>
      <c r="I41" s="62"/>
      <c r="J41" s="62"/>
      <c r="K41" s="62"/>
      <c r="L41" s="16"/>
      <c r="M41" s="26"/>
    </row>
    <row r="42" customFormat="false" ht="17" hidden="false" customHeight="false" outlineLevel="0" collapsed="false">
      <c r="B42" s="1" t="s">
        <v>35</v>
      </c>
      <c r="E42" s="62"/>
      <c r="F42" s="62"/>
      <c r="G42" s="62"/>
      <c r="H42" s="62"/>
      <c r="I42" s="62"/>
      <c r="J42" s="62"/>
      <c r="K42" s="62"/>
      <c r="L42" s="16"/>
      <c r="M42" s="26"/>
    </row>
    <row r="43" customFormat="false" ht="17" hidden="false" customHeight="false" outlineLevel="0" collapsed="false">
      <c r="B43" s="28"/>
      <c r="C43" s="64"/>
      <c r="D43" s="64"/>
      <c r="E43" s="64"/>
      <c r="F43" s="64"/>
      <c r="G43" s="64"/>
      <c r="H43" s="64"/>
      <c r="I43" s="64"/>
      <c r="J43" s="64"/>
      <c r="K43" s="64"/>
      <c r="M43" s="16"/>
    </row>
    <row r="44" customFormat="false" ht="17" hidden="false" customHeight="false" outlineLevel="0" collapsed="false">
      <c r="B44" s="28"/>
      <c r="C44" s="62"/>
      <c r="E44" s="64"/>
      <c r="F44" s="64"/>
      <c r="G44" s="62"/>
      <c r="H44" s="62"/>
      <c r="I44" s="64"/>
      <c r="J44" s="64"/>
      <c r="K44" s="64"/>
      <c r="M44" s="16"/>
    </row>
    <row r="45" customFormat="false" ht="17" hidden="false" customHeight="false" outlineLevel="0" collapsed="false">
      <c r="B45" s="28"/>
      <c r="C45" s="8"/>
      <c r="D45" s="8"/>
      <c r="E45" s="8"/>
      <c r="F45" s="8"/>
      <c r="G45" s="8"/>
      <c r="H45" s="8"/>
      <c r="I45" s="26"/>
      <c r="J45" s="26"/>
      <c r="K45" s="26"/>
    </row>
    <row r="46" customFormat="false" ht="17" hidden="false" customHeight="false" outlineLevel="0" collapsed="false">
      <c r="B46" s="28"/>
      <c r="C46" s="8"/>
      <c r="D46" s="8"/>
      <c r="E46" s="8"/>
      <c r="F46" s="8"/>
      <c r="G46" s="8"/>
      <c r="H46" s="8"/>
    </row>
    <row r="47" customFormat="false" ht="17" hidden="false" customHeight="false" outlineLevel="0" collapsed="false">
      <c r="B47" s="28"/>
      <c r="C47" s="16"/>
      <c r="G47" s="16"/>
    </row>
    <row r="48" customFormat="false" ht="17" hidden="false" customHeight="false" outlineLevel="0" collapsed="false">
      <c r="B48" s="28"/>
      <c r="C48" s="16"/>
      <c r="D48" s="16"/>
      <c r="E48" s="16"/>
      <c r="F48" s="16"/>
      <c r="G48" s="16"/>
      <c r="H48" s="16"/>
      <c r="I48" s="29"/>
      <c r="J48" s="29"/>
      <c r="K48" s="29"/>
      <c r="L48" s="29"/>
      <c r="M48" s="29"/>
      <c r="N48" s="29"/>
    </row>
    <row r="49" customFormat="false" ht="17" hidden="false" customHeight="false" outlineLevel="0" collapsed="false">
      <c r="B49" s="28"/>
      <c r="C49" s="16"/>
      <c r="D49" s="16"/>
      <c r="E49" s="16"/>
      <c r="F49" s="16"/>
      <c r="G49" s="16"/>
      <c r="H49" s="16"/>
      <c r="I49" s="29"/>
      <c r="J49" s="29"/>
      <c r="K49" s="29"/>
      <c r="L49" s="29"/>
      <c r="M49" s="29"/>
    </row>
    <row r="50" customFormat="false" ht="17" hidden="false" customHeight="false" outlineLevel="0" collapsed="false">
      <c r="B50" s="28"/>
      <c r="C50" s="16"/>
      <c r="D50" s="16"/>
      <c r="E50" s="16"/>
      <c r="F50" s="16"/>
      <c r="G50" s="16"/>
      <c r="H50" s="16"/>
      <c r="I50" s="23"/>
      <c r="J50" s="23"/>
      <c r="K50" s="23"/>
      <c r="L50" s="29"/>
      <c r="M50" s="29"/>
      <c r="N50" s="29"/>
    </row>
    <row r="51" customFormat="false" ht="17" hidden="false" customHeight="false" outlineLevel="0" collapsed="false">
      <c r="B51" s="28"/>
      <c r="D51" s="30"/>
      <c r="E51" s="31"/>
      <c r="F51" s="31"/>
      <c r="G51" s="31"/>
      <c r="H51" s="31"/>
      <c r="I51" s="31"/>
      <c r="J51" s="31"/>
      <c r="K51" s="31"/>
      <c r="L51" s="29"/>
      <c r="M51" s="29"/>
      <c r="N51" s="29"/>
    </row>
    <row r="52" customFormat="false" ht="17" hidden="false" customHeight="false" outlineLevel="0" collapsed="false">
      <c r="B52" s="28"/>
      <c r="D52" s="29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customFormat="false" ht="17" hidden="false" customHeight="false" outlineLevel="0" collapsed="false">
      <c r="B53" s="32"/>
      <c r="D53" s="23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customFormat="false" ht="17" hidden="false" customHeight="false" outlineLevel="0" collapsed="false">
      <c r="C54" s="23"/>
      <c r="D54" s="23"/>
      <c r="E54" s="23"/>
      <c r="F54" s="23"/>
      <c r="G54" s="23"/>
      <c r="H54" s="23"/>
      <c r="I54" s="23"/>
    </row>
    <row r="55" customFormat="false" ht="17" hidden="false" customHeight="false" outlineLevel="0" collapsed="false">
      <c r="B55" s="65"/>
      <c r="D55" s="26"/>
    </row>
    <row r="56" customFormat="false" ht="17" hidden="false" customHeight="false" outlineLevel="0" collapsed="false">
      <c r="B56" s="65"/>
      <c r="D56" s="34"/>
    </row>
    <row r="57" customFormat="false" ht="17" hidden="false" customHeight="false" outlineLevel="0" collapsed="false">
      <c r="B57" s="65"/>
      <c r="D57" s="35"/>
    </row>
    <row r="58" customFormat="false" ht="17" hidden="false" customHeight="false" outlineLevel="0" collapsed="false">
      <c r="B58" s="65"/>
    </row>
    <row r="59" customFormat="false" ht="17" hidden="false" customHeight="false" outlineLevel="0" collapsed="false">
      <c r="B59" s="65"/>
      <c r="D59" s="8"/>
    </row>
    <row r="60" customFormat="false" ht="17" hidden="false" customHeight="false" outlineLevel="0" collapsed="false">
      <c r="B60" s="65"/>
      <c r="D60" s="34"/>
    </row>
    <row r="61" customFormat="false" ht="17" hidden="false" customHeight="false" outlineLevel="0" collapsed="false">
      <c r="B61" s="65"/>
    </row>
    <row r="62" customFormat="false" ht="17" hidden="false" customHeight="false" outlineLevel="0" collapsed="false">
      <c r="B62" s="65"/>
      <c r="D62" s="36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customFormat="false" ht="17" hidden="false" customHeight="false" outlineLevel="0" collapsed="false">
      <c r="B63" s="6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5" customFormat="false" ht="17" hidden="false" customHeight="false" outlineLevel="0" collapsed="false">
      <c r="B65" s="65"/>
      <c r="D65" s="36"/>
    </row>
  </sheetData>
  <mergeCells count="4">
    <mergeCell ref="C12:D12"/>
    <mergeCell ref="E12:F12"/>
    <mergeCell ref="G12:I12"/>
    <mergeCell ref="K12:M12"/>
  </mergeCells>
  <printOptions headings="false" gridLines="false" gridLinesSet="true" horizontalCentered="false" verticalCentered="false"/>
  <pageMargins left="0.420138888888889" right="0.440277777777778" top="0.984027777777778" bottom="0.984027777777778" header="0.5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 &amp;A&amp;C&amp;"Arial,Bold"SOUTHERN CALIFORNIA GAS COMPANY
I.99-07-003
SCGC DATA REQUEST #5 RESPONSE TO QUESTION 23</oddHeader>
    <oddFooter>&amp;L&amp;D&amp;C&amp;P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 B14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5" min="2" style="1" width="15.56"/>
    <col collapsed="false" customWidth="true" hidden="false" outlineLevel="0" max="6" min="6" style="1" width="13.28"/>
    <col collapsed="false" customWidth="true" hidden="false" outlineLevel="0" max="7" min="7" style="1" width="15.85"/>
    <col collapsed="false" customWidth="true" hidden="false" outlineLevel="0" max="8" min="8" style="1" width="18.14"/>
    <col collapsed="false" customWidth="true" hidden="false" outlineLevel="0" max="9" min="9" style="1" width="2.28"/>
    <col collapsed="false" customWidth="true" hidden="false" outlineLevel="0" max="10" min="10" style="1" width="14.56"/>
    <col collapsed="false" customWidth="true" hidden="false" outlineLevel="0" max="11" min="11" style="1" width="10.99"/>
    <col collapsed="false" customWidth="true" hidden="false" outlineLevel="0" max="12" min="12" style="1" width="14.99"/>
    <col collapsed="false" customWidth="true" hidden="false" outlineLevel="0" max="13" min="13" style="1" width="17.42"/>
    <col collapsed="false" customWidth="true" hidden="false" outlineLevel="0" max="14" min="14" style="1" width="15.56"/>
    <col collapsed="false" customWidth="true" hidden="false" outlineLevel="0" max="15" min="15" style="1" width="19.14"/>
    <col collapsed="false" customWidth="true" hidden="false" outlineLevel="0" max="16" min="16" style="1" width="13.7"/>
    <col collapsed="false" customWidth="true" hidden="false" outlineLevel="0" max="17" min="17" style="1" width="13.28"/>
    <col collapsed="false" customWidth="false" hidden="false" outlineLevel="0" max="257" min="18" style="1" width="9.14"/>
  </cols>
  <sheetData>
    <row r="1" customFormat="false" ht="17" hidden="false" customHeight="false" outlineLevel="0" collapsed="false">
      <c r="A1" s="2"/>
      <c r="B1" s="2"/>
      <c r="C1" s="2"/>
      <c r="D1" s="2"/>
      <c r="E1" s="2"/>
    </row>
    <row r="2" customFormat="false" ht="17" hidden="false" customHeight="false" outlineLevel="0" collapsed="false">
      <c r="A2" s="3" t="s">
        <v>36</v>
      </c>
      <c r="B2" s="3"/>
      <c r="C2" s="3"/>
      <c r="D2" s="3"/>
      <c r="E2" s="3"/>
    </row>
    <row r="3" customFormat="false" ht="17" hidden="false" customHeight="false" outlineLevel="0" collapsed="false">
      <c r="A3" s="3"/>
      <c r="B3" s="3"/>
      <c r="C3" s="3"/>
      <c r="D3" s="3"/>
      <c r="E3" s="3"/>
    </row>
    <row r="4" customFormat="false" ht="17" hidden="false" customHeight="false" outlineLevel="0" collapsed="false">
      <c r="A4" s="4" t="s">
        <v>1</v>
      </c>
      <c r="B4" s="66"/>
      <c r="C4" s="66"/>
      <c r="D4" s="66"/>
      <c r="E4" s="66"/>
      <c r="F4" s="5"/>
      <c r="G4" s="5"/>
      <c r="H4" s="6"/>
    </row>
    <row r="5" customFormat="false" ht="17" hidden="false" customHeight="false" outlineLevel="0" collapsed="false">
      <c r="A5" s="7" t="s">
        <v>2</v>
      </c>
      <c r="B5" s="9"/>
      <c r="C5" s="9"/>
      <c r="D5" s="9"/>
      <c r="E5" s="9"/>
      <c r="F5" s="8" t="n">
        <v>0.5</v>
      </c>
      <c r="G5" s="9"/>
      <c r="H5" s="10"/>
      <c r="I5" s="9"/>
      <c r="J5" s="9"/>
      <c r="K5" s="9"/>
      <c r="L5" s="9"/>
    </row>
    <row r="6" customFormat="false" ht="17" hidden="false" customHeight="false" outlineLevel="0" collapsed="false">
      <c r="A6" s="7" t="s">
        <v>3</v>
      </c>
      <c r="B6" s="9"/>
      <c r="C6" s="9"/>
      <c r="D6" s="9"/>
      <c r="E6" s="9"/>
      <c r="F6" s="8" t="n">
        <v>0.01</v>
      </c>
      <c r="G6" s="9"/>
      <c r="H6" s="10"/>
      <c r="I6" s="9"/>
      <c r="J6" s="9"/>
      <c r="K6" s="9"/>
      <c r="L6" s="9"/>
    </row>
    <row r="7" customFormat="false" ht="17" hidden="false" customHeight="false" outlineLevel="0" collapsed="false">
      <c r="A7" s="11"/>
      <c r="B7" s="67"/>
      <c r="C7" s="67"/>
      <c r="D7" s="67"/>
      <c r="E7" s="67"/>
      <c r="F7" s="9" t="s">
        <v>4</v>
      </c>
      <c r="G7" s="9" t="s">
        <v>5</v>
      </c>
      <c r="H7" s="10" t="s">
        <v>6</v>
      </c>
      <c r="J7" s="12"/>
      <c r="K7" s="12"/>
      <c r="L7" s="12"/>
    </row>
    <row r="8" customFormat="false" ht="17" hidden="false" customHeight="false" outlineLevel="0" collapsed="false">
      <c r="A8" s="13" t="s">
        <v>37</v>
      </c>
      <c r="B8" s="68"/>
      <c r="C8" s="68"/>
      <c r="D8" s="68"/>
      <c r="E8" s="68"/>
      <c r="F8" s="14" t="n">
        <v>0.015</v>
      </c>
      <c r="G8" s="14" t="n">
        <v>0.085</v>
      </c>
      <c r="H8" s="15" t="n">
        <v>0.1</v>
      </c>
      <c r="J8" s="16"/>
      <c r="K8" s="16"/>
      <c r="L8" s="16"/>
    </row>
    <row r="9" customFormat="false" ht="17" hidden="true" customHeight="false" outlineLevel="0" collapsed="false">
      <c r="A9" s="17" t="s">
        <v>8</v>
      </c>
      <c r="B9" s="17"/>
      <c r="C9" s="17"/>
      <c r="D9" s="17"/>
      <c r="E9" s="17"/>
      <c r="F9" s="8" t="n">
        <v>1</v>
      </c>
      <c r="G9" s="8" t="n">
        <v>0.749354737772448</v>
      </c>
      <c r="H9" s="8" t="n">
        <v>0.250645262227553</v>
      </c>
      <c r="J9" s="16"/>
      <c r="K9" s="16"/>
      <c r="L9" s="16"/>
    </row>
    <row r="10" customFormat="false" ht="17" hidden="true" customHeight="false" outlineLevel="0" collapsed="false">
      <c r="A10" s="12" t="s">
        <v>9</v>
      </c>
      <c r="B10" s="12"/>
      <c r="C10" s="12"/>
      <c r="D10" s="12"/>
      <c r="E10" s="12"/>
      <c r="F10" s="8" t="n">
        <v>0.1</v>
      </c>
      <c r="G10" s="16" t="n">
        <v>0.0200172218095123</v>
      </c>
      <c r="H10" s="16" t="n">
        <v>0.339124702556042</v>
      </c>
      <c r="P10" s="18"/>
    </row>
    <row r="11" customFormat="false" ht="17" hidden="false" customHeight="false" outlineLevel="0" collapsed="false">
      <c r="A11" s="12"/>
      <c r="B11" s="12"/>
      <c r="C11" s="12"/>
      <c r="D11" s="12"/>
      <c r="E11" s="12"/>
      <c r="F11" s="37"/>
      <c r="G11" s="37"/>
      <c r="H11" s="37"/>
      <c r="I11" s="37"/>
      <c r="P11" s="18"/>
    </row>
    <row r="12" customFormat="false" ht="17" hidden="false" customHeight="false" outlineLevel="0" collapsed="false">
      <c r="B12" s="54" t="s">
        <v>45</v>
      </c>
      <c r="C12" s="54"/>
      <c r="D12" s="54" t="s">
        <v>46</v>
      </c>
      <c r="E12" s="54"/>
      <c r="F12" s="19" t="s">
        <v>10</v>
      </c>
      <c r="G12" s="19"/>
      <c r="H12" s="19"/>
      <c r="J12" s="19" t="s">
        <v>38</v>
      </c>
      <c r="K12" s="19"/>
      <c r="L12" s="19"/>
    </row>
    <row r="13" customFormat="false" ht="41" hidden="false" customHeight="false" outlineLevel="0" collapsed="false">
      <c r="A13" s="20"/>
      <c r="B13" s="20" t="s">
        <v>4</v>
      </c>
      <c r="C13" s="20" t="s">
        <v>12</v>
      </c>
      <c r="D13" s="20" t="s">
        <v>4</v>
      </c>
      <c r="E13" s="20" t="s">
        <v>12</v>
      </c>
      <c r="F13" s="20" t="s">
        <v>4</v>
      </c>
      <c r="G13" s="20" t="s">
        <v>12</v>
      </c>
      <c r="H13" s="21" t="s">
        <v>13</v>
      </c>
      <c r="I13" s="20"/>
      <c r="J13" s="20" t="s">
        <v>14</v>
      </c>
      <c r="K13" s="20" t="s">
        <v>15</v>
      </c>
      <c r="L13" s="20" t="s">
        <v>16</v>
      </c>
      <c r="M13" s="21" t="s">
        <v>17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28.35" hidden="false" customHeight="false" outlineLevel="0" collapsed="false">
      <c r="A14" s="38" t="s">
        <v>39</v>
      </c>
      <c r="B14" s="38" t="e">
        <f aca="false">'Attachment 8 Calc.'!C14/'Attachment 8 Calc.'!C37*10</f>
        <v>#NAME?</v>
      </c>
      <c r="C14" s="38" t="e">
        <f aca="false">'Attachment 8 Calc.'!D14/'Attachment 8 Calc.'!D37*10</f>
        <v>#NAME?</v>
      </c>
      <c r="D14" s="38" t="e">
        <f aca="false">'Attachment 8 Calc.'!E14/'Attachment 8 Calc.'!E37*10</f>
        <v>#NAME?</v>
      </c>
      <c r="E14" s="38" t="e">
        <f aca="false">'Attachment 8 Calc.'!F14/'Attachment 8 Calc.'!F37*10</f>
        <v>#NAME?</v>
      </c>
      <c r="F14" s="38" t="e">
        <f aca="false">'Attachment 8 Calc.'!G14/'Attachment 8 Calc.'!G37*10</f>
        <v>#NAME?</v>
      </c>
      <c r="G14" s="38" t="e">
        <f aca="false">'Attachment 8 Calc.'!H14/'Attachment 8 Calc.'!H37*10</f>
        <v>#NAME?</v>
      </c>
      <c r="H14" s="38" t="e">
        <f aca="false">'Attachment 8 Calc.'!I14/'Attachment 8 Calc.'!I37*10</f>
        <v>#NAME?</v>
      </c>
      <c r="I14" s="38"/>
      <c r="J14" s="38" t="n">
        <f aca="false">'Attachment 8'!F14/'Attachment 8'!F36*10</f>
        <v>2.67818720866428</v>
      </c>
      <c r="K14" s="38" t="n">
        <f aca="false">'Attachment 8'!G14/'Attachment 8'!G36*10</f>
        <v>5.08993696659123</v>
      </c>
      <c r="L14" s="38" t="n">
        <f aca="false">'Attachment 8'!H14/'Attachment 8'!H36*10</f>
        <v>1.94620948830154</v>
      </c>
      <c r="M14" s="38" t="n">
        <f aca="false">'Attachment 8'!I14/'Attachment 8'!I36*10</f>
        <v>3.04950697715762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7" hidden="false" customHeight="false" outlineLevel="0" collapsed="false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41" hidden="false" customHeight="false" outlineLevel="0" collapsed="false">
      <c r="A16" s="38" t="s">
        <v>40</v>
      </c>
      <c r="B16" s="38" t="e">
        <f aca="false">'Attachment 8 Calc.'!C32/'Attachment 8 Calc.'!C37*10</f>
        <v>#NAME?</v>
      </c>
      <c r="C16" s="38" t="e">
        <f aca="false">'Attachment 8 Calc.'!D32/'Attachment 8 Calc.'!D37*10</f>
        <v>#NAME?</v>
      </c>
      <c r="D16" s="38" t="e">
        <f aca="false">'Attachment 8 Calc.'!E32/'Attachment 8 Calc.'!E37*10</f>
        <v>#NAME?</v>
      </c>
      <c r="E16" s="38" t="e">
        <f aca="false">'Attachment 8 Calc.'!F32/'Attachment 8 Calc.'!F37*10</f>
        <v>#NAME?</v>
      </c>
      <c r="F16" s="38" t="e">
        <f aca="false">'Attachment 8 Calc.'!G32/'Attachment 8 Calc.'!G37*10</f>
        <v>#NAME?</v>
      </c>
      <c r="G16" s="38" t="e">
        <f aca="false">'Attachment 8 Calc.'!H32/'Attachment 8 Calc.'!H37*10</f>
        <v>#NAME?</v>
      </c>
      <c r="H16" s="38" t="e">
        <f aca="false">'Attachment 8 Calc.'!I32/'Attachment 8 Calc.'!I37*10</f>
        <v>#NAME?</v>
      </c>
      <c r="I16" s="38"/>
      <c r="J16" s="38" t="n">
        <f aca="false">'Attachment 8'!F32/'Attachment 8'!F36*10</f>
        <v>2.69345867809431</v>
      </c>
      <c r="K16" s="38" t="n">
        <f aca="false">'Attachment 8'!G32/'Attachment 8'!G36*10</f>
        <v>5.28921661997368</v>
      </c>
      <c r="L16" s="38" t="n">
        <f aca="false">'Attachment 8'!H32/'Attachment 8'!H36*10</f>
        <v>2.18374661462886</v>
      </c>
      <c r="M16" s="38" t="n">
        <f aca="false">'Attachment 8'!I32/'Attachment 8'!I36*10</f>
        <v>3.17070847147322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7" hidden="false" customHeight="false" outlineLevel="0" collapsed="false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7" hidden="false" customHeight="false" outlineLevel="0" collapsed="false">
      <c r="A18" s="39" t="s">
        <v>41</v>
      </c>
      <c r="B18" s="39" t="e">
        <f aca="false">B16-B14</f>
        <v>#NAME?</v>
      </c>
      <c r="C18" s="39" t="e">
        <f aca="false">C16-C14</f>
        <v>#NAME?</v>
      </c>
      <c r="D18" s="39" t="e">
        <f aca="false">D16-D14</f>
        <v>#NAME?</v>
      </c>
      <c r="E18" s="39" t="e">
        <f aca="false">E16-E14</f>
        <v>#NAME?</v>
      </c>
      <c r="F18" s="39" t="e">
        <f aca="false">F16-F14</f>
        <v>#NAME?</v>
      </c>
      <c r="G18" s="39" t="e">
        <f aca="false">G16-G14</f>
        <v>#NAME?</v>
      </c>
      <c r="H18" s="39" t="e">
        <f aca="false">H16-H14</f>
        <v>#NAME?</v>
      </c>
      <c r="I18" s="39"/>
      <c r="J18" s="39" t="n">
        <f aca="false">J16-J14</f>
        <v>0.0152714694300373</v>
      </c>
      <c r="K18" s="39" t="n">
        <f aca="false">K16-K14</f>
        <v>0.199279653382455</v>
      </c>
      <c r="L18" s="39" t="n">
        <f aca="false">L16-L14</f>
        <v>0.23753712632732</v>
      </c>
      <c r="M18" s="39" t="n">
        <f aca="false">M16-M14</f>
        <v>0.121201494315606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7" hidden="false" customHeight="false" outlineLevel="0" collapsed="false">
      <c r="A20" s="1" t="s">
        <v>42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7" hidden="false" customHeight="false" outlineLevel="0" collapsed="false">
      <c r="A21" s="23" t="s">
        <v>43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7" hidden="false" customHeight="false" outlineLevel="0" collapsed="false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7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7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7" hidden="false" customHeight="false" outlineLevel="0" collapsed="false">
      <c r="A25" s="24"/>
      <c r="B25" s="24"/>
      <c r="C25" s="24"/>
      <c r="D25" s="24"/>
      <c r="E25" s="24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7" hidden="false" customHeight="false" outlineLevel="0" collapsed="false">
      <c r="A26" s="32"/>
      <c r="B26" s="32"/>
      <c r="C26" s="32"/>
      <c r="D26" s="32"/>
      <c r="E26" s="3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7" hidden="false" customHeight="false" outlineLevel="0" collapsed="false">
      <c r="A27" s="32"/>
      <c r="B27" s="32"/>
      <c r="C27" s="32"/>
      <c r="D27" s="32"/>
      <c r="E27" s="3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7" hidden="false" customHeight="false" outlineLevel="0" collapsed="false">
      <c r="A28" s="32"/>
      <c r="B28" s="32"/>
      <c r="C28" s="32"/>
      <c r="D28" s="32"/>
      <c r="E28" s="3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7" hidden="false" customHeight="false" outlineLevel="0" collapsed="false">
      <c r="A29" s="32"/>
      <c r="B29" s="32"/>
      <c r="C29" s="32"/>
      <c r="D29" s="32"/>
      <c r="E29" s="3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7" hidden="false" customHeight="false" outlineLevel="0" collapsed="false">
      <c r="A30" s="32"/>
      <c r="B30" s="32"/>
      <c r="C30" s="32"/>
      <c r="D30" s="32"/>
      <c r="E30" s="3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7" hidden="false" customHeight="false" outlineLevel="0" collapsed="false">
      <c r="A31" s="32"/>
      <c r="B31" s="32"/>
      <c r="C31" s="32"/>
      <c r="D31" s="32"/>
      <c r="E31" s="3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7" hidden="false" customHeight="false" outlineLevel="0" collapsed="false">
      <c r="A32" s="32"/>
      <c r="B32" s="32"/>
      <c r="C32" s="32"/>
      <c r="D32" s="32"/>
      <c r="E32" s="3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7" hidden="false" customHeight="false" outlineLevel="0" collapsed="false">
      <c r="A33" s="32"/>
      <c r="B33" s="32"/>
      <c r="C33" s="32"/>
      <c r="D33" s="32"/>
      <c r="E33" s="3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7" hidden="false" customHeight="false" outlineLevel="0" collapsed="false">
      <c r="A34" s="32"/>
      <c r="B34" s="32"/>
      <c r="C34" s="32"/>
      <c r="D34" s="32"/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7" hidden="false" customHeight="false" outlineLevel="0" collapsed="false">
      <c r="A35" s="28"/>
      <c r="B35" s="28"/>
      <c r="C35" s="28"/>
      <c r="D35" s="28"/>
      <c r="E35" s="28"/>
      <c r="G35" s="30"/>
      <c r="H35" s="31"/>
      <c r="I35" s="31"/>
      <c r="J35" s="31"/>
      <c r="K35" s="31"/>
      <c r="L35" s="31"/>
      <c r="M35" s="29"/>
      <c r="N35" s="29"/>
      <c r="O35" s="29"/>
    </row>
    <row r="36" customFormat="false" ht="17" hidden="false" customHeight="false" outlineLevel="0" collapsed="false">
      <c r="A36" s="28"/>
      <c r="B36" s="28"/>
      <c r="C36" s="28"/>
      <c r="D36" s="28"/>
      <c r="E36" s="28"/>
      <c r="G36" s="29"/>
      <c r="H36" s="23"/>
      <c r="I36" s="23"/>
      <c r="J36" s="23"/>
      <c r="K36" s="23"/>
      <c r="L36" s="23"/>
      <c r="M36" s="23"/>
      <c r="N36" s="23"/>
      <c r="O36" s="23"/>
    </row>
    <row r="37" customFormat="false" ht="17" hidden="false" customHeight="false" outlineLevel="0" collapsed="false">
      <c r="A37" s="32"/>
      <c r="B37" s="32"/>
      <c r="C37" s="32"/>
      <c r="D37" s="32"/>
      <c r="E37" s="32"/>
      <c r="G37" s="23"/>
      <c r="H37" s="8"/>
      <c r="I37" s="8"/>
      <c r="J37" s="8"/>
      <c r="K37" s="8"/>
      <c r="L37" s="8"/>
      <c r="M37" s="8"/>
      <c r="N37" s="8"/>
      <c r="O37" s="8"/>
    </row>
    <row r="38" customFormat="false" ht="17" hidden="false" customHeight="false" outlineLevel="0" collapsed="false">
      <c r="F38" s="23"/>
      <c r="G38" s="23"/>
      <c r="H38" s="23"/>
      <c r="I38" s="23"/>
      <c r="J38" s="23"/>
    </row>
    <row r="39" customFormat="false" ht="17" hidden="false" customHeight="false" outlineLevel="0" collapsed="false">
      <c r="A39" s="33"/>
      <c r="B39" s="33"/>
      <c r="C39" s="33"/>
      <c r="D39" s="33"/>
      <c r="E39" s="33"/>
      <c r="G39" s="26"/>
    </row>
    <row r="40" customFormat="false" ht="17" hidden="false" customHeight="false" outlineLevel="0" collapsed="false">
      <c r="A40" s="33"/>
      <c r="B40" s="33"/>
      <c r="C40" s="33"/>
      <c r="D40" s="33"/>
      <c r="E40" s="33"/>
      <c r="G40" s="34"/>
    </row>
    <row r="41" customFormat="false" ht="17" hidden="false" customHeight="false" outlineLevel="0" collapsed="false">
      <c r="A41" s="33"/>
      <c r="B41" s="33"/>
      <c r="C41" s="33"/>
      <c r="D41" s="33"/>
      <c r="E41" s="33"/>
      <c r="G41" s="35"/>
    </row>
    <row r="42" customFormat="false" ht="17" hidden="false" customHeight="false" outlineLevel="0" collapsed="false">
      <c r="A42" s="33"/>
      <c r="B42" s="33"/>
      <c r="C42" s="33"/>
      <c r="D42" s="33"/>
      <c r="E42" s="33"/>
    </row>
    <row r="43" customFormat="false" ht="17" hidden="false" customHeight="false" outlineLevel="0" collapsed="false">
      <c r="A43" s="33"/>
      <c r="B43" s="33"/>
      <c r="C43" s="33"/>
      <c r="D43" s="33"/>
      <c r="E43" s="33"/>
      <c r="G43" s="8"/>
    </row>
    <row r="44" customFormat="false" ht="17" hidden="false" customHeight="false" outlineLevel="0" collapsed="false">
      <c r="A44" s="33"/>
      <c r="B44" s="33"/>
      <c r="C44" s="33"/>
      <c r="D44" s="33"/>
      <c r="E44" s="33"/>
      <c r="G44" s="34"/>
    </row>
    <row r="45" customFormat="false" ht="17" hidden="false" customHeight="false" outlineLevel="0" collapsed="false">
      <c r="A45" s="33"/>
      <c r="B45" s="33"/>
      <c r="C45" s="33"/>
      <c r="D45" s="33"/>
      <c r="E45" s="33"/>
    </row>
    <row r="46" customFormat="false" ht="17" hidden="false" customHeight="false" outlineLevel="0" collapsed="false">
      <c r="A46" s="33"/>
      <c r="B46" s="33"/>
      <c r="C46" s="33"/>
      <c r="D46" s="33"/>
      <c r="E46" s="33"/>
      <c r="G46" s="36"/>
      <c r="H46" s="8"/>
      <c r="I46" s="8"/>
      <c r="J46" s="8"/>
      <c r="K46" s="8"/>
      <c r="L46" s="8"/>
      <c r="M46" s="8"/>
      <c r="N46" s="8"/>
      <c r="O46" s="8"/>
    </row>
    <row r="47" customFormat="false" ht="17" hidden="false" customHeight="false" outlineLevel="0" collapsed="false">
      <c r="A47" s="33"/>
      <c r="B47" s="33"/>
      <c r="C47" s="33"/>
      <c r="D47" s="33"/>
      <c r="E47" s="33"/>
      <c r="G47" s="35"/>
      <c r="H47" s="35"/>
      <c r="I47" s="35"/>
      <c r="J47" s="35"/>
      <c r="K47" s="35"/>
      <c r="L47" s="35"/>
      <c r="M47" s="35"/>
      <c r="N47" s="35"/>
      <c r="O47" s="35"/>
    </row>
    <row r="49" customFormat="false" ht="17" hidden="false" customHeight="false" outlineLevel="0" collapsed="false">
      <c r="A49" s="33"/>
      <c r="B49" s="33"/>
      <c r="C49" s="33"/>
      <c r="D49" s="33"/>
      <c r="E49" s="33"/>
      <c r="G49" s="36"/>
    </row>
  </sheetData>
  <mergeCells count="4">
    <mergeCell ref="B12:C12"/>
    <mergeCell ref="D12:E12"/>
    <mergeCell ref="F12:H12"/>
    <mergeCell ref="J12:L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&amp;C&amp;"Arial,Bold"&amp;12Exhibit 9
Estimated Rate Impacts of Comprehensive Settlement in 2002
 Including Estimated Restructured Services</oddHeader>
    <oddFooter>&amp;LDRAFT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