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trlProps/ctrlProps14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1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radeSum" sheetId="1" state="visible" r:id="rId3"/>
    <sheet name="Pricing Summary" sheetId="2" state="visible" r:id="rId4"/>
    <sheet name="GasPosn" sheetId="3" state="visible" r:id="rId5"/>
    <sheet name="Interest" sheetId="4" state="visible" r:id="rId6"/>
    <sheet name="NymexData" sheetId="5" state="visible" r:id="rId7"/>
    <sheet name="Cd" sheetId="6" state="hidden" r:id="rId8"/>
    <sheet name="Module1" sheetId="7" state="hidden" r:id="rId9"/>
    <sheet name="Module2" sheetId="8" state="hidden" r:id="rId10"/>
  </sheets>
  <externalReferences>
    <externalReference r:id="rId11"/>
    <externalReference r:id="rId12"/>
  </externalReferences>
  <definedNames>
    <definedName function="false" hidden="false" localSheetId="0" name="_xlnm.Print_Area" vbProcedure="false">TradeSum!$A$1:$X$47</definedName>
    <definedName function="false" hidden="false" name="AECO_Post" vbProcedure="false">GasPosn!$L$198</definedName>
    <definedName function="false" hidden="false" name="BegDate" vbProcedure="false">'[1]'!$C$7</definedName>
    <definedName function="false" hidden="false" name="DldName" vbProcedure="false">#REF!</definedName>
    <definedName function="false" hidden="false" name="EndDate" vbProcedure="false">'[1]'!$C$8</definedName>
    <definedName function="false" hidden="false" name="GasDaily_Post" vbProcedure="false">GasPosn!$L$327</definedName>
    <definedName function="false" hidden="false" name="NYMEX_Post" vbProcedure="false">GasPosn!$L$10</definedName>
    <definedName function="false" hidden="false" name="tblEntergyPosn" vbProcedure="false">#REF!</definedName>
    <definedName function="false" hidden="false" name="TradeDate" vbProcedure="false">TradeSum!$B$2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<sst xmlns="http://schemas.openxmlformats.org/spreadsheetml/2006/main" count="738" uniqueCount="178">
  <si>
    <t xml:space="preserve">TOTAL PEAK AND OFF-PEAK P&amp;L</t>
  </si>
  <si>
    <t xml:space="preserve">Trading Date:</t>
  </si>
  <si>
    <t xml:space="preserve">Curve Shift</t>
  </si>
  <si>
    <t xml:space="preserve"> </t>
  </si>
  <si>
    <t xml:space="preserve">New Deals</t>
  </si>
  <si>
    <t xml:space="preserve">HOLIDAYS</t>
  </si>
  <si>
    <t xml:space="preserve">ALBERTA</t>
  </si>
  <si>
    <t xml:space="preserve">P&amp;L-Power</t>
  </si>
  <si>
    <t xml:space="preserve">TOGGLE (0=AB,1=NERC)</t>
  </si>
  <si>
    <t xml:space="preserve">P&amp;L-Power&amp;Gas</t>
  </si>
  <si>
    <t xml:space="preserve">ALBERTA POWER - 6 * 16</t>
  </si>
  <si>
    <t xml:space="preserve">Cash Gas+ Power Adj.</t>
  </si>
  <si>
    <t xml:space="preserve">5 * 16 Curve Changes</t>
  </si>
  <si>
    <t xml:space="preserve">Orig + Reserves Adj.</t>
  </si>
  <si>
    <t xml:space="preserve">Calendar</t>
  </si>
  <si>
    <t xml:space="preserve">Prior Pos.</t>
  </si>
  <si>
    <t xml:space="preserve">Day's</t>
  </si>
  <si>
    <t xml:space="preserve">Current Pos.</t>
  </si>
  <si>
    <t xml:space="preserve">Prior</t>
  </si>
  <si>
    <t xml:space="preserve">Current </t>
  </si>
  <si>
    <t xml:space="preserve">Curve </t>
  </si>
  <si>
    <t xml:space="preserve">New </t>
  </si>
  <si>
    <t xml:space="preserve">Bid-Ask</t>
  </si>
  <si>
    <t xml:space="preserve">Mid Change</t>
  </si>
  <si>
    <t xml:space="preserve">Current Mid</t>
  </si>
  <si>
    <t xml:space="preserve">Price Tree</t>
  </si>
  <si>
    <t xml:space="preserve">Implied</t>
  </si>
  <si>
    <t xml:space="preserve">Leg</t>
  </si>
  <si>
    <t xml:space="preserve">Net</t>
  </si>
  <si>
    <t xml:space="preserve">Average</t>
  </si>
  <si>
    <t xml:space="preserve">Absolute</t>
  </si>
  <si>
    <t xml:space="preserve">6*16 Trading</t>
  </si>
  <si>
    <t xml:space="preserve">5*16 Trading</t>
  </si>
  <si>
    <t xml:space="preserve">Sat Trading</t>
  </si>
  <si>
    <t xml:space="preserve">Discount Factor</t>
  </si>
  <si>
    <t xml:space="preserve">Change in </t>
  </si>
  <si>
    <t xml:space="preserve">Absolute </t>
  </si>
  <si>
    <t xml:space="preserve">ALBERTA HOLIDAYS</t>
  </si>
  <si>
    <t xml:space="preserve">NERC HOLIDAS</t>
  </si>
  <si>
    <t xml:space="preserve">Date</t>
  </si>
  <si>
    <t xml:space="preserve">PVMWh</t>
  </si>
  <si>
    <t xml:space="preserve">MW</t>
  </si>
  <si>
    <t xml:space="preserve">Trade</t>
  </si>
  <si>
    <t xml:space="preserve">Price</t>
  </si>
  <si>
    <t xml:space="preserve">Change</t>
  </si>
  <si>
    <t xml:space="preserve">Shift ($)</t>
  </si>
  <si>
    <t xml:space="preserve">Deals ($)</t>
  </si>
  <si>
    <t xml:space="preserve">P&amp;L ($)</t>
  </si>
  <si>
    <t xml:space="preserve">Bid</t>
  </si>
  <si>
    <t xml:space="preserve">Ask</t>
  </si>
  <si>
    <t xml:space="preserve">(Row-Column)</t>
  </si>
  <si>
    <t xml:space="preserve">Volume</t>
  </si>
  <si>
    <t xml:space="preserve">Volume (MW)</t>
  </si>
  <si>
    <t xml:space="preserve">Hours</t>
  </si>
  <si>
    <t xml:space="preserve">New Deal P&amp;L</t>
  </si>
  <si>
    <t xml:space="preserve">Volume (MWh)</t>
  </si>
  <si>
    <t xml:space="preserve">Peak+Sat</t>
  </si>
  <si>
    <t xml:space="preserve">Peak</t>
  </si>
  <si>
    <t xml:space="preserve">Week</t>
  </si>
  <si>
    <t xml:space="preserve">Sat</t>
  </si>
  <si>
    <t xml:space="preserve">Sun</t>
  </si>
  <si>
    <t xml:space="preserve">Hol</t>
  </si>
  <si>
    <t xml:space="preserve">Total</t>
  </si>
  <si>
    <t xml:space="preserve">-Hol</t>
  </si>
  <si>
    <t xml:space="preserve">DF</t>
  </si>
  <si>
    <t xml:space="preserve">   </t>
  </si>
  <si>
    <t xml:space="preserve">Total (Abs MWh):</t>
  </si>
  <si>
    <t xml:space="preserve">ALBERTA POWER - 7 * 24</t>
  </si>
  <si>
    <t xml:space="preserve">7* 24 Trading</t>
  </si>
  <si>
    <t xml:space="preserve">7*8 Trading</t>
  </si>
  <si>
    <t xml:space="preserve">Sun+Hol Trading</t>
  </si>
  <si>
    <t xml:space="preserve">7*8 Price</t>
  </si>
  <si>
    <t xml:space="preserve">Calc Q4 1999</t>
  </si>
  <si>
    <t xml:space="preserve">Mrkt Q4 1999</t>
  </si>
  <si>
    <t xml:space="preserve">Calc Cal 00</t>
  </si>
  <si>
    <t xml:space="preserve">Mrkt Cal 00</t>
  </si>
  <si>
    <t xml:space="preserve">9/0 spread</t>
  </si>
  <si>
    <t xml:space="preserve">7*24 Trading</t>
  </si>
  <si>
    <t xml:space="preserve">NQ99</t>
  </si>
  <si>
    <t xml:space="preserve">N/Q 99</t>
  </si>
  <si>
    <t xml:space="preserve">TOTAL PEAK POSITION (PVMWh)</t>
  </si>
  <si>
    <t xml:space="preserve">Total Book</t>
  </si>
  <si>
    <t xml:space="preserve">6*16</t>
  </si>
  <si>
    <t xml:space="preserve">7*8+24</t>
  </si>
  <si>
    <t xml:space="preserve">RTC Position</t>
  </si>
  <si>
    <t xml:space="preserve">ALBERTA POWER PRICING SUMMARY</t>
  </si>
  <si>
    <t xml:space="preserve">PREVIOUS CURVE</t>
  </si>
  <si>
    <t xml:space="preserve">CURRENT CURVE</t>
  </si>
  <si>
    <t xml:space="preserve">P&amp;L</t>
  </si>
  <si>
    <t xml:space="preserve">Day</t>
  </si>
  <si>
    <t xml:space="preserve">DATE</t>
  </si>
  <si>
    <t xml:space="preserve">AECO Gas Price</t>
  </si>
  <si>
    <t xml:space="preserve">6*16 Power Price</t>
  </si>
  <si>
    <t xml:space="preserve">6*16 Heat Rate</t>
  </si>
  <si>
    <t xml:space="preserve">7*24 Power Price</t>
  </si>
  <si>
    <t xml:space="preserve">7*24 Heat Rate</t>
  </si>
  <si>
    <t xml:space="preserve">Hedge (GJ/d)</t>
  </si>
  <si>
    <t xml:space="preserve">Power</t>
  </si>
  <si>
    <t xml:space="preserve">Gas</t>
  </si>
  <si>
    <t xml:space="preserve">Power+Gas</t>
  </si>
  <si>
    <t xml:space="preserve">All</t>
  </si>
  <si>
    <t xml:space="preserve">5*16</t>
  </si>
  <si>
    <t xml:space="preserve">5*16Price</t>
  </si>
  <si>
    <t xml:space="preserve">SatPrice</t>
  </si>
  <si>
    <t xml:space="preserve">SunPrice</t>
  </si>
  <si>
    <t xml:space="preserve">7*8Price</t>
  </si>
  <si>
    <t xml:space="preserve">6*16Price</t>
  </si>
  <si>
    <t xml:space="preserve">7*24Price</t>
  </si>
  <si>
    <t xml:space="preserve">Vol</t>
  </si>
  <si>
    <t xml:space="preserve">Discount Days</t>
  </si>
  <si>
    <t xml:space="preserve">SWAP Calculator</t>
  </si>
  <si>
    <t xml:space="preserve">NYMEX </t>
  </si>
  <si>
    <t xml:space="preserve">ALL GAS</t>
  </si>
  <si>
    <t xml:space="preserve">Beg Date</t>
  </si>
  <si>
    <t xml:space="preserve">End Date</t>
  </si>
  <si>
    <t xml:space="preserve">Total P&amp;L (US)</t>
  </si>
  <si>
    <t xml:space="preserve">Total P&amp;L (CDN)</t>
  </si>
  <si>
    <t xml:space="preserve">NYMEX GAS POSITION</t>
  </si>
  <si>
    <t xml:space="preserve">POST I.D.</t>
  </si>
  <si>
    <t xml:space="preserve">Day's Trade</t>
  </si>
  <si>
    <t xml:space="preserve">CDN P&amp;L</t>
  </si>
  <si>
    <t xml:space="preserve">PV Contracts</t>
  </si>
  <si>
    <t xml:space="preserve">Volume (MMBtu)</t>
  </si>
  <si>
    <t xml:space="preserve">Price*DF</t>
  </si>
  <si>
    <t xml:space="preserve">DF-Filt</t>
  </si>
  <si>
    <t xml:space="preserve">Price*DF-Filt</t>
  </si>
  <si>
    <t xml:space="preserve">AECO BASIS</t>
  </si>
  <si>
    <t xml:space="preserve">AECO BASIS POSITION</t>
  </si>
  <si>
    <t xml:space="preserve">AECO GAS DAILY</t>
  </si>
  <si>
    <t xml:space="preserve">AECO GAS DAILY POSITION</t>
  </si>
  <si>
    <t xml:space="preserve">CDN CS</t>
  </si>
  <si>
    <t xml:space="preserve">CDN ND</t>
  </si>
  <si>
    <t xml:space="preserve">INTEREST RATE CURVE</t>
  </si>
  <si>
    <t xml:space="preserve">EGSPROD32</t>
  </si>
  <si>
    <t xml:space="preserve">MODEL_PC</t>
  </si>
  <si>
    <t xml:space="preserve">INT</t>
  </si>
  <si>
    <t xml:space="preserve">INTNS</t>
  </si>
  <si>
    <t xml:space="preserve">CAD</t>
  </si>
  <si>
    <t xml:space="preserve">AA</t>
  </si>
  <si>
    <t xml:space="preserve">R</t>
  </si>
  <si>
    <t xml:space="preserve">Year</t>
  </si>
  <si>
    <t xml:space="preserve">Month</t>
  </si>
  <si>
    <t xml:space="preserve">Curves for AECO</t>
  </si>
  <si>
    <t xml:space="preserve">Prior Day Nymex Curves for Gas</t>
  </si>
  <si>
    <t xml:space="preserve">Current Day Nymex Curves for Gas</t>
  </si>
  <si>
    <t xml:space="preserve">Nymex Gas Position</t>
  </si>
  <si>
    <t xml:space="preserve">AECO Basis Position</t>
  </si>
  <si>
    <t xml:space="preserve">AECO Gas Daily Position</t>
  </si>
  <si>
    <t xml:space="preserve">Database</t>
  </si>
  <si>
    <t xml:space="preserve">Login</t>
  </si>
  <si>
    <t xml:space="preserve">Password</t>
  </si>
  <si>
    <t xml:space="preserve">Prior Aeco (US$)</t>
  </si>
  <si>
    <t xml:space="preserve">Prior FX</t>
  </si>
  <si>
    <t xml:space="preserve">Current Aeco (US$)</t>
  </si>
  <si>
    <t xml:space="preserve">Current FX</t>
  </si>
  <si>
    <t xml:space="preserve">Prior NYMEX</t>
  </si>
  <si>
    <t xml:space="preserve">Prior Vol</t>
  </si>
  <si>
    <t xml:space="preserve">Current NYMEX</t>
  </si>
  <si>
    <t xml:space="preserve">Current Vol</t>
  </si>
  <si>
    <t xml:space="preserve">Effective Date</t>
  </si>
  <si>
    <t xml:space="preserve">Prompt Month</t>
  </si>
  <si>
    <t xml:space="preserve">Curve Code</t>
  </si>
  <si>
    <t xml:space="preserve">CGPR-AECO/BASIS</t>
  </si>
  <si>
    <t xml:space="preserve">CAD/USD</t>
  </si>
  <si>
    <t xml:space="preserve">NG</t>
  </si>
  <si>
    <t xml:space="preserve">Curve Type</t>
  </si>
  <si>
    <t xml:space="preserve">PR</t>
  </si>
  <si>
    <t xml:space="preserve">FX</t>
  </si>
  <si>
    <t xml:space="preserve">VO</t>
  </si>
  <si>
    <t xml:space="preserve">Nymex Change</t>
  </si>
  <si>
    <t xml:space="preserve">Aeco Change</t>
  </si>
  <si>
    <t xml:space="preserve">Book Code 1</t>
  </si>
  <si>
    <t xml:space="preserve">D</t>
  </si>
  <si>
    <t xml:space="preserve">F</t>
  </si>
  <si>
    <t xml:space="preserve">Prior Aeco Curve (C$)</t>
  </si>
  <si>
    <t xml:space="preserve">Currency Change</t>
  </si>
  <si>
    <t xml:space="preserve">Current Aeco Curve (C$)</t>
  </si>
  <si>
    <t xml:space="preserve">P</t>
  </si>
</sst>
</file>

<file path=xl/styles.xml><?xml version="1.0" encoding="utf-8"?>
<styleSheet xmlns="http://schemas.openxmlformats.org/spreadsheetml/2006/main">
  <numFmts count="30">
    <numFmt numFmtId="164" formatCode="General"/>
    <numFmt numFmtId="165" formatCode="[$-409]m/d/yyyy"/>
    <numFmt numFmtId="166" formatCode="_(* #,##0_);_(* \(#,##0\);_(* \-??_);_(@_)"/>
    <numFmt numFmtId="167" formatCode="_(* #,##0.00_);_(* \(#,##0.00\);_(* \-??_);_(@_)"/>
    <numFmt numFmtId="168" formatCode="_(\$* #,##0.00_);_(\$* \(#,##0.00\);_(\$* \-??_);_(@_)"/>
    <numFmt numFmtId="169" formatCode="[$-409]#,##0.00_);\(#,##0.00\)"/>
    <numFmt numFmtId="170" formatCode="0.00"/>
    <numFmt numFmtId="171" formatCode="[$-409]#,##0_);[RED]\(#,##0\)"/>
    <numFmt numFmtId="172" formatCode="[$-409]mmm\-yy"/>
    <numFmt numFmtId="173" formatCode="\$#,##0"/>
    <numFmt numFmtId="174" formatCode="0.000000"/>
    <numFmt numFmtId="175" formatCode="0_);\(0\)"/>
    <numFmt numFmtId="176" formatCode="_(* #,##0_);_(* \(#,##0\);_(* \-_);_(@_)"/>
    <numFmt numFmtId="177" formatCode="[$-409]#,##0_);\(#,##0\)"/>
    <numFmt numFmtId="178" formatCode="0"/>
    <numFmt numFmtId="179" formatCode="@"/>
    <numFmt numFmtId="180" formatCode="0.00_);[RED]\(0.00\)"/>
    <numFmt numFmtId="181" formatCode="mmmm"/>
    <numFmt numFmtId="182" formatCode="[$-409]d\-mmm\-yy"/>
    <numFmt numFmtId="183" formatCode="_(* #,##0.000_);_(* \(#,##0.000\);_(* \-??_);_(@_)"/>
    <numFmt numFmtId="184" formatCode="0.0000"/>
    <numFmt numFmtId="185" formatCode="_(* #,##0.00_);_(* \(#,##0.00\);_(* \-_);_(@_)"/>
    <numFmt numFmtId="186" formatCode="0.000"/>
    <numFmt numFmtId="187" formatCode="_(\$* #,##0.000_);_(\$* \(#,##0.000\);_(\$* \-??_);_(@_)"/>
    <numFmt numFmtId="188" formatCode="_(* #,##0.0_);_(* \(#,##0.0\);_(* \-_);_(@_)"/>
    <numFmt numFmtId="189" formatCode="mmmm\-yy"/>
    <numFmt numFmtId="190" formatCode="0_);[RED]\-0_)"/>
    <numFmt numFmtId="191" formatCode="dd\-mmm\-yy_)"/>
    <numFmt numFmtId="192" formatCode="dd\-mmm\-yyyy"/>
    <numFmt numFmtId="193" formatCode="m/d/yyyy\ h:mm:ss"/>
  </numFmts>
  <fonts count="3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ourier New"/>
      <family val="0"/>
    </font>
    <font>
      <b val="true"/>
      <u val="single"/>
      <sz val="16"/>
      <color rgb="FFFF0000"/>
      <name val="Arial"/>
      <family val="2"/>
    </font>
    <font>
      <b val="true"/>
      <sz val="10"/>
      <name val="Arial"/>
      <family val="0"/>
    </font>
    <font>
      <b val="true"/>
      <sz val="10"/>
      <name val="Arial"/>
      <family val="2"/>
    </font>
    <font>
      <b val="true"/>
      <sz val="14"/>
      <name val="Arial"/>
      <family val="2"/>
    </font>
    <font>
      <b val="true"/>
      <sz val="14"/>
      <color rgb="FFFF0000"/>
      <name val="Arial"/>
      <family val="2"/>
    </font>
    <font>
      <sz val="11"/>
      <name val="Arial"/>
      <family val="2"/>
    </font>
    <font>
      <b val="true"/>
      <sz val="12"/>
      <name val="Arial"/>
      <family val="2"/>
    </font>
    <font>
      <b val="true"/>
      <u val="single"/>
      <sz val="26"/>
      <color rgb="FFFF0000"/>
      <name val="Arial"/>
      <family val="2"/>
    </font>
    <font>
      <b val="true"/>
      <sz val="12"/>
      <color rgb="FFFF0000"/>
      <name val="Arial"/>
      <family val="2"/>
    </font>
    <font>
      <b val="true"/>
      <sz val="10"/>
      <color rgb="FF000000"/>
      <name val="Arial"/>
      <family val="2"/>
    </font>
    <font>
      <b val="true"/>
      <u val="single"/>
      <sz val="10"/>
      <color rgb="FF00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0"/>
    </font>
    <font>
      <b val="true"/>
      <sz val="12"/>
      <name val="Arial"/>
      <family val="0"/>
    </font>
    <font>
      <sz val="12"/>
      <name val="Arial"/>
      <family val="2"/>
    </font>
    <font>
      <u val="single"/>
      <sz val="10"/>
      <name val="Arial"/>
      <family val="2"/>
    </font>
    <font>
      <sz val="10"/>
      <color rgb="FFFFFFFF"/>
      <name val="Arial"/>
      <family val="2"/>
    </font>
    <font>
      <sz val="10"/>
      <color rgb="FFFF0000"/>
      <name val="Arial"/>
      <family val="2"/>
    </font>
    <font>
      <b val="true"/>
      <sz val="16"/>
      <name val="Arial"/>
      <family val="2"/>
    </font>
    <font>
      <sz val="10"/>
      <color rgb="FF000000"/>
      <name val="Arial"/>
      <family val="2"/>
    </font>
    <font>
      <b val="true"/>
      <u val="single"/>
      <sz val="12"/>
      <color rgb="FF000000"/>
      <name val="Arial"/>
      <family val="2"/>
    </font>
    <font>
      <b val="true"/>
      <sz val="10"/>
      <color rgb="FF000000"/>
      <name val="MS Sans Serif"/>
      <family val="0"/>
    </font>
    <font>
      <sz val="10"/>
      <color rgb="FF000000"/>
      <name val="Courier New"/>
      <family val="3"/>
    </font>
    <font>
      <sz val="10"/>
      <color rgb="FF0000FF"/>
      <name val="Courier New"/>
      <family val="0"/>
    </font>
    <font>
      <u val="single"/>
      <sz val="12"/>
      <color rgb="FF000000"/>
      <name val="Arial"/>
      <family val="2"/>
    </font>
    <font>
      <sz val="10"/>
      <color rgb="FF000000"/>
      <name val="MS Sans Serif"/>
      <family val="0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C0"/>
        <bgColor rgb="FFFFFF99"/>
      </patternFill>
    </fill>
    <fill>
      <patternFill patternType="solid">
        <fgColor rgb="FFFFFFFF"/>
        <bgColor rgb="FFFFFFC0"/>
      </patternFill>
    </fill>
    <fill>
      <patternFill patternType="solid">
        <fgColor rgb="FFFFFF00"/>
        <bgColor rgb="FFFFFF00"/>
      </patternFill>
    </fill>
    <fill>
      <patternFill patternType="solid">
        <fgColor rgb="FFA0E0E0"/>
        <bgColor rgb="FFCCCCFF"/>
      </patternFill>
    </fill>
    <fill>
      <patternFill patternType="solid">
        <fgColor rgb="FF33CCCC"/>
        <bgColor rgb="FF00CCFF"/>
      </patternFill>
    </fill>
    <fill>
      <patternFill patternType="solid">
        <fgColor rgb="FF969696"/>
        <bgColor rgb="FF808080"/>
      </patternFill>
    </fill>
    <fill>
      <patternFill patternType="solid">
        <fgColor rgb="FF7F0000"/>
        <bgColor rgb="FF800000"/>
      </patternFill>
    </fill>
    <fill>
      <patternFill patternType="solid">
        <fgColor rgb="FF000000"/>
        <bgColor rgb="FF003300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2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3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1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3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1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2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2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1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6" fillId="3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3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3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3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3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6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7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4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7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8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1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8" fillId="2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4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7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0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9" fillId="2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6" fillId="3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1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8" fillId="0" borderId="19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8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8" fillId="0" borderId="21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2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3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78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6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7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7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6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8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6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7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6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6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0" fillId="2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8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9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6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7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6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7" fillId="6" borderId="2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7" fillId="6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6" borderId="1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6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6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4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8" fillId="6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6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1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8" fillId="2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8" fillId="8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4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2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7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7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8" fillId="2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2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3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8" fillId="0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8" fillId="0" borderId="12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26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3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9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0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5" fillId="3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18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1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3" borderId="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11" fillId="6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8" fillId="2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3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18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3" borderId="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7" fillId="3" borderId="1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7" fillId="3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7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5" fontId="23" fillId="3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3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2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3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3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" fillId="3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9" fillId="2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" fillId="3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9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9" fillId="2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8" fillId="2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8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8" fillId="2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8" fillId="1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3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4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4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4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1" fillId="4" borderId="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4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4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1" fillId="4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6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6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1" fillId="6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1" fillId="6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1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4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1" fillId="4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1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1" fillId="4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4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1" fillId="4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11" fillId="4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1" fillId="6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1" fillId="6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6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6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6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4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1" fillId="4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1" fillId="4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7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5" fontId="17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8" fillId="4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17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8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0" fillId="3" borderId="2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17" fillId="6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7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8" fillId="6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17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8" fillId="6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7" fillId="4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8" fillId="4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17" fillId="4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8" fillId="4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4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28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7" fontId="0" fillId="3" borderId="3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17" fillId="4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8" fillId="4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17" fillId="4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8" fillId="4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4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4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8" fontId="1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7" fontId="18" fillId="0" borderId="0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1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7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24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25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27" fillId="0" borderId="3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8" fillId="0" borderId="0" xfId="2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27" fillId="0" borderId="3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27" fillId="0" borderId="34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0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0" fillId="0" borderId="0" xfId="2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9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30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8" fillId="0" borderId="0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30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5" fillId="0" borderId="0" xfId="21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INT" xfId="20"/>
    <cellStyle name="Normal_Interest" xfId="21"/>
    <cellStyle name="Normal_m1_1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7F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0E0E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externalLink" Target="externalLinks/externalLink1.xml"/><Relationship Id="rId12" Type="http://schemas.openxmlformats.org/officeDocument/2006/relationships/externalLink" Target="externalLinks/externalLink2.xml"/><Relationship Id="rId13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9720</xdr:colOff>
          <xdr:row>1</xdr:row>
          <xdr:rowOff>0</xdr:rowOff>
        </xdr:from>
        <xdr:to>
          <xdr:col>4</xdr:col>
          <xdr:colOff>102240</xdr:colOff>
          <xdr:row>2</xdr:row>
          <xdr:rowOff>95040</xdr:rowOff>
        </xdr:to>
        <xdr:sp>
          <xdr:nvSpPr>
            <xdr:cNvPr id="1001" name="Button 8" descr="PRINT SUM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PRINT SUM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9720</xdr:colOff>
          <xdr:row>2</xdr:row>
          <xdr:rowOff>219600</xdr:rowOff>
        </xdr:from>
        <xdr:to>
          <xdr:col>4</xdr:col>
          <xdr:colOff>111600</xdr:colOff>
          <xdr:row>4</xdr:row>
          <xdr:rowOff>85680</xdr:rowOff>
        </xdr:to>
        <xdr:sp>
          <xdr:nvSpPr>
            <xdr:cNvPr id="1002" name="Button 9" descr="ROLL SHE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SHEET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9720</xdr:colOff>
          <xdr:row>4</xdr:row>
          <xdr:rowOff>152640</xdr:rowOff>
        </xdr:from>
        <xdr:to>
          <xdr:col>4</xdr:col>
          <xdr:colOff>102240</xdr:colOff>
          <xdr:row>6</xdr:row>
          <xdr:rowOff>37440</xdr:rowOff>
        </xdr:to>
        <xdr:sp>
          <xdr:nvSpPr>
            <xdr:cNvPr id="1003" name="Button 10" descr="END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END DAY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130320</xdr:colOff>
          <xdr:row>0</xdr:row>
          <xdr:rowOff>47520</xdr:rowOff>
        </xdr:from>
        <xdr:to>
          <xdr:col>9</xdr:col>
          <xdr:colOff>615240</xdr:colOff>
          <xdr:row>2</xdr:row>
          <xdr:rowOff>28440</xdr:rowOff>
        </xdr:to>
        <xdr:sp>
          <xdr:nvSpPr>
            <xdr:cNvPr id="1001" name="Button 1" descr="Get Old Curv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Old Curves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362160</xdr:colOff>
          <xdr:row>1</xdr:row>
          <xdr:rowOff>142920</xdr:rowOff>
        </xdr:from>
        <xdr:to>
          <xdr:col>32</xdr:col>
          <xdr:colOff>120240</xdr:colOff>
          <xdr:row>3</xdr:row>
          <xdr:rowOff>162000</xdr:rowOff>
        </xdr:to>
        <xdr:sp>
          <xdr:nvSpPr>
            <xdr:cNvPr id="1002" name="Button 4" descr="Get New Curv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Get New Curves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10</xdr:row>
          <xdr:rowOff>162000</xdr:rowOff>
        </xdr:from>
        <xdr:to>
          <xdr:col>12</xdr:col>
          <xdr:colOff>42120</xdr:colOff>
          <xdr:row>13</xdr:row>
          <xdr:rowOff>85680</xdr:rowOff>
        </xdr:to>
        <xdr:sp>
          <xdr:nvSpPr>
            <xdr:cNvPr id="1001" name="Button 1" descr="Update NYMEX Posi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NYMEX Position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10</xdr:row>
          <xdr:rowOff>162000</xdr:rowOff>
        </xdr:from>
        <xdr:to>
          <xdr:col>12</xdr:col>
          <xdr:colOff>42120</xdr:colOff>
          <xdr:row>13</xdr:row>
          <xdr:rowOff>85680</xdr:rowOff>
        </xdr:to>
        <xdr:sp>
          <xdr:nvSpPr>
            <xdr:cNvPr id="1002" name="Button 4" descr="Update NYMEX Posi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NYMEX Position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198</xdr:row>
          <xdr:rowOff>162000</xdr:rowOff>
        </xdr:from>
        <xdr:to>
          <xdr:col>12</xdr:col>
          <xdr:colOff>42120</xdr:colOff>
          <xdr:row>201</xdr:row>
          <xdr:rowOff>85680</xdr:rowOff>
        </xdr:to>
        <xdr:sp>
          <xdr:nvSpPr>
            <xdr:cNvPr id="1003" name="Button 5" descr="Update NYMEX Posi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NYMEX Position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198</xdr:row>
          <xdr:rowOff>162000</xdr:rowOff>
        </xdr:from>
        <xdr:to>
          <xdr:col>12</xdr:col>
          <xdr:colOff>42120</xdr:colOff>
          <xdr:row>201</xdr:row>
          <xdr:rowOff>85680</xdr:rowOff>
        </xdr:to>
        <xdr:sp>
          <xdr:nvSpPr>
            <xdr:cNvPr id="1004" name="Button 6" descr="Update Basis Posi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Basis Position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327</xdr:row>
          <xdr:rowOff>162000</xdr:rowOff>
        </xdr:from>
        <xdr:to>
          <xdr:col>12</xdr:col>
          <xdr:colOff>42120</xdr:colOff>
          <xdr:row>330</xdr:row>
          <xdr:rowOff>85680</xdr:rowOff>
        </xdr:to>
        <xdr:sp>
          <xdr:nvSpPr>
            <xdr:cNvPr id="1005" name="Button 9" descr="Update NYMEX Posi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NYMEX Position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327</xdr:row>
          <xdr:rowOff>162000</xdr:rowOff>
        </xdr:from>
        <xdr:to>
          <xdr:col>12</xdr:col>
          <xdr:colOff>42120</xdr:colOff>
          <xdr:row>330</xdr:row>
          <xdr:rowOff>85680</xdr:rowOff>
        </xdr:to>
        <xdr:sp>
          <xdr:nvSpPr>
            <xdr:cNvPr id="1006" name="Button 10" descr="Update Gas Daily Position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Gas Daily Position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0122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1025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>
        <row r="4">
          <cell r="B4">
            <v>37189</v>
          </cell>
        </row>
        <row r="5">
          <cell r="D5">
            <v>37188</v>
          </cell>
        </row>
      </sheetData>
      <sheetData sheetId="1"/>
      <sheetData sheetId="2">
        <row r="3">
          <cell r="D3">
            <v>37190</v>
          </cell>
        </row>
        <row r="3">
          <cell r="F3">
            <v>5.5</v>
          </cell>
        </row>
        <row r="3">
          <cell r="O3">
            <v>5133.45361328125</v>
          </cell>
          <cell r="P3">
            <v>2390.0146484375</v>
          </cell>
          <cell r="Q3">
            <v>0</v>
          </cell>
          <cell r="R3">
            <v>0</v>
          </cell>
        </row>
        <row r="3">
          <cell r="T3">
            <v>30624.0095214844</v>
          </cell>
        </row>
        <row r="4">
          <cell r="D4">
            <v>37191</v>
          </cell>
        </row>
        <row r="4">
          <cell r="F4">
            <v>4.5</v>
          </cell>
        </row>
        <row r="4">
          <cell r="O4">
            <v>0</v>
          </cell>
          <cell r="P4">
            <v>2390.77490234375</v>
          </cell>
          <cell r="Q4">
            <v>5166.43798828125</v>
          </cell>
          <cell r="R4">
            <v>0</v>
          </cell>
        </row>
        <row r="4">
          <cell r="T4">
            <v>23248.9709472656</v>
          </cell>
        </row>
        <row r="5">
          <cell r="D5">
            <v>37192</v>
          </cell>
        </row>
        <row r="5">
          <cell r="F5">
            <v>4.5</v>
          </cell>
        </row>
        <row r="5">
          <cell r="O5">
            <v>0</v>
          </cell>
          <cell r="P5">
            <v>2726.51220703125</v>
          </cell>
          <cell r="Q5">
            <v>0</v>
          </cell>
          <cell r="R5">
            <v>4781.7099609375</v>
          </cell>
        </row>
        <row r="5">
          <cell r="T5">
            <v>21517.6948242188</v>
          </cell>
        </row>
        <row r="6">
          <cell r="D6">
            <v>37193</v>
          </cell>
        </row>
        <row r="6">
          <cell r="F6">
            <v>-1.25</v>
          </cell>
        </row>
        <row r="6">
          <cell r="O6">
            <v>5313.78759765625</v>
          </cell>
          <cell r="P6">
            <v>2480.25952148438</v>
          </cell>
          <cell r="Q6">
            <v>0</v>
          </cell>
          <cell r="R6">
            <v>0</v>
          </cell>
        </row>
        <row r="6">
          <cell r="T6">
            <v>-4161.97497558594</v>
          </cell>
        </row>
        <row r="7">
          <cell r="D7">
            <v>37194</v>
          </cell>
        </row>
        <row r="7">
          <cell r="F7">
            <v>-1.25</v>
          </cell>
        </row>
        <row r="7">
          <cell r="O7">
            <v>5366.24169921875</v>
          </cell>
          <cell r="P7">
            <v>2506.51147460938</v>
          </cell>
          <cell r="Q7">
            <v>0</v>
          </cell>
          <cell r="R7">
            <v>0</v>
          </cell>
        </row>
        <row r="7">
          <cell r="T7">
            <v>-4201.29064941406</v>
          </cell>
        </row>
        <row r="8">
          <cell r="D8">
            <v>37195</v>
          </cell>
        </row>
        <row r="8">
          <cell r="F8">
            <v>-1.25</v>
          </cell>
        </row>
        <row r="8">
          <cell r="O8">
            <v>5413.26904296875</v>
          </cell>
          <cell r="P8">
            <v>2530.0859375</v>
          </cell>
          <cell r="Q8">
            <v>0</v>
          </cell>
          <cell r="R8">
            <v>0</v>
          </cell>
        </row>
        <row r="8">
          <cell r="T8">
            <v>-4236.50036621094</v>
          </cell>
        </row>
        <row r="9">
          <cell r="D9">
            <v>37196</v>
          </cell>
        </row>
        <row r="9">
          <cell r="F9">
            <v>-2</v>
          </cell>
        </row>
        <row r="9">
          <cell r="O9">
            <v>4232.02880859375</v>
          </cell>
          <cell r="P9">
            <v>1944.88427734375</v>
          </cell>
          <cell r="Q9">
            <v>0</v>
          </cell>
          <cell r="R9">
            <v>0</v>
          </cell>
        </row>
        <row r="9">
          <cell r="T9">
            <v>-9514.29512695313</v>
          </cell>
        </row>
        <row r="10">
          <cell r="D10">
            <v>37197</v>
          </cell>
        </row>
        <row r="10">
          <cell r="F10">
            <v>-2</v>
          </cell>
        </row>
        <row r="10">
          <cell r="O10">
            <v>4268.4560546875</v>
          </cell>
          <cell r="P10">
            <v>1963.13781738281</v>
          </cell>
          <cell r="Q10">
            <v>0</v>
          </cell>
          <cell r="R10">
            <v>0</v>
          </cell>
        </row>
        <row r="10">
          <cell r="T10">
            <v>-9597.00653076172</v>
          </cell>
        </row>
        <row r="11">
          <cell r="D11">
            <v>37198</v>
          </cell>
        </row>
        <row r="11">
          <cell r="F11">
            <v>-0.83</v>
          </cell>
        </row>
        <row r="11">
          <cell r="O11">
            <v>0</v>
          </cell>
          <cell r="P11">
            <v>1917.8115234375</v>
          </cell>
          <cell r="Q11">
            <v>4217.1865234375</v>
          </cell>
          <cell r="R11">
            <v>0</v>
          </cell>
        </row>
        <row r="11">
          <cell r="T11">
            <v>-4535.88303710938</v>
          </cell>
        </row>
        <row r="12">
          <cell r="D12">
            <v>37199</v>
          </cell>
        </row>
        <row r="12">
          <cell r="F12">
            <v>-0.83</v>
          </cell>
        </row>
        <row r="12">
          <cell r="O12">
            <v>0</v>
          </cell>
          <cell r="P12">
            <v>1931.79040527344</v>
          </cell>
          <cell r="Q12">
            <v>0</v>
          </cell>
          <cell r="R12">
            <v>3846.51953125</v>
          </cell>
        </row>
        <row r="12">
          <cell r="T12">
            <v>-4235.77802978516</v>
          </cell>
        </row>
        <row r="13">
          <cell r="D13">
            <v>37200</v>
          </cell>
        </row>
        <row r="13">
          <cell r="F13">
            <v>-2</v>
          </cell>
        </row>
        <row r="13">
          <cell r="O13">
            <v>4360.3935546875</v>
          </cell>
          <cell r="P13">
            <v>2009.45776367188</v>
          </cell>
          <cell r="Q13">
            <v>0</v>
          </cell>
          <cell r="R13">
            <v>0</v>
          </cell>
        </row>
        <row r="13">
          <cell r="T13">
            <v>-9805.89430175781</v>
          </cell>
        </row>
        <row r="14">
          <cell r="D14">
            <v>37201</v>
          </cell>
        </row>
        <row r="14">
          <cell r="F14">
            <v>-2</v>
          </cell>
        </row>
        <row r="14">
          <cell r="O14">
            <v>4386.3203125</v>
          </cell>
          <cell r="P14">
            <v>2022.61828613281</v>
          </cell>
          <cell r="Q14">
            <v>0</v>
          </cell>
          <cell r="R14">
            <v>0</v>
          </cell>
        </row>
        <row r="14">
          <cell r="T14">
            <v>-9864.85449951172</v>
          </cell>
        </row>
        <row r="15">
          <cell r="D15">
            <v>37202</v>
          </cell>
        </row>
        <row r="15">
          <cell r="F15">
            <v>-2</v>
          </cell>
        </row>
        <row r="15">
          <cell r="O15">
            <v>4410.71875</v>
          </cell>
          <cell r="P15">
            <v>2035.04809570313</v>
          </cell>
          <cell r="Q15">
            <v>0</v>
          </cell>
          <cell r="R15">
            <v>0</v>
          </cell>
        </row>
        <row r="15">
          <cell r="T15">
            <v>-9920.36347167969</v>
          </cell>
        </row>
        <row r="16">
          <cell r="D16">
            <v>37203</v>
          </cell>
        </row>
        <row r="16">
          <cell r="F16">
            <v>-2</v>
          </cell>
        </row>
        <row r="16">
          <cell r="O16">
            <v>4433.54736328125</v>
          </cell>
          <cell r="P16">
            <v>2046.73876953125</v>
          </cell>
          <cell r="Q16">
            <v>0</v>
          </cell>
          <cell r="R16">
            <v>0</v>
          </cell>
        </row>
        <row r="16">
          <cell r="T16">
            <v>-9972.33366210938</v>
          </cell>
        </row>
        <row r="17">
          <cell r="D17">
            <v>37204</v>
          </cell>
        </row>
        <row r="17">
          <cell r="F17">
            <v>-2</v>
          </cell>
        </row>
        <row r="17">
          <cell r="O17">
            <v>4454.99951171875</v>
          </cell>
          <cell r="P17">
            <v>2057.78662109375</v>
          </cell>
          <cell r="Q17">
            <v>0</v>
          </cell>
          <cell r="R17">
            <v>0</v>
          </cell>
        </row>
        <row r="17">
          <cell r="T17">
            <v>-10021.2037988281</v>
          </cell>
        </row>
        <row r="18">
          <cell r="D18">
            <v>37205</v>
          </cell>
        </row>
        <row r="18">
          <cell r="F18">
            <v>-0.83</v>
          </cell>
        </row>
        <row r="18">
          <cell r="O18">
            <v>0</v>
          </cell>
          <cell r="P18">
            <v>2003.0771484375</v>
          </cell>
          <cell r="Q18">
            <v>4386.38525390625</v>
          </cell>
          <cell r="R18">
            <v>0</v>
          </cell>
        </row>
        <row r="18">
          <cell r="T18">
            <v>-4722.36142089844</v>
          </cell>
        </row>
        <row r="19">
          <cell r="D19">
            <v>37206</v>
          </cell>
        </row>
        <row r="19">
          <cell r="F19">
            <v>-0.83</v>
          </cell>
        </row>
        <row r="19">
          <cell r="O19">
            <v>0</v>
          </cell>
          <cell r="P19">
            <v>2013.27172851563</v>
          </cell>
          <cell r="Q19">
            <v>0</v>
          </cell>
          <cell r="R19">
            <v>4009.41235351563</v>
          </cell>
        </row>
        <row r="19">
          <cell r="T19">
            <v>-4414.97898681641</v>
          </cell>
        </row>
        <row r="20">
          <cell r="D20">
            <v>37207</v>
          </cell>
        </row>
        <row r="20">
          <cell r="F20">
            <v>-2</v>
          </cell>
        </row>
        <row r="20">
          <cell r="O20">
            <v>4516.19921875</v>
          </cell>
          <cell r="P20">
            <v>2087.88500976563</v>
          </cell>
          <cell r="Q20">
            <v>0</v>
          </cell>
          <cell r="R20">
            <v>0</v>
          </cell>
        </row>
        <row r="20">
          <cell r="T20">
            <v>-10159.8563427734</v>
          </cell>
        </row>
        <row r="21">
          <cell r="D21">
            <v>37208</v>
          </cell>
        </row>
        <row r="21">
          <cell r="F21">
            <v>-2</v>
          </cell>
        </row>
        <row r="21">
          <cell r="O21">
            <v>4530.09814453125</v>
          </cell>
          <cell r="P21">
            <v>2097.03979492188</v>
          </cell>
          <cell r="Q21">
            <v>0</v>
          </cell>
          <cell r="R21">
            <v>0</v>
          </cell>
        </row>
        <row r="21">
          <cell r="T21">
            <v>-10192.5977783203</v>
          </cell>
        </row>
        <row r="22">
          <cell r="D22">
            <v>37209</v>
          </cell>
        </row>
        <row r="22">
          <cell r="F22">
            <v>-2</v>
          </cell>
        </row>
        <row r="22">
          <cell r="O22">
            <v>4546.7392578125</v>
          </cell>
          <cell r="P22">
            <v>2105.87817382813</v>
          </cell>
          <cell r="Q22">
            <v>0</v>
          </cell>
          <cell r="R22">
            <v>0</v>
          </cell>
        </row>
        <row r="22">
          <cell r="T22">
            <v>-10230.6527294922</v>
          </cell>
        </row>
        <row r="23">
          <cell r="D23">
            <v>37210</v>
          </cell>
        </row>
        <row r="23">
          <cell r="F23">
            <v>-2</v>
          </cell>
        </row>
        <row r="23">
          <cell r="O23">
            <v>4562.70849609375</v>
          </cell>
          <cell r="P23">
            <v>2114.41162109375</v>
          </cell>
          <cell r="Q23">
            <v>0</v>
          </cell>
          <cell r="R23">
            <v>0</v>
          </cell>
        </row>
        <row r="23">
          <cell r="T23">
            <v>-10267.1992675781</v>
          </cell>
        </row>
        <row r="24">
          <cell r="D24">
            <v>37211</v>
          </cell>
        </row>
        <row r="24">
          <cell r="F24">
            <v>-2</v>
          </cell>
        </row>
        <row r="24">
          <cell r="O24">
            <v>4577.98583984375</v>
          </cell>
          <cell r="P24">
            <v>2122.62768554688</v>
          </cell>
          <cell r="Q24">
            <v>0</v>
          </cell>
          <cell r="R24">
            <v>0</v>
          </cell>
        </row>
        <row r="24">
          <cell r="T24">
            <v>-10302.1906298828</v>
          </cell>
        </row>
        <row r="25">
          <cell r="D25">
            <v>37212</v>
          </cell>
        </row>
        <row r="25">
          <cell r="F25">
            <v>-0.83</v>
          </cell>
        </row>
        <row r="25">
          <cell r="O25">
            <v>0</v>
          </cell>
          <cell r="P25">
            <v>2067.39599609375</v>
          </cell>
          <cell r="Q25">
            <v>4511.0634765625</v>
          </cell>
          <cell r="R25">
            <v>0</v>
          </cell>
        </row>
        <row r="25">
          <cell r="T25">
            <v>-4860.5765234375</v>
          </cell>
        </row>
        <row r="26">
          <cell r="D26">
            <v>37213</v>
          </cell>
        </row>
        <row r="26">
          <cell r="F26">
            <v>-0.83</v>
          </cell>
        </row>
        <row r="26">
          <cell r="O26">
            <v>0</v>
          </cell>
          <cell r="P26">
            <v>2075.54052734375</v>
          </cell>
          <cell r="Q26">
            <v>0</v>
          </cell>
          <cell r="R26">
            <v>4133.94970703125</v>
          </cell>
        </row>
        <row r="26">
          <cell r="T26">
            <v>-4551.97014160156</v>
          </cell>
        </row>
        <row r="27">
          <cell r="D27">
            <v>37214</v>
          </cell>
        </row>
        <row r="27">
          <cell r="F27">
            <v>-2</v>
          </cell>
        </row>
        <row r="27">
          <cell r="O27">
            <v>4621.0576171875</v>
          </cell>
          <cell r="P27">
            <v>2146.0390625</v>
          </cell>
          <cell r="Q27">
            <v>0</v>
          </cell>
          <cell r="R27">
            <v>0</v>
          </cell>
        </row>
        <row r="27">
          <cell r="T27">
            <v>-10400.976328125</v>
          </cell>
        </row>
        <row r="28">
          <cell r="D28">
            <v>37215</v>
          </cell>
        </row>
        <row r="28">
          <cell r="F28">
            <v>-2</v>
          </cell>
        </row>
        <row r="28">
          <cell r="O28">
            <v>4634.435546875</v>
          </cell>
          <cell r="P28">
            <v>2153.39306640625</v>
          </cell>
          <cell r="Q28">
            <v>0</v>
          </cell>
          <cell r="R28">
            <v>0</v>
          </cell>
        </row>
        <row r="28">
          <cell r="T28">
            <v>-10431.7033496094</v>
          </cell>
        </row>
        <row r="29">
          <cell r="D29">
            <v>37216</v>
          </cell>
        </row>
        <row r="29">
          <cell r="F29">
            <v>-2</v>
          </cell>
        </row>
        <row r="29">
          <cell r="O29">
            <v>4647.51416015625</v>
          </cell>
          <cell r="P29">
            <v>2160.61352539063</v>
          </cell>
          <cell r="Q29">
            <v>0</v>
          </cell>
          <cell r="R29">
            <v>0</v>
          </cell>
        </row>
        <row r="29">
          <cell r="T29">
            <v>-10461.7596240234</v>
          </cell>
        </row>
        <row r="30">
          <cell r="D30">
            <v>37217</v>
          </cell>
        </row>
        <row r="30">
          <cell r="F30">
            <v>-0.83</v>
          </cell>
        </row>
        <row r="30">
          <cell r="O30">
            <v>0</v>
          </cell>
          <cell r="P30">
            <v>2088.16650390625</v>
          </cell>
          <cell r="Q30">
            <v>0</v>
          </cell>
          <cell r="R30">
            <v>4125.72412109375</v>
          </cell>
        </row>
        <row r="30">
          <cell r="T30">
            <v>-4551.96093261719</v>
          </cell>
        </row>
        <row r="31">
          <cell r="D31">
            <v>37218</v>
          </cell>
        </row>
        <row r="31">
          <cell r="F31">
            <v>-2</v>
          </cell>
        </row>
        <row r="31">
          <cell r="O31">
            <v>4672.701171875</v>
          </cell>
          <cell r="P31">
            <v>2174.60986328125</v>
          </cell>
          <cell r="Q31">
            <v>0</v>
          </cell>
          <cell r="R31">
            <v>0</v>
          </cell>
        </row>
        <row r="31">
          <cell r="T31">
            <v>-10519.6916699219</v>
          </cell>
        </row>
        <row r="32">
          <cell r="D32">
            <v>37219</v>
          </cell>
        </row>
        <row r="32">
          <cell r="F32">
            <v>-0.83</v>
          </cell>
        </row>
        <row r="32">
          <cell r="O32">
            <v>0</v>
          </cell>
          <cell r="P32">
            <v>2120.27197265625</v>
          </cell>
          <cell r="Q32">
            <v>4610.484375</v>
          </cell>
          <cell r="R32">
            <v>0</v>
          </cell>
        </row>
        <row r="32">
          <cell r="T32">
            <v>-4971.64889648438</v>
          </cell>
        </row>
        <row r="33">
          <cell r="D33">
            <v>37220</v>
          </cell>
        </row>
        <row r="33">
          <cell r="F33">
            <v>-0.83</v>
          </cell>
        </row>
        <row r="33">
          <cell r="O33">
            <v>0</v>
          </cell>
          <cell r="P33">
            <v>2127.14965820313</v>
          </cell>
          <cell r="Q33">
            <v>0</v>
          </cell>
          <cell r="R33">
            <v>4237.16796875</v>
          </cell>
        </row>
        <row r="33">
          <cell r="T33">
            <v>-4665.51022949219</v>
          </cell>
        </row>
        <row r="34">
          <cell r="D34">
            <v>37225</v>
          </cell>
          <cell r="E34">
            <v>55.4999961853027</v>
          </cell>
          <cell r="F34">
            <v>-2</v>
          </cell>
          <cell r="G34">
            <v>53.4999961853027</v>
          </cell>
        </row>
        <row r="34">
          <cell r="J34">
            <v>32.0224723815918</v>
          </cell>
        </row>
        <row r="34">
          <cell r="L34">
            <v>31.47585847</v>
          </cell>
        </row>
        <row r="34">
          <cell r="O34">
            <v>23651.919921875</v>
          </cell>
          <cell r="P34">
            <v>11035.623046875</v>
          </cell>
          <cell r="Q34">
            <v>0</v>
          </cell>
          <cell r="R34">
            <v>0</v>
          </cell>
        </row>
        <row r="34">
          <cell r="T34">
            <v>-53336.0649242546</v>
          </cell>
        </row>
        <row r="34">
          <cell r="W34">
            <v>48.5674171447754</v>
          </cell>
        </row>
        <row r="34">
          <cell r="Y34">
            <v>47.7383845400001</v>
          </cell>
        </row>
        <row r="34">
          <cell r="AB34">
            <v>48.5674171447754</v>
          </cell>
        </row>
        <row r="34">
          <cell r="AD34">
            <v>47.7383845400001</v>
          </cell>
        </row>
        <row r="35">
          <cell r="D35">
            <v>37226</v>
          </cell>
          <cell r="E35">
            <v>63.0499992370606</v>
          </cell>
          <cell r="F35">
            <v>-3</v>
          </cell>
          <cell r="G35">
            <v>60.0499992370606</v>
          </cell>
        </row>
        <row r="35">
          <cell r="J35">
            <v>37.920841217041</v>
          </cell>
        </row>
        <row r="35">
          <cell r="L35">
            <v>36.8849272176826</v>
          </cell>
        </row>
        <row r="35">
          <cell r="O35">
            <v>-41101.62109375</v>
          </cell>
          <cell r="P35">
            <v>-38477.3359375</v>
          </cell>
          <cell r="Q35">
            <v>-11540.033203125</v>
          </cell>
          <cell r="R35">
            <v>-16120.58203125</v>
          </cell>
        </row>
        <row r="35">
          <cell r="T35">
            <v>199777.60686943</v>
          </cell>
        </row>
        <row r="35">
          <cell r="W35">
            <v>48.4544105529785</v>
          </cell>
        </row>
        <row r="35">
          <cell r="Y35">
            <v>47.1307403337056</v>
          </cell>
        </row>
        <row r="35">
          <cell r="AB35">
            <v>48.4544105529785</v>
          </cell>
        </row>
        <row r="35">
          <cell r="AD35">
            <v>47.1307403337056</v>
          </cell>
        </row>
        <row r="36">
          <cell r="D36">
            <v>37257</v>
          </cell>
          <cell r="E36">
            <v>66.9485168457031</v>
          </cell>
          <cell r="F36">
            <v>-1.99</v>
          </cell>
          <cell r="G36">
            <v>64.9585168457031</v>
          </cell>
        </row>
        <row r="36">
          <cell r="J36">
            <v>26.9923400878906</v>
          </cell>
        </row>
        <row r="36">
          <cell r="L36">
            <v>26.1964428854784</v>
          </cell>
        </row>
        <row r="36">
          <cell r="O36">
            <v>18193.826171875</v>
          </cell>
          <cell r="P36">
            <v>84431.6640625</v>
          </cell>
          <cell r="Q36">
            <v>3309.33569335938</v>
          </cell>
          <cell r="R36">
            <v>26426.822265625</v>
          </cell>
        </row>
        <row r="36">
          <cell r="T36">
            <v>-140853.37944384</v>
          </cell>
        </row>
        <row r="36">
          <cell r="W36">
            <v>56.1440658569336</v>
          </cell>
        </row>
        <row r="36">
          <cell r="Y36">
            <v>54.4886012017951</v>
          </cell>
        </row>
        <row r="36">
          <cell r="AB36">
            <v>41.0283584594727</v>
          </cell>
        </row>
        <row r="36">
          <cell r="AD36">
            <v>39.8185931859272</v>
          </cell>
        </row>
        <row r="37">
          <cell r="D37">
            <v>37288</v>
          </cell>
          <cell r="E37">
            <v>66.4847412109375</v>
          </cell>
          <cell r="F37">
            <v>-2.25</v>
          </cell>
          <cell r="G37">
            <v>64.2347412109375</v>
          </cell>
        </row>
        <row r="37">
          <cell r="J37">
            <v>26.8092193603516</v>
          </cell>
        </row>
        <row r="37">
          <cell r="L37">
            <v>25.8992658845852</v>
          </cell>
        </row>
        <row r="37">
          <cell r="O37">
            <v>16279.3486328125</v>
          </cell>
          <cell r="P37">
            <v>76031.7734375</v>
          </cell>
          <cell r="Q37">
            <v>3252.57373046875</v>
          </cell>
          <cell r="R37">
            <v>21116.263671875</v>
          </cell>
        </row>
        <row r="37">
          <cell r="T37">
            <v>-141176.547491991</v>
          </cell>
        </row>
        <row r="37">
          <cell r="W37">
            <v>55.7631759643555</v>
          </cell>
        </row>
        <row r="37">
          <cell r="Y37">
            <v>53.8704730399371</v>
          </cell>
        </row>
        <row r="37">
          <cell r="AB37">
            <v>40.7500114440918</v>
          </cell>
        </row>
        <row r="37">
          <cell r="AD37">
            <v>39.3668841445695</v>
          </cell>
        </row>
        <row r="38">
          <cell r="D38">
            <v>37316</v>
          </cell>
          <cell r="E38">
            <v>64.7590484619141</v>
          </cell>
          <cell r="F38">
            <v>-2.43</v>
          </cell>
          <cell r="G38">
            <v>62.3290484619141</v>
          </cell>
        </row>
        <row r="38">
          <cell r="J38">
            <v>26.1117897033691</v>
          </cell>
        </row>
        <row r="38">
          <cell r="L38">
            <v>25.1306445914489</v>
          </cell>
        </row>
        <row r="38">
          <cell r="O38">
            <v>16917.99609375</v>
          </cell>
          <cell r="P38">
            <v>83863.3203125</v>
          </cell>
          <cell r="Q38">
            <v>4036.99438476563</v>
          </cell>
          <cell r="R38">
            <v>26328.966796875</v>
          </cell>
        </row>
        <row r="38">
          <cell r="T38">
            <v>-170896.851477047</v>
          </cell>
        </row>
        <row r="38">
          <cell r="W38">
            <v>54.3125228881836</v>
          </cell>
        </row>
        <row r="38">
          <cell r="Y38">
            <v>52.2717407502137</v>
          </cell>
        </row>
        <row r="38">
          <cell r="AB38">
            <v>39.6899185180664</v>
          </cell>
        </row>
        <row r="38">
          <cell r="AD38">
            <v>38.1985797790024</v>
          </cell>
        </row>
        <row r="39">
          <cell r="D39">
            <v>37347</v>
          </cell>
          <cell r="E39">
            <v>59.7642707824707</v>
          </cell>
          <cell r="F39">
            <v>-1.23</v>
          </cell>
          <cell r="G39">
            <v>58.5342707824707</v>
          </cell>
        </row>
        <row r="39">
          <cell r="J39">
            <v>24.9013595581055</v>
          </cell>
        </row>
        <row r="39">
          <cell r="L39">
            <v>24.3895417669736</v>
          </cell>
        </row>
        <row r="39">
          <cell r="O39">
            <v>30996.6875</v>
          </cell>
          <cell r="P39">
            <v>76748.4765625</v>
          </cell>
          <cell r="Q39">
            <v>5602.8095703125</v>
          </cell>
          <cell r="R39">
            <v>19999.697265625</v>
          </cell>
        </row>
        <row r="39">
          <cell r="T39">
            <v>-98701.4341498695</v>
          </cell>
        </row>
        <row r="39">
          <cell r="W39">
            <v>49.8027191162109</v>
          </cell>
        </row>
        <row r="39">
          <cell r="Y39">
            <v>48.7790835339473</v>
          </cell>
        </row>
        <row r="39">
          <cell r="AB39">
            <v>37.8500671386719</v>
          </cell>
        </row>
        <row r="39">
          <cell r="AD39">
            <v>37.0721034857999</v>
          </cell>
        </row>
        <row r="40">
          <cell r="D40">
            <v>37377</v>
          </cell>
          <cell r="E40">
            <v>60.4392890930176</v>
          </cell>
          <cell r="F40">
            <v>-1.23</v>
          </cell>
          <cell r="G40">
            <v>59.2092890930176</v>
          </cell>
        </row>
        <row r="40">
          <cell r="J40">
            <v>25.1827754974365</v>
          </cell>
        </row>
        <row r="40">
          <cell r="L40">
            <v>24.6718128594471</v>
          </cell>
        </row>
        <row r="40">
          <cell r="O40">
            <v>31290.6953125</v>
          </cell>
          <cell r="P40">
            <v>79522.46875</v>
          </cell>
          <cell r="Q40">
            <v>5623.73681640625</v>
          </cell>
          <cell r="R40">
            <v>24888.884765625</v>
          </cell>
        </row>
        <row r="40">
          <cell r="T40">
            <v>-104197.931146374</v>
          </cell>
        </row>
        <row r="40">
          <cell r="W40">
            <v>50.3655509948731</v>
          </cell>
        </row>
        <row r="40">
          <cell r="Y40">
            <v>49.3436257188941</v>
          </cell>
        </row>
        <row r="40">
          <cell r="AB40">
            <v>38.2778205871582</v>
          </cell>
        </row>
        <row r="40">
          <cell r="AD40">
            <v>37.5011555463596</v>
          </cell>
        </row>
        <row r="41">
          <cell r="D41">
            <v>37408</v>
          </cell>
          <cell r="E41">
            <v>61.4482231140137</v>
          </cell>
        </row>
        <row r="41">
          <cell r="G41">
            <v>60.1125264880545</v>
          </cell>
        </row>
        <row r="41">
          <cell r="J41">
            <v>25.6034259796143</v>
          </cell>
        </row>
        <row r="41">
          <cell r="L41">
            <v>25.0468860366894</v>
          </cell>
        </row>
        <row r="41">
          <cell r="O41">
            <v>28489.8359375</v>
          </cell>
          <cell r="P41">
            <v>76860.921875</v>
          </cell>
          <cell r="Q41">
            <v>7041.150390625</v>
          </cell>
          <cell r="R41">
            <v>24930.810546875</v>
          </cell>
        </row>
        <row r="41">
          <cell r="T41">
            <v>-109757.35459614</v>
          </cell>
        </row>
        <row r="41">
          <cell r="W41">
            <v>51.2068519592285</v>
          </cell>
        </row>
        <row r="41">
          <cell r="Y41">
            <v>50.0937720733788</v>
          </cell>
        </row>
        <row r="41">
          <cell r="AB41">
            <v>38.9172096252441</v>
          </cell>
        </row>
        <row r="41">
          <cell r="AD41">
            <v>38.0712667757679</v>
          </cell>
        </row>
        <row r="42">
          <cell r="D42">
            <v>37438</v>
          </cell>
          <cell r="E42">
            <v>51.9546623229981</v>
          </cell>
        </row>
        <row r="42">
          <cell r="G42">
            <v>50.7501155570051</v>
          </cell>
        </row>
        <row r="42">
          <cell r="J42">
            <v>25.977331161499</v>
          </cell>
        </row>
        <row r="42">
          <cell r="L42">
            <v>25.3750577785025</v>
          </cell>
        </row>
        <row r="42">
          <cell r="O42">
            <v>133857.140625</v>
          </cell>
          <cell r="P42">
            <v>151788.5</v>
          </cell>
          <cell r="Q42">
            <v>24403.287109375</v>
          </cell>
          <cell r="R42">
            <v>48420.609375</v>
          </cell>
        </row>
        <row r="42">
          <cell r="T42">
            <v>-325201.523153338</v>
          </cell>
        </row>
        <row r="42">
          <cell r="W42">
            <v>49.8764762878418</v>
          </cell>
        </row>
        <row r="42">
          <cell r="Y42">
            <v>48.7201109347249</v>
          </cell>
        </row>
        <row r="42">
          <cell r="AB42">
            <v>39.4855461120606</v>
          </cell>
        </row>
        <row r="42">
          <cell r="AD42">
            <v>38.5700878233239</v>
          </cell>
        </row>
        <row r="43">
          <cell r="D43">
            <v>37469</v>
          </cell>
          <cell r="E43">
            <v>52.7014884948731</v>
          </cell>
        </row>
        <row r="43">
          <cell r="G43">
            <v>51.4049521012296</v>
          </cell>
        </row>
        <row r="43">
          <cell r="J43">
            <v>26.3507442474365</v>
          </cell>
        </row>
        <row r="43">
          <cell r="L43">
            <v>25.7024760506148</v>
          </cell>
        </row>
        <row r="43">
          <cell r="O43">
            <v>134296</v>
          </cell>
          <cell r="P43">
            <v>151891.28125</v>
          </cell>
          <cell r="Q43">
            <v>30619.052734375</v>
          </cell>
          <cell r="R43">
            <v>38833.78125</v>
          </cell>
        </row>
        <row r="43">
          <cell r="T43">
            <v>-348962.270980093</v>
          </cell>
        </row>
        <row r="43">
          <cell r="W43">
            <v>50.5934295654297</v>
          </cell>
        </row>
        <row r="43">
          <cell r="Y43">
            <v>49.3487540171804</v>
          </cell>
        </row>
        <row r="43">
          <cell r="AB43">
            <v>40.0531311035156</v>
          </cell>
        </row>
        <row r="43">
          <cell r="AD43">
            <v>39.0677635969345</v>
          </cell>
        </row>
        <row r="44">
          <cell r="D44">
            <v>37500</v>
          </cell>
          <cell r="E44">
            <v>52.7011871337891</v>
          </cell>
        </row>
        <row r="44">
          <cell r="G44">
            <v>51.4055068548872</v>
          </cell>
        </row>
        <row r="44">
          <cell r="J44">
            <v>26.3505935668945</v>
          </cell>
        </row>
        <row r="44">
          <cell r="L44">
            <v>25.7027534274436</v>
          </cell>
        </row>
        <row r="44">
          <cell r="O44">
            <v>121799.8203125</v>
          </cell>
          <cell r="P44">
            <v>146509.203125</v>
          </cell>
          <cell r="Q44">
            <v>24425.671875</v>
          </cell>
          <cell r="R44">
            <v>58077.078125</v>
          </cell>
        </row>
        <row r="44">
          <cell r="T44">
            <v>-340299.601464437</v>
          </cell>
        </row>
        <row r="44">
          <cell r="W44">
            <v>50.5931396484375</v>
          </cell>
        </row>
        <row r="44">
          <cell r="Y44">
            <v>49.3492865806917</v>
          </cell>
        </row>
        <row r="44">
          <cell r="AB44">
            <v>40.0529022216797</v>
          </cell>
        </row>
        <row r="44">
          <cell r="AD44">
            <v>39.0681852097143</v>
          </cell>
        </row>
        <row r="45">
          <cell r="D45">
            <v>37530</v>
          </cell>
          <cell r="E45">
            <v>57.5216484069824</v>
          </cell>
        </row>
        <row r="45">
          <cell r="G45">
            <v>56.1236976552816</v>
          </cell>
        </row>
        <row r="45">
          <cell r="J45">
            <v>26.630392074585</v>
          </cell>
        </row>
        <row r="45">
          <cell r="L45">
            <v>25.9831933589267</v>
          </cell>
        </row>
        <row r="45">
          <cell r="O45">
            <v>41593.546875</v>
          </cell>
          <cell r="P45">
            <v>85295.3671875</v>
          </cell>
          <cell r="Q45">
            <v>7226.33544921875</v>
          </cell>
          <cell r="R45">
            <v>21511.0546875</v>
          </cell>
        </row>
        <row r="45">
          <cell r="T45">
            <v>-143676.767077967</v>
          </cell>
        </row>
        <row r="45">
          <cell r="W45">
            <v>52.1955680847168</v>
          </cell>
        </row>
        <row r="45">
          <cell r="Y45">
            <v>50.9270589834963</v>
          </cell>
        </row>
        <row r="45">
          <cell r="AB45">
            <v>40.4781951904297</v>
          </cell>
        </row>
        <row r="45">
          <cell r="AD45">
            <v>39.4944539055686</v>
          </cell>
        </row>
        <row r="46">
          <cell r="D46">
            <v>37561</v>
          </cell>
          <cell r="E46">
            <v>62.5564651489258</v>
          </cell>
        </row>
        <row r="46">
          <cell r="G46">
            <v>61.0219221702182</v>
          </cell>
        </row>
        <row r="46">
          <cell r="J46">
            <v>28.9613265991211</v>
          </cell>
        </row>
        <row r="46">
          <cell r="L46">
            <v>28.2508898936195</v>
          </cell>
        </row>
        <row r="46">
          <cell r="O46">
            <v>36991.2578125</v>
          </cell>
          <cell r="P46">
            <v>82695.9296875</v>
          </cell>
          <cell r="Q46">
            <v>9276.0078125</v>
          </cell>
          <cell r="R46">
            <v>27036.603515625</v>
          </cell>
        </row>
        <row r="46">
          <cell r="T46">
            <v>-157627.18797198</v>
          </cell>
        </row>
        <row r="46">
          <cell r="W46">
            <v>56.7641983032227</v>
          </cell>
        </row>
        <row r="46">
          <cell r="Y46">
            <v>55.3717441914943</v>
          </cell>
        </row>
        <row r="46">
          <cell r="AB46">
            <v>44.0212173461914</v>
          </cell>
        </row>
        <row r="46">
          <cell r="AD46">
            <v>42.9413526383017</v>
          </cell>
        </row>
        <row r="47">
          <cell r="D47">
            <v>37591</v>
          </cell>
          <cell r="E47">
            <v>66.5832290649414</v>
          </cell>
        </row>
        <row r="47">
          <cell r="G47">
            <v>64.8311090024213</v>
          </cell>
        </row>
        <row r="47">
          <cell r="J47">
            <v>30.825569152832</v>
          </cell>
        </row>
        <row r="47">
          <cell r="L47">
            <v>30.0144023159358</v>
          </cell>
        </row>
        <row r="47">
          <cell r="O47">
            <v>39386.25390625</v>
          </cell>
          <cell r="P47">
            <v>85589.3125</v>
          </cell>
          <cell r="Q47">
            <v>7507.17626953125</v>
          </cell>
          <cell r="R47">
            <v>32569.748046875</v>
          </cell>
        </row>
        <row r="47">
          <cell r="T47">
            <v>-190529.903462032</v>
          </cell>
        </row>
        <row r="47">
          <cell r="W47">
            <v>60.4181175231934</v>
          </cell>
        </row>
        <row r="47">
          <cell r="Y47">
            <v>58.8282285392342</v>
          </cell>
        </row>
        <row r="47">
          <cell r="AB47">
            <v>46.854866027832</v>
          </cell>
        </row>
        <row r="47">
          <cell r="AD47">
            <v>45.6218915202224</v>
          </cell>
        </row>
        <row r="48">
          <cell r="D48">
            <v>37622</v>
          </cell>
          <cell r="E48">
            <v>53.7455139160156</v>
          </cell>
        </row>
        <row r="48">
          <cell r="G48">
            <v>52.3857631301595</v>
          </cell>
        </row>
        <row r="48">
          <cell r="J48">
            <v>31.9913768768311</v>
          </cell>
        </row>
        <row r="48">
          <cell r="L48">
            <v>31.1820018631902</v>
          </cell>
        </row>
        <row r="48">
          <cell r="O48">
            <v>205261.96875</v>
          </cell>
          <cell r="P48">
            <v>145163.9375</v>
          </cell>
          <cell r="Q48">
            <v>37471.0390625</v>
          </cell>
          <cell r="R48">
            <v>46762.4609375</v>
          </cell>
        </row>
        <row r="48">
          <cell r="T48">
            <v>-502350.853140518</v>
          </cell>
        </row>
        <row r="48">
          <cell r="W48">
            <v>52.4658584594727</v>
          </cell>
        </row>
        <row r="48">
          <cell r="Y48">
            <v>51.1384830556319</v>
          </cell>
        </row>
        <row r="48">
          <cell r="AB48">
            <v>47.3472366333008</v>
          </cell>
        </row>
        <row r="48">
          <cell r="AD48">
            <v>46.1493627575215</v>
          </cell>
        </row>
        <row r="49">
          <cell r="D49">
            <v>37653</v>
          </cell>
          <cell r="E49">
            <v>52.4309768676758</v>
          </cell>
        </row>
        <row r="49">
          <cell r="G49">
            <v>50.9470356342859</v>
          </cell>
        </row>
        <row r="49">
          <cell r="J49">
            <v>31.2089138031006</v>
          </cell>
        </row>
        <row r="49">
          <cell r="L49">
            <v>30.3256164489797</v>
          </cell>
        </row>
        <row r="49">
          <cell r="O49">
            <v>186007.296875</v>
          </cell>
          <cell r="P49">
            <v>130708.984375</v>
          </cell>
          <cell r="Q49">
            <v>37335.46484375</v>
          </cell>
          <cell r="R49">
            <v>37335.46484375</v>
          </cell>
        </row>
        <row r="49">
          <cell r="T49">
            <v>-494371.141916961</v>
          </cell>
        </row>
        <row r="49">
          <cell r="W49">
            <v>51.1826171875</v>
          </cell>
        </row>
        <row r="49">
          <cell r="Y49">
            <v>49.7340109763267</v>
          </cell>
        </row>
        <row r="49">
          <cell r="AB49">
            <v>46.1891937255859</v>
          </cell>
        </row>
        <row r="49">
          <cell r="AD49">
            <v>44.88191234449</v>
          </cell>
        </row>
        <row r="50">
          <cell r="D50">
            <v>37681</v>
          </cell>
          <cell r="E50">
            <v>50.9436759948731</v>
          </cell>
        </row>
        <row r="50">
          <cell r="G50">
            <v>49.4606177981644</v>
          </cell>
        </row>
        <row r="50">
          <cell r="J50">
            <v>30.323616027832</v>
          </cell>
        </row>
        <row r="50">
          <cell r="L50">
            <v>29.4408439274788</v>
          </cell>
        </row>
        <row r="50">
          <cell r="O50">
            <v>194763.765625</v>
          </cell>
          <cell r="P50">
            <v>144322.796875</v>
          </cell>
          <cell r="Q50">
            <v>46557.90234375</v>
          </cell>
          <cell r="R50">
            <v>46557.90234375</v>
          </cell>
        </row>
        <row r="50">
          <cell r="T50">
            <v>-544482.283701321</v>
          </cell>
        </row>
        <row r="50">
          <cell r="W50">
            <v>49.7307319641113</v>
          </cell>
        </row>
        <row r="50">
          <cell r="Y50">
            <v>48.2829840410653</v>
          </cell>
        </row>
        <row r="50">
          <cell r="AB50">
            <v>44.8789520263672</v>
          </cell>
        </row>
        <row r="50">
          <cell r="AD50">
            <v>43.5724490126687</v>
          </cell>
        </row>
        <row r="51">
          <cell r="D51">
            <v>37712</v>
          </cell>
          <cell r="E51">
            <v>48.7510604858398</v>
          </cell>
        </row>
        <row r="51">
          <cell r="G51">
            <v>47.2682387214389</v>
          </cell>
        </row>
        <row r="51">
          <cell r="J51">
            <v>29.0184898376465</v>
          </cell>
        </row>
        <row r="51">
          <cell r="L51">
            <v>28.1358563818089</v>
          </cell>
        </row>
        <row r="51">
          <cell r="O51">
            <v>203475.34375</v>
          </cell>
          <cell r="P51">
            <v>138663.171875</v>
          </cell>
          <cell r="Q51">
            <v>37139.16796875</v>
          </cell>
          <cell r="R51">
            <v>37139.16796875</v>
          </cell>
        </row>
        <row r="51">
          <cell r="T51">
            <v>-526380.905996936</v>
          </cell>
        </row>
        <row r="51">
          <cell r="W51">
            <v>47.5903244018555</v>
          </cell>
        </row>
        <row r="51">
          <cell r="Y51">
            <v>46.1428044661666</v>
          </cell>
        </row>
        <row r="51">
          <cell r="AB51">
            <v>42.9473648071289</v>
          </cell>
        </row>
        <row r="51">
          <cell r="AD51">
            <v>41.6410674450771</v>
          </cell>
        </row>
        <row r="52">
          <cell r="D52">
            <v>37742</v>
          </cell>
          <cell r="E52">
            <v>48.7360916137695</v>
          </cell>
        </row>
        <row r="52">
          <cell r="G52">
            <v>47.2704026323145</v>
          </cell>
        </row>
        <row r="52">
          <cell r="J52">
            <v>29.0095767974854</v>
          </cell>
        </row>
        <row r="52">
          <cell r="L52">
            <v>28.1371444239967</v>
          </cell>
        </row>
        <row r="52">
          <cell r="O52">
            <v>193570.328125</v>
          </cell>
          <cell r="P52">
            <v>143378.046875</v>
          </cell>
          <cell r="Q52">
            <v>46272.48828125</v>
          </cell>
          <cell r="R52">
            <v>46230.6796875</v>
          </cell>
        </row>
        <row r="52">
          <cell r="T52">
            <v>-534700.789091932</v>
          </cell>
        </row>
        <row r="52">
          <cell r="W52">
            <v>47.5757064819336</v>
          </cell>
        </row>
        <row r="52">
          <cell r="Y52">
            <v>46.1449168553546</v>
          </cell>
        </row>
        <row r="52">
          <cell r="AB52">
            <v>42.9341735839844</v>
          </cell>
        </row>
        <row r="52">
          <cell r="AD52">
            <v>41.6429737475152</v>
          </cell>
        </row>
        <row r="53">
          <cell r="D53">
            <v>37773</v>
          </cell>
          <cell r="E53">
            <v>49.0498847961426</v>
          </cell>
        </row>
        <row r="53">
          <cell r="G53">
            <v>47.5860130264176</v>
          </cell>
        </row>
        <row r="53">
          <cell r="J53">
            <v>29.1963596343994</v>
          </cell>
        </row>
        <row r="53">
          <cell r="L53">
            <v>28.32500775382</v>
          </cell>
        </row>
        <row r="53">
          <cell r="O53">
            <v>192860.328125</v>
          </cell>
          <cell r="P53">
            <v>138231.40625</v>
          </cell>
          <cell r="Q53">
            <v>36872.4296875</v>
          </cell>
          <cell r="R53">
            <v>46090.5390625</v>
          </cell>
        </row>
        <row r="53">
          <cell r="T53">
            <v>-514900.783898344</v>
          </cell>
        </row>
        <row r="53">
          <cell r="W53">
            <v>47.8820304870606</v>
          </cell>
        </row>
        <row r="53">
          <cell r="Y53">
            <v>46.4530127162648</v>
          </cell>
        </row>
        <row r="53">
          <cell r="AB53">
            <v>43.2106132507324</v>
          </cell>
        </row>
        <row r="53">
          <cell r="AD53">
            <v>41.9210114756536</v>
          </cell>
        </row>
        <row r="54">
          <cell r="D54">
            <v>37803</v>
          </cell>
          <cell r="E54">
            <v>49.4415626525879</v>
          </cell>
        </row>
        <row r="54">
          <cell r="G54">
            <v>47.9792430982545</v>
          </cell>
        </row>
        <row r="54">
          <cell r="J54">
            <v>29.429500579834</v>
          </cell>
        </row>
        <row r="54">
          <cell r="L54">
            <v>28.5590732727705</v>
          </cell>
        </row>
        <row r="54">
          <cell r="O54">
            <v>201227.484375</v>
          </cell>
          <cell r="P54">
            <v>142242.59375</v>
          </cell>
          <cell r="Q54">
            <v>36710.09765625</v>
          </cell>
          <cell r="R54">
            <v>45851.91015625</v>
          </cell>
        </row>
        <row r="54">
          <cell r="T54">
            <v>-529542.322014837</v>
          </cell>
        </row>
        <row r="54">
          <cell r="W54">
            <v>48.2643814086914</v>
          </cell>
        </row>
        <row r="54">
          <cell r="Y54">
            <v>46.8368801673437</v>
          </cell>
        </row>
        <row r="54">
          <cell r="AB54">
            <v>43.5556602478027</v>
          </cell>
        </row>
        <row r="54">
          <cell r="AD54">
            <v>42.2674284437004</v>
          </cell>
        </row>
        <row r="55">
          <cell r="D55">
            <v>37834</v>
          </cell>
          <cell r="E55">
            <v>49.9423332214356</v>
          </cell>
        </row>
        <row r="55">
          <cell r="G55">
            <v>48.4812124594235</v>
          </cell>
        </row>
        <row r="55">
          <cell r="J55">
            <v>29.7275791168213</v>
          </cell>
        </row>
        <row r="55">
          <cell r="L55">
            <v>28.8578645591807</v>
          </cell>
        </row>
        <row r="55">
          <cell r="O55">
            <v>191396.9375</v>
          </cell>
          <cell r="P55">
            <v>141754.15625</v>
          </cell>
          <cell r="Q55">
            <v>45737.1328125</v>
          </cell>
          <cell r="R55">
            <v>45737.1328125</v>
          </cell>
        </row>
        <row r="55">
          <cell r="T55">
            <v>-527047.958807381</v>
          </cell>
        </row>
        <row r="55">
          <cell r="W55">
            <v>48.753231048584</v>
          </cell>
        </row>
        <row r="55">
          <cell r="Y55">
            <v>47.3268978770563</v>
          </cell>
        </row>
        <row r="55">
          <cell r="AB55">
            <v>43.9968185424805</v>
          </cell>
        </row>
        <row r="55">
          <cell r="AD55">
            <v>42.7096395475874</v>
          </cell>
        </row>
        <row r="56">
          <cell r="D56">
            <v>37865</v>
          </cell>
          <cell r="E56">
            <v>49.9414978027344</v>
          </cell>
          <cell r="F56">
            <v>-1.38201166700888</v>
          </cell>
          <cell r="G56">
            <v>48.5594861357255</v>
          </cell>
        </row>
        <row r="56">
          <cell r="J56">
            <v>29.7270812988281</v>
          </cell>
          <cell r="K56">
            <v>-0.822625265658186</v>
          </cell>
          <cell r="L56">
            <v>28.9044560331699</v>
          </cell>
        </row>
        <row r="56">
          <cell r="O56">
            <v>190963.90625</v>
          </cell>
          <cell r="P56">
            <v>136741.109375</v>
          </cell>
          <cell r="Q56">
            <v>36458.43359375</v>
          </cell>
          <cell r="R56">
            <v>45534.18359375</v>
          </cell>
        </row>
        <row r="56">
          <cell r="T56">
            <v>-481024.652585863</v>
          </cell>
        </row>
        <row r="56">
          <cell r="W56">
            <v>48.7524147033691</v>
          </cell>
        </row>
        <row r="56">
          <cell r="Y56">
            <v>47.4033078943987</v>
          </cell>
        </row>
        <row r="56">
          <cell r="AB56">
            <v>43.9960823059082</v>
          </cell>
        </row>
        <row r="56">
          <cell r="AD56">
            <v>42.7785949290915</v>
          </cell>
        </row>
        <row r="57">
          <cell r="D57">
            <v>37895</v>
          </cell>
          <cell r="E57">
            <v>50.1762199401856</v>
          </cell>
          <cell r="F57">
            <v>-1.30314503878709</v>
          </cell>
          <cell r="G57">
            <v>48.8730749013985</v>
          </cell>
        </row>
        <row r="57">
          <cell r="J57">
            <v>29.8667964935303</v>
          </cell>
          <cell r="K57">
            <v>-0.775680480793096</v>
          </cell>
          <cell r="L57">
            <v>29.0911160127372</v>
          </cell>
        </row>
        <row r="57">
          <cell r="O57">
            <v>208167.484375</v>
          </cell>
          <cell r="P57">
            <v>141221.625</v>
          </cell>
          <cell r="Q57">
            <v>36276.10546875</v>
          </cell>
          <cell r="R57">
            <v>36291.06640625</v>
          </cell>
        </row>
        <row r="57">
          <cell r="T57">
            <v>-468625.142836556</v>
          </cell>
        </row>
        <row r="57">
          <cell r="W57">
            <v>48.9815483093262</v>
          </cell>
        </row>
        <row r="57">
          <cell r="Y57">
            <v>47.709430260889</v>
          </cell>
        </row>
        <row r="57">
          <cell r="AB57">
            <v>44.2028579711914</v>
          </cell>
        </row>
        <row r="57">
          <cell r="AD57">
            <v>43.054851698851</v>
          </cell>
        </row>
        <row r="58">
          <cell r="D58">
            <v>37926</v>
          </cell>
          <cell r="E58">
            <v>53.0406684875488</v>
          </cell>
          <cell r="F58">
            <v>-1.1423632256098</v>
          </cell>
          <cell r="G58">
            <v>51.898305261939</v>
          </cell>
        </row>
        <row r="58">
          <cell r="J58">
            <v>31.5718269348145</v>
          </cell>
          <cell r="K58">
            <v>-0.67997856461265</v>
          </cell>
          <cell r="L58">
            <v>30.8918483702018</v>
          </cell>
        </row>
        <row r="58">
          <cell r="O58">
            <v>171687.390625</v>
          </cell>
          <cell r="P58">
            <v>135963.09375</v>
          </cell>
          <cell r="Q58">
            <v>45300.0546875</v>
          </cell>
          <cell r="R58">
            <v>54329.0078125</v>
          </cell>
        </row>
        <row r="58">
          <cell r="T58">
            <v>-393773.396768536</v>
          </cell>
        </row>
        <row r="58">
          <cell r="W58">
            <v>51.7777976989746</v>
          </cell>
        </row>
        <row r="58">
          <cell r="Y58">
            <v>50.662631327131</v>
          </cell>
        </row>
        <row r="58">
          <cell r="AB58">
            <v>46.7263031005859</v>
          </cell>
        </row>
        <row r="58">
          <cell r="AD58">
            <v>45.7199355878987</v>
          </cell>
        </row>
        <row r="59">
          <cell r="D59">
            <v>37956</v>
          </cell>
          <cell r="E59">
            <v>55.3317260742188</v>
          </cell>
          <cell r="F59">
            <v>-1.0581692536935</v>
          </cell>
          <cell r="G59">
            <v>54.2735568205253</v>
          </cell>
        </row>
        <row r="59">
          <cell r="J59">
            <v>32.9355506896973</v>
          </cell>
          <cell r="K59">
            <v>-0.629862106051284</v>
          </cell>
          <cell r="L59">
            <v>32.305688583646</v>
          </cell>
        </row>
        <row r="59">
          <cell r="O59">
            <v>198108.625</v>
          </cell>
          <cell r="P59">
            <v>139964.078125</v>
          </cell>
          <cell r="Q59">
            <v>36102.859375</v>
          </cell>
          <cell r="R59">
            <v>45104.6875</v>
          </cell>
        </row>
        <row r="59">
          <cell r="T59">
            <v>-377130.421929215</v>
          </cell>
        </row>
        <row r="59">
          <cell r="W59">
            <v>54.0143051147461</v>
          </cell>
        </row>
        <row r="59">
          <cell r="Y59">
            <v>52.9813292771794</v>
          </cell>
        </row>
        <row r="59">
          <cell r="AB59">
            <v>48.7446174621582</v>
          </cell>
        </row>
        <row r="59">
          <cell r="AD59">
            <v>47.8124191037961</v>
          </cell>
        </row>
        <row r="60">
          <cell r="D60">
            <v>37987</v>
          </cell>
          <cell r="E60">
            <v>51.9493865966797</v>
          </cell>
          <cell r="F60">
            <v>-0.832974970259706</v>
          </cell>
          <cell r="G60">
            <v>51.11641162642</v>
          </cell>
        </row>
        <row r="60">
          <cell r="J60">
            <v>33.3008880615234</v>
          </cell>
          <cell r="K60">
            <v>-0.533957531767037</v>
          </cell>
          <cell r="L60">
            <v>32.7669305297564</v>
          </cell>
        </row>
        <row r="60">
          <cell r="O60">
            <v>127089.7734375</v>
          </cell>
          <cell r="P60">
            <v>94216.90625</v>
          </cell>
          <cell r="Q60">
            <v>30385.341796875</v>
          </cell>
          <cell r="R60">
            <v>30356.6875</v>
          </cell>
        </row>
        <row r="60">
          <cell r="T60">
            <v>-202875.672734395</v>
          </cell>
        </row>
        <row r="60">
          <cell r="W60">
            <v>49.2853164672852</v>
          </cell>
        </row>
        <row r="60">
          <cell r="Y60">
            <v>48.4950571840395</v>
          </cell>
        </row>
        <row r="60">
          <cell r="AB60">
            <v>46.6212463378906</v>
          </cell>
        </row>
        <row r="60">
          <cell r="AD60">
            <v>45.873702741659</v>
          </cell>
        </row>
        <row r="61">
          <cell r="D61">
            <v>38018</v>
          </cell>
          <cell r="E61">
            <v>50.6725845336914</v>
          </cell>
          <cell r="F61">
            <v>-0.84558348184207</v>
          </cell>
          <cell r="G61">
            <v>49.8270010518493</v>
          </cell>
        </row>
        <row r="61">
          <cell r="J61">
            <v>32.4824256896973</v>
          </cell>
          <cell r="K61">
            <v>-0.542040400050254</v>
          </cell>
          <cell r="L61">
            <v>31.940385289647</v>
          </cell>
        </row>
        <row r="61">
          <cell r="O61">
            <v>120498.765625</v>
          </cell>
          <cell r="P61">
            <v>87756.9296875</v>
          </cell>
          <cell r="Q61">
            <v>24190.392578125</v>
          </cell>
          <cell r="R61">
            <v>30237.9921875</v>
          </cell>
        </row>
        <row r="61">
          <cell r="T61">
            <v>-191811.850747997</v>
          </cell>
        </row>
        <row r="61">
          <cell r="W61">
            <v>48.0739898681641</v>
          </cell>
        </row>
        <row r="61">
          <cell r="Y61">
            <v>47.2717702286776</v>
          </cell>
        </row>
        <row r="61">
          <cell r="AB61">
            <v>45.4753952026367</v>
          </cell>
        </row>
        <row r="61">
          <cell r="AD61">
            <v>44.7165394055058</v>
          </cell>
        </row>
        <row r="62">
          <cell r="D62">
            <v>38047</v>
          </cell>
          <cell r="E62">
            <v>48.6405868530273</v>
          </cell>
          <cell r="F62">
            <v>-0.844771269182765</v>
          </cell>
          <cell r="G62">
            <v>47.7958155838446</v>
          </cell>
        </row>
        <row r="62">
          <cell r="J62">
            <v>31.1798629760742</v>
          </cell>
          <cell r="K62">
            <v>-0.541519653096923</v>
          </cell>
          <cell r="L62">
            <v>30.6383433229773</v>
          </cell>
        </row>
        <row r="62">
          <cell r="O62">
            <v>138110.078125</v>
          </cell>
          <cell r="P62">
            <v>93481.953125</v>
          </cell>
          <cell r="Q62">
            <v>24118.7734375</v>
          </cell>
          <cell r="R62">
            <v>24118.7734375</v>
          </cell>
        </row>
        <row r="62">
          <cell r="T62">
            <v>-204908.694059974</v>
          </cell>
        </row>
        <row r="62">
          <cell r="W62">
            <v>46.1461944580078</v>
          </cell>
        </row>
        <row r="62">
          <cell r="Y62">
            <v>45.3447481180064</v>
          </cell>
        </row>
        <row r="62">
          <cell r="AB62">
            <v>43.6518058776856</v>
          </cell>
        </row>
        <row r="62">
          <cell r="AD62">
            <v>42.8936806521682</v>
          </cell>
        </row>
        <row r="63">
          <cell r="D63">
            <v>38078</v>
          </cell>
          <cell r="E63">
            <v>45.8851852416992</v>
          </cell>
          <cell r="F63">
            <v>-0.84500486828216</v>
          </cell>
          <cell r="G63">
            <v>45.0401803734171</v>
          </cell>
        </row>
        <row r="63">
          <cell r="J63">
            <v>29.4135799407959</v>
          </cell>
          <cell r="K63">
            <v>-0.541669445015732</v>
          </cell>
          <cell r="L63">
            <v>28.8719104957802</v>
          </cell>
        </row>
        <row r="63">
          <cell r="O63">
            <v>131948.953125</v>
          </cell>
          <cell r="P63">
            <v>89954.9140625</v>
          </cell>
          <cell r="Q63">
            <v>24077.595703125</v>
          </cell>
          <cell r="R63">
            <v>24092.2109375</v>
          </cell>
        </row>
        <row r="63">
          <cell r="T63">
            <v>-197795.727502204</v>
          </cell>
        </row>
        <row r="63">
          <cell r="W63">
            <v>43.5321006774902</v>
          </cell>
        </row>
        <row r="63">
          <cell r="Y63">
            <v>42.7304275337547</v>
          </cell>
        </row>
        <row r="63">
          <cell r="AB63">
            <v>41.179012298584</v>
          </cell>
        </row>
        <row r="63">
          <cell r="AD63">
            <v>40.4206746940922</v>
          </cell>
        </row>
        <row r="64">
          <cell r="D64">
            <v>38108</v>
          </cell>
          <cell r="E64">
            <v>45.9527206420898</v>
          </cell>
          <cell r="F64">
            <v>-0.84214630137857</v>
          </cell>
          <cell r="G64">
            <v>45.1105743407113</v>
          </cell>
        </row>
        <row r="64">
          <cell r="J64">
            <v>29.4568729400635</v>
          </cell>
          <cell r="K64">
            <v>-0.539838106274196</v>
          </cell>
          <cell r="L64">
            <v>28.9170348337893</v>
          </cell>
        </row>
        <row r="64">
          <cell r="O64">
            <v>119471.96875</v>
          </cell>
          <cell r="P64">
            <v>92974.8984375</v>
          </cell>
          <cell r="Q64">
            <v>29995.205078125</v>
          </cell>
          <cell r="R64">
            <v>35964.078125</v>
          </cell>
        </row>
        <row r="64">
          <cell r="T64">
            <v>-201949.885277336</v>
          </cell>
        </row>
        <row r="64">
          <cell r="W64">
            <v>43.5961723327637</v>
          </cell>
        </row>
        <row r="64">
          <cell r="Y64">
            <v>42.7972115540081</v>
          </cell>
        </row>
        <row r="64">
          <cell r="AB64">
            <v>41.2396202087402</v>
          </cell>
        </row>
        <row r="64">
          <cell r="AD64">
            <v>40.483848767305</v>
          </cell>
        </row>
        <row r="65">
          <cell r="D65">
            <v>38139</v>
          </cell>
          <cell r="E65">
            <v>46.4991073608398</v>
          </cell>
          <cell r="F65">
            <v>-0.838440073575271</v>
          </cell>
          <cell r="G65">
            <v>45.6606672872646</v>
          </cell>
        </row>
        <row r="65">
          <cell r="J65">
            <v>29.8071212768555</v>
          </cell>
          <cell r="K65">
            <v>-0.537462759378176</v>
          </cell>
          <cell r="L65">
            <v>29.2696585174773</v>
          </cell>
        </row>
        <row r="65">
          <cell r="O65">
            <v>131027.03125</v>
          </cell>
          <cell r="P65">
            <v>89668.53125</v>
          </cell>
          <cell r="Q65">
            <v>23890.5546875</v>
          </cell>
          <cell r="R65">
            <v>23890.5546875</v>
          </cell>
        </row>
        <row r="65">
          <cell r="T65">
            <v>-195031.82263401</v>
          </cell>
        </row>
        <row r="65">
          <cell r="W65">
            <v>44.1145401000977</v>
          </cell>
        </row>
        <row r="65">
          <cell r="Y65">
            <v>43.3190946058664</v>
          </cell>
        </row>
        <row r="65">
          <cell r="AB65">
            <v>41.7299690246582</v>
          </cell>
        </row>
        <row r="65">
          <cell r="AD65">
            <v>40.9775219244682</v>
          </cell>
        </row>
        <row r="66">
          <cell r="D66">
            <v>38169</v>
          </cell>
          <cell r="E66">
            <v>47.1491813659668</v>
          </cell>
          <cell r="F66">
            <v>-0.834703335823264</v>
          </cell>
          <cell r="G66">
            <v>46.3144780301435</v>
          </cell>
        </row>
        <row r="66">
          <cell r="J66">
            <v>30.2238349914551</v>
          </cell>
          <cell r="K66">
            <v>-0.535067023414353</v>
          </cell>
          <cell r="L66">
            <v>29.6887679680407</v>
          </cell>
        </row>
        <row r="66">
          <cell r="O66">
            <v>124680.328125</v>
          </cell>
          <cell r="P66">
            <v>92357.03125</v>
          </cell>
          <cell r="Q66">
            <v>29777.42578125</v>
          </cell>
          <cell r="R66">
            <v>29759.107421875</v>
          </cell>
        </row>
        <row r="66">
          <cell r="T66">
            <v>-199361.330026539</v>
          </cell>
        </row>
        <row r="66">
          <cell r="W66">
            <v>44.7312736511231</v>
          </cell>
        </row>
        <row r="66">
          <cell r="Y66">
            <v>43.9393765927003</v>
          </cell>
        </row>
        <row r="66">
          <cell r="AB66">
            <v>42.3133697509766</v>
          </cell>
        </row>
        <row r="66">
          <cell r="AD66">
            <v>41.564275155257</v>
          </cell>
        </row>
        <row r="67">
          <cell r="D67">
            <v>38200</v>
          </cell>
          <cell r="E67">
            <v>47.6997871398926</v>
          </cell>
          <cell r="F67">
            <v>-0.831056520553624</v>
          </cell>
          <cell r="G67">
            <v>46.868730619339</v>
          </cell>
        </row>
        <row r="67">
          <cell r="J67">
            <v>30.5767860412598</v>
          </cell>
          <cell r="K67">
            <v>-0.532727951939926</v>
          </cell>
          <cell r="L67">
            <v>30.0440580893198</v>
          </cell>
        </row>
        <row r="67">
          <cell r="O67">
            <v>130173.4140625</v>
          </cell>
          <cell r="P67">
            <v>91999.2734375</v>
          </cell>
          <cell r="Q67">
            <v>23733.533203125</v>
          </cell>
          <cell r="R67">
            <v>29663.89453125</v>
          </cell>
        </row>
        <row r="67">
          <cell r="T67">
            <v>-198028.414295014</v>
          </cell>
        </row>
        <row r="67">
          <cell r="W67">
            <v>45.2536430358887</v>
          </cell>
        </row>
        <row r="67">
          <cell r="Y67">
            <v>44.4652059721934</v>
          </cell>
        </row>
        <row r="67">
          <cell r="AB67">
            <v>42.807502746582</v>
          </cell>
        </row>
        <row r="67">
          <cell r="AD67">
            <v>42.0616813250478</v>
          </cell>
        </row>
        <row r="68">
          <cell r="D68">
            <v>38231</v>
          </cell>
          <cell r="E68">
            <v>47.6112403869629</v>
          </cell>
          <cell r="F68">
            <v>-0.828254842594376</v>
          </cell>
          <cell r="G68">
            <v>46.7829855443685</v>
          </cell>
        </row>
        <row r="68">
          <cell r="J68">
            <v>30.5200271606445</v>
          </cell>
          <cell r="K68">
            <v>-0.530933862972404</v>
          </cell>
          <cell r="L68">
            <v>29.9890932976721</v>
          </cell>
        </row>
        <row r="68">
          <cell r="O68">
            <v>123714.84375</v>
          </cell>
          <cell r="P68">
            <v>88629.734375</v>
          </cell>
          <cell r="Q68">
            <v>23626.564453125</v>
          </cell>
          <cell r="R68">
            <v>29519.66796875</v>
          </cell>
        </row>
        <row r="68">
          <cell r="T68">
            <v>-190031.473509644</v>
          </cell>
        </row>
        <row r="68">
          <cell r="W68">
            <v>45.1696395874023</v>
          </cell>
        </row>
        <row r="68">
          <cell r="Y68">
            <v>44.3838580805547</v>
          </cell>
        </row>
        <row r="68">
          <cell r="AB68">
            <v>42.7280387878418</v>
          </cell>
        </row>
        <row r="68">
          <cell r="AD68">
            <v>41.984730616741</v>
          </cell>
        </row>
        <row r="69">
          <cell r="D69">
            <v>38261</v>
          </cell>
          <cell r="E69">
            <v>47.6124687194824</v>
          </cell>
          <cell r="F69">
            <v>-0.825517705058935</v>
          </cell>
          <cell r="G69">
            <v>46.7869510144235</v>
          </cell>
        </row>
        <row r="69">
          <cell r="J69">
            <v>30.5208129882813</v>
          </cell>
          <cell r="K69">
            <v>-0.529177722625171</v>
          </cell>
          <cell r="L69">
            <v>29.9916352656561</v>
          </cell>
        </row>
        <row r="69">
          <cell r="O69">
            <v>123282.453125</v>
          </cell>
          <cell r="P69">
            <v>91617.21875</v>
          </cell>
          <cell r="Q69">
            <v>29421.990234375</v>
          </cell>
          <cell r="R69">
            <v>29421.990234375</v>
          </cell>
        </row>
        <row r="69">
          <cell r="T69">
            <v>-195093.661960027</v>
          </cell>
        </row>
        <row r="69">
          <cell r="W69">
            <v>45.1708030700684</v>
          </cell>
        </row>
        <row r="69">
          <cell r="Y69">
            <v>44.387620193171</v>
          </cell>
        </row>
        <row r="69">
          <cell r="AB69">
            <v>42.7291374206543</v>
          </cell>
        </row>
        <row r="69">
          <cell r="AD69">
            <v>41.9882893719185</v>
          </cell>
        </row>
        <row r="70">
          <cell r="D70">
            <v>38292</v>
          </cell>
          <cell r="E70">
            <v>50.342830657959</v>
          </cell>
          <cell r="F70">
            <v>-0.80401571892282</v>
          </cell>
          <cell r="G70">
            <v>49.5388149390362</v>
          </cell>
        </row>
        <row r="70">
          <cell r="J70">
            <v>32.2710456848145</v>
          </cell>
          <cell r="K70">
            <v>-0.515395082868192</v>
          </cell>
          <cell r="L70">
            <v>31.7556506019463</v>
          </cell>
        </row>
        <row r="70">
          <cell r="O70">
            <v>122955.140625</v>
          </cell>
          <cell r="P70">
            <v>88046.953125</v>
          </cell>
          <cell r="Q70">
            <v>23470.375</v>
          </cell>
          <cell r="R70">
            <v>29325.380859375</v>
          </cell>
        </row>
        <row r="70">
          <cell r="T70">
            <v>-183299.426093142</v>
          </cell>
        </row>
        <row r="70">
          <cell r="W70">
            <v>47.7611465454102</v>
          </cell>
        </row>
        <row r="70">
          <cell r="Y70">
            <v>46.9983628908805</v>
          </cell>
        </row>
        <row r="70">
          <cell r="AB70">
            <v>45.1794624328613</v>
          </cell>
        </row>
        <row r="70">
          <cell r="AD70">
            <v>44.4579108427248</v>
          </cell>
        </row>
        <row r="71">
          <cell r="D71">
            <v>38322</v>
          </cell>
          <cell r="E71">
            <v>52.5342826843262</v>
          </cell>
          <cell r="F71">
            <v>-0.798895970568601</v>
          </cell>
          <cell r="G71">
            <v>51.7353867137576</v>
          </cell>
        </row>
        <row r="71">
          <cell r="J71">
            <v>33.6758232116699</v>
          </cell>
          <cell r="K71">
            <v>-0.512113779774047</v>
          </cell>
          <cell r="L71">
            <v>33.1637094318959</v>
          </cell>
        </row>
        <row r="71">
          <cell r="O71">
            <v>134124.421875</v>
          </cell>
          <cell r="P71">
            <v>90576.015625</v>
          </cell>
          <cell r="Q71">
            <v>17523.986328125</v>
          </cell>
          <cell r="R71">
            <v>29206.66015625</v>
          </cell>
        </row>
        <row r="71">
          <cell r="T71">
            <v>-187758.474318439</v>
          </cell>
        </row>
        <row r="71">
          <cell r="W71">
            <v>49.840217590332</v>
          </cell>
        </row>
        <row r="71">
          <cell r="Y71">
            <v>49.0822899592059</v>
          </cell>
        </row>
        <row r="71">
          <cell r="AB71">
            <v>47.1461486816406</v>
          </cell>
        </row>
        <row r="71">
          <cell r="AD71">
            <v>46.4291932046542</v>
          </cell>
        </row>
        <row r="72">
          <cell r="D72">
            <v>38353</v>
          </cell>
          <cell r="E72">
            <v>51.9497947692871</v>
          </cell>
          <cell r="F72">
            <v>-0.704839547722187</v>
          </cell>
          <cell r="G72">
            <v>51.2449552215649</v>
          </cell>
        </row>
        <row r="72">
          <cell r="J72">
            <v>34.1774940490723</v>
          </cell>
          <cell r="K72">
            <v>-0.463707719095339</v>
          </cell>
          <cell r="L72">
            <v>33.7137863299769</v>
          </cell>
        </row>
        <row r="72">
          <cell r="O72">
            <v>123724.1875</v>
          </cell>
          <cell r="P72">
            <v>91489.796875</v>
          </cell>
          <cell r="Q72">
            <v>23602.40234375</v>
          </cell>
          <cell r="R72">
            <v>35402.7890625</v>
          </cell>
        </row>
        <row r="72">
          <cell r="T72">
            <v>-167279.191337052</v>
          </cell>
        </row>
        <row r="72">
          <cell r="W72">
            <v>47.8484916687012</v>
          </cell>
        </row>
        <row r="72">
          <cell r="Y72">
            <v>47.1993008619677</v>
          </cell>
        </row>
        <row r="72">
          <cell r="AB72">
            <v>46.4813919067383</v>
          </cell>
        </row>
        <row r="72">
          <cell r="AD72">
            <v>45.8507494087686</v>
          </cell>
        </row>
        <row r="73">
          <cell r="D73">
            <v>38384</v>
          </cell>
        </row>
        <row r="73">
          <cell r="G73">
            <v>49.985138887285</v>
          </cell>
        </row>
        <row r="73">
          <cell r="L73">
            <v>32.8849597942665</v>
          </cell>
        </row>
        <row r="73">
          <cell r="O73">
            <v>117333.828125</v>
          </cell>
          <cell r="P73">
            <v>82303.28125</v>
          </cell>
          <cell r="Q73">
            <v>23505.82421875</v>
          </cell>
          <cell r="R73">
            <v>23505.82421875</v>
          </cell>
        </row>
        <row r="73">
          <cell r="T73">
            <v>-154149.527695093</v>
          </cell>
        </row>
        <row r="73">
          <cell r="Y73">
            <v>46.0389437119731</v>
          </cell>
        </row>
        <row r="73">
          <cell r="AD73">
            <v>44.7235453202024</v>
          </cell>
        </row>
        <row r="74">
          <cell r="D74">
            <v>38412</v>
          </cell>
        </row>
        <row r="74">
          <cell r="G74">
            <v>48.0044374233539</v>
          </cell>
        </row>
        <row r="74">
          <cell r="L74">
            <v>31.5818667258907</v>
          </cell>
        </row>
        <row r="74">
          <cell r="O74">
            <v>134309.09375</v>
          </cell>
          <cell r="P74">
            <v>90700.765625</v>
          </cell>
          <cell r="Q74">
            <v>23399.212890625</v>
          </cell>
          <cell r="R74">
            <v>23399.212890625</v>
          </cell>
        </row>
        <row r="74">
          <cell r="T74">
            <v>-170739.935684193</v>
          </cell>
        </row>
        <row r="74">
          <cell r="Y74">
            <v>44.214613416247</v>
          </cell>
        </row>
        <row r="74">
          <cell r="AD74">
            <v>42.9513387472114</v>
          </cell>
        </row>
        <row r="75">
          <cell r="D75">
            <v>38443</v>
          </cell>
        </row>
        <row r="75">
          <cell r="G75">
            <v>45.1071449062582</v>
          </cell>
        </row>
        <row r="75">
          <cell r="L75">
            <v>29.6757532278014</v>
          </cell>
        </row>
        <row r="75">
          <cell r="O75">
            <v>122091.71875</v>
          </cell>
          <cell r="P75">
            <v>87024.125</v>
          </cell>
          <cell r="Q75">
            <v>29125.73828125</v>
          </cell>
          <cell r="R75">
            <v>23300.58984375</v>
          </cell>
        </row>
        <row r="75">
          <cell r="T75">
            <v>-164813.070499479</v>
          </cell>
        </row>
        <row r="75">
          <cell r="Y75">
            <v>41.546054518922</v>
          </cell>
        </row>
        <row r="75">
          <cell r="AD75">
            <v>40.3590243898099</v>
          </cell>
        </row>
        <row r="76">
          <cell r="D76">
            <v>38473</v>
          </cell>
        </row>
        <row r="76">
          <cell r="G76">
            <v>45.1732392006542</v>
          </cell>
        </row>
        <row r="76">
          <cell r="L76">
            <v>29.7192363162199</v>
          </cell>
        </row>
        <row r="76">
          <cell r="O76">
            <v>121540.3359375</v>
          </cell>
          <cell r="P76">
            <v>89874.578125</v>
          </cell>
          <cell r="Q76">
            <v>23194.32421875</v>
          </cell>
          <cell r="R76">
            <v>34780.5390625</v>
          </cell>
        </row>
        <row r="76">
          <cell r="T76">
            <v>-169012.353062895</v>
          </cell>
        </row>
        <row r="76">
          <cell r="Y76">
            <v>41.6069308427078</v>
          </cell>
        </row>
        <row r="76">
          <cell r="AD76">
            <v>40.4181613900591</v>
          </cell>
        </row>
        <row r="77">
          <cell r="D77">
            <v>38504</v>
          </cell>
        </row>
        <row r="77">
          <cell r="G77">
            <v>45.7060656133996</v>
          </cell>
        </row>
        <row r="77">
          <cell r="L77">
            <v>30.0697800088155</v>
          </cell>
        </row>
        <row r="77">
          <cell r="O77">
            <v>126740.4296875</v>
          </cell>
          <cell r="P77">
            <v>86578.40625</v>
          </cell>
          <cell r="Q77">
            <v>23086.10546875</v>
          </cell>
          <cell r="R77">
            <v>23086.10546875</v>
          </cell>
        </row>
        <row r="77">
          <cell r="T77">
            <v>-163117.564178036</v>
          </cell>
        </row>
        <row r="77">
          <cell r="Y77">
            <v>42.0976920123417</v>
          </cell>
        </row>
        <row r="77">
          <cell r="AD77">
            <v>40.8949008119891</v>
          </cell>
        </row>
        <row r="78">
          <cell r="D78">
            <v>38534</v>
          </cell>
        </row>
        <row r="78">
          <cell r="G78">
            <v>46.3402305201956</v>
          </cell>
        </row>
        <row r="78">
          <cell r="L78">
            <v>30.4869937632866</v>
          </cell>
        </row>
        <row r="78">
          <cell r="O78">
            <v>114630.296875</v>
          </cell>
          <cell r="P78">
            <v>89020.75</v>
          </cell>
          <cell r="Q78">
            <v>28714.126953125</v>
          </cell>
          <cell r="R78">
            <v>34445.640625</v>
          </cell>
        </row>
        <row r="78">
          <cell r="T78">
            <v>-166131.271102195</v>
          </cell>
        </row>
        <row r="78">
          <cell r="Y78">
            <v>42.6817912686012</v>
          </cell>
        </row>
        <row r="78">
          <cell r="AD78">
            <v>41.4623115180698</v>
          </cell>
        </row>
        <row r="79">
          <cell r="D79">
            <v>38565</v>
          </cell>
        </row>
        <row r="79">
          <cell r="G79">
            <v>46.8774641521316</v>
          </cell>
        </row>
        <row r="79">
          <cell r="L79">
            <v>30.8404369421918</v>
          </cell>
        </row>
        <row r="79">
          <cell r="O79">
            <v>131235.359375</v>
          </cell>
          <cell r="P79">
            <v>88603.0390625</v>
          </cell>
          <cell r="Q79">
            <v>22866.3984375</v>
          </cell>
          <cell r="R79">
            <v>22866.3984375</v>
          </cell>
        </row>
        <row r="79">
          <cell r="T79">
            <v>-166086.395346655</v>
          </cell>
        </row>
        <row r="79">
          <cell r="Y79">
            <v>43.1766117190686</v>
          </cell>
        </row>
        <row r="79">
          <cell r="AD79">
            <v>41.9429942413809</v>
          </cell>
        </row>
        <row r="80">
          <cell r="D80">
            <v>38596</v>
          </cell>
        </row>
        <row r="80">
          <cell r="G80">
            <v>46.791928963563</v>
          </cell>
        </row>
        <row r="80">
          <cell r="L80">
            <v>30.7841637918177</v>
          </cell>
        </row>
        <row r="80">
          <cell r="O80">
            <v>119243.8828125</v>
          </cell>
          <cell r="P80">
            <v>85321.125</v>
          </cell>
          <cell r="Q80">
            <v>22754.16015625</v>
          </cell>
          <cell r="R80">
            <v>28432.44140625</v>
          </cell>
        </row>
        <row r="80">
          <cell r="T80">
            <v>-159231.71917186</v>
          </cell>
        </row>
        <row r="80">
          <cell r="Y80">
            <v>43.0978293085448</v>
          </cell>
        </row>
        <row r="80">
          <cell r="AD80">
            <v>41.8664627568721</v>
          </cell>
        </row>
        <row r="81">
          <cell r="D81">
            <v>38626</v>
          </cell>
        </row>
        <row r="81">
          <cell r="G81">
            <v>46.7929027991804</v>
          </cell>
        </row>
        <row r="81">
          <cell r="L81">
            <v>30.784804473145</v>
          </cell>
        </row>
        <row r="81">
          <cell r="O81">
            <v>118364.3984375</v>
          </cell>
          <cell r="P81">
            <v>87901.75</v>
          </cell>
          <cell r="Q81">
            <v>28236.900390625</v>
          </cell>
          <cell r="R81">
            <v>28236.900390625</v>
          </cell>
        </row>
        <row r="81">
          <cell r="T81">
            <v>-163115.263119805</v>
          </cell>
        </row>
        <row r="81">
          <cell r="Y81">
            <v>43.098726262403</v>
          </cell>
        </row>
        <row r="81">
          <cell r="AD81">
            <v>41.8673340834772</v>
          </cell>
        </row>
        <row r="82">
          <cell r="D82">
            <v>38657</v>
          </cell>
        </row>
        <row r="82">
          <cell r="G82">
            <v>49.543668633242</v>
          </cell>
        </row>
        <row r="82">
          <cell r="L82">
            <v>32.5945188376592</v>
          </cell>
        </row>
        <row r="82">
          <cell r="O82">
            <v>118056.7265625</v>
          </cell>
          <cell r="P82">
            <v>84535.921875</v>
          </cell>
          <cell r="Q82">
            <v>22534.61328125</v>
          </cell>
          <cell r="R82">
            <v>28156.361328125</v>
          </cell>
        </row>
        <row r="82">
          <cell r="T82">
            <v>-153053.050860664</v>
          </cell>
        </row>
        <row r="82">
          <cell r="Y82">
            <v>45.6323263727229</v>
          </cell>
        </row>
        <row r="82">
          <cell r="AD82">
            <v>44.3285456192166</v>
          </cell>
        </row>
        <row r="83">
          <cell r="D83">
            <v>38687</v>
          </cell>
        </row>
        <row r="83">
          <cell r="G83">
            <v>51.7004653712795</v>
          </cell>
        </row>
        <row r="83">
          <cell r="L83">
            <v>34.0134640600523</v>
          </cell>
        </row>
        <row r="83">
          <cell r="O83">
            <v>117514.3515625</v>
          </cell>
          <cell r="P83">
            <v>86915.21875</v>
          </cell>
          <cell r="Q83">
            <v>28026.080078125</v>
          </cell>
          <cell r="R83">
            <v>28016.78515625</v>
          </cell>
        </row>
        <row r="83">
          <cell r="T83">
            <v>-156082.174430676</v>
          </cell>
        </row>
        <row r="83">
          <cell r="Y83">
            <v>47.6188496840733</v>
          </cell>
        </row>
        <row r="83">
          <cell r="AD83">
            <v>46.2583111216712</v>
          </cell>
        </row>
        <row r="84">
          <cell r="D84">
            <v>38718</v>
          </cell>
        </row>
        <row r="84">
          <cell r="G84">
            <v>47.7777823949353</v>
          </cell>
        </row>
        <row r="84">
          <cell r="L84">
            <v>28.7884667964847</v>
          </cell>
        </row>
        <row r="84">
          <cell r="O84">
            <v>137875.25</v>
          </cell>
          <cell r="P84">
            <v>101924.5546875</v>
          </cell>
          <cell r="Q84">
            <v>26295.794921875</v>
          </cell>
          <cell r="R84">
            <v>39435.23046875</v>
          </cell>
        </row>
        <row r="84">
          <cell r="T84">
            <v>-145870.8652562</v>
          </cell>
        </row>
        <row r="84">
          <cell r="Y84">
            <v>44.2899489176688</v>
          </cell>
        </row>
        <row r="84">
          <cell r="AD84">
            <v>42.9058880139917</v>
          </cell>
        </row>
        <row r="85">
          <cell r="D85">
            <v>38749</v>
          </cell>
        </row>
        <row r="85">
          <cell r="G85">
            <v>46.6597721809747</v>
          </cell>
        </row>
        <row r="85">
          <cell r="L85">
            <v>28.1148105841331</v>
          </cell>
        </row>
        <row r="85">
          <cell r="O85">
            <v>130676.546875</v>
          </cell>
          <cell r="P85">
            <v>91633.8125</v>
          </cell>
          <cell r="Q85">
            <v>26172.2109375</v>
          </cell>
          <cell r="R85">
            <v>26172.2109375</v>
          </cell>
        </row>
        <row r="85">
          <cell r="T85">
            <v>-135552.997734149</v>
          </cell>
        </row>
        <row r="85">
          <cell r="Y85">
            <v>43.2535547448201</v>
          </cell>
        </row>
        <row r="85">
          <cell r="AD85">
            <v>41.9018811590445</v>
          </cell>
        </row>
        <row r="86">
          <cell r="D86">
            <v>38777</v>
          </cell>
        </row>
        <row r="86">
          <cell r="G86">
            <v>44.8838826999699</v>
          </cell>
        </row>
        <row r="86">
          <cell r="L86">
            <v>27.0447497149297</v>
          </cell>
        </row>
        <row r="86">
          <cell r="O86">
            <v>149482.390625</v>
          </cell>
          <cell r="P86">
            <v>100915.7421875</v>
          </cell>
          <cell r="Q86">
            <v>26035.751953125</v>
          </cell>
          <cell r="R86">
            <v>26035.751953125</v>
          </cell>
        </row>
        <row r="86">
          <cell r="T86">
            <v>-150931.293916723</v>
          </cell>
        </row>
        <row r="86">
          <cell r="Y86">
            <v>41.607307253738</v>
          </cell>
        </row>
        <row r="86">
          <cell r="AD86">
            <v>40.3070789020587</v>
          </cell>
        </row>
        <row r="87">
          <cell r="D87">
            <v>38808</v>
          </cell>
        </row>
        <row r="87">
          <cell r="G87">
            <v>42.3363357337236</v>
          </cell>
        </row>
        <row r="87">
          <cell r="L87">
            <v>25.5097272091961</v>
          </cell>
        </row>
        <row r="87">
          <cell r="O87">
            <v>129322.890625</v>
          </cell>
          <cell r="P87">
            <v>96759.1953125</v>
          </cell>
          <cell r="Q87">
            <v>32383.853515625</v>
          </cell>
          <cell r="R87">
            <v>32383.853515625</v>
          </cell>
        </row>
        <row r="87">
          <cell r="T87">
            <v>-146144.281081629</v>
          </cell>
        </row>
        <row r="87">
          <cell r="Y87">
            <v>39.245734167994</v>
          </cell>
        </row>
        <row r="87">
          <cell r="AD87">
            <v>38.0193049752442</v>
          </cell>
        </row>
        <row r="88">
          <cell r="D88">
            <v>38838</v>
          </cell>
        </row>
        <row r="88">
          <cell r="G88">
            <v>42.4143455339245</v>
          </cell>
        </row>
        <row r="88">
          <cell r="L88">
            <v>25.5567319555513</v>
          </cell>
        </row>
        <row r="88">
          <cell r="O88">
            <v>141518.765625</v>
          </cell>
          <cell r="P88">
            <v>99860.3984375</v>
          </cell>
          <cell r="Q88">
            <v>25771.9765625</v>
          </cell>
          <cell r="R88">
            <v>32204.6484375</v>
          </cell>
        </row>
        <row r="88">
          <cell r="T88">
            <v>-151288.0901712</v>
          </cell>
        </row>
        <row r="88">
          <cell r="Y88">
            <v>39.3180491623866</v>
          </cell>
        </row>
        <row r="88">
          <cell r="AD88">
            <v>38.089360126062</v>
          </cell>
        </row>
        <row r="89">
          <cell r="D89">
            <v>38869</v>
          </cell>
        </row>
        <row r="89">
          <cell r="G89">
            <v>42.9184842594797</v>
          </cell>
        </row>
        <row r="89">
          <cell r="L89">
            <v>25.8605003649241</v>
          </cell>
        </row>
        <row r="89">
          <cell r="O89">
            <v>140784.6875</v>
          </cell>
          <cell r="P89">
            <v>96144.484375</v>
          </cell>
          <cell r="Q89">
            <v>25637.14453125</v>
          </cell>
          <cell r="R89">
            <v>25637.14453125</v>
          </cell>
        </row>
        <row r="89">
          <cell r="T89">
            <v>-146335.0334641</v>
          </cell>
        </row>
        <row r="89">
          <cell r="Y89">
            <v>39.7853851768062</v>
          </cell>
        </row>
        <row r="89">
          <cell r="AD89">
            <v>38.542091890031</v>
          </cell>
        </row>
        <row r="90">
          <cell r="D90">
            <v>38899</v>
          </cell>
        </row>
        <row r="90">
          <cell r="G90">
            <v>43.513187406147</v>
          </cell>
        </row>
        <row r="90">
          <cell r="L90">
            <v>26.218838298026</v>
          </cell>
        </row>
        <row r="90">
          <cell r="O90">
            <v>127691.5</v>
          </cell>
          <cell r="P90">
            <v>98968.8359375</v>
          </cell>
          <cell r="Q90">
            <v>31914.208984375</v>
          </cell>
          <cell r="R90">
            <v>38298.88671875</v>
          </cell>
        </row>
        <row r="90">
          <cell r="T90">
            <v>-150182.581887046</v>
          </cell>
        </row>
        <row r="90">
          <cell r="Y90">
            <v>40.3366743046554</v>
          </cell>
        </row>
        <row r="90">
          <cell r="AD90">
            <v>39.0761532326349</v>
          </cell>
        </row>
        <row r="91">
          <cell r="D91">
            <v>38930</v>
          </cell>
        </row>
        <row r="91">
          <cell r="G91">
            <v>44.0190782636579</v>
          </cell>
        </row>
        <row r="91">
          <cell r="L91">
            <v>26.523662453189</v>
          </cell>
        </row>
        <row r="91">
          <cell r="O91">
            <v>146062.21875</v>
          </cell>
          <cell r="P91">
            <v>98444.5625</v>
          </cell>
          <cell r="Q91">
            <v>25403.345703125</v>
          </cell>
          <cell r="R91">
            <v>25403.345703125</v>
          </cell>
        </row>
        <row r="91">
          <cell r="T91">
            <v>-150944.376954932</v>
          </cell>
        </row>
        <row r="91">
          <cell r="Y91">
            <v>40.8056345433677</v>
          </cell>
        </row>
        <row r="91">
          <cell r="AD91">
            <v>39.5304584638875</v>
          </cell>
        </row>
        <row r="92">
          <cell r="D92">
            <v>38961</v>
          </cell>
        </row>
        <row r="92">
          <cell r="G92">
            <v>43.9584129388511</v>
          </cell>
        </row>
        <row r="92">
          <cell r="L92">
            <v>26.4871086074189</v>
          </cell>
        </row>
        <row r="92">
          <cell r="O92">
            <v>126352.6796875</v>
          </cell>
          <cell r="P92">
            <v>94772.2109375</v>
          </cell>
          <cell r="Q92">
            <v>31589.771484375</v>
          </cell>
          <cell r="R92">
            <v>31588.82421875</v>
          </cell>
        </row>
        <row r="92">
          <cell r="T92">
            <v>-145302.187417414</v>
          </cell>
        </row>
        <row r="92">
          <cell r="Y92">
            <v>40.7493978575676</v>
          </cell>
        </row>
        <row r="92">
          <cell r="AD92">
            <v>39.4759791745186</v>
          </cell>
        </row>
        <row r="93">
          <cell r="D93">
            <v>38991</v>
          </cell>
        </row>
        <row r="93">
          <cell r="G93">
            <v>43.975066813609</v>
          </cell>
        </row>
        <row r="93">
          <cell r="L93">
            <v>26.4971433871108</v>
          </cell>
        </row>
        <row r="93">
          <cell r="O93">
            <v>138322.71875</v>
          </cell>
          <cell r="P93">
            <v>97852.15625</v>
          </cell>
          <cell r="Q93">
            <v>25150.078125</v>
          </cell>
          <cell r="R93">
            <v>31437.49609375</v>
          </cell>
        </row>
        <row r="93">
          <cell r="T93">
            <v>-150690.883585198</v>
          </cell>
        </row>
        <row r="93">
          <cell r="Y93">
            <v>40.7648359801705</v>
          </cell>
        </row>
        <row r="93">
          <cell r="AD93">
            <v>39.4909348557902</v>
          </cell>
        </row>
        <row r="94">
          <cell r="D94">
            <v>39022</v>
          </cell>
        </row>
        <row r="94">
          <cell r="G94">
            <v>46.4245480216726</v>
          </cell>
        </row>
        <row r="94">
          <cell r="L94">
            <v>27.9730764441132</v>
          </cell>
        </row>
        <row r="94">
          <cell r="O94">
            <v>131419.34375</v>
          </cell>
          <cell r="P94">
            <v>93875.9375</v>
          </cell>
          <cell r="Q94">
            <v>25032.8515625</v>
          </cell>
          <cell r="R94">
            <v>31290.9453125</v>
          </cell>
        </row>
        <row r="94">
          <cell r="T94">
            <v>-141986.411603754</v>
          </cell>
        </row>
        <row r="94">
          <cell r="Y94">
            <v>43.0355022217127</v>
          </cell>
        </row>
        <row r="94">
          <cell r="AD94">
            <v>41.6906427772842</v>
          </cell>
        </row>
        <row r="95">
          <cell r="D95">
            <v>39052</v>
          </cell>
        </row>
        <row r="95">
          <cell r="G95">
            <v>48.3859791903773</v>
          </cell>
        </row>
        <row r="95">
          <cell r="L95">
            <v>29.1549353174927</v>
          </cell>
        </row>
        <row r="95">
          <cell r="O95">
            <v>124562.4375</v>
          </cell>
          <cell r="P95">
            <v>96539.9921875</v>
          </cell>
          <cell r="Q95">
            <v>31141.181640625</v>
          </cell>
          <cell r="R95">
            <v>37369.3046875</v>
          </cell>
        </row>
        <row r="95">
          <cell r="T95">
            <v>-144846.936335519</v>
          </cell>
        </row>
        <row r="95">
          <cell r="Y95">
            <v>44.8537466422964</v>
          </cell>
        </row>
        <row r="95">
          <cell r="AD95">
            <v>43.4520670597246</v>
          </cell>
        </row>
        <row r="96">
          <cell r="D96">
            <v>39083</v>
          </cell>
        </row>
        <row r="96">
          <cell r="G96">
            <v>49.2246159726762</v>
          </cell>
        </row>
        <row r="96">
          <cell r="L96">
            <v>29.660255279017</v>
          </cell>
        </row>
        <row r="96">
          <cell r="O96">
            <v>136490.703125</v>
          </cell>
          <cell r="P96">
            <v>96165.8046875</v>
          </cell>
          <cell r="Q96">
            <v>24816.716796875</v>
          </cell>
          <cell r="R96">
            <v>31020.49609375</v>
          </cell>
        </row>
        <row r="96">
          <cell r="T96">
            <v>-128890.626827755</v>
          </cell>
        </row>
        <row r="96">
          <cell r="Y96">
            <v>45.6311619677184</v>
          </cell>
        </row>
        <row r="96">
          <cell r="AD96">
            <v>44.2051881562272</v>
          </cell>
        </row>
        <row r="97">
          <cell r="D97">
            <v>39114</v>
          </cell>
        </row>
        <row r="97">
          <cell r="G97">
            <v>48.0887670224774</v>
          </cell>
        </row>
        <row r="97">
          <cell r="L97">
            <v>28.9758503495808</v>
          </cell>
        </row>
        <row r="97">
          <cell r="O97">
            <v>123540</v>
          </cell>
          <cell r="P97">
            <v>86478</v>
          </cell>
          <cell r="Q97">
            <v>24708</v>
          </cell>
          <cell r="R97">
            <v>24708</v>
          </cell>
        </row>
        <row r="97">
          <cell r="T97">
            <v>-119226.18743938</v>
          </cell>
        </row>
        <row r="97">
          <cell r="Y97">
            <v>44.5782313070474</v>
          </cell>
        </row>
        <row r="97">
          <cell r="AD97">
            <v>43.1851615787022</v>
          </cell>
        </row>
        <row r="98">
          <cell r="D98">
            <v>39142</v>
          </cell>
        </row>
        <row r="98">
          <cell r="G98">
            <v>46.2947561374688</v>
          </cell>
        </row>
        <row r="98">
          <cell r="L98">
            <v>27.8948704420438</v>
          </cell>
        </row>
        <row r="98">
          <cell r="O98">
            <v>135217.96875</v>
          </cell>
          <cell r="P98">
            <v>95267.203125</v>
          </cell>
          <cell r="Q98">
            <v>30731.357421875</v>
          </cell>
          <cell r="R98">
            <v>24585.0859375</v>
          </cell>
        </row>
        <row r="98">
          <cell r="T98">
            <v>-132000.883243044</v>
          </cell>
        </row>
        <row r="98">
          <cell r="Y98">
            <v>42.915185295452</v>
          </cell>
        </row>
        <row r="98">
          <cell r="AD98">
            <v>41.5740857549691</v>
          </cell>
        </row>
        <row r="99">
          <cell r="D99">
            <v>39173</v>
          </cell>
        </row>
        <row r="99">
          <cell r="G99">
            <v>43.6618827776803</v>
          </cell>
        </row>
        <row r="99">
          <cell r="L99">
            <v>26.308434582148</v>
          </cell>
        </row>
        <row r="99">
          <cell r="O99">
            <v>128455.578125</v>
          </cell>
          <cell r="P99">
            <v>91371.6796875</v>
          </cell>
          <cell r="Q99">
            <v>24467.728515625</v>
          </cell>
          <cell r="R99">
            <v>30584.662109375</v>
          </cell>
        </row>
        <row r="99">
          <cell r="T99">
            <v>-127727.333255273</v>
          </cell>
        </row>
        <row r="99">
          <cell r="Y99">
            <v>40.4745147417662</v>
          </cell>
        </row>
        <row r="99">
          <cell r="AD99">
            <v>39.209686156086</v>
          </cell>
        </row>
        <row r="100">
          <cell r="D100">
            <v>39203</v>
          </cell>
        </row>
        <row r="100">
          <cell r="G100">
            <v>43.7259814914705</v>
          </cell>
        </row>
        <row r="100">
          <cell r="L100">
            <v>26.3470572138641</v>
          </cell>
        </row>
        <row r="100">
          <cell r="O100">
            <v>133899.78125</v>
          </cell>
          <cell r="P100">
            <v>94338.4765625</v>
          </cell>
          <cell r="Q100">
            <v>24345.4140625</v>
          </cell>
          <cell r="R100">
            <v>30431.767578125</v>
          </cell>
        </row>
        <row r="100">
          <cell r="T100">
            <v>-131592.279769572</v>
          </cell>
        </row>
        <row r="100">
          <cell r="Y100">
            <v>40.5339341751755</v>
          </cell>
        </row>
        <row r="100">
          <cell r="AD100">
            <v>39.2672487322012</v>
          </cell>
        </row>
        <row r="101">
          <cell r="D101">
            <v>39234</v>
          </cell>
        </row>
        <row r="101">
          <cell r="G101">
            <v>44.215825909094</v>
          </cell>
        </row>
        <row r="101">
          <cell r="L101">
            <v>26.6422125987589</v>
          </cell>
        </row>
        <row r="101">
          <cell r="O101">
            <v>127200.609375</v>
          </cell>
          <cell r="P101">
            <v>90857.578125</v>
          </cell>
          <cell r="Q101">
            <v>30285.859375</v>
          </cell>
          <cell r="R101">
            <v>24228.6875</v>
          </cell>
        </row>
        <row r="101">
          <cell r="T101">
            <v>-126671.307877417</v>
          </cell>
        </row>
        <row r="101">
          <cell r="Y101">
            <v>40.9880193827059</v>
          </cell>
        </row>
        <row r="101">
          <cell r="AD101">
            <v>39.7071437769964</v>
          </cell>
        </row>
        <row r="102">
          <cell r="D102">
            <v>39264</v>
          </cell>
        </row>
        <row r="102">
          <cell r="G102">
            <v>44.795930479133</v>
          </cell>
        </row>
        <row r="102">
          <cell r="L102">
            <v>26.9917541705089</v>
          </cell>
        </row>
        <row r="102">
          <cell r="O102">
            <v>126547.8515625</v>
          </cell>
          <cell r="P102">
            <v>93404.3671875</v>
          </cell>
          <cell r="Q102">
            <v>24104.353515625</v>
          </cell>
          <cell r="R102">
            <v>36156.53125</v>
          </cell>
        </row>
        <row r="102">
          <cell r="T102">
            <v>-129775.641358557</v>
          </cell>
        </row>
        <row r="102">
          <cell r="Y102">
            <v>41.5257756469368</v>
          </cell>
        </row>
        <row r="102">
          <cell r="AD102">
            <v>40.22809515797</v>
          </cell>
        </row>
        <row r="103">
          <cell r="D103">
            <v>39295</v>
          </cell>
        </row>
        <row r="103">
          <cell r="G103">
            <v>45.2855983206987</v>
          </cell>
        </row>
        <row r="103">
          <cell r="L103">
            <v>27.286803159633</v>
          </cell>
        </row>
        <row r="103">
          <cell r="O103">
            <v>137909.90625</v>
          </cell>
          <cell r="P103">
            <v>92939.28125</v>
          </cell>
          <cell r="Q103">
            <v>23984.330078125</v>
          </cell>
          <cell r="R103">
            <v>23984.330078125</v>
          </cell>
        </row>
        <row r="103">
          <cell r="T103">
            <v>-129737.85353731</v>
          </cell>
        </row>
        <row r="103">
          <cell r="Y103">
            <v>41.9796971686662</v>
          </cell>
        </row>
        <row r="103">
          <cell r="AD103">
            <v>40.6678316321454</v>
          </cell>
        </row>
        <row r="104">
          <cell r="D104">
            <v>39326</v>
          </cell>
        </row>
        <row r="104">
          <cell r="G104">
            <v>45.2074192815281</v>
          </cell>
        </row>
        <row r="104">
          <cell r="L104">
            <v>27.2396964384642</v>
          </cell>
        </row>
        <row r="104">
          <cell r="O104">
            <v>113340.1015625</v>
          </cell>
          <cell r="P104">
            <v>89479.03125</v>
          </cell>
          <cell r="Q104">
            <v>29826.34375</v>
          </cell>
          <cell r="R104">
            <v>35791.61328125</v>
          </cell>
        </row>
        <row r="104">
          <cell r="T104">
            <v>-124053.841729381</v>
          </cell>
        </row>
        <row r="104">
          <cell r="Y104">
            <v>41.907225289945</v>
          </cell>
        </row>
        <row r="104">
          <cell r="AD104">
            <v>40.5976244996342</v>
          </cell>
        </row>
        <row r="105">
          <cell r="D105">
            <v>39356</v>
          </cell>
        </row>
        <row r="105">
          <cell r="G105">
            <v>45.2066135930023</v>
          </cell>
        </row>
        <row r="105">
          <cell r="L105">
            <v>27.2392109714498</v>
          </cell>
        </row>
        <row r="105">
          <cell r="O105">
            <v>136504.796875</v>
          </cell>
          <cell r="P105">
            <v>92363.296875</v>
          </cell>
          <cell r="Q105">
            <v>23739.96484375</v>
          </cell>
          <cell r="R105">
            <v>23739.96484375</v>
          </cell>
        </row>
        <row r="105">
          <cell r="T105">
            <v>-128770.076015958</v>
          </cell>
        </row>
        <row r="105">
          <cell r="Y105">
            <v>41.9064784176151</v>
          </cell>
        </row>
        <row r="105">
          <cell r="AD105">
            <v>40.5969009670647</v>
          </cell>
        </row>
        <row r="106">
          <cell r="D106">
            <v>39387</v>
          </cell>
        </row>
        <row r="106">
          <cell r="G106">
            <v>47.6443746736202</v>
          </cell>
        </row>
        <row r="106">
          <cell r="L106">
            <v>28.7080820744873</v>
          </cell>
        </row>
        <row r="106">
          <cell r="O106">
            <v>124010.0390625</v>
          </cell>
          <cell r="P106">
            <v>88578.6015625</v>
          </cell>
          <cell r="Q106">
            <v>23620.9609375</v>
          </cell>
          <cell r="R106">
            <v>29526.201171875</v>
          </cell>
        </row>
        <row r="106">
          <cell r="T106">
            <v>-119963.057374172</v>
          </cell>
        </row>
        <row r="106">
          <cell r="Y106">
            <v>44.1662801145958</v>
          </cell>
        </row>
        <row r="106">
          <cell r="AD106">
            <v>42.7860838610147</v>
          </cell>
        </row>
        <row r="107">
          <cell r="D107">
            <v>39417</v>
          </cell>
        </row>
        <row r="107">
          <cell r="G107">
            <v>49.6045875683661</v>
          </cell>
        </row>
        <row r="107">
          <cell r="L107">
            <v>29.8892068778104</v>
          </cell>
        </row>
        <row r="107">
          <cell r="O107">
            <v>117493.9765625</v>
          </cell>
          <cell r="P107">
            <v>91057.8359375</v>
          </cell>
          <cell r="Q107">
            <v>29373.494140625</v>
          </cell>
          <cell r="R107">
            <v>35248.1953125</v>
          </cell>
        </row>
        <row r="107">
          <cell r="T107">
            <v>-122402.098540846</v>
          </cell>
        </row>
        <row r="107">
          <cell r="Y107">
            <v>45.9833951966314</v>
          </cell>
        </row>
        <row r="107">
          <cell r="AD107">
            <v>44.5464140967367</v>
          </cell>
        </row>
        <row r="108">
          <cell r="D108">
            <v>39448</v>
          </cell>
        </row>
        <row r="108">
          <cell r="G108">
            <v>50.4743391697719</v>
          </cell>
        </row>
        <row r="108">
          <cell r="L108">
            <v>30.4132750501522</v>
          </cell>
        </row>
        <row r="108">
          <cell r="O108">
            <v>132251.671875</v>
          </cell>
          <cell r="P108">
            <v>93177.3125</v>
          </cell>
          <cell r="Q108">
            <v>24045.7578125</v>
          </cell>
          <cell r="R108">
            <v>30057.197265625</v>
          </cell>
        </row>
        <row r="108">
          <cell r="T108">
            <v>-110377.717248622</v>
          </cell>
        </row>
        <row r="108">
          <cell r="Y108">
            <v>46.7896539233111</v>
          </cell>
        </row>
        <row r="108">
          <cell r="AD108">
            <v>45.3274772382076</v>
          </cell>
        </row>
        <row r="109">
          <cell r="D109">
            <v>39479</v>
          </cell>
        </row>
        <row r="109">
          <cell r="G109">
            <v>49.3376838007116</v>
          </cell>
        </row>
        <row r="109">
          <cell r="L109">
            <v>29.7283842136385</v>
          </cell>
        </row>
        <row r="109">
          <cell r="O109">
            <v>125617.875</v>
          </cell>
          <cell r="P109">
            <v>86736.15625</v>
          </cell>
          <cell r="Q109">
            <v>23927.21484375</v>
          </cell>
          <cell r="R109">
            <v>23927.21484375</v>
          </cell>
        </row>
        <row r="109">
          <cell r="T109">
            <v>-106202.967913815</v>
          </cell>
        </row>
        <row r="109">
          <cell r="Y109">
            <v>45.73597571329</v>
          </cell>
        </row>
        <row r="109">
          <cell r="AD109">
            <v>44.3067264722497</v>
          </cell>
        </row>
        <row r="110">
          <cell r="D110">
            <v>39508</v>
          </cell>
        </row>
        <row r="110">
          <cell r="G110">
            <v>47.5430981637325</v>
          </cell>
        </row>
        <row r="110">
          <cell r="L110">
            <v>28.6470579897345</v>
          </cell>
        </row>
        <row r="110">
          <cell r="O110">
            <v>124952.296875</v>
          </cell>
          <cell r="P110">
            <v>92226.6953125</v>
          </cell>
          <cell r="Q110">
            <v>29750.546875</v>
          </cell>
          <cell r="R110">
            <v>29750.546875</v>
          </cell>
        </row>
        <row r="110">
          <cell r="T110">
            <v>-113235.319659404</v>
          </cell>
        </row>
        <row r="110">
          <cell r="Y110">
            <v>44.0723969072839</v>
          </cell>
        </row>
        <row r="110">
          <cell r="AD110">
            <v>42.6951345039312</v>
          </cell>
        </row>
        <row r="111">
          <cell r="D111">
            <v>39539</v>
          </cell>
        </row>
        <row r="111">
          <cell r="G111">
            <v>44.8453483694022</v>
          </cell>
        </row>
        <row r="111">
          <cell r="L111">
            <v>27.0215308830697</v>
          </cell>
        </row>
        <row r="111">
          <cell r="O111">
            <v>130227.34375</v>
          </cell>
          <cell r="P111">
            <v>88421.40625</v>
          </cell>
          <cell r="Q111">
            <v>23677.69921875</v>
          </cell>
          <cell r="R111">
            <v>23677.69921875</v>
          </cell>
        </row>
        <row r="111">
          <cell r="T111">
            <v>-110233.481900767</v>
          </cell>
        </row>
        <row r="111">
          <cell r="Y111">
            <v>41.5715859739534</v>
          </cell>
        </row>
        <row r="111">
          <cell r="AD111">
            <v>40.2724739122673</v>
          </cell>
        </row>
        <row r="112">
          <cell r="D112">
            <v>39569</v>
          </cell>
        </row>
        <row r="112">
          <cell r="G112">
            <v>44.9085465630396</v>
          </cell>
        </row>
        <row r="112">
          <cell r="L112">
            <v>27.0596109070459</v>
          </cell>
        </row>
        <row r="112">
          <cell r="O112">
            <v>123637.75</v>
          </cell>
          <cell r="P112">
            <v>91256.4375</v>
          </cell>
          <cell r="Q112">
            <v>29437.560546875</v>
          </cell>
          <cell r="R112">
            <v>29437.560546875</v>
          </cell>
        </row>
        <row r="112">
          <cell r="T112">
            <v>-113104.832148775</v>
          </cell>
        </row>
        <row r="112">
          <cell r="Y112">
            <v>41.6301706262244</v>
          </cell>
        </row>
        <row r="112">
          <cell r="AD112">
            <v>40.3292277941549</v>
          </cell>
        </row>
        <row r="113">
          <cell r="D113">
            <v>39600</v>
          </cell>
        </row>
        <row r="113">
          <cell r="G113">
            <v>45.3973431069486</v>
          </cell>
        </row>
        <row r="113">
          <cell r="L113">
            <v>27.3541348964232</v>
          </cell>
        </row>
        <row r="113">
          <cell r="O113">
            <v>123001.125</v>
          </cell>
          <cell r="P113">
            <v>87857.953125</v>
          </cell>
          <cell r="Q113">
            <v>23428.78515625</v>
          </cell>
          <cell r="R113">
            <v>29285.982421875</v>
          </cell>
        </row>
        <row r="113">
          <cell r="T113">
            <v>-109047.033640709</v>
          </cell>
        </row>
        <row r="113">
          <cell r="Y113">
            <v>42.0832844560357</v>
          </cell>
        </row>
        <row r="113">
          <cell r="AD113">
            <v>40.7681818167846</v>
          </cell>
        </row>
        <row r="114">
          <cell r="D114">
            <v>39630</v>
          </cell>
        </row>
        <row r="114">
          <cell r="G114">
            <v>45.9763828172702</v>
          </cell>
        </row>
        <row r="114">
          <cell r="L114">
            <v>27.7030348377526</v>
          </cell>
        </row>
        <row r="114">
          <cell r="O114">
            <v>128155.8828125</v>
          </cell>
          <cell r="P114">
            <v>90291.6484375</v>
          </cell>
          <cell r="Q114">
            <v>23301.0703125</v>
          </cell>
          <cell r="R114">
            <v>29126.337890625</v>
          </cell>
        </row>
        <row r="114">
          <cell r="T114">
            <v>-112152.116308825</v>
          </cell>
        </row>
        <row r="114">
          <cell r="Y114">
            <v>42.6200535965425</v>
          </cell>
        </row>
        <row r="114">
          <cell r="AD114">
            <v>41.2881769216505</v>
          </cell>
        </row>
        <row r="115">
          <cell r="D115">
            <v>39661</v>
          </cell>
        </row>
        <row r="115">
          <cell r="G115">
            <v>46.4649584744508</v>
          </cell>
        </row>
        <row r="115">
          <cell r="L115">
            <v>27.9974257319982</v>
          </cell>
        </row>
        <row r="115">
          <cell r="O115">
            <v>121668.15625</v>
          </cell>
          <cell r="P115">
            <v>89802.6875</v>
          </cell>
          <cell r="Q115">
            <v>28968.609375</v>
          </cell>
          <cell r="R115">
            <v>28968.609375</v>
          </cell>
        </row>
        <row r="115">
          <cell r="T115">
            <v>-111388.626079008</v>
          </cell>
        </row>
        <row r="115">
          <cell r="Y115">
            <v>43.0729626646126</v>
          </cell>
        </row>
        <row r="115">
          <cell r="AD115">
            <v>41.7269325813435</v>
          </cell>
        </row>
        <row r="116">
          <cell r="D116">
            <v>39692</v>
          </cell>
        </row>
        <row r="116">
          <cell r="G116">
            <v>46.3858511158852</v>
          </cell>
        </row>
        <row r="116">
          <cell r="L116">
            <v>27.9497596526771</v>
          </cell>
        </row>
        <row r="116">
          <cell r="O116">
            <v>121018.96875</v>
          </cell>
          <cell r="P116">
            <v>86442.1171875</v>
          </cell>
          <cell r="Q116">
            <v>23051.232421875</v>
          </cell>
          <cell r="R116">
            <v>28814.041015625</v>
          </cell>
        </row>
        <row r="116">
          <cell r="T116">
            <v>-107547.377203726</v>
          </cell>
        </row>
        <row r="116">
          <cell r="Y116">
            <v>42.9996302348878</v>
          </cell>
        </row>
        <row r="116">
          <cell r="AD116">
            <v>41.6558917900476</v>
          </cell>
        </row>
        <row r="117">
          <cell r="D117">
            <v>39722</v>
          </cell>
        </row>
        <row r="117">
          <cell r="G117">
            <v>46.3841224860292</v>
          </cell>
        </row>
        <row r="117">
          <cell r="L117">
            <v>27.9487180680593</v>
          </cell>
        </row>
        <row r="117">
          <cell r="O117">
            <v>131814.453125</v>
          </cell>
          <cell r="P117">
            <v>89189.671875</v>
          </cell>
          <cell r="Q117">
            <v>22924.25390625</v>
          </cell>
          <cell r="R117">
            <v>22924.25390625</v>
          </cell>
        </row>
        <row r="117">
          <cell r="T117">
            <v>-111174.350784133</v>
          </cell>
        </row>
        <row r="117">
          <cell r="Y117">
            <v>42.9980277970143</v>
          </cell>
        </row>
        <row r="117">
          <cell r="AD117">
            <v>41.6543394283576</v>
          </cell>
        </row>
        <row r="118">
          <cell r="D118">
            <v>39753</v>
          </cell>
        </row>
        <row r="118">
          <cell r="G118">
            <v>48.6291612809157</v>
          </cell>
        </row>
        <row r="118">
          <cell r="L118">
            <v>29.3014645029851</v>
          </cell>
        </row>
        <row r="118">
          <cell r="O118">
            <v>108299.1328125</v>
          </cell>
          <cell r="P118">
            <v>85499.3203125</v>
          </cell>
          <cell r="Q118">
            <v>28499.7734375</v>
          </cell>
          <cell r="R118">
            <v>34199.7265625</v>
          </cell>
        </row>
        <row r="118">
          <cell r="T118">
            <v>-103339.901764566</v>
          </cell>
        </row>
        <row r="118">
          <cell r="Y118">
            <v>45.0791761584387</v>
          </cell>
        </row>
        <row r="118">
          <cell r="AD118">
            <v>43.6704519034875</v>
          </cell>
        </row>
        <row r="119">
          <cell r="D119">
            <v>39783</v>
          </cell>
        </row>
        <row r="119">
          <cell r="G119">
            <v>50.6151553296013</v>
          </cell>
        </row>
        <row r="119">
          <cell r="L119">
            <v>30.4981237211966</v>
          </cell>
        </row>
        <row r="119">
          <cell r="O119">
            <v>124713.5078125</v>
          </cell>
          <cell r="P119">
            <v>87866.34375</v>
          </cell>
          <cell r="Q119">
            <v>22675.18359375</v>
          </cell>
          <cell r="R119">
            <v>28343.98046875</v>
          </cell>
        </row>
        <row r="119">
          <cell r="T119">
            <v>-106757.234918832</v>
          </cell>
        </row>
        <row r="119">
          <cell r="Y119">
            <v>46.9201903403025</v>
          </cell>
        </row>
        <row r="119">
          <cell r="AD119">
            <v>45.453934392168</v>
          </cell>
        </row>
        <row r="120">
          <cell r="D120">
            <v>39814</v>
          </cell>
        </row>
        <row r="120">
          <cell r="G120">
            <v>51.5457984323792</v>
          </cell>
        </row>
        <row r="120">
          <cell r="L120">
            <v>31.0588820218276</v>
          </cell>
        </row>
        <row r="120">
          <cell r="O120">
            <v>118370.0703125</v>
          </cell>
          <cell r="P120">
            <v>87368.3828125</v>
          </cell>
          <cell r="Q120">
            <v>28183.349609375</v>
          </cell>
          <cell r="R120">
            <v>28183.349609375</v>
          </cell>
        </row>
        <row r="120">
          <cell r="T120">
            <v>-91900.0728166362</v>
          </cell>
        </row>
        <row r="120">
          <cell r="Y120">
            <v>47.7828954181963</v>
          </cell>
        </row>
        <row r="120">
          <cell r="AD120">
            <v>46.2896799363776</v>
          </cell>
        </row>
        <row r="121">
          <cell r="D121">
            <v>39845</v>
          </cell>
        </row>
        <row r="121">
          <cell r="G121">
            <v>50.4367771482423</v>
          </cell>
        </row>
        <row r="121">
          <cell r="L121">
            <v>30.3906420823708</v>
          </cell>
        </row>
        <row r="121">
          <cell r="O121">
            <v>112160.1875</v>
          </cell>
          <cell r="P121">
            <v>78512.1328125</v>
          </cell>
          <cell r="Q121">
            <v>22432.037109375</v>
          </cell>
          <cell r="R121">
            <v>22432.037109375</v>
          </cell>
        </row>
        <row r="121">
          <cell r="T121">
            <v>-86052.4069014808</v>
          </cell>
        </row>
        <row r="121">
          <cell r="Y121">
            <v>46.7548339728782</v>
          </cell>
        </row>
        <row r="121">
          <cell r="AD121">
            <v>45.2937454112257</v>
          </cell>
        </row>
        <row r="122">
          <cell r="D122">
            <v>39873</v>
          </cell>
        </row>
        <row r="122">
          <cell r="G122">
            <v>48.6652410159352</v>
          </cell>
        </row>
        <row r="122">
          <cell r="L122">
            <v>29.3232043201464</v>
          </cell>
        </row>
        <row r="122">
          <cell r="O122">
            <v>122682.5625</v>
          </cell>
          <cell r="P122">
            <v>86435.4453125</v>
          </cell>
          <cell r="Q122">
            <v>22305.921875</v>
          </cell>
          <cell r="R122">
            <v>27882.400390625</v>
          </cell>
        </row>
        <row r="122">
          <cell r="T122">
            <v>-95492.5743701584</v>
          </cell>
        </row>
        <row r="122">
          <cell r="Y122">
            <v>45.1126220309944</v>
          </cell>
        </row>
        <row r="122">
          <cell r="AD122">
            <v>43.7028525925258</v>
          </cell>
        </row>
        <row r="123">
          <cell r="D123">
            <v>39904</v>
          </cell>
        </row>
        <row r="123">
          <cell r="G123">
            <v>45.5369844141605</v>
          </cell>
        </row>
        <row r="123">
          <cell r="L123">
            <v>27.4382756609078</v>
          </cell>
        </row>
        <row r="123">
          <cell r="O123">
            <v>122007.3671875</v>
          </cell>
          <cell r="P123">
            <v>82840.234375</v>
          </cell>
          <cell r="Q123">
            <v>22183.158203125</v>
          </cell>
          <cell r="R123">
            <v>22183.158203125</v>
          </cell>
        </row>
        <row r="123">
          <cell r="T123">
            <v>-93068.252305848</v>
          </cell>
        </row>
        <row r="123">
          <cell r="Y123">
            <v>42.212731786012</v>
          </cell>
        </row>
        <row r="123">
          <cell r="AD123">
            <v>40.8935839176992</v>
          </cell>
        </row>
        <row r="124">
          <cell r="D124">
            <v>39934</v>
          </cell>
        </row>
        <row r="124">
          <cell r="G124">
            <v>45.6269874072508</v>
          </cell>
        </row>
        <row r="124">
          <cell r="L124">
            <v>27.4925068966054</v>
          </cell>
        </row>
        <row r="124">
          <cell r="O124">
            <v>110273.984375</v>
          </cell>
          <cell r="P124">
            <v>85462.34375</v>
          </cell>
          <cell r="Q124">
            <v>27568.49609375</v>
          </cell>
          <cell r="R124">
            <v>33082.1953125</v>
          </cell>
        </row>
        <row r="124">
          <cell r="T124">
            <v>-95546.8814661538</v>
          </cell>
        </row>
        <row r="124">
          <cell r="Y124">
            <v>42.2961644563159</v>
          </cell>
        </row>
        <row r="124">
          <cell r="AD124">
            <v>40.9744093170561</v>
          </cell>
        </row>
        <row r="125">
          <cell r="D125">
            <v>39965</v>
          </cell>
        </row>
        <row r="125">
          <cell r="G125">
            <v>46.145718218853</v>
          </cell>
        </row>
        <row r="125">
          <cell r="L125">
            <v>27.8050677564352</v>
          </cell>
        </row>
        <row r="125">
          <cell r="O125">
            <v>120635.265625</v>
          </cell>
          <cell r="P125">
            <v>82251.3125</v>
          </cell>
          <cell r="Q125">
            <v>21933.68359375</v>
          </cell>
          <cell r="R125">
            <v>21933.68359375</v>
          </cell>
        </row>
        <row r="125">
          <cell r="T125">
            <v>-92943.9815400929</v>
          </cell>
        </row>
        <row r="125">
          <cell r="Y125">
            <v>42.7770273175926</v>
          </cell>
        </row>
        <row r="125">
          <cell r="AD125">
            <v>41.4402452139178</v>
          </cell>
        </row>
        <row r="126">
          <cell r="D126">
            <v>39995</v>
          </cell>
        </row>
        <row r="126">
          <cell r="G126">
            <v>46.7553598854148</v>
          </cell>
        </row>
        <row r="126">
          <cell r="L126">
            <v>28.1724068834481</v>
          </cell>
        </row>
        <row r="126">
          <cell r="O126">
            <v>125390.1953125</v>
          </cell>
          <cell r="P126">
            <v>84502.09375</v>
          </cell>
          <cell r="Q126">
            <v>16355.2431640625</v>
          </cell>
          <cell r="R126">
            <v>27258.73828125</v>
          </cell>
        </row>
        <row r="126">
          <cell r="T126">
            <v>-95869.8705377588</v>
          </cell>
        </row>
        <row r="126">
          <cell r="Y126">
            <v>43.3421644360739</v>
          </cell>
        </row>
        <row r="126">
          <cell r="AD126">
            <v>41.9877217974466</v>
          </cell>
        </row>
        <row r="127">
          <cell r="D127">
            <v>40026</v>
          </cell>
        </row>
        <row r="127">
          <cell r="G127">
            <v>47.2763993667024</v>
          </cell>
        </row>
        <row r="127">
          <cell r="L127">
            <v>28.486358830458</v>
          </cell>
        </row>
        <row r="127">
          <cell r="O127">
            <v>113826</v>
          </cell>
          <cell r="P127">
            <v>84014.4296875</v>
          </cell>
          <cell r="Q127">
            <v>27101.427734375</v>
          </cell>
          <cell r="R127">
            <v>27101.427734375</v>
          </cell>
        </row>
        <row r="127">
          <cell r="T127">
            <v>-95410.6569745097</v>
          </cell>
        </row>
        <row r="127">
          <cell r="Y127">
            <v>43.8251674314738</v>
          </cell>
        </row>
        <row r="127">
          <cell r="AD127">
            <v>42.4556309492403</v>
          </cell>
        </row>
        <row r="128">
          <cell r="D128">
            <v>40057</v>
          </cell>
        </row>
        <row r="128">
          <cell r="G128">
            <v>47.2278782231581</v>
          </cell>
        </row>
        <row r="128">
          <cell r="L128">
            <v>28.4571224519609</v>
          </cell>
        </row>
        <row r="128">
          <cell r="O128">
            <v>113178.984375</v>
          </cell>
          <cell r="P128">
            <v>80842.125</v>
          </cell>
          <cell r="Q128">
            <v>21557.90234375</v>
          </cell>
          <cell r="R128">
            <v>26947.376953125</v>
          </cell>
        </row>
        <row r="128">
          <cell r="T128">
            <v>-92444.260976952</v>
          </cell>
        </row>
        <row r="128">
          <cell r="Y128">
            <v>43.7801883876321</v>
          </cell>
        </row>
        <row r="128">
          <cell r="AD128">
            <v>42.4120575005186</v>
          </cell>
        </row>
        <row r="129">
          <cell r="D129">
            <v>40087</v>
          </cell>
        </row>
        <row r="129">
          <cell r="G129">
            <v>47.256729014276</v>
          </cell>
        </row>
        <row r="129">
          <cell r="L129">
            <v>28.4745064744189</v>
          </cell>
        </row>
        <row r="129">
          <cell r="O129">
            <v>117868.640625</v>
          </cell>
          <cell r="P129">
            <v>83378.671875</v>
          </cell>
          <cell r="Q129">
            <v>26788.328125</v>
          </cell>
          <cell r="R129">
            <v>21430.662109375</v>
          </cell>
        </row>
        <row r="129">
          <cell r="T129">
            <v>-95713.8016789298</v>
          </cell>
        </row>
        <row r="129">
          <cell r="Y129">
            <v>43.8069330375675</v>
          </cell>
        </row>
        <row r="129">
          <cell r="AD129">
            <v>42.4379663801435</v>
          </cell>
        </row>
        <row r="130">
          <cell r="D130">
            <v>40118</v>
          </cell>
        </row>
        <row r="130">
          <cell r="G130">
            <v>50.0014625860079</v>
          </cell>
        </row>
        <row r="130">
          <cell r="L130">
            <v>30.1283436207695</v>
          </cell>
        </row>
        <row r="130">
          <cell r="O130">
            <v>106545.6875</v>
          </cell>
          <cell r="P130">
            <v>79909.265625</v>
          </cell>
          <cell r="Q130">
            <v>21309.13671875</v>
          </cell>
          <cell r="R130">
            <v>31963.70703125</v>
          </cell>
        </row>
        <row r="130">
          <cell r="T130">
            <v>-89226.1172346698</v>
          </cell>
        </row>
        <row r="130">
          <cell r="Y130">
            <v>46.3512978781069</v>
          </cell>
        </row>
        <row r="130">
          <cell r="AD130">
            <v>44.9028198194161</v>
          </cell>
        </row>
        <row r="131">
          <cell r="D131">
            <v>40148</v>
          </cell>
        </row>
        <row r="131">
          <cell r="G131">
            <v>52.0084413561351</v>
          </cell>
        </row>
        <row r="131">
          <cell r="L131">
            <v>31.3376471670803</v>
          </cell>
        </row>
        <row r="131">
          <cell r="O131">
            <v>116509.9765625</v>
          </cell>
          <cell r="P131">
            <v>82086.578125</v>
          </cell>
          <cell r="Q131">
            <v>21183.6328125</v>
          </cell>
          <cell r="R131">
            <v>26479.541015625</v>
          </cell>
        </row>
        <row r="131">
          <cell r="T131">
            <v>-92322.0465805193</v>
          </cell>
        </row>
        <row r="131">
          <cell r="Y131">
            <v>48.2117648724312</v>
          </cell>
        </row>
        <row r="131">
          <cell r="AD131">
            <v>46.7051472201677</v>
          </cell>
        </row>
        <row r="132">
          <cell r="D132">
            <v>40179</v>
          </cell>
        </row>
        <row r="132">
          <cell r="G132">
            <v>52.9858548566221</v>
          </cell>
        </row>
        <row r="132">
          <cell r="L132">
            <v>31.926586935624</v>
          </cell>
        </row>
        <row r="132">
          <cell r="O132">
            <v>104863.4375</v>
          </cell>
          <cell r="P132">
            <v>81269.1640625</v>
          </cell>
          <cell r="Q132">
            <v>26215.859375</v>
          </cell>
          <cell r="R132">
            <v>31459.03125</v>
          </cell>
        </row>
        <row r="132">
          <cell r="T132">
            <v>-78109.3713948466</v>
          </cell>
        </row>
        <row r="132">
          <cell r="Y132">
            <v>49.1178260548062</v>
          </cell>
        </row>
        <row r="132">
          <cell r="AD132">
            <v>47.5828939905935</v>
          </cell>
        </row>
        <row r="133">
          <cell r="D133">
            <v>40210</v>
          </cell>
        </row>
        <row r="133">
          <cell r="G133">
            <v>51.8765725498619</v>
          </cell>
        </row>
        <row r="133">
          <cell r="L133">
            <v>31.2581897171821</v>
          </cell>
        </row>
        <row r="133">
          <cell r="O133">
            <v>104296.34375</v>
          </cell>
          <cell r="P133">
            <v>73007.4375</v>
          </cell>
          <cell r="Q133">
            <v>20859.26953125</v>
          </cell>
          <cell r="R133">
            <v>20859.26953125</v>
          </cell>
        </row>
        <row r="133">
          <cell r="T133">
            <v>-73607.58698496</v>
          </cell>
        </row>
        <row r="133">
          <cell r="Y133">
            <v>48.0895226418186</v>
          </cell>
        </row>
        <row r="133">
          <cell r="AD133">
            <v>46.5867250592618</v>
          </cell>
        </row>
        <row r="134">
          <cell r="D134">
            <v>40238</v>
          </cell>
        </row>
        <row r="134">
          <cell r="G134">
            <v>50.0988649304716</v>
          </cell>
        </row>
        <row r="134">
          <cell r="L134">
            <v>30.187033330064</v>
          </cell>
        </row>
        <row r="134">
          <cell r="O134">
            <v>119228.28125</v>
          </cell>
          <cell r="P134">
            <v>80349.5</v>
          </cell>
          <cell r="Q134">
            <v>20735.353515625</v>
          </cell>
          <cell r="R134">
            <v>20735.353515625</v>
          </cell>
        </row>
        <row r="134">
          <cell r="T134">
            <v>-81865.4175542244</v>
          </cell>
        </row>
        <row r="134">
          <cell r="Y134">
            <v>46.44158973856</v>
          </cell>
        </row>
        <row r="134">
          <cell r="AD134">
            <v>44.99029005923</v>
          </cell>
        </row>
        <row r="135">
          <cell r="D135">
            <v>40269</v>
          </cell>
        </row>
        <row r="135">
          <cell r="G135">
            <v>46.4984398878782</v>
          </cell>
        </row>
        <row r="135">
          <cell r="L135">
            <v>28.0175999324411</v>
          </cell>
        </row>
        <row r="135">
          <cell r="O135">
            <v>115611.546875</v>
          </cell>
          <cell r="P135">
            <v>78497.609375</v>
          </cell>
          <cell r="Q135">
            <v>21020.28125</v>
          </cell>
          <cell r="R135">
            <v>21020.28125</v>
          </cell>
        </row>
        <row r="135">
          <cell r="T135">
            <v>-81020.6447378293</v>
          </cell>
        </row>
        <row r="135">
          <cell r="Y135">
            <v>43.1039998960632</v>
          </cell>
        </row>
        <row r="135">
          <cell r="AD135">
            <v>41.7569998993113</v>
          </cell>
        </row>
        <row r="136">
          <cell r="D136">
            <v>40299</v>
          </cell>
        </row>
        <row r="136">
          <cell r="G136">
            <v>46.5955962056185</v>
          </cell>
        </row>
        <row r="136">
          <cell r="L136">
            <v>28.0761413985187</v>
          </cell>
        </row>
        <row r="136">
          <cell r="O136">
            <v>104463.0703125</v>
          </cell>
          <cell r="P136">
            <v>80958.8828125</v>
          </cell>
          <cell r="Q136">
            <v>26115.767578125</v>
          </cell>
          <cell r="R136">
            <v>31338.921875</v>
          </cell>
        </row>
        <row r="136">
          <cell r="T136">
            <v>-83331.7252827215</v>
          </cell>
        </row>
        <row r="136">
          <cell r="Y136">
            <v>43.1940636900287</v>
          </cell>
        </row>
        <row r="136">
          <cell r="AD136">
            <v>41.8442491997153</v>
          </cell>
        </row>
        <row r="137">
          <cell r="D137">
            <v>40330</v>
          </cell>
        </row>
        <row r="137">
          <cell r="G137">
            <v>47.1250677600239</v>
          </cell>
        </row>
        <row r="137">
          <cell r="L137">
            <v>28.3951740848348</v>
          </cell>
        </row>
        <row r="137">
          <cell r="O137">
            <v>114234.3984375</v>
          </cell>
          <cell r="P137">
            <v>77887.09375</v>
          </cell>
          <cell r="Q137">
            <v>20769.890625</v>
          </cell>
          <cell r="R137">
            <v>20769.890625</v>
          </cell>
        </row>
        <row r="137">
          <cell r="T137">
            <v>-81253.3232222488</v>
          </cell>
        </row>
        <row r="137">
          <cell r="Y137">
            <v>43.6848832074381</v>
          </cell>
        </row>
        <row r="137">
          <cell r="AD137">
            <v>42.3197306072057</v>
          </cell>
        </row>
        <row r="138">
          <cell r="D138">
            <v>40360</v>
          </cell>
        </row>
        <row r="138">
          <cell r="G138">
            <v>47.7460986795256</v>
          </cell>
        </row>
        <row r="138">
          <cell r="L138">
            <v>28.7693757976284</v>
          </cell>
        </row>
        <row r="138">
          <cell r="O138">
            <v>108365.9453125</v>
          </cell>
          <cell r="P138">
            <v>79984.390625</v>
          </cell>
          <cell r="Q138">
            <v>25801.4140625</v>
          </cell>
          <cell r="R138">
            <v>25801.4140625</v>
          </cell>
        </row>
        <row r="138">
          <cell r="T138">
            <v>-83703.0319983596</v>
          </cell>
        </row>
        <row r="138">
          <cell r="Y138">
            <v>44.2605781501976</v>
          </cell>
        </row>
        <row r="138">
          <cell r="AD138">
            <v>42.8774350830039</v>
          </cell>
        </row>
        <row r="139">
          <cell r="D139">
            <v>40391</v>
          </cell>
        </row>
        <row r="139">
          <cell r="G139">
            <v>48.2782057527817</v>
          </cell>
        </row>
        <row r="139">
          <cell r="L139">
            <v>29.089996513843</v>
          </cell>
        </row>
        <row r="139">
          <cell r="O139">
            <v>112834.0625</v>
          </cell>
          <cell r="P139">
            <v>79496.7265625</v>
          </cell>
          <cell r="Q139">
            <v>20515.283203125</v>
          </cell>
          <cell r="R139">
            <v>25644.10546875</v>
          </cell>
        </row>
        <row r="139">
          <cell r="T139">
            <v>-83972.6657011697</v>
          </cell>
        </row>
        <row r="139">
          <cell r="Y139">
            <v>44.7538407905276</v>
          </cell>
        </row>
        <row r="139">
          <cell r="AD139">
            <v>43.3552832658236</v>
          </cell>
        </row>
        <row r="140">
          <cell r="D140">
            <v>40422</v>
          </cell>
        </row>
        <row r="140">
          <cell r="G140">
            <v>48.2362327147414</v>
          </cell>
        </row>
        <row r="140">
          <cell r="L140">
            <v>29.0647056913853</v>
          </cell>
        </row>
        <row r="140">
          <cell r="O140">
            <v>107056.0546875</v>
          </cell>
          <cell r="P140">
            <v>76468.609375</v>
          </cell>
          <cell r="Q140">
            <v>20391.62890625</v>
          </cell>
          <cell r="R140">
            <v>25489.537109375</v>
          </cell>
        </row>
        <row r="140">
          <cell r="T140">
            <v>-81347.1439104214</v>
          </cell>
        </row>
        <row r="140">
          <cell r="Y140">
            <v>44.7149318329005</v>
          </cell>
        </row>
        <row r="140">
          <cell r="AD140">
            <v>43.3175902131223</v>
          </cell>
        </row>
        <row r="141">
          <cell r="D141">
            <v>40452</v>
          </cell>
        </row>
        <row r="141">
          <cell r="G141">
            <v>48.2720459310668</v>
          </cell>
        </row>
        <row r="141">
          <cell r="L141">
            <v>29.0862849179082</v>
          </cell>
        </row>
        <row r="141">
          <cell r="O141">
            <v>106382.6328125</v>
          </cell>
          <cell r="P141">
            <v>78837.1328125</v>
          </cell>
          <cell r="Q141">
            <v>25329.197265625</v>
          </cell>
          <cell r="R141">
            <v>25329.197265625</v>
          </cell>
        </row>
        <row r="141">
          <cell r="T141">
            <v>-84146.7069008907</v>
          </cell>
        </row>
        <row r="141">
          <cell r="Y141">
            <v>44.7481306429357</v>
          </cell>
        </row>
        <row r="141">
          <cell r="AD141">
            <v>43.3497515603439</v>
          </cell>
        </row>
        <row r="142">
          <cell r="D142">
            <v>40483</v>
          </cell>
        </row>
        <row r="142">
          <cell r="G142">
            <v>50.6540567970746</v>
          </cell>
        </row>
        <row r="142">
          <cell r="L142">
            <v>30.5215637711226</v>
          </cell>
        </row>
        <row r="142">
          <cell r="O142">
            <v>105745.984375</v>
          </cell>
          <cell r="P142">
            <v>75532.84375</v>
          </cell>
          <cell r="Q142">
            <v>20142.091796875</v>
          </cell>
          <cell r="R142">
            <v>25177.615234375</v>
          </cell>
        </row>
        <row r="142">
          <cell r="T142">
            <v>-79127.1288876929</v>
          </cell>
        </row>
        <row r="142">
          <cell r="Y142">
            <v>46.9562519555732</v>
          </cell>
        </row>
        <row r="142">
          <cell r="AD142">
            <v>45.4888690819615</v>
          </cell>
        </row>
        <row r="143">
          <cell r="D143">
            <v>40513</v>
          </cell>
        </row>
        <row r="143">
          <cell r="G143">
            <v>52.6850985862745</v>
          </cell>
        </row>
        <row r="143">
          <cell r="L143">
            <v>31.7453664714516</v>
          </cell>
        </row>
        <row r="143">
          <cell r="O143">
            <v>115089.390625</v>
          </cell>
          <cell r="P143">
            <v>77560.2421875</v>
          </cell>
          <cell r="Q143">
            <v>15011.6591796875</v>
          </cell>
          <cell r="R143">
            <v>25019.431640625</v>
          </cell>
        </row>
        <row r="143">
          <cell r="T143">
            <v>-82196.8500050731</v>
          </cell>
        </row>
        <row r="143">
          <cell r="Y143">
            <v>48.8390253406947</v>
          </cell>
        </row>
        <row r="143">
          <cell r="AD143">
            <v>47.312805798798</v>
          </cell>
        </row>
        <row r="144">
          <cell r="D144">
            <v>40544</v>
          </cell>
        </row>
        <row r="144">
          <cell r="G144">
            <v>42.7704012252907</v>
          </cell>
        </row>
        <row r="144">
          <cell r="L144">
            <v>27.800760796439</v>
          </cell>
        </row>
        <row r="144">
          <cell r="O144">
            <v>108252.7578125</v>
          </cell>
          <cell r="P144">
            <v>79900.84375</v>
          </cell>
          <cell r="Q144">
            <v>20619.572265625</v>
          </cell>
          <cell r="R144">
            <v>30929.359375</v>
          </cell>
        </row>
        <row r="144">
          <cell r="T144">
            <v>9219.26269651717</v>
          </cell>
        </row>
        <row r="144">
          <cell r="Y144">
            <v>40.6318811640262</v>
          </cell>
        </row>
        <row r="144">
          <cell r="AD144">
            <v>27.800760796439</v>
          </cell>
        </row>
        <row r="145">
          <cell r="D145">
            <v>40575</v>
          </cell>
        </row>
        <row r="145">
          <cell r="G145">
            <v>41.8501848985973</v>
          </cell>
        </row>
        <row r="145">
          <cell r="L145">
            <v>27.2026201840883</v>
          </cell>
        </row>
        <row r="145">
          <cell r="O145">
            <v>102507.1796875</v>
          </cell>
          <cell r="P145">
            <v>71755.0234375</v>
          </cell>
          <cell r="Q145">
            <v>20501.435546875</v>
          </cell>
          <cell r="R145">
            <v>20501.435546875</v>
          </cell>
        </row>
        <row r="145">
          <cell r="T145">
            <v>4448.88770083253</v>
          </cell>
        </row>
        <row r="145">
          <cell r="Y145">
            <v>39.7576756536675</v>
          </cell>
        </row>
        <row r="145">
          <cell r="AD145">
            <v>27.2026201840883</v>
          </cell>
        </row>
        <row r="146">
          <cell r="D146">
            <v>40603</v>
          </cell>
        </row>
        <row r="146">
          <cell r="G146">
            <v>40.3802433423855</v>
          </cell>
        </row>
        <row r="146">
          <cell r="L146">
            <v>26.2471581725506</v>
          </cell>
        </row>
        <row r="146">
          <cell r="O146">
            <v>117132.328125</v>
          </cell>
          <cell r="P146">
            <v>78937</v>
          </cell>
          <cell r="Q146">
            <v>20370.83984375</v>
          </cell>
          <cell r="R146">
            <v>20370.83984375</v>
          </cell>
        </row>
        <row r="146">
          <cell r="T146">
            <v>1634.61878072101</v>
          </cell>
        </row>
        <row r="146">
          <cell r="Y146">
            <v>38.3612311752662</v>
          </cell>
        </row>
        <row r="146">
          <cell r="AD146">
            <v>26.2471581725506</v>
          </cell>
        </row>
        <row r="147">
          <cell r="D147">
            <v>40634</v>
          </cell>
        </row>
        <row r="147">
          <cell r="G147">
            <v>37.7845557390769</v>
          </cell>
        </row>
        <row r="147">
          <cell r="L147">
            <v>24.5599612304</v>
          </cell>
        </row>
        <row r="147">
          <cell r="O147">
            <v>106281.6875</v>
          </cell>
          <cell r="P147">
            <v>75599.171875</v>
          </cell>
          <cell r="Q147">
            <v>25305.1640625</v>
          </cell>
          <cell r="R147">
            <v>20244.130859375</v>
          </cell>
        </row>
        <row r="147">
          <cell r="T147">
            <v>-3743.40700140781</v>
          </cell>
        </row>
        <row r="147">
          <cell r="Y147">
            <v>35.895327952123</v>
          </cell>
        </row>
        <row r="147">
          <cell r="AD147">
            <v>24.5599612304</v>
          </cell>
        </row>
        <row r="148">
          <cell r="D148">
            <v>40664</v>
          </cell>
        </row>
        <row r="148">
          <cell r="G148">
            <v>37.8592362027232</v>
          </cell>
        </row>
        <row r="148">
          <cell r="L148">
            <v>24.6085035317701</v>
          </cell>
        </row>
        <row r="148">
          <cell r="O148">
            <v>105601.109375</v>
          </cell>
          <cell r="P148">
            <v>77943.671875</v>
          </cell>
          <cell r="Q148">
            <v>20114.49609375</v>
          </cell>
          <cell r="R148">
            <v>30171.744140625</v>
          </cell>
        </row>
        <row r="148">
          <cell r="T148">
            <v>-3992.15760205399</v>
          </cell>
        </row>
        <row r="148">
          <cell r="Y148">
            <v>35.966274392587</v>
          </cell>
        </row>
        <row r="148">
          <cell r="AD148">
            <v>24.6085035317701</v>
          </cell>
        </row>
        <row r="149">
          <cell r="D149">
            <v>40695</v>
          </cell>
        </row>
        <row r="149">
          <cell r="G149">
            <v>38.2896558608696</v>
          </cell>
        </row>
        <row r="149">
          <cell r="L149">
            <v>24.8882763095652</v>
          </cell>
        </row>
        <row r="149">
          <cell r="O149">
            <v>109941.0234375</v>
          </cell>
          <cell r="P149">
            <v>74959.78125</v>
          </cell>
          <cell r="Q149">
            <v>19989.27734375</v>
          </cell>
          <cell r="R149">
            <v>19989.27734375</v>
          </cell>
        </row>
        <row r="149">
          <cell r="T149">
            <v>-3456.98336300317</v>
          </cell>
        </row>
        <row r="149">
          <cell r="Y149">
            <v>36.3751730678261</v>
          </cell>
        </row>
        <row r="149">
          <cell r="AD149">
            <v>24.8882763095652</v>
          </cell>
        </row>
        <row r="150">
          <cell r="D150">
            <v>40725</v>
          </cell>
        </row>
        <row r="150">
          <cell r="G150">
            <v>38.7955092858914</v>
          </cell>
        </row>
        <row r="150">
          <cell r="L150">
            <v>25.2170810358294</v>
          </cell>
        </row>
        <row r="150">
          <cell r="O150">
            <v>99289.890625</v>
          </cell>
          <cell r="P150">
            <v>76949.671875</v>
          </cell>
          <cell r="Q150">
            <v>24822.47265625</v>
          </cell>
          <cell r="R150">
            <v>29786.96875</v>
          </cell>
        </row>
        <row r="150">
          <cell r="T150">
            <v>-2898.7807701874</v>
          </cell>
        </row>
        <row r="150">
          <cell r="Y150">
            <v>36.8557338215968</v>
          </cell>
        </row>
        <row r="150">
          <cell r="AD150">
            <v>25.2170810358294</v>
          </cell>
        </row>
        <row r="151">
          <cell r="D151">
            <v>40756</v>
          </cell>
        </row>
        <row r="151">
          <cell r="G151">
            <v>39.227844575025</v>
          </cell>
        </row>
        <row r="151">
          <cell r="L151">
            <v>25.4980989737663</v>
          </cell>
        </row>
        <row r="151">
          <cell r="O151">
            <v>113448.046875</v>
          </cell>
          <cell r="P151">
            <v>76454.1171875</v>
          </cell>
          <cell r="Q151">
            <v>19730.095703125</v>
          </cell>
          <cell r="R151">
            <v>19730.095703125</v>
          </cell>
        </row>
        <row r="151">
          <cell r="T151">
            <v>-2509.76684796222</v>
          </cell>
        </row>
        <row r="151">
          <cell r="Y151">
            <v>37.2664523462738</v>
          </cell>
        </row>
        <row r="151">
          <cell r="AD151">
            <v>25.4980989737663</v>
          </cell>
        </row>
        <row r="152">
          <cell r="D152">
            <v>40787</v>
          </cell>
        </row>
        <row r="152">
          <cell r="G152">
            <v>39.1875838973285</v>
          </cell>
        </row>
        <row r="152">
          <cell r="L152">
            <v>25.4719295332635</v>
          </cell>
        </row>
        <row r="152">
          <cell r="O152">
            <v>102942.515625</v>
          </cell>
          <cell r="P152">
            <v>73530.359375</v>
          </cell>
          <cell r="Q152">
            <v>19608.09765625</v>
          </cell>
          <cell r="R152">
            <v>24510.12109375</v>
          </cell>
        </row>
        <row r="152">
          <cell r="T152">
            <v>-2846.46037719524</v>
          </cell>
        </row>
        <row r="152">
          <cell r="Y152">
            <v>37.228204702462</v>
          </cell>
        </row>
        <row r="152">
          <cell r="AD152">
            <v>25.4719295332635</v>
          </cell>
        </row>
        <row r="153">
          <cell r="D153">
            <v>40817</v>
          </cell>
        </row>
        <row r="153">
          <cell r="G153">
            <v>39.2115229951658</v>
          </cell>
        </row>
        <row r="153">
          <cell r="L153">
            <v>25.4874899468578</v>
          </cell>
        </row>
        <row r="153">
          <cell r="O153">
            <v>102348.0546875</v>
          </cell>
          <cell r="P153">
            <v>75847.21875</v>
          </cell>
          <cell r="Q153">
            <v>24368.583984375</v>
          </cell>
          <cell r="R153">
            <v>24368.583984375</v>
          </cell>
        </row>
        <row r="153">
          <cell r="T153">
            <v>-3277.11313348229</v>
          </cell>
        </row>
        <row r="153">
          <cell r="Y153">
            <v>37.2509468454075</v>
          </cell>
        </row>
        <row r="153">
          <cell r="AD153">
            <v>25.4874899468578</v>
          </cell>
        </row>
        <row r="154">
          <cell r="D154">
            <v>40848</v>
          </cell>
        </row>
        <row r="154">
          <cell r="G154">
            <v>41.4889803183558</v>
          </cell>
        </row>
        <row r="154">
          <cell r="L154">
            <v>26.9678372069313</v>
          </cell>
        </row>
        <row r="154">
          <cell r="O154">
            <v>101800.84375</v>
          </cell>
          <cell r="P154">
            <v>72714.890625</v>
          </cell>
          <cell r="Q154">
            <v>19390.63671875</v>
          </cell>
          <cell r="R154">
            <v>24238.296875</v>
          </cell>
        </row>
        <row r="154">
          <cell r="T154">
            <v>2404.1962785794</v>
          </cell>
        </row>
        <row r="154">
          <cell r="Y154">
            <v>39.414531302438</v>
          </cell>
        </row>
        <row r="154">
          <cell r="AD154">
            <v>26.9678372069313</v>
          </cell>
        </row>
        <row r="155">
          <cell r="D155">
            <v>40878</v>
          </cell>
        </row>
        <row r="155">
          <cell r="G155">
            <v>43.1542816592904</v>
          </cell>
        </row>
        <row r="155">
          <cell r="L155">
            <v>28.0502830785388</v>
          </cell>
        </row>
        <row r="155">
          <cell r="O155">
            <v>101241.8203125</v>
          </cell>
          <cell r="P155">
            <v>74726.1015625</v>
          </cell>
          <cell r="Q155">
            <v>24105.1953125</v>
          </cell>
          <cell r="R155">
            <v>24105.1953125</v>
          </cell>
        </row>
        <row r="155">
          <cell r="T155">
            <v>5036.89906322838</v>
          </cell>
        </row>
        <row r="155">
          <cell r="Y155">
            <v>40.9965675763259</v>
          </cell>
        </row>
        <row r="155">
          <cell r="AD155">
            <v>28.0502830785388</v>
          </cell>
        </row>
        <row r="156">
          <cell r="D156">
            <v>40909</v>
          </cell>
        </row>
        <row r="156">
          <cell r="G156">
            <v>42.7704012252907</v>
          </cell>
        </row>
        <row r="156">
          <cell r="L156">
            <v>27.800760796439</v>
          </cell>
        </row>
        <row r="156">
          <cell r="O156">
            <v>100675.46875</v>
          </cell>
          <cell r="P156">
            <v>74308.078125</v>
          </cell>
          <cell r="Q156">
            <v>19176.279296875</v>
          </cell>
          <cell r="R156">
            <v>28764.419921875</v>
          </cell>
        </row>
        <row r="156">
          <cell r="T156">
            <v>8573.94858514851</v>
          </cell>
        </row>
        <row r="156">
          <cell r="Y156">
            <v>40.6318811640262</v>
          </cell>
        </row>
        <row r="156">
          <cell r="AD156">
            <v>27.800760796439</v>
          </cell>
        </row>
        <row r="157">
          <cell r="D157">
            <v>40940</v>
          </cell>
        </row>
        <row r="157">
          <cell r="G157">
            <v>41.8501848985973</v>
          </cell>
        </row>
        <row r="157">
          <cell r="L157">
            <v>27.2026201840883</v>
          </cell>
        </row>
        <row r="157">
          <cell r="O157">
            <v>100151.640625</v>
          </cell>
          <cell r="P157">
            <v>69152.328125</v>
          </cell>
          <cell r="Q157">
            <v>19076.50390625</v>
          </cell>
          <cell r="R157">
            <v>19076.50390625</v>
          </cell>
        </row>
        <row r="157">
          <cell r="T157">
            <v>4294.18246626885</v>
          </cell>
        </row>
        <row r="157">
          <cell r="Y157">
            <v>39.7576756536675</v>
          </cell>
        </row>
        <row r="157">
          <cell r="AD157">
            <v>27.2026201840883</v>
          </cell>
        </row>
        <row r="158">
          <cell r="D158">
            <v>40969</v>
          </cell>
        </row>
        <row r="158">
          <cell r="G158">
            <v>40.3802433423855</v>
          </cell>
        </row>
        <row r="158">
          <cell r="L158">
            <v>26.2471581725506</v>
          </cell>
        </row>
        <row r="158">
          <cell r="O158">
            <v>104333.671875</v>
          </cell>
          <cell r="P158">
            <v>73507.8125</v>
          </cell>
          <cell r="Q158">
            <v>23712.197265625</v>
          </cell>
          <cell r="R158">
            <v>18969.7578125</v>
          </cell>
        </row>
        <row r="158">
          <cell r="T158">
            <v>1520.25733272625</v>
          </cell>
        </row>
        <row r="158">
          <cell r="Y158">
            <v>38.3612311752662</v>
          </cell>
        </row>
        <row r="158">
          <cell r="AD158">
            <v>26.2471581725506</v>
          </cell>
        </row>
        <row r="159">
          <cell r="D159">
            <v>41000</v>
          </cell>
        </row>
        <row r="159">
          <cell r="G159">
            <v>37.7845557390769</v>
          </cell>
        </row>
        <row r="159">
          <cell r="L159">
            <v>24.5599612304</v>
          </cell>
        </row>
        <row r="159">
          <cell r="O159">
            <v>99055.15625</v>
          </cell>
          <cell r="P159">
            <v>70458.875</v>
          </cell>
          <cell r="Q159">
            <v>18867.6484375</v>
          </cell>
          <cell r="R159">
            <v>23584.560546875</v>
          </cell>
        </row>
        <row r="159">
          <cell r="T159">
            <v>-3461.37183523347</v>
          </cell>
        </row>
        <row r="159">
          <cell r="Y159">
            <v>35.895327952123</v>
          </cell>
        </row>
        <row r="159">
          <cell r="AD159">
            <v>24.5599612304</v>
          </cell>
        </row>
        <row r="160">
          <cell r="D160">
            <v>41030</v>
          </cell>
        </row>
        <row r="160">
          <cell r="G160">
            <v>37.8592362027232</v>
          </cell>
        </row>
        <row r="160">
          <cell r="L160">
            <v>24.6085035317701</v>
          </cell>
        </row>
        <row r="160">
          <cell r="O160">
            <v>103191.21875</v>
          </cell>
          <cell r="P160">
            <v>72702.90625</v>
          </cell>
          <cell r="Q160">
            <v>18762.0390625</v>
          </cell>
          <cell r="R160">
            <v>23452.548828125</v>
          </cell>
        </row>
        <row r="160">
          <cell r="T160">
            <v>-3757.35279956905</v>
          </cell>
        </row>
        <row r="160">
          <cell r="Y160">
            <v>35.966274392587</v>
          </cell>
        </row>
        <row r="160">
          <cell r="AD160">
            <v>24.6085035317701</v>
          </cell>
        </row>
        <row r="161">
          <cell r="D161">
            <v>41061</v>
          </cell>
        </row>
        <row r="161">
          <cell r="G161">
            <v>38.2896558608696</v>
          </cell>
        </row>
        <row r="161">
          <cell r="L161">
            <v>24.8882763095652</v>
          </cell>
        </row>
        <row r="161">
          <cell r="O161">
            <v>97970.4453125</v>
          </cell>
          <cell r="P161">
            <v>69978.890625</v>
          </cell>
          <cell r="Q161">
            <v>23326.296875</v>
          </cell>
          <cell r="R161">
            <v>18661.037109375</v>
          </cell>
        </row>
        <row r="161">
          <cell r="T161">
            <v>-3223.04272948175</v>
          </cell>
        </row>
        <row r="161">
          <cell r="Y161">
            <v>36.3751730678261</v>
          </cell>
        </row>
        <row r="161">
          <cell r="AD161">
            <v>24.8882763095652</v>
          </cell>
        </row>
        <row r="162">
          <cell r="D162">
            <v>41091</v>
          </cell>
        </row>
        <row r="162">
          <cell r="G162">
            <v>38.7955092858914</v>
          </cell>
        </row>
        <row r="162">
          <cell r="L162">
            <v>25.2170810358294</v>
          </cell>
        </row>
        <row r="162">
          <cell r="O162">
            <v>97415.1953125</v>
          </cell>
          <cell r="P162">
            <v>71901.6953125</v>
          </cell>
          <cell r="Q162">
            <v>18555.275390625</v>
          </cell>
          <cell r="R162">
            <v>27832.9140625</v>
          </cell>
        </row>
        <row r="162">
          <cell r="T162">
            <v>-2712.13048895478</v>
          </cell>
        </row>
        <row r="162">
          <cell r="Y162">
            <v>36.8557338215968</v>
          </cell>
        </row>
        <row r="162">
          <cell r="AD162">
            <v>25.2170810358294</v>
          </cell>
        </row>
        <row r="163">
          <cell r="D163">
            <v>41122</v>
          </cell>
        </row>
        <row r="163">
          <cell r="G163">
            <v>39.227844575025</v>
          </cell>
        </row>
        <row r="163">
          <cell r="L163">
            <v>25.4980989737663</v>
          </cell>
        </row>
        <row r="163">
          <cell r="O163">
            <v>106099.0625</v>
          </cell>
          <cell r="P163">
            <v>71501.546875</v>
          </cell>
          <cell r="Q163">
            <v>18452.009765625</v>
          </cell>
          <cell r="R163">
            <v>18452.009765625</v>
          </cell>
        </row>
        <row r="163">
          <cell r="T163">
            <v>-2347.18815212386</v>
          </cell>
        </row>
        <row r="163">
          <cell r="Y163">
            <v>37.2664523462738</v>
          </cell>
        </row>
        <row r="163">
          <cell r="AD163">
            <v>25.4980989737663</v>
          </cell>
        </row>
        <row r="164">
          <cell r="D164">
            <v>41153</v>
          </cell>
        </row>
        <row r="164">
          <cell r="G164">
            <v>39.1875838973285</v>
          </cell>
        </row>
        <row r="164">
          <cell r="L164">
            <v>25.4719295332635</v>
          </cell>
        </row>
        <row r="164">
          <cell r="O164">
            <v>87158.0078125</v>
          </cell>
          <cell r="P164">
            <v>68808.953125</v>
          </cell>
          <cell r="Q164">
            <v>22936.318359375</v>
          </cell>
          <cell r="R164">
            <v>27523.58203125</v>
          </cell>
        </row>
        <row r="164">
          <cell r="T164">
            <v>-2635.49714646227</v>
          </cell>
        </row>
        <row r="164">
          <cell r="Y164">
            <v>37.228204702462</v>
          </cell>
        </row>
        <row r="164">
          <cell r="AD164">
            <v>25.4719295332635</v>
          </cell>
        </row>
        <row r="165">
          <cell r="D165">
            <v>41183</v>
          </cell>
        </row>
        <row r="165">
          <cell r="G165">
            <v>39.2115229951658</v>
          </cell>
        </row>
        <row r="165">
          <cell r="L165">
            <v>25.4874899468578</v>
          </cell>
        </row>
        <row r="165">
          <cell r="O165">
            <v>104914.8984375</v>
          </cell>
          <cell r="P165">
            <v>70988.609375</v>
          </cell>
          <cell r="Q165">
            <v>18246.0703125</v>
          </cell>
          <cell r="R165">
            <v>18246.0703125</v>
          </cell>
        </row>
        <row r="165">
          <cell r="T165">
            <v>-3098.56747286829</v>
          </cell>
        </row>
        <row r="165">
          <cell r="Y165">
            <v>37.2509468454075</v>
          </cell>
        </row>
        <row r="165">
          <cell r="AD165">
            <v>25.4874899468578</v>
          </cell>
        </row>
        <row r="166">
          <cell r="D166">
            <v>41214</v>
          </cell>
        </row>
        <row r="166">
          <cell r="G166">
            <v>41.4889803183558</v>
          </cell>
        </row>
        <row r="166">
          <cell r="L166">
            <v>26.9678372069313</v>
          </cell>
        </row>
        <row r="166">
          <cell r="O166">
            <v>95266.125</v>
          </cell>
          <cell r="P166">
            <v>68047.234375</v>
          </cell>
          <cell r="Q166">
            <v>18145.927734375</v>
          </cell>
          <cell r="R166">
            <v>22682.41015625</v>
          </cell>
        </row>
        <row r="166">
          <cell r="T166">
            <v>2249.86800655765</v>
          </cell>
        </row>
        <row r="166">
          <cell r="Y166">
            <v>39.414531302438</v>
          </cell>
        </row>
        <row r="166">
          <cell r="AD166">
            <v>26.9678372069313</v>
          </cell>
        </row>
        <row r="167">
          <cell r="D167">
            <v>41244</v>
          </cell>
        </row>
        <row r="167">
          <cell r="G167">
            <v>43.1542816592904</v>
          </cell>
        </row>
        <row r="167">
          <cell r="L167">
            <v>28.0502830785388</v>
          </cell>
        </row>
        <row r="167">
          <cell r="O167">
            <v>90216.1328125</v>
          </cell>
          <cell r="P167">
            <v>69917.5</v>
          </cell>
          <cell r="Q167">
            <v>22554.033203125</v>
          </cell>
          <cell r="R167">
            <v>27064.837890625</v>
          </cell>
        </row>
        <row r="167">
          <cell r="T167">
            <v>4670.56464638066</v>
          </cell>
        </row>
        <row r="167">
          <cell r="Y167">
            <v>40.9965675763259</v>
          </cell>
        </row>
        <row r="167">
          <cell r="AD167">
            <v>28.0502830785388</v>
          </cell>
        </row>
        <row r="168">
          <cell r="D168">
            <v>41275</v>
          </cell>
        </row>
        <row r="168">
          <cell r="G168">
            <v>42.7704012252907</v>
          </cell>
        </row>
        <row r="168">
          <cell r="L168">
            <v>27.800760796439</v>
          </cell>
        </row>
        <row r="168">
          <cell r="O168">
            <v>98303.328125</v>
          </cell>
          <cell r="P168">
            <v>69259.171875</v>
          </cell>
          <cell r="Q168">
            <v>17873.33203125</v>
          </cell>
          <cell r="R168">
            <v>22341.666015625</v>
          </cell>
        </row>
        <row r="168">
          <cell r="T168">
            <v>8063.51988175675</v>
          </cell>
        </row>
        <row r="168">
          <cell r="Y168">
            <v>40.6318811640262</v>
          </cell>
        </row>
        <row r="168">
          <cell r="AD168">
            <v>27.800760796439</v>
          </cell>
        </row>
        <row r="169">
          <cell r="D169">
            <v>41306</v>
          </cell>
        </row>
        <row r="169">
          <cell r="G169">
            <v>41.8501848985973</v>
          </cell>
        </row>
        <row r="169">
          <cell r="L169">
            <v>27.2026201840883</v>
          </cell>
        </row>
        <row r="169">
          <cell r="O169">
            <v>88905.859375</v>
          </cell>
          <cell r="P169">
            <v>62234.1015625</v>
          </cell>
          <cell r="Q169">
            <v>17781.171875</v>
          </cell>
          <cell r="R169">
            <v>17781.171875</v>
          </cell>
        </row>
        <row r="169">
          <cell r="T169">
            <v>3858.58034706852</v>
          </cell>
        </row>
        <row r="169">
          <cell r="Y169">
            <v>39.7576756536675</v>
          </cell>
        </row>
        <row r="169">
          <cell r="AD169">
            <v>27.2026201840883</v>
          </cell>
        </row>
        <row r="170">
          <cell r="D170">
            <v>41334</v>
          </cell>
        </row>
        <row r="170">
          <cell r="G170">
            <v>40.3802433423855</v>
          </cell>
        </row>
        <row r="170">
          <cell r="L170">
            <v>26.2471581725506</v>
          </cell>
        </row>
        <row r="170">
          <cell r="O170">
            <v>92812.9140625</v>
          </cell>
          <cell r="P170">
            <v>68504.765625</v>
          </cell>
          <cell r="Q170">
            <v>22098.3125</v>
          </cell>
          <cell r="R170">
            <v>22098.3125</v>
          </cell>
        </row>
        <row r="170">
          <cell r="T170">
            <v>1404.20953003043</v>
          </cell>
        </row>
        <row r="170">
          <cell r="Y170">
            <v>38.3612311752662</v>
          </cell>
        </row>
        <row r="170">
          <cell r="AD170">
            <v>26.2471581725506</v>
          </cell>
        </row>
        <row r="171">
          <cell r="D171">
            <v>41365</v>
          </cell>
        </row>
        <row r="171">
          <cell r="G171">
            <v>37.7845557390769</v>
          </cell>
        </row>
        <row r="171">
          <cell r="L171">
            <v>24.5599612304</v>
          </cell>
        </row>
        <row r="171">
          <cell r="O171">
            <v>96697.796875</v>
          </cell>
          <cell r="P171">
            <v>65655.609375</v>
          </cell>
          <cell r="Q171">
            <v>17581.41796875</v>
          </cell>
          <cell r="R171">
            <v>17581.41796875</v>
          </cell>
        </row>
        <row r="171">
          <cell r="T171">
            <v>-3255.29960495917</v>
          </cell>
        </row>
        <row r="171">
          <cell r="Y171">
            <v>35.895327952123</v>
          </cell>
        </row>
        <row r="171">
          <cell r="AD171">
            <v>24.5599612304</v>
          </cell>
        </row>
        <row r="172">
          <cell r="D172">
            <v>41395</v>
          </cell>
        </row>
        <row r="172">
          <cell r="G172">
            <v>37.8592362027232</v>
          </cell>
        </row>
        <row r="172">
          <cell r="L172">
            <v>24.6085035317701</v>
          </cell>
        </row>
        <row r="172">
          <cell r="O172">
            <v>96142.421875</v>
          </cell>
          <cell r="P172">
            <v>67736.703125</v>
          </cell>
          <cell r="Q172">
            <v>17480.44140625</v>
          </cell>
          <cell r="R172">
            <v>21850.55078125</v>
          </cell>
        </row>
        <row r="172">
          <cell r="T172">
            <v>-3500.69512057738</v>
          </cell>
        </row>
        <row r="172">
          <cell r="Y172">
            <v>35.966274392587</v>
          </cell>
        </row>
        <row r="172">
          <cell r="AD172">
            <v>24.6085035317701</v>
          </cell>
        </row>
        <row r="173">
          <cell r="D173">
            <v>41426</v>
          </cell>
        </row>
        <row r="173">
          <cell r="G173">
            <v>38.2896558608696</v>
          </cell>
        </row>
        <row r="173">
          <cell r="L173">
            <v>24.8882763095652</v>
          </cell>
        </row>
        <row r="173">
          <cell r="O173">
            <v>86917.390625</v>
          </cell>
          <cell r="P173">
            <v>65188.04296875</v>
          </cell>
          <cell r="Q173">
            <v>21729.34765625</v>
          </cell>
          <cell r="R173">
            <v>21729.34765625</v>
          </cell>
        </row>
        <row r="173">
          <cell r="T173">
            <v>-2974.80689165258</v>
          </cell>
        </row>
        <row r="173">
          <cell r="Y173">
            <v>36.3751730678261</v>
          </cell>
        </row>
        <row r="173">
          <cell r="AD173">
            <v>24.8882763095652</v>
          </cell>
        </row>
        <row r="174">
          <cell r="D174">
            <v>41456</v>
          </cell>
        </row>
        <row r="174">
          <cell r="G174">
            <v>38.7955092858914</v>
          </cell>
        </row>
        <row r="174">
          <cell r="L174">
            <v>25.2170810358294</v>
          </cell>
        </row>
        <row r="174">
          <cell r="O174">
            <v>95055.4296875</v>
          </cell>
          <cell r="P174">
            <v>66970.875</v>
          </cell>
          <cell r="Q174">
            <v>17282.8046875</v>
          </cell>
          <cell r="R174">
            <v>21603.505859375</v>
          </cell>
        </row>
        <row r="174">
          <cell r="T174">
            <v>-2548.95139372182</v>
          </cell>
        </row>
        <row r="174">
          <cell r="Y174">
            <v>36.8557338215968</v>
          </cell>
        </row>
        <row r="174">
          <cell r="AD174">
            <v>25.2170810358294</v>
          </cell>
        </row>
        <row r="175">
          <cell r="D175">
            <v>41487</v>
          </cell>
        </row>
        <row r="175">
          <cell r="G175">
            <v>39.227844575025</v>
          </cell>
        </row>
        <row r="175">
          <cell r="L175">
            <v>25.4980989737663</v>
          </cell>
        </row>
        <row r="175">
          <cell r="O175">
            <v>94510.4921875</v>
          </cell>
          <cell r="P175">
            <v>66586.9375</v>
          </cell>
          <cell r="Q175">
            <v>21479.65625</v>
          </cell>
          <cell r="R175">
            <v>17183.724609375</v>
          </cell>
        </row>
        <row r="175">
          <cell r="T175">
            <v>-2183.08974041114</v>
          </cell>
        </row>
        <row r="175">
          <cell r="Y175">
            <v>37.2664523462738</v>
          </cell>
        </row>
        <row r="175">
          <cell r="AD175">
            <v>25.4980989737663</v>
          </cell>
        </row>
        <row r="176">
          <cell r="D176">
            <v>41518</v>
          </cell>
        </row>
        <row r="176">
          <cell r="G176">
            <v>39.1875838973285</v>
          </cell>
        </row>
        <row r="176">
          <cell r="L176">
            <v>25.4719295332635</v>
          </cell>
        </row>
        <row r="176">
          <cell r="O176">
            <v>85432.8984375</v>
          </cell>
          <cell r="P176">
            <v>64074.671875</v>
          </cell>
          <cell r="Q176">
            <v>17086.580078125</v>
          </cell>
          <cell r="R176">
            <v>25629.869140625</v>
          </cell>
        </row>
        <row r="176">
          <cell r="T176">
            <v>-2457.44980246816</v>
          </cell>
        </row>
        <row r="176">
          <cell r="Y176">
            <v>37.228204702462</v>
          </cell>
        </row>
        <row r="176">
          <cell r="AD176">
            <v>25.4719295332635</v>
          </cell>
        </row>
        <row r="177">
          <cell r="D177">
            <v>41548</v>
          </cell>
        </row>
        <row r="177">
          <cell r="G177">
            <v>39.2115229951658</v>
          </cell>
        </row>
        <row r="177">
          <cell r="L177">
            <v>25.4874899468578</v>
          </cell>
        </row>
        <row r="177">
          <cell r="O177">
            <v>97677.546875</v>
          </cell>
          <cell r="P177">
            <v>66091.6015625</v>
          </cell>
          <cell r="Q177">
            <v>16987.400390625</v>
          </cell>
          <cell r="R177">
            <v>16987.400390625</v>
          </cell>
        </row>
        <row r="177">
          <cell r="T177">
            <v>-2884.81882955999</v>
          </cell>
        </row>
        <row r="177">
          <cell r="Y177">
            <v>37.2509468454075</v>
          </cell>
        </row>
        <row r="177">
          <cell r="AD177">
            <v>25.4874899468578</v>
          </cell>
        </row>
        <row r="178">
          <cell r="D178">
            <v>41579</v>
          </cell>
        </row>
        <row r="178">
          <cell r="G178">
            <v>41.4889803183558</v>
          </cell>
        </row>
        <row r="178">
          <cell r="L178">
            <v>26.9678372069313</v>
          </cell>
        </row>
        <row r="178">
          <cell r="O178">
            <v>84456.8125</v>
          </cell>
          <cell r="P178">
            <v>63342.609375</v>
          </cell>
          <cell r="Q178">
            <v>21114.203125</v>
          </cell>
          <cell r="R178">
            <v>21114.203125</v>
          </cell>
        </row>
        <row r="178">
          <cell r="T178">
            <v>2091.55705420812</v>
          </cell>
        </row>
        <row r="178">
          <cell r="Y178">
            <v>39.414531302438</v>
          </cell>
        </row>
        <row r="178">
          <cell r="AD178">
            <v>26.9678372069313</v>
          </cell>
        </row>
        <row r="179">
          <cell r="D179">
            <v>41609</v>
          </cell>
        </row>
        <row r="179">
          <cell r="G179">
            <v>43.1542816592904</v>
          </cell>
        </row>
        <row r="179">
          <cell r="L179">
            <v>28.0502830785388</v>
          </cell>
        </row>
        <row r="179">
          <cell r="O179">
            <v>88166.96875</v>
          </cell>
          <cell r="P179">
            <v>65075.6171875</v>
          </cell>
          <cell r="Q179">
            <v>16793.708984375</v>
          </cell>
          <cell r="R179">
            <v>25190.5625</v>
          </cell>
        </row>
        <row r="179">
          <cell r="T179">
            <v>4352.72398876874</v>
          </cell>
        </row>
        <row r="179">
          <cell r="Y179">
            <v>40.9965675763259</v>
          </cell>
        </row>
        <row r="179">
          <cell r="AD179">
            <v>28.0502830785388</v>
          </cell>
        </row>
        <row r="180">
          <cell r="D180">
            <v>41640</v>
          </cell>
        </row>
        <row r="180">
          <cell r="G180">
            <v>42.7704012252907</v>
          </cell>
        </row>
        <row r="180">
          <cell r="L180">
            <v>27.800760796439</v>
          </cell>
        </row>
        <row r="180">
          <cell r="O180">
            <v>91823.65625</v>
          </cell>
          <cell r="P180">
            <v>64693.9375</v>
          </cell>
          <cell r="Q180">
            <v>16695.2109375</v>
          </cell>
          <cell r="R180">
            <v>20869.01171875</v>
          </cell>
        </row>
        <row r="180">
          <cell r="T180">
            <v>7532.01199870687</v>
          </cell>
        </row>
        <row r="180">
          <cell r="Y180">
            <v>40.6318811640262</v>
          </cell>
        </row>
        <row r="180">
          <cell r="AD180">
            <v>27.800760796439</v>
          </cell>
        </row>
        <row r="181">
          <cell r="D181">
            <v>41671</v>
          </cell>
        </row>
        <row r="181">
          <cell r="G181">
            <v>41.8501848985973</v>
          </cell>
        </row>
        <row r="181">
          <cell r="L181">
            <v>27.2026201840883</v>
          </cell>
        </row>
        <row r="181">
          <cell r="O181">
            <v>83034.609375</v>
          </cell>
          <cell r="P181">
            <v>58124.2265625</v>
          </cell>
          <cell r="Q181">
            <v>16606.921875</v>
          </cell>
          <cell r="R181">
            <v>16606.921875</v>
          </cell>
        </row>
        <row r="181">
          <cell r="T181">
            <v>3603.7637351828</v>
          </cell>
        </row>
        <row r="181">
          <cell r="Y181">
            <v>39.7576756536675</v>
          </cell>
        </row>
        <row r="181">
          <cell r="AD181">
            <v>27.2026201840883</v>
          </cell>
        </row>
        <row r="182">
          <cell r="D182">
            <v>41699</v>
          </cell>
        </row>
        <row r="182">
          <cell r="G182">
            <v>40.3802433423855</v>
          </cell>
        </row>
        <row r="182">
          <cell r="L182">
            <v>26.2471581725506</v>
          </cell>
        </row>
        <row r="182">
          <cell r="O182">
            <v>86675</v>
          </cell>
          <cell r="P182">
            <v>63974.40625</v>
          </cell>
          <cell r="Q182">
            <v>20636.90625</v>
          </cell>
          <cell r="R182">
            <v>20636.90625</v>
          </cell>
        </row>
        <row r="182">
          <cell r="T182">
            <v>1311.34624045393</v>
          </cell>
        </row>
        <row r="182">
          <cell r="Y182">
            <v>38.3612311752662</v>
          </cell>
        </row>
        <row r="182">
          <cell r="AD182">
            <v>26.2471581725506</v>
          </cell>
        </row>
        <row r="183">
          <cell r="D183">
            <v>41730</v>
          </cell>
        </row>
        <row r="183">
          <cell r="G183">
            <v>37.7845557390769</v>
          </cell>
        </row>
        <row r="183">
          <cell r="L183">
            <v>24.5599612304</v>
          </cell>
        </row>
        <row r="183">
          <cell r="O183">
            <v>90285.890625</v>
          </cell>
          <cell r="P183">
            <v>61302.0703125</v>
          </cell>
          <cell r="Q183">
            <v>16415.6171875</v>
          </cell>
          <cell r="R183">
            <v>16415.6171875</v>
          </cell>
        </row>
        <row r="183">
          <cell r="T183">
            <v>-3039.44489347729</v>
          </cell>
        </row>
        <row r="183">
          <cell r="Y183">
            <v>35.895327952123</v>
          </cell>
        </row>
        <row r="183">
          <cell r="AD183">
            <v>24.5599612304</v>
          </cell>
        </row>
        <row r="184">
          <cell r="D184">
            <v>41760</v>
          </cell>
        </row>
        <row r="184">
          <cell r="G184">
            <v>37.8592362027232</v>
          </cell>
        </row>
        <row r="184">
          <cell r="L184">
            <v>24.6085035317701</v>
          </cell>
        </row>
        <row r="184">
          <cell r="O184">
            <v>85672.359375</v>
          </cell>
          <cell r="P184">
            <v>63234.3671875</v>
          </cell>
          <cell r="Q184">
            <v>20398.181640625</v>
          </cell>
          <cell r="R184">
            <v>20398.181640625</v>
          </cell>
        </row>
        <row r="184">
          <cell r="T184">
            <v>-3263.83259523973</v>
          </cell>
        </row>
        <row r="184">
          <cell r="Y184">
            <v>35.966274392587</v>
          </cell>
        </row>
        <row r="184">
          <cell r="AD184">
            <v>24.6085035317701</v>
          </cell>
        </row>
        <row r="185">
          <cell r="D185">
            <v>41791</v>
          </cell>
        </row>
        <row r="185">
          <cell r="G185">
            <v>38.2896558608696</v>
          </cell>
        </row>
        <row r="185">
          <cell r="L185">
            <v>24.8882763095652</v>
          </cell>
        </row>
        <row r="185">
          <cell r="O185">
            <v>85187.1640625</v>
          </cell>
          <cell r="P185">
            <v>60847.9765625</v>
          </cell>
          <cell r="Q185">
            <v>16226.126953125</v>
          </cell>
          <cell r="R185">
            <v>20282.658203125</v>
          </cell>
        </row>
        <row r="185">
          <cell r="T185">
            <v>-2780.43136009823</v>
          </cell>
        </row>
        <row r="185">
          <cell r="Y185">
            <v>36.3751730678261</v>
          </cell>
        </row>
        <row r="185">
          <cell r="AD185">
            <v>24.8882763095652</v>
          </cell>
        </row>
        <row r="186">
          <cell r="D186">
            <v>41821</v>
          </cell>
        </row>
        <row r="186">
          <cell r="G186">
            <v>38.7955092858914</v>
          </cell>
        </row>
        <row r="186">
          <cell r="L186">
            <v>25.2170810358294</v>
          </cell>
        </row>
        <row r="186">
          <cell r="O186">
            <v>88713.78125</v>
          </cell>
          <cell r="P186">
            <v>62502.890625</v>
          </cell>
          <cell r="Q186">
            <v>16129.779296875</v>
          </cell>
          <cell r="R186">
            <v>20162.224609375</v>
          </cell>
        </row>
        <row r="186">
          <cell r="T186">
            <v>-2378.89742082466</v>
          </cell>
        </row>
        <row r="186">
          <cell r="Y186">
            <v>36.8557338215968</v>
          </cell>
        </row>
        <row r="186">
          <cell r="AD186">
            <v>25.2170810358294</v>
          </cell>
        </row>
        <row r="187">
          <cell r="D187">
            <v>41852</v>
          </cell>
        </row>
        <row r="187">
          <cell r="G187">
            <v>39.227844575025</v>
          </cell>
        </row>
        <row r="187">
          <cell r="L187">
            <v>25.4980989737663</v>
          </cell>
        </row>
        <row r="187">
          <cell r="O187">
            <v>84181.5703125</v>
          </cell>
          <cell r="P187">
            <v>62134.01171875</v>
          </cell>
          <cell r="Q187">
            <v>20043.23046875</v>
          </cell>
          <cell r="R187">
            <v>20043.23046875</v>
          </cell>
        </row>
        <row r="187">
          <cell r="T187">
            <v>-2019.01463323384</v>
          </cell>
        </row>
        <row r="187">
          <cell r="Y187">
            <v>37.2664523462738</v>
          </cell>
        </row>
        <row r="187">
          <cell r="AD187">
            <v>25.4980989737663</v>
          </cell>
        </row>
        <row r="188">
          <cell r="D188">
            <v>41883</v>
          </cell>
        </row>
        <row r="188">
          <cell r="G188">
            <v>39.1875838973285</v>
          </cell>
        </row>
        <row r="188">
          <cell r="L188">
            <v>25.4719295332635</v>
          </cell>
        </row>
        <row r="188">
          <cell r="O188">
            <v>83695.7109375</v>
          </cell>
          <cell r="P188">
            <v>59782.65625</v>
          </cell>
          <cell r="Q188">
            <v>15942.041015625</v>
          </cell>
          <cell r="R188">
            <v>19927.55078125</v>
          </cell>
        </row>
        <row r="188">
          <cell r="T188">
            <v>-2314.26773075829</v>
          </cell>
        </row>
        <row r="188">
          <cell r="Y188">
            <v>37.228204702462</v>
          </cell>
        </row>
        <row r="188">
          <cell r="AD188">
            <v>25.4719295332635</v>
          </cell>
        </row>
        <row r="189">
          <cell r="D189">
            <v>41913</v>
          </cell>
        </row>
        <row r="189">
          <cell r="G189">
            <v>39.2115229951658</v>
          </cell>
        </row>
        <row r="189">
          <cell r="L189">
            <v>25.4874899468578</v>
          </cell>
        </row>
        <row r="189">
          <cell r="O189">
            <v>91121.28125</v>
          </cell>
          <cell r="P189">
            <v>61655.4296875</v>
          </cell>
          <cell r="Q189">
            <v>15847.1787109375</v>
          </cell>
          <cell r="R189">
            <v>15847.1787109375</v>
          </cell>
        </row>
        <row r="189">
          <cell r="T189">
            <v>-2691.18532387553</v>
          </cell>
        </row>
        <row r="189">
          <cell r="Y189">
            <v>37.2509468454075</v>
          </cell>
        </row>
        <row r="189">
          <cell r="AD189">
            <v>25.4874899468578</v>
          </cell>
        </row>
        <row r="190">
          <cell r="D190">
            <v>41944</v>
          </cell>
        </row>
        <row r="190">
          <cell r="G190">
            <v>41.4889803183558</v>
          </cell>
        </row>
        <row r="190">
          <cell r="L190">
            <v>26.9678372069313</v>
          </cell>
        </row>
        <row r="190">
          <cell r="O190">
            <v>74836.03125</v>
          </cell>
          <cell r="P190">
            <v>59081.078125</v>
          </cell>
          <cell r="Q190">
            <v>19693.693359375</v>
          </cell>
          <cell r="R190">
            <v>23632.431640625</v>
          </cell>
        </row>
        <row r="190">
          <cell r="T190">
            <v>1932.75906029604</v>
          </cell>
        </row>
        <row r="190">
          <cell r="Y190">
            <v>39.414531302438</v>
          </cell>
        </row>
        <row r="190">
          <cell r="AD190">
            <v>26.9678372069313</v>
          </cell>
        </row>
        <row r="191">
          <cell r="D191">
            <v>41974</v>
          </cell>
        </row>
        <row r="191">
          <cell r="G191">
            <v>43.1542816592904</v>
          </cell>
        </row>
        <row r="191">
          <cell r="L191">
            <v>28.0502830785388</v>
          </cell>
        </row>
        <row r="191">
          <cell r="O191">
            <v>86140.8671875</v>
          </cell>
          <cell r="P191">
            <v>60690.15625</v>
          </cell>
          <cell r="Q191">
            <v>15661.9755859375</v>
          </cell>
          <cell r="R191">
            <v>19577.46875</v>
          </cell>
        </row>
        <row r="191">
          <cell r="T191">
            <v>4096.03335836828</v>
          </cell>
        </row>
        <row r="191">
          <cell r="Y191">
            <v>40.9965675763259</v>
          </cell>
        </row>
        <row r="191">
          <cell r="AD191">
            <v>28.0502830785388</v>
          </cell>
        </row>
        <row r="192">
          <cell r="D192">
            <v>42005</v>
          </cell>
        </row>
        <row r="192">
          <cell r="G192">
            <v>42.7704012252907</v>
          </cell>
        </row>
        <row r="192">
          <cell r="L192">
            <v>27.800760796439</v>
          </cell>
        </row>
        <row r="192">
          <cell r="O192">
            <v>77837.1875</v>
          </cell>
          <cell r="P192">
            <v>60323.8203125</v>
          </cell>
          <cell r="Q192">
            <v>19459.296875</v>
          </cell>
          <cell r="R192">
            <v>23351.158203125</v>
          </cell>
        </row>
        <row r="192">
          <cell r="T192">
            <v>6951.42124684541</v>
          </cell>
        </row>
        <row r="192">
          <cell r="Y192">
            <v>40.6318811640262</v>
          </cell>
        </row>
        <row r="192">
          <cell r="AD192">
            <v>27.800760796439</v>
          </cell>
        </row>
        <row r="193">
          <cell r="D193">
            <v>42036</v>
          </cell>
        </row>
        <row r="193">
          <cell r="G193">
            <v>41.8501848985973</v>
          </cell>
        </row>
        <row r="193">
          <cell r="L193">
            <v>27.2026201840883</v>
          </cell>
        </row>
        <row r="193">
          <cell r="O193">
            <v>73544.546875</v>
          </cell>
          <cell r="P193">
            <v>54190.71875</v>
          </cell>
          <cell r="Q193">
            <v>15483.0625</v>
          </cell>
          <cell r="R193">
            <v>19353.828125</v>
          </cell>
        </row>
        <row r="193">
          <cell r="T193">
            <v>3326.75198603997</v>
          </cell>
        </row>
        <row r="193">
          <cell r="Y193">
            <v>39.7576756536675</v>
          </cell>
        </row>
        <row r="193">
          <cell r="AD193">
            <v>27.2026201840883</v>
          </cell>
        </row>
        <row r="194">
          <cell r="D194">
            <v>42064</v>
          </cell>
        </row>
        <row r="194">
          <cell r="G194">
            <v>40.3802433423855</v>
          </cell>
        </row>
        <row r="194">
          <cell r="L194">
            <v>26.2471581725506</v>
          </cell>
        </row>
        <row r="194">
          <cell r="O194">
            <v>84649.171875</v>
          </cell>
          <cell r="P194">
            <v>59639.1875</v>
          </cell>
          <cell r="Q194">
            <v>15390.7587890625</v>
          </cell>
          <cell r="R194">
            <v>19238.447265625</v>
          </cell>
        </row>
        <row r="194">
          <cell r="T194">
            <v>1224.05245968716</v>
          </cell>
        </row>
        <row r="194">
          <cell r="Y194">
            <v>38.3612311752662</v>
          </cell>
        </row>
        <row r="194">
          <cell r="AD194">
            <v>26.2471581725506</v>
          </cell>
        </row>
        <row r="195">
          <cell r="D195">
            <v>42095</v>
          </cell>
        </row>
        <row r="195">
          <cell r="G195">
            <v>37.7845557390769</v>
          </cell>
        </row>
        <row r="195">
          <cell r="L195">
            <v>24.5599612304</v>
          </cell>
        </row>
        <row r="195">
          <cell r="O195">
            <v>80328.484375</v>
          </cell>
          <cell r="P195">
            <v>57138.421875</v>
          </cell>
          <cell r="Q195">
            <v>15300.6640625</v>
          </cell>
          <cell r="R195">
            <v>19125.830078125</v>
          </cell>
        </row>
        <row r="195">
          <cell r="T195">
            <v>-2806.98930396986</v>
          </cell>
        </row>
        <row r="195">
          <cell r="Y195">
            <v>35.895327952123</v>
          </cell>
        </row>
        <row r="195">
          <cell r="AD195">
            <v>24.5599612304</v>
          </cell>
        </row>
        <row r="196">
          <cell r="D196">
            <v>42125</v>
          </cell>
        </row>
        <row r="196">
          <cell r="G196">
            <v>37.8592362027232</v>
          </cell>
        </row>
        <row r="196">
          <cell r="L196">
            <v>24.6085035317701</v>
          </cell>
        </row>
        <row r="196">
          <cell r="O196">
            <v>76037.8359375</v>
          </cell>
          <cell r="P196">
            <v>58929.3203125</v>
          </cell>
          <cell r="Q196">
            <v>19009.458984375</v>
          </cell>
          <cell r="R196">
            <v>22811.3515625</v>
          </cell>
        </row>
        <row r="196">
          <cell r="T196">
            <v>-3014.37823836775</v>
          </cell>
        </row>
        <row r="196">
          <cell r="Y196">
            <v>35.966274392587</v>
          </cell>
        </row>
        <row r="196">
          <cell r="AD196">
            <v>24.6085035317701</v>
          </cell>
        </row>
        <row r="197">
          <cell r="D197">
            <v>42156</v>
          </cell>
        </row>
        <row r="197">
          <cell r="G197">
            <v>38.2896558608696</v>
          </cell>
        </row>
        <row r="197">
          <cell r="L197">
            <v>24.8882763095652</v>
          </cell>
        </row>
        <row r="197">
          <cell r="O197">
            <v>83156.21875</v>
          </cell>
          <cell r="P197">
            <v>56697.421875</v>
          </cell>
          <cell r="Q197">
            <v>15119.3125</v>
          </cell>
          <cell r="R197">
            <v>15119.3125</v>
          </cell>
        </row>
        <row r="197">
          <cell r="T197">
            <v>-2614.76255371306</v>
          </cell>
        </row>
        <row r="197">
          <cell r="Y197">
            <v>36.3751730678261</v>
          </cell>
        </row>
        <row r="197">
          <cell r="AD197">
            <v>24.8882763095652</v>
          </cell>
        </row>
        <row r="198">
          <cell r="D198">
            <v>42186</v>
          </cell>
        </row>
        <row r="198">
          <cell r="G198">
            <v>38.7955092858914</v>
          </cell>
        </row>
        <row r="198">
          <cell r="L198">
            <v>25.2170810358294</v>
          </cell>
        </row>
        <row r="198">
          <cell r="O198">
            <v>86409.265625</v>
          </cell>
          <cell r="P198">
            <v>58232.328125</v>
          </cell>
          <cell r="Q198">
            <v>11270.7734375</v>
          </cell>
          <cell r="R198">
            <v>18784.623046875</v>
          </cell>
        </row>
        <row r="198">
          <cell r="T198">
            <v>-2219.20211222321</v>
          </cell>
        </row>
        <row r="198">
          <cell r="Y198">
            <v>36.8557338215968</v>
          </cell>
        </row>
        <row r="198">
          <cell r="AD198">
            <v>25.2170810358294</v>
          </cell>
        </row>
        <row r="199">
          <cell r="D199">
            <v>42217</v>
          </cell>
        </row>
        <row r="199">
          <cell r="G199">
            <v>39.227844575025</v>
          </cell>
        </row>
        <row r="199">
          <cell r="L199">
            <v>25.4980989737663</v>
          </cell>
        </row>
        <row r="199">
          <cell r="O199">
            <v>78418.3359375</v>
          </cell>
          <cell r="P199">
            <v>57880.203125</v>
          </cell>
          <cell r="Q199">
            <v>18671.033203125</v>
          </cell>
          <cell r="R199">
            <v>18671.033203125</v>
          </cell>
        </row>
        <row r="199">
          <cell r="T199">
            <v>-1880.7890425509</v>
          </cell>
        </row>
        <row r="199">
          <cell r="Y199">
            <v>37.2664523462738</v>
          </cell>
        </row>
        <row r="199">
          <cell r="AD199">
            <v>25.4980989737663</v>
          </cell>
        </row>
        <row r="200">
          <cell r="D200">
            <v>42248</v>
          </cell>
        </row>
        <row r="200">
          <cell r="G200">
            <v>39.1875838973285</v>
          </cell>
        </row>
        <row r="200">
          <cell r="L200">
            <v>25.4719295332635</v>
          </cell>
        </row>
        <row r="200">
          <cell r="O200">
            <v>77954.6328125</v>
          </cell>
          <cell r="P200">
            <v>55681.8828125</v>
          </cell>
          <cell r="Q200">
            <v>14848.501953125</v>
          </cell>
          <cell r="R200">
            <v>18560.626953125</v>
          </cell>
        </row>
        <row r="200">
          <cell r="T200">
            <v>-2155.52130379411</v>
          </cell>
        </row>
        <row r="200">
          <cell r="Y200">
            <v>37.228204702462</v>
          </cell>
        </row>
        <row r="200">
          <cell r="AD200">
            <v>25.4719295332635</v>
          </cell>
        </row>
        <row r="201">
          <cell r="D201">
            <v>42278</v>
          </cell>
        </row>
        <row r="201">
          <cell r="G201">
            <v>39.2115229951658</v>
          </cell>
        </row>
        <row r="201">
          <cell r="L201">
            <v>25.4874899468578</v>
          </cell>
        </row>
        <row r="201">
          <cell r="O201">
            <v>77477.46875</v>
          </cell>
          <cell r="P201">
            <v>57416.3359375</v>
          </cell>
          <cell r="Q201">
            <v>18447.015625</v>
          </cell>
          <cell r="R201">
            <v>18447.015625</v>
          </cell>
        </row>
        <row r="201">
          <cell r="T201">
            <v>-2480.77432924017</v>
          </cell>
        </row>
        <row r="201">
          <cell r="Y201">
            <v>37.2509468454075</v>
          </cell>
        </row>
        <row r="201">
          <cell r="AD201">
            <v>25.4874899468578</v>
          </cell>
        </row>
        <row r="202">
          <cell r="D202">
            <v>42309</v>
          </cell>
        </row>
        <row r="202">
          <cell r="G202">
            <v>41.4889803183558</v>
          </cell>
        </row>
        <row r="202">
          <cell r="L202">
            <v>26.9678372069313</v>
          </cell>
        </row>
        <row r="202">
          <cell r="O202">
            <v>69685.9921875</v>
          </cell>
          <cell r="P202">
            <v>55015.2578125</v>
          </cell>
          <cell r="Q202">
            <v>14670.7353515625</v>
          </cell>
          <cell r="R202">
            <v>25673.787109375</v>
          </cell>
        </row>
        <row r="202">
          <cell r="T202">
            <v>1785.30983857651</v>
          </cell>
        </row>
        <row r="202">
          <cell r="Y202">
            <v>39.414531302438</v>
          </cell>
        </row>
        <row r="202">
          <cell r="AD202">
            <v>26.9678372069313</v>
          </cell>
        </row>
        <row r="203">
          <cell r="D203">
            <v>42339</v>
          </cell>
        </row>
        <row r="203">
          <cell r="G203">
            <v>43.1542816592904</v>
          </cell>
        </row>
        <row r="203">
          <cell r="L203">
            <v>28.0502830785388</v>
          </cell>
        </row>
        <row r="203">
          <cell r="O203">
            <v>80197.2109375</v>
          </cell>
          <cell r="P203">
            <v>56502.578125</v>
          </cell>
          <cell r="Q203">
            <v>14581.310546875</v>
          </cell>
          <cell r="R203">
            <v>18226.638671875</v>
          </cell>
        </row>
        <row r="203">
          <cell r="T203">
            <v>3813.41004985435</v>
          </cell>
        </row>
        <row r="203">
          <cell r="Y203">
            <v>40.9965675763259</v>
          </cell>
        </row>
        <row r="203">
          <cell r="AD203">
            <v>28.0502830785388</v>
          </cell>
        </row>
        <row r="204">
          <cell r="D204">
            <v>42370</v>
          </cell>
        </row>
        <row r="204">
          <cell r="G204">
            <v>42.7704012252907</v>
          </cell>
        </row>
        <row r="204">
          <cell r="L204">
            <v>27.800760796439</v>
          </cell>
        </row>
        <row r="204">
          <cell r="O204">
            <v>68574.3125</v>
          </cell>
          <cell r="P204">
            <v>55942.19921875</v>
          </cell>
          <cell r="Q204">
            <v>18045.87109375</v>
          </cell>
          <cell r="R204">
            <v>25264.220703125</v>
          </cell>
        </row>
        <row r="204">
          <cell r="T204">
            <v>6388.24021762312</v>
          </cell>
        </row>
        <row r="204">
          <cell r="Y204">
            <v>40.6318811640262</v>
          </cell>
        </row>
        <row r="204">
          <cell r="AD204">
            <v>27.800760796439</v>
          </cell>
        </row>
        <row r="205">
          <cell r="D205">
            <v>42401</v>
          </cell>
        </row>
        <row r="205">
          <cell r="G205">
            <v>41.8501848985973</v>
          </cell>
        </row>
        <row r="205">
          <cell r="L205">
            <v>27.2026201840883</v>
          </cell>
        </row>
        <row r="205">
          <cell r="O205">
            <v>74063.65625</v>
          </cell>
          <cell r="P205">
            <v>53638.86328125</v>
          </cell>
          <cell r="Q205">
            <v>14812.73046875</v>
          </cell>
          <cell r="R205">
            <v>18401.3359375</v>
          </cell>
        </row>
        <row r="205">
          <cell r="T205">
            <v>3299.96642430805</v>
          </cell>
        </row>
        <row r="205">
          <cell r="Y205">
            <v>39.7576756536675</v>
          </cell>
        </row>
        <row r="205">
          <cell r="AD205">
            <v>27.2026201840883</v>
          </cell>
        </row>
        <row r="206">
          <cell r="D206">
            <v>42430</v>
          </cell>
        </row>
        <row r="206">
          <cell r="G206">
            <v>40.3802433423855</v>
          </cell>
        </row>
        <row r="206">
          <cell r="L206">
            <v>26.2471581725506</v>
          </cell>
        </row>
        <row r="206">
          <cell r="O206">
            <v>78463.234375</v>
          </cell>
          <cell r="P206">
            <v>55280.91796875</v>
          </cell>
          <cell r="Q206">
            <v>14266.04296875</v>
          </cell>
          <cell r="R206">
            <v>17832.552734375</v>
          </cell>
        </row>
        <row r="206">
          <cell r="T206">
            <v>1134.6019708444</v>
          </cell>
        </row>
        <row r="206">
          <cell r="Y206">
            <v>38.3612311752662</v>
          </cell>
        </row>
        <row r="206">
          <cell r="AD206">
            <v>26.2471581725506</v>
          </cell>
        </row>
        <row r="207">
          <cell r="D207">
            <v>42461</v>
          </cell>
        </row>
        <row r="207">
          <cell r="G207">
            <v>37.7845557390769</v>
          </cell>
        </row>
        <row r="207">
          <cell r="L207">
            <v>24.5599612304</v>
          </cell>
        </row>
        <row r="207">
          <cell r="O207">
            <v>74447.6484375</v>
          </cell>
          <cell r="P207">
            <v>52955.3203125</v>
          </cell>
          <cell r="Q207">
            <v>17725.630859375</v>
          </cell>
          <cell r="R207">
            <v>14180.50390625</v>
          </cell>
        </row>
        <row r="207">
          <cell r="T207">
            <v>-2622.16245618334</v>
          </cell>
        </row>
        <row r="207">
          <cell r="Y207">
            <v>35.895327952123</v>
          </cell>
        </row>
        <row r="207">
          <cell r="AD207">
            <v>24.5599612304</v>
          </cell>
        </row>
        <row r="208">
          <cell r="D208">
            <v>42491</v>
          </cell>
        </row>
        <row r="208">
          <cell r="G208">
            <v>37.8592362027232</v>
          </cell>
        </row>
        <row r="208">
          <cell r="L208">
            <v>24.6085035317701</v>
          </cell>
        </row>
        <row r="208">
          <cell r="O208">
            <v>73989.359375</v>
          </cell>
          <cell r="P208">
            <v>54611.1953125</v>
          </cell>
          <cell r="Q208">
            <v>14093.2119140625</v>
          </cell>
          <cell r="R208">
            <v>21139.81640625</v>
          </cell>
        </row>
        <row r="208">
          <cell r="T208">
            <v>-2797.10312266911</v>
          </cell>
        </row>
        <row r="208">
          <cell r="Y208">
            <v>35.966274392587</v>
          </cell>
        </row>
        <row r="208">
          <cell r="AD208">
            <v>24.6085035317701</v>
          </cell>
        </row>
        <row r="209">
          <cell r="D209">
            <v>42522</v>
          </cell>
        </row>
        <row r="209">
          <cell r="G209">
            <v>38.2896558608696</v>
          </cell>
        </row>
        <row r="209">
          <cell r="L209">
            <v>24.8882763095652</v>
          </cell>
        </row>
        <row r="209">
          <cell r="O209">
            <v>77050.015625</v>
          </cell>
          <cell r="P209">
            <v>52534.1015625</v>
          </cell>
          <cell r="Q209">
            <v>14009.0927734375</v>
          </cell>
          <cell r="R209">
            <v>14009.0927734375</v>
          </cell>
        </row>
        <row r="209">
          <cell r="T209">
            <v>-2422.75919097476</v>
          </cell>
        </row>
        <row r="209">
          <cell r="Y209">
            <v>36.3751730678261</v>
          </cell>
        </row>
        <row r="209">
          <cell r="AD209">
            <v>24.8882763095652</v>
          </cell>
        </row>
        <row r="210">
          <cell r="D210">
            <v>42552</v>
          </cell>
        </row>
        <row r="210">
          <cell r="G210">
            <v>38.7955092858914</v>
          </cell>
        </row>
        <row r="210">
          <cell r="L210">
            <v>25.2170810358294</v>
          </cell>
        </row>
        <row r="210">
          <cell r="O210">
            <v>69605.4453125</v>
          </cell>
          <cell r="P210">
            <v>53944.21875</v>
          </cell>
          <cell r="Q210">
            <v>17401.361328125</v>
          </cell>
          <cell r="R210">
            <v>20881.6328125</v>
          </cell>
        </row>
        <row r="210">
          <cell r="T210">
            <v>-2032.1396006782</v>
          </cell>
        </row>
        <row r="210">
          <cell r="Y210">
            <v>36.8557338215968</v>
          </cell>
        </row>
        <row r="210">
          <cell r="AD210">
            <v>25.2170810358294</v>
          </cell>
        </row>
        <row r="211">
          <cell r="D211">
            <v>42583</v>
          </cell>
        </row>
        <row r="211">
          <cell r="G211">
            <v>39.227844575025</v>
          </cell>
        </row>
        <row r="211">
          <cell r="L211">
            <v>25.4980989737663</v>
          </cell>
        </row>
        <row r="211">
          <cell r="O211">
            <v>79554.671875</v>
          </cell>
          <cell r="P211">
            <v>53612.9296875</v>
          </cell>
          <cell r="Q211">
            <v>13835.5947265625</v>
          </cell>
          <cell r="R211">
            <v>13835.5947265625</v>
          </cell>
        </row>
        <row r="211">
          <cell r="T211">
            <v>-1759.95692580898</v>
          </cell>
        </row>
        <row r="211">
          <cell r="Y211">
            <v>37.2664523462738</v>
          </cell>
        </row>
        <row r="211">
          <cell r="AD211">
            <v>25.4980989737663</v>
          </cell>
        </row>
        <row r="212">
          <cell r="D212">
            <v>42614</v>
          </cell>
        </row>
        <row r="212">
          <cell r="G212">
            <v>39.1875838973285</v>
          </cell>
        </row>
        <row r="212">
          <cell r="L212">
            <v>25.4719295332635</v>
          </cell>
        </row>
        <row r="212">
          <cell r="O212">
            <v>72205.0546875</v>
          </cell>
          <cell r="P212">
            <v>51575.04296875</v>
          </cell>
          <cell r="Q212">
            <v>13753.3447265625</v>
          </cell>
          <cell r="R212">
            <v>17191.6796875</v>
          </cell>
        </row>
        <row r="212">
          <cell r="T212">
            <v>-1996.53991033468</v>
          </cell>
        </row>
        <row r="212">
          <cell r="Y212">
            <v>37.228204702462</v>
          </cell>
        </row>
        <row r="212">
          <cell r="AD212">
            <v>25.4719295332635</v>
          </cell>
        </row>
        <row r="213">
          <cell r="D213">
            <v>42644</v>
          </cell>
        </row>
        <row r="213">
          <cell r="G213">
            <v>39.2115229951658</v>
          </cell>
        </row>
        <row r="213">
          <cell r="L213">
            <v>25.4874899468578</v>
          </cell>
        </row>
        <row r="213">
          <cell r="O213">
            <v>68370.90625</v>
          </cell>
          <cell r="P213">
            <v>53201.109375</v>
          </cell>
          <cell r="Q213">
            <v>17092.7265625</v>
          </cell>
          <cell r="R213">
            <v>20511.271484375</v>
          </cell>
        </row>
        <row r="213">
          <cell r="T213">
            <v>-2278.07523764523</v>
          </cell>
        </row>
        <row r="213">
          <cell r="Y213">
            <v>37.2509468454075</v>
          </cell>
        </row>
        <row r="213">
          <cell r="AD213">
            <v>25.4874899468578</v>
          </cell>
        </row>
        <row r="214">
          <cell r="D214">
            <v>42675</v>
          </cell>
        </row>
        <row r="214">
          <cell r="G214">
            <v>41.4889803183558</v>
          </cell>
        </row>
        <row r="214">
          <cell r="L214">
            <v>26.9678372069313</v>
          </cell>
        </row>
        <row r="214">
          <cell r="O214">
            <v>68000.21875</v>
          </cell>
          <cell r="P214">
            <v>51000.16015625</v>
          </cell>
          <cell r="Q214">
            <v>13600.04296875</v>
          </cell>
          <cell r="R214">
            <v>20400.064453125</v>
          </cell>
        </row>
        <row r="214">
          <cell r="T214">
            <v>1670.62520836389</v>
          </cell>
        </row>
        <row r="214">
          <cell r="Y214">
            <v>39.414531302438</v>
          </cell>
        </row>
        <row r="214">
          <cell r="AD214">
            <v>26.9678372069313</v>
          </cell>
        </row>
        <row r="215">
          <cell r="D215">
            <v>42705</v>
          </cell>
        </row>
        <row r="215">
          <cell r="G215">
            <v>43.1542816592904</v>
          </cell>
        </row>
        <row r="215">
          <cell r="L215">
            <v>28.0502830785388</v>
          </cell>
        </row>
        <row r="215">
          <cell r="O215">
            <v>71003.171875</v>
          </cell>
          <cell r="P215">
            <v>52407.1015625</v>
          </cell>
          <cell r="Q215">
            <v>16905.515625</v>
          </cell>
          <cell r="R215">
            <v>16905.515625</v>
          </cell>
        </row>
        <row r="215">
          <cell r="T215">
            <v>3532.49086746964</v>
          </cell>
        </row>
        <row r="215">
          <cell r="Y215">
            <v>40.9965675763259</v>
          </cell>
        </row>
        <row r="215">
          <cell r="AD215">
            <v>28.0502830785388</v>
          </cell>
        </row>
        <row r="216">
          <cell r="D216">
            <v>42736</v>
          </cell>
        </row>
        <row r="216">
          <cell r="G216">
            <v>42.7704012252907</v>
          </cell>
        </row>
        <row r="216">
          <cell r="L216">
            <v>27.800760796439</v>
          </cell>
        </row>
        <row r="216">
          <cell r="O216">
            <v>67239.4453125</v>
          </cell>
          <cell r="P216">
            <v>52110.5703125</v>
          </cell>
          <cell r="Q216">
            <v>13447.888671875</v>
          </cell>
          <cell r="R216">
            <v>23533.8046875</v>
          </cell>
        </row>
        <row r="216">
          <cell r="T216">
            <v>5958.44133291712</v>
          </cell>
        </row>
        <row r="216">
          <cell r="Y216">
            <v>40.6318811640262</v>
          </cell>
        </row>
        <row r="216">
          <cell r="AD216">
            <v>27.800760796439</v>
          </cell>
        </row>
        <row r="217">
          <cell r="D217">
            <v>42767</v>
          </cell>
        </row>
        <row r="217">
          <cell r="G217">
            <v>41.8501848985973</v>
          </cell>
        </row>
        <row r="217">
          <cell r="L217">
            <v>27.2026201840883</v>
          </cell>
        </row>
        <row r="217">
          <cell r="O217">
            <v>63553.30078125</v>
          </cell>
          <cell r="P217">
            <v>46828.75</v>
          </cell>
          <cell r="Q217">
            <v>13379.642578125</v>
          </cell>
          <cell r="R217">
            <v>16724.552734375</v>
          </cell>
        </row>
        <row r="217">
          <cell r="T217">
            <v>2874.80284245193</v>
          </cell>
        </row>
        <row r="217">
          <cell r="Y217">
            <v>39.7576756536675</v>
          </cell>
        </row>
        <row r="217">
          <cell r="AD217">
            <v>27.2026201840883</v>
          </cell>
        </row>
        <row r="218">
          <cell r="D218">
            <v>42795</v>
          </cell>
        </row>
        <row r="218">
          <cell r="G218">
            <v>40.3802433423855</v>
          </cell>
        </row>
        <row r="218">
          <cell r="L218">
            <v>26.2471581725506</v>
          </cell>
        </row>
        <row r="218">
          <cell r="O218">
            <v>76500.4296875</v>
          </cell>
          <cell r="P218">
            <v>51554.63671875</v>
          </cell>
          <cell r="Q218">
            <v>13304.4228515625</v>
          </cell>
          <cell r="R218">
            <v>13304.4228515625</v>
          </cell>
        </row>
        <row r="218">
          <cell r="T218">
            <v>1067.58776570211</v>
          </cell>
        </row>
        <row r="218">
          <cell r="Y218">
            <v>38.3612311752662</v>
          </cell>
        </row>
        <row r="218">
          <cell r="AD218">
            <v>26.2471581725506</v>
          </cell>
        </row>
        <row r="219">
          <cell r="D219">
            <v>42826</v>
          </cell>
        </row>
        <row r="219">
          <cell r="G219">
            <v>37.7845557390769</v>
          </cell>
        </row>
        <row r="219">
          <cell r="L219">
            <v>24.5599612304</v>
          </cell>
        </row>
        <row r="219">
          <cell r="O219">
            <v>62848.921875</v>
          </cell>
          <cell r="P219">
            <v>49410.828125</v>
          </cell>
          <cell r="Q219">
            <v>16539.189453125</v>
          </cell>
          <cell r="R219">
            <v>19847.02734375</v>
          </cell>
        </row>
        <row r="219">
          <cell r="T219">
            <v>-2401.65698485677</v>
          </cell>
        </row>
        <row r="219">
          <cell r="Y219">
            <v>35.895327952123</v>
          </cell>
        </row>
        <row r="219">
          <cell r="AD219">
            <v>24.5599612304</v>
          </cell>
        </row>
        <row r="220">
          <cell r="D220">
            <v>42856</v>
          </cell>
        </row>
        <row r="220">
          <cell r="G220">
            <v>37.8592362027232</v>
          </cell>
        </row>
        <row r="220">
          <cell r="L220">
            <v>24.6085035317701</v>
          </cell>
        </row>
        <row r="220">
          <cell r="O220">
            <v>72365.9375</v>
          </cell>
          <cell r="P220">
            <v>50985.09375</v>
          </cell>
          <cell r="Q220">
            <v>13157.443359375</v>
          </cell>
          <cell r="R220">
            <v>16446.8046875</v>
          </cell>
        </row>
        <row r="220">
          <cell r="T220">
            <v>-2634.95638715975</v>
          </cell>
        </row>
        <row r="220">
          <cell r="Y220">
            <v>35.966274392587</v>
          </cell>
        </row>
        <row r="220">
          <cell r="AD220">
            <v>24.6085035317701</v>
          </cell>
        </row>
        <row r="221">
          <cell r="D221">
            <v>42887</v>
          </cell>
        </row>
        <row r="221">
          <cell r="G221">
            <v>38.2896558608696</v>
          </cell>
        </row>
        <row r="221">
          <cell r="L221">
            <v>24.8882763095652</v>
          </cell>
        </row>
        <row r="221">
          <cell r="O221">
            <v>71976.15625</v>
          </cell>
          <cell r="P221">
            <v>49074.6484375</v>
          </cell>
          <cell r="Q221">
            <v>13086.5732421875</v>
          </cell>
          <cell r="R221">
            <v>13086.5732421875</v>
          </cell>
        </row>
        <row r="221">
          <cell r="T221">
            <v>-2263.21682216902</v>
          </cell>
        </row>
        <row r="221">
          <cell r="Y221">
            <v>36.3751730678261</v>
          </cell>
        </row>
        <row r="221">
          <cell r="AD221">
            <v>24.8882763095652</v>
          </cell>
        </row>
        <row r="222">
          <cell r="D222">
            <v>42917</v>
          </cell>
        </row>
        <row r="222">
          <cell r="G222">
            <v>38.7955092858914</v>
          </cell>
        </row>
        <row r="222">
          <cell r="L222">
            <v>25.2170810358294</v>
          </cell>
        </row>
        <row r="222">
          <cell r="O222">
            <v>65059.140625</v>
          </cell>
          <cell r="P222">
            <v>50420.83203125</v>
          </cell>
          <cell r="Q222">
            <v>16264.78515625</v>
          </cell>
          <cell r="R222">
            <v>19517.7421875</v>
          </cell>
        </row>
        <row r="222">
          <cell r="T222">
            <v>-1899.40967253492</v>
          </cell>
        </row>
        <row r="222">
          <cell r="Y222">
            <v>36.8557338215968</v>
          </cell>
        </row>
        <row r="222">
          <cell r="AD222">
            <v>25.2170810358294</v>
          </cell>
        </row>
        <row r="223">
          <cell r="D223">
            <v>42948</v>
          </cell>
        </row>
        <row r="223">
          <cell r="G223">
            <v>39.227844575025</v>
          </cell>
        </row>
        <row r="223">
          <cell r="L223">
            <v>25.4980989737663</v>
          </cell>
        </row>
        <row r="223">
          <cell r="O223">
            <v>74397.2265625</v>
          </cell>
          <cell r="P223">
            <v>50137.2578125</v>
          </cell>
          <cell r="Q223">
            <v>12938.6474609375</v>
          </cell>
          <cell r="R223">
            <v>12938.6474609375</v>
          </cell>
        </row>
        <row r="223">
          <cell r="T223">
            <v>-1645.86075304793</v>
          </cell>
        </row>
        <row r="223">
          <cell r="Y223">
            <v>37.2664523462738</v>
          </cell>
        </row>
        <row r="223">
          <cell r="AD223">
            <v>25.4980989737663</v>
          </cell>
        </row>
        <row r="224">
          <cell r="D224">
            <v>42979</v>
          </cell>
        </row>
        <row r="224">
          <cell r="G224">
            <v>39.1875838973285</v>
          </cell>
        </row>
        <row r="224">
          <cell r="L224">
            <v>25.4719295332635</v>
          </cell>
        </row>
        <row r="224">
          <cell r="O224">
            <v>64336.328125</v>
          </cell>
          <cell r="P224">
            <v>48252.24609375</v>
          </cell>
          <cell r="Q224">
            <v>16084.08203125</v>
          </cell>
          <cell r="R224">
            <v>16084.08203125</v>
          </cell>
        </row>
        <row r="224">
          <cell r="T224">
            <v>-1865.43737818972</v>
          </cell>
        </row>
        <row r="224">
          <cell r="Y224">
            <v>37.228204702462</v>
          </cell>
        </row>
        <row r="224">
          <cell r="AD224">
            <v>25.4719295332635</v>
          </cell>
        </row>
        <row r="225">
          <cell r="D225">
            <v>43009</v>
          </cell>
        </row>
        <row r="225">
          <cell r="G225">
            <v>39.2115229951658</v>
          </cell>
        </row>
        <row r="225">
          <cell r="L225">
            <v>25.4874899468578</v>
          </cell>
        </row>
        <row r="225">
          <cell r="O225">
            <v>67172.5390625</v>
          </cell>
          <cell r="P225">
            <v>49779.6484375</v>
          </cell>
          <cell r="Q225">
            <v>12794.76953125</v>
          </cell>
          <cell r="R225">
            <v>19192.154296875</v>
          </cell>
        </row>
        <row r="225">
          <cell r="T225">
            <v>-2134.32233864202</v>
          </cell>
        </row>
        <row r="225">
          <cell r="Y225">
            <v>37.2509468454075</v>
          </cell>
        </row>
        <row r="225">
          <cell r="AD225">
            <v>25.4874899468578</v>
          </cell>
        </row>
        <row r="226">
          <cell r="D226">
            <v>43040</v>
          </cell>
        </row>
        <row r="226">
          <cell r="G226">
            <v>41.4889803183558</v>
          </cell>
        </row>
        <row r="226">
          <cell r="L226">
            <v>26.9678372069313</v>
          </cell>
        </row>
        <row r="226">
          <cell r="O226">
            <v>66804.4140625</v>
          </cell>
          <cell r="P226">
            <v>47717.4375</v>
          </cell>
          <cell r="Q226">
            <v>9543.4873046875</v>
          </cell>
          <cell r="R226">
            <v>19086.974609375</v>
          </cell>
        </row>
        <row r="226">
          <cell r="T226">
            <v>1565.17169000898</v>
          </cell>
        </row>
        <row r="226">
          <cell r="Y226">
            <v>39.414531302438</v>
          </cell>
        </row>
        <row r="226">
          <cell r="AD226">
            <v>26.9678372069313</v>
          </cell>
        </row>
        <row r="227">
          <cell r="D227">
            <v>43070</v>
          </cell>
        </row>
        <row r="227">
          <cell r="G227">
            <v>43.1542816592904</v>
          </cell>
        </row>
        <row r="227">
          <cell r="L227">
            <v>28.0502830785388</v>
          </cell>
        </row>
        <row r="227">
          <cell r="O227">
            <v>63264.14453125</v>
          </cell>
          <cell r="P227">
            <v>49029.71484375</v>
          </cell>
          <cell r="Q227">
            <v>15816.0361328125</v>
          </cell>
          <cell r="R227">
            <v>18979.244140625</v>
          </cell>
        </row>
        <row r="227">
          <cell r="T227">
            <v>3275.23779454362</v>
          </cell>
        </row>
        <row r="227">
          <cell r="Y227">
            <v>40.9965675763259</v>
          </cell>
        </row>
        <row r="227">
          <cell r="AD227">
            <v>28.0502830785388</v>
          </cell>
        </row>
        <row r="228">
          <cell r="D228">
            <v>43101</v>
          </cell>
        </row>
        <row r="228">
          <cell r="G228">
            <v>42.7704012252907</v>
          </cell>
        </row>
        <row r="228">
          <cell r="L228">
            <v>27.800760796439</v>
          </cell>
        </row>
        <row r="228">
          <cell r="O228">
            <v>66048.984375</v>
          </cell>
          <cell r="P228">
            <v>48750.4453125</v>
          </cell>
          <cell r="Q228">
            <v>12580.759765625</v>
          </cell>
          <cell r="R228">
            <v>18871.138671875</v>
          </cell>
        </row>
        <row r="228">
          <cell r="T228">
            <v>5625.01107522126</v>
          </cell>
        </row>
        <row r="228">
          <cell r="Y228">
            <v>40.6318811640262</v>
          </cell>
        </row>
        <row r="228">
          <cell r="AD228">
            <v>27.800760796439</v>
          </cell>
        </row>
        <row r="229">
          <cell r="D229">
            <v>43132</v>
          </cell>
        </row>
        <row r="229">
          <cell r="G229">
            <v>41.8501848985973</v>
          </cell>
        </row>
        <row r="229">
          <cell r="L229">
            <v>27.2026201840883</v>
          </cell>
        </row>
        <row r="229">
          <cell r="O229">
            <v>59452.07421875</v>
          </cell>
          <cell r="P229">
            <v>43806.79296875</v>
          </cell>
          <cell r="Q229">
            <v>12516.2265625</v>
          </cell>
          <cell r="R229">
            <v>15645.283203125</v>
          </cell>
        </row>
        <row r="229">
          <cell r="T229">
            <v>2689.28584607177</v>
          </cell>
        </row>
        <row r="229">
          <cell r="Y229">
            <v>39.7576756536675</v>
          </cell>
        </row>
        <row r="229">
          <cell r="AD229">
            <v>27.2026201840883</v>
          </cell>
        </row>
        <row r="230">
          <cell r="D230">
            <v>43160</v>
          </cell>
        </row>
        <row r="230">
          <cell r="G230">
            <v>40.3802433423855</v>
          </cell>
        </row>
        <row r="230">
          <cell r="L230">
            <v>26.2471581725506</v>
          </cell>
        </row>
        <row r="230">
          <cell r="O230">
            <v>65335.26171875</v>
          </cell>
          <cell r="P230">
            <v>48223.64453125</v>
          </cell>
          <cell r="Q230">
            <v>15556.0146484375</v>
          </cell>
          <cell r="R230">
            <v>15556.0146484375</v>
          </cell>
        </row>
        <row r="230">
          <cell r="T230">
            <v>988.487424565505</v>
          </cell>
        </row>
        <row r="230">
          <cell r="Y230">
            <v>38.3612311752662</v>
          </cell>
        </row>
        <row r="230">
          <cell r="AD230">
            <v>26.2471581725506</v>
          </cell>
        </row>
        <row r="231">
          <cell r="D231">
            <v>43191</v>
          </cell>
        </row>
        <row r="231">
          <cell r="G231">
            <v>37.7845557390769</v>
          </cell>
        </row>
        <row r="231">
          <cell r="L231">
            <v>24.5599612304</v>
          </cell>
        </row>
        <row r="231">
          <cell r="O231">
            <v>64977.1484375</v>
          </cell>
          <cell r="P231">
            <v>46218.8671875</v>
          </cell>
          <cell r="Q231">
            <v>12376.599609375</v>
          </cell>
          <cell r="R231">
            <v>15470.75</v>
          </cell>
        </row>
        <row r="231">
          <cell r="T231">
            <v>-2270.55395558424</v>
          </cell>
        </row>
        <row r="231">
          <cell r="Y231">
            <v>35.895327952123</v>
          </cell>
        </row>
        <row r="231">
          <cell r="AD231">
            <v>24.5599612304</v>
          </cell>
        </row>
        <row r="232">
          <cell r="D232">
            <v>43221</v>
          </cell>
        </row>
        <row r="232">
          <cell r="G232">
            <v>37.8592362027232</v>
          </cell>
        </row>
        <row r="232">
          <cell r="L232">
            <v>24.6085035317701</v>
          </cell>
        </row>
        <row r="232">
          <cell r="O232">
            <v>67683.8046875</v>
          </cell>
          <cell r="P232">
            <v>47686.31640625</v>
          </cell>
          <cell r="Q232">
            <v>12306.1455078125</v>
          </cell>
          <cell r="R232">
            <v>15382.6826171875</v>
          </cell>
        </row>
        <row r="232">
          <cell r="T232">
            <v>-2464.47259004466</v>
          </cell>
        </row>
        <row r="232">
          <cell r="Y232">
            <v>35.966274392587</v>
          </cell>
        </row>
        <row r="232">
          <cell r="AD232">
            <v>24.6085035317701</v>
          </cell>
        </row>
        <row r="233">
          <cell r="D233">
            <v>43252</v>
          </cell>
        </row>
        <row r="233">
          <cell r="G233">
            <v>38.2896558608696</v>
          </cell>
        </row>
        <row r="233">
          <cell r="L233">
            <v>24.8882763095652</v>
          </cell>
        </row>
        <row r="233">
          <cell r="O233">
            <v>64254.02734375</v>
          </cell>
          <cell r="P233">
            <v>45895.73046875</v>
          </cell>
          <cell r="Q233">
            <v>15298.5771484375</v>
          </cell>
          <cell r="R233">
            <v>12238.8623046875</v>
          </cell>
        </row>
        <row r="233">
          <cell r="T233">
            <v>-2113.83615302588</v>
          </cell>
        </row>
        <row r="233">
          <cell r="Y233">
            <v>36.3751730678261</v>
          </cell>
        </row>
        <row r="233">
          <cell r="AD233">
            <v>24.8882763095652</v>
          </cell>
        </row>
        <row r="234">
          <cell r="D234">
            <v>43282</v>
          </cell>
        </row>
        <row r="234">
          <cell r="G234">
            <v>38.7955092858914</v>
          </cell>
        </row>
        <row r="234">
          <cell r="L234">
            <v>25.2170810358294</v>
          </cell>
        </row>
        <row r="234">
          <cell r="O234">
            <v>63884.6015625</v>
          </cell>
          <cell r="P234">
            <v>47152.921875</v>
          </cell>
          <cell r="Q234">
            <v>12168.49609375</v>
          </cell>
          <cell r="R234">
            <v>18252.744140625</v>
          </cell>
        </row>
        <row r="234">
          <cell r="T234">
            <v>-1778.60728293948</v>
          </cell>
        </row>
        <row r="234">
          <cell r="Y234">
            <v>36.8557338215968</v>
          </cell>
        </row>
        <row r="234">
          <cell r="AD234">
            <v>25.2170810358294</v>
          </cell>
        </row>
        <row r="235">
          <cell r="D235">
            <v>43313</v>
          </cell>
        </row>
        <row r="235">
          <cell r="G235">
            <v>39.227844575025</v>
          </cell>
        </row>
        <row r="235">
          <cell r="L235">
            <v>25.4980989737663</v>
          </cell>
        </row>
        <row r="235">
          <cell r="O235">
            <v>69574.40625</v>
          </cell>
          <cell r="P235">
            <v>46887.1015625</v>
          </cell>
          <cell r="Q235">
            <v>12099.896484375</v>
          </cell>
          <cell r="R235">
            <v>12099.896484375</v>
          </cell>
        </row>
        <row r="235">
          <cell r="T235">
            <v>-1539.16743425843</v>
          </cell>
        </row>
        <row r="235">
          <cell r="Y235">
            <v>37.2664523462738</v>
          </cell>
        </row>
        <row r="235">
          <cell r="AD235">
            <v>25.4980989737663</v>
          </cell>
        </row>
        <row r="236">
          <cell r="D236">
            <v>43344</v>
          </cell>
        </row>
        <row r="236">
          <cell r="G236">
            <v>39.1875838973285</v>
          </cell>
        </row>
        <row r="236">
          <cell r="L236">
            <v>25.4719295332635</v>
          </cell>
        </row>
        <row r="236">
          <cell r="O236">
            <v>57149.9921875</v>
          </cell>
          <cell r="P236">
            <v>45118.4140625</v>
          </cell>
          <cell r="Q236">
            <v>15039.4716796875</v>
          </cell>
          <cell r="R236">
            <v>18047.365234375</v>
          </cell>
        </row>
        <row r="236">
          <cell r="T236">
            <v>-1728.11016782309</v>
          </cell>
        </row>
        <row r="236">
          <cell r="Y236">
            <v>37.228204702462</v>
          </cell>
        </row>
        <row r="236">
          <cell r="AD236">
            <v>25.4719295332635</v>
          </cell>
        </row>
        <row r="237">
          <cell r="D237">
            <v>43374</v>
          </cell>
        </row>
        <row r="237">
          <cell r="G237">
            <v>39.2115229951658</v>
          </cell>
        </row>
        <row r="237">
          <cell r="L237">
            <v>25.4874899468578</v>
          </cell>
        </row>
        <row r="237">
          <cell r="O237">
            <v>65798.40625</v>
          </cell>
          <cell r="P237">
            <v>46544.89453125</v>
          </cell>
          <cell r="Q237">
            <v>11963.3466796875</v>
          </cell>
          <cell r="R237">
            <v>14954.18359375</v>
          </cell>
        </row>
        <row r="237">
          <cell r="T237">
            <v>-2013.62979702618</v>
          </cell>
        </row>
        <row r="237">
          <cell r="Y237">
            <v>37.2509468454075</v>
          </cell>
        </row>
        <row r="237">
          <cell r="AD237">
            <v>25.4874899468578</v>
          </cell>
        </row>
        <row r="238">
          <cell r="D238">
            <v>43405</v>
          </cell>
        </row>
        <row r="238">
          <cell r="G238">
            <v>41.4889803183558</v>
          </cell>
        </row>
        <row r="238">
          <cell r="L238">
            <v>26.9678372069313</v>
          </cell>
        </row>
        <row r="238">
          <cell r="O238">
            <v>62459.69140625</v>
          </cell>
          <cell r="P238">
            <v>44614.0625</v>
          </cell>
          <cell r="Q238">
            <v>11897.083984375</v>
          </cell>
          <cell r="R238">
            <v>14871.35546875</v>
          </cell>
        </row>
        <row r="238">
          <cell r="T238">
            <v>1475.08948305795</v>
          </cell>
        </row>
        <row r="238">
          <cell r="Y238">
            <v>39.414531302438</v>
          </cell>
        </row>
        <row r="238">
          <cell r="AD238">
            <v>26.9678372069313</v>
          </cell>
        </row>
        <row r="239">
          <cell r="D239">
            <v>43435</v>
          </cell>
        </row>
        <row r="239">
          <cell r="G239">
            <v>43.1542816592904</v>
          </cell>
        </row>
        <row r="239">
          <cell r="L239">
            <v>28.0502830785388</v>
          </cell>
        </row>
        <row r="239">
          <cell r="O239">
            <v>59146.08984375</v>
          </cell>
          <cell r="P239">
            <v>45838.21875</v>
          </cell>
          <cell r="Q239">
            <v>14786.5224609375</v>
          </cell>
          <cell r="R239">
            <v>17743.828125</v>
          </cell>
        </row>
        <row r="239">
          <cell r="T239">
            <v>3062.04259773042</v>
          </cell>
        </row>
        <row r="239">
          <cell r="Y239">
            <v>40.9965675763259</v>
          </cell>
        </row>
        <row r="239">
          <cell r="AD239">
            <v>28.0502830785388</v>
          </cell>
        </row>
        <row r="240">
          <cell r="D240">
            <v>43466</v>
          </cell>
        </row>
        <row r="240">
          <cell r="G240">
            <v>42.7704012252907</v>
          </cell>
        </row>
        <row r="240">
          <cell r="L240">
            <v>27.800760796439</v>
          </cell>
        </row>
        <row r="240">
          <cell r="O240">
            <v>59895.2578125</v>
          </cell>
          <cell r="P240">
            <v>44208.40234375</v>
          </cell>
          <cell r="Q240">
            <v>11408.6201171875</v>
          </cell>
          <cell r="R240">
            <v>17112.9296875</v>
          </cell>
        </row>
        <row r="240">
          <cell r="T240">
            <v>5100.93339331421</v>
          </cell>
        </row>
        <row r="240">
          <cell r="Y240">
            <v>40.6318811640262</v>
          </cell>
        </row>
        <row r="240">
          <cell r="AD240">
            <v>27.800760796439</v>
          </cell>
        </row>
        <row r="241">
          <cell r="D241">
            <v>43497</v>
          </cell>
        </row>
        <row r="241">
          <cell r="G241">
            <v>41.8501848985973</v>
          </cell>
        </row>
        <row r="241">
          <cell r="L241">
            <v>27.2026201840883</v>
          </cell>
        </row>
        <row r="241">
          <cell r="O241">
            <v>53910.015625</v>
          </cell>
          <cell r="P241">
            <v>39723.16796875</v>
          </cell>
          <cell r="Q241">
            <v>11349.4765625</v>
          </cell>
          <cell r="R241">
            <v>14186.845703125</v>
          </cell>
        </row>
        <row r="241">
          <cell r="T241">
            <v>2438.59342647745</v>
          </cell>
        </row>
        <row r="241">
          <cell r="Y241">
            <v>39.7576756536675</v>
          </cell>
        </row>
        <row r="241">
          <cell r="AD241">
            <v>27.2026201840883</v>
          </cell>
        </row>
        <row r="242">
          <cell r="D242">
            <v>43525</v>
          </cell>
        </row>
        <row r="242">
          <cell r="G242">
            <v>40.3802433423855</v>
          </cell>
        </row>
        <row r="242">
          <cell r="L242">
            <v>26.2471581725506</v>
          </cell>
        </row>
        <row r="242">
          <cell r="O242">
            <v>59239.66796875</v>
          </cell>
          <cell r="P242">
            <v>43724.515625</v>
          </cell>
          <cell r="Q242">
            <v>14104.6826171875</v>
          </cell>
          <cell r="R242">
            <v>14104.6826171875</v>
          </cell>
        </row>
        <row r="242">
          <cell r="T242">
            <v>896.264360517031</v>
          </cell>
        </row>
        <row r="242">
          <cell r="Y242">
            <v>38.3612311752662</v>
          </cell>
        </row>
        <row r="242">
          <cell r="AD242">
            <v>26.2471581725506</v>
          </cell>
        </row>
        <row r="243">
          <cell r="D243">
            <v>43556</v>
          </cell>
        </row>
        <row r="243">
          <cell r="G243">
            <v>37.7845557390769</v>
          </cell>
        </row>
        <row r="243">
          <cell r="L243">
            <v>24.5599612304</v>
          </cell>
        </row>
        <row r="243">
          <cell r="O243">
            <v>58912.99609375</v>
          </cell>
          <cell r="P243">
            <v>41905.375</v>
          </cell>
          <cell r="Q243">
            <v>11221.5234375</v>
          </cell>
          <cell r="R243">
            <v>14026.904296875</v>
          </cell>
        </row>
        <row r="243">
          <cell r="T243">
            <v>-2058.64889476921</v>
          </cell>
        </row>
        <row r="243">
          <cell r="Y243">
            <v>35.895327952123</v>
          </cell>
        </row>
        <row r="243">
          <cell r="AD243">
            <v>24.5599612304</v>
          </cell>
        </row>
        <row r="244">
          <cell r="D244">
            <v>43586</v>
          </cell>
        </row>
        <row r="244">
          <cell r="G244">
            <v>37.8592362027232</v>
          </cell>
        </row>
        <row r="244">
          <cell r="L244">
            <v>24.6085035317701</v>
          </cell>
        </row>
        <row r="244">
          <cell r="O244">
            <v>61363.31640625</v>
          </cell>
          <cell r="P244">
            <v>43233.2421875</v>
          </cell>
          <cell r="Q244">
            <v>11156.966796875</v>
          </cell>
          <cell r="R244">
            <v>13946.2080078125</v>
          </cell>
        </row>
        <row r="244">
          <cell r="T244">
            <v>-2234.33375971027</v>
          </cell>
        </row>
        <row r="244">
          <cell r="Y244">
            <v>35.966274392587</v>
          </cell>
        </row>
        <row r="244">
          <cell r="AD244">
            <v>24.6085035317701</v>
          </cell>
        </row>
        <row r="245">
          <cell r="D245">
            <v>43617</v>
          </cell>
        </row>
        <row r="245">
          <cell r="G245">
            <v>38.2896558608696</v>
          </cell>
        </row>
        <row r="245">
          <cell r="L245">
            <v>24.8882763095652</v>
          </cell>
        </row>
        <row r="245">
          <cell r="O245">
            <v>55475.31640625</v>
          </cell>
          <cell r="P245">
            <v>41606.48828125</v>
          </cell>
          <cell r="Q245">
            <v>13868.8291015625</v>
          </cell>
          <cell r="R245">
            <v>13868.8291015625</v>
          </cell>
        </row>
        <row r="245">
          <cell r="T245">
            <v>-1898.68049852469</v>
          </cell>
        </row>
        <row r="245">
          <cell r="Y245">
            <v>36.3751730678261</v>
          </cell>
        </row>
        <row r="245">
          <cell r="AD245">
            <v>24.8882763095652</v>
          </cell>
        </row>
        <row r="246">
          <cell r="D246">
            <v>43647</v>
          </cell>
        </row>
        <row r="246">
          <cell r="G246">
            <v>38.7955092858914</v>
          </cell>
        </row>
        <row r="246">
          <cell r="L246">
            <v>25.2170810358294</v>
          </cell>
        </row>
        <row r="246">
          <cell r="O246">
            <v>60669.6796875</v>
          </cell>
          <cell r="P246">
            <v>42744.546875</v>
          </cell>
          <cell r="Q246">
            <v>11030.8505859375</v>
          </cell>
          <cell r="R246">
            <v>13788.5634765625</v>
          </cell>
        </row>
        <row r="246">
          <cell r="T246">
            <v>-1626.88300090504</v>
          </cell>
        </row>
        <row r="246">
          <cell r="Y246">
            <v>36.8557338215968</v>
          </cell>
        </row>
        <row r="246">
          <cell r="AD246">
            <v>25.2170810358294</v>
          </cell>
        </row>
        <row r="247">
          <cell r="D247">
            <v>43678</v>
          </cell>
        </row>
        <row r="247">
          <cell r="G247">
            <v>39.227844575025</v>
          </cell>
        </row>
        <row r="247">
          <cell r="L247">
            <v>25.4980989737663</v>
          </cell>
        </row>
        <row r="247">
          <cell r="O247">
            <v>60322.69140625</v>
          </cell>
          <cell r="P247">
            <v>42500.07421875</v>
          </cell>
          <cell r="Q247">
            <v>13709.7021484375</v>
          </cell>
          <cell r="R247">
            <v>10967.76171875</v>
          </cell>
        </row>
        <row r="247">
          <cell r="T247">
            <v>-1393.38864248849</v>
          </cell>
        </row>
        <row r="247">
          <cell r="Y247">
            <v>37.2664523462738</v>
          </cell>
        </row>
        <row r="247">
          <cell r="AD247">
            <v>25.4980989737663</v>
          </cell>
        </row>
        <row r="248">
          <cell r="D248">
            <v>43709</v>
          </cell>
        </row>
        <row r="248">
          <cell r="G248">
            <v>39.1875838973285</v>
          </cell>
        </row>
        <row r="248">
          <cell r="L248">
            <v>25.4719295332635</v>
          </cell>
        </row>
        <row r="248">
          <cell r="O248">
            <v>54529.71484375</v>
          </cell>
          <cell r="P248">
            <v>40897.2890625</v>
          </cell>
          <cell r="Q248">
            <v>10905.943359375</v>
          </cell>
          <cell r="R248">
            <v>16358.9150390625</v>
          </cell>
        </row>
        <row r="248">
          <cell r="T248">
            <v>-1568.52973355137</v>
          </cell>
        </row>
        <row r="248">
          <cell r="Y248">
            <v>37.228204702462</v>
          </cell>
        </row>
        <row r="248">
          <cell r="AD248">
            <v>25.4719295332635</v>
          </cell>
        </row>
        <row r="249">
          <cell r="D249">
            <v>43739</v>
          </cell>
        </row>
        <row r="249">
          <cell r="G249">
            <v>39.2115229951658</v>
          </cell>
        </row>
        <row r="249">
          <cell r="L249">
            <v>25.4874899468578</v>
          </cell>
        </row>
        <row r="249">
          <cell r="O249">
            <v>59636.08984375</v>
          </cell>
          <cell r="P249">
            <v>42185.7578125</v>
          </cell>
          <cell r="Q249">
            <v>10842.92578125</v>
          </cell>
          <cell r="R249">
            <v>13553.6572265625</v>
          </cell>
        </row>
        <row r="249">
          <cell r="T249">
            <v>-1825.04434438453</v>
          </cell>
        </row>
        <row r="249">
          <cell r="Y249">
            <v>37.2509468454075</v>
          </cell>
        </row>
        <row r="249">
          <cell r="AD249">
            <v>25.4874899468578</v>
          </cell>
        </row>
        <row r="250">
          <cell r="D250">
            <v>43770</v>
          </cell>
        </row>
        <row r="250">
          <cell r="G250">
            <v>41.4889803183558</v>
          </cell>
        </row>
        <row r="250">
          <cell r="L250">
            <v>26.9678372069313</v>
          </cell>
        </row>
        <row r="250">
          <cell r="O250">
            <v>51214.3515625</v>
          </cell>
          <cell r="P250">
            <v>40432.3828125</v>
          </cell>
          <cell r="Q250">
            <v>13477.4609375</v>
          </cell>
          <cell r="R250">
            <v>16172.953125</v>
          </cell>
        </row>
        <row r="250">
          <cell r="T250">
            <v>1322.69174463269</v>
          </cell>
        </row>
        <row r="250">
          <cell r="Y250">
            <v>39.414531302438</v>
          </cell>
        </row>
        <row r="250">
          <cell r="AD250">
            <v>26.9678372069313</v>
          </cell>
        </row>
        <row r="251">
          <cell r="D251">
            <v>43800</v>
          </cell>
        </row>
        <row r="251">
          <cell r="G251">
            <v>43.1542816592904</v>
          </cell>
        </row>
        <row r="251">
          <cell r="L251">
            <v>28.0502830785388</v>
          </cell>
        </row>
        <row r="251">
          <cell r="O251">
            <v>56280.45703125</v>
          </cell>
          <cell r="P251">
            <v>41540.33984375</v>
          </cell>
          <cell r="Q251">
            <v>10720.0869140625</v>
          </cell>
          <cell r="R251">
            <v>16080.130859375</v>
          </cell>
        </row>
        <row r="251">
          <cell r="T251">
            <v>2778.51563313613</v>
          </cell>
        </row>
        <row r="251">
          <cell r="Y251">
            <v>40.9965675763259</v>
          </cell>
        </row>
        <row r="251">
          <cell r="AD251">
            <v>28.0502830785388</v>
          </cell>
        </row>
        <row r="252">
          <cell r="D252">
            <v>43831</v>
          </cell>
        </row>
        <row r="252">
          <cell r="G252">
            <v>42.7704012252907</v>
          </cell>
        </row>
        <row r="252">
          <cell r="L252">
            <v>27.800760796439</v>
          </cell>
        </row>
        <row r="252">
          <cell r="O252">
            <v>54440.2890625</v>
          </cell>
          <cell r="P252">
            <v>40182.1171875</v>
          </cell>
          <cell r="Q252">
            <v>10369.5791015625</v>
          </cell>
          <cell r="R252">
            <v>15554.3681640625</v>
          </cell>
        </row>
        <row r="252">
          <cell r="T252">
            <v>4636.36527690862</v>
          </cell>
        </row>
        <row r="252">
          <cell r="Y252">
            <v>40.6318811640262</v>
          </cell>
        </row>
        <row r="252">
          <cell r="AD252">
            <v>27.800760796439</v>
          </cell>
        </row>
        <row r="253">
          <cell r="D253">
            <v>43862</v>
          </cell>
        </row>
        <row r="253">
          <cell r="G253">
            <v>41.8501848985973</v>
          </cell>
        </row>
        <row r="253">
          <cell r="L253">
            <v>27.2026201840883</v>
          </cell>
        </row>
        <row r="253">
          <cell r="O253">
            <v>48987.0234375</v>
          </cell>
          <cell r="P253">
            <v>37384.8359375</v>
          </cell>
          <cell r="Q253">
            <v>12891.322265625</v>
          </cell>
          <cell r="R253">
            <v>12891.322265625</v>
          </cell>
        </row>
        <row r="253">
          <cell r="T253">
            <v>2296.28046098543</v>
          </cell>
        </row>
        <row r="253">
          <cell r="Y253">
            <v>39.7576756536675</v>
          </cell>
        </row>
        <row r="253">
          <cell r="AD253">
            <v>27.2026201840883</v>
          </cell>
        </row>
        <row r="254">
          <cell r="D254">
            <v>43891</v>
          </cell>
        </row>
        <row r="254">
          <cell r="G254">
            <v>40.3802433423855</v>
          </cell>
        </row>
        <row r="254">
          <cell r="L254">
            <v>26.2471581725506</v>
          </cell>
        </row>
        <row r="254">
          <cell r="O254">
            <v>56394.06640625</v>
          </cell>
          <cell r="P254">
            <v>39732.1796875</v>
          </cell>
          <cell r="Q254">
            <v>10253.466796875</v>
          </cell>
          <cell r="R254">
            <v>12816.8330078125</v>
          </cell>
        </row>
        <row r="254">
          <cell r="T254">
            <v>815.475134523061</v>
          </cell>
        </row>
        <row r="254">
          <cell r="Y254">
            <v>38.3612311752662</v>
          </cell>
        </row>
        <row r="254">
          <cell r="AD254">
            <v>26.2471581725506</v>
          </cell>
        </row>
        <row r="255">
          <cell r="D255">
            <v>43922</v>
          </cell>
        </row>
        <row r="255">
          <cell r="G255">
            <v>37.7845557390769</v>
          </cell>
        </row>
        <row r="255">
          <cell r="L255">
            <v>24.5599612304</v>
          </cell>
        </row>
        <row r="255">
          <cell r="O255">
            <v>53528.08203125</v>
          </cell>
          <cell r="P255">
            <v>38075.03515625</v>
          </cell>
          <cell r="Q255">
            <v>10195.8251953125</v>
          </cell>
          <cell r="R255">
            <v>12744.78125</v>
          </cell>
        </row>
        <row r="255">
          <cell r="T255">
            <v>-1870.47908002526</v>
          </cell>
        </row>
        <row r="255">
          <cell r="Y255">
            <v>35.895327952123</v>
          </cell>
        </row>
        <row r="255">
          <cell r="AD255">
            <v>24.5599612304</v>
          </cell>
        </row>
        <row r="256">
          <cell r="D256">
            <v>43952</v>
          </cell>
        </row>
        <row r="256">
          <cell r="G256">
            <v>37.8592362027232</v>
          </cell>
        </row>
        <row r="256">
          <cell r="L256">
            <v>24.6085035317701</v>
          </cell>
        </row>
        <row r="256">
          <cell r="O256">
            <v>50680.17578125</v>
          </cell>
          <cell r="P256">
            <v>39277.13671875</v>
          </cell>
          <cell r="Q256">
            <v>12670.0439453125</v>
          </cell>
          <cell r="R256">
            <v>15204.052734375</v>
          </cell>
        </row>
        <row r="256">
          <cell r="T256">
            <v>-2009.12110119495</v>
          </cell>
        </row>
        <row r="256">
          <cell r="Y256">
            <v>35.966274392587</v>
          </cell>
        </row>
        <row r="256">
          <cell r="AD256">
            <v>24.6085035317701</v>
          </cell>
        </row>
        <row r="257">
          <cell r="D257">
            <v>43983</v>
          </cell>
        </row>
        <row r="257">
          <cell r="G257">
            <v>38.2896558608696</v>
          </cell>
        </row>
        <row r="257">
          <cell r="L257">
            <v>24.8882763095652</v>
          </cell>
        </row>
        <row r="257">
          <cell r="O257">
            <v>55437.07421875</v>
          </cell>
          <cell r="P257">
            <v>37798.00390625</v>
          </cell>
          <cell r="Q257">
            <v>10079.4677734375</v>
          </cell>
          <cell r="R257">
            <v>10079.4677734375</v>
          </cell>
        </row>
        <row r="257">
          <cell r="T257">
            <v>-1743.16228025812</v>
          </cell>
        </row>
        <row r="257">
          <cell r="Y257">
            <v>36.3751730678261</v>
          </cell>
        </row>
        <row r="257">
          <cell r="AD257">
            <v>24.8882763095652</v>
          </cell>
        </row>
        <row r="258">
          <cell r="D258">
            <v>44013</v>
          </cell>
        </row>
        <row r="258">
          <cell r="G258">
            <v>38.7955092858914</v>
          </cell>
        </row>
        <row r="258">
          <cell r="L258">
            <v>25.2170810358294</v>
          </cell>
        </row>
        <row r="258">
          <cell r="O258">
            <v>57619.421875</v>
          </cell>
          <cell r="P258">
            <v>38830.4765625</v>
          </cell>
          <cell r="Q258">
            <v>7515.57666015625</v>
          </cell>
          <cell r="R258">
            <v>12525.9609375</v>
          </cell>
        </row>
        <row r="258">
          <cell r="T258">
            <v>-1479.80821811638</v>
          </cell>
        </row>
        <row r="258">
          <cell r="Y258">
            <v>36.8557338215968</v>
          </cell>
        </row>
        <row r="258">
          <cell r="AD258">
            <v>25.2170810358294</v>
          </cell>
        </row>
        <row r="259">
          <cell r="D259">
            <v>44044</v>
          </cell>
        </row>
        <row r="259">
          <cell r="G259">
            <v>39.227844575025</v>
          </cell>
        </row>
        <row r="259">
          <cell r="L259">
            <v>25.4980989737663</v>
          </cell>
        </row>
        <row r="259">
          <cell r="O259">
            <v>52303.72265625</v>
          </cell>
          <cell r="P259">
            <v>38605.1328125</v>
          </cell>
          <cell r="Q259">
            <v>12453.267578125</v>
          </cell>
          <cell r="R259">
            <v>12453.267578125</v>
          </cell>
        </row>
        <row r="259">
          <cell r="T259">
            <v>-1254.45494801498</v>
          </cell>
        </row>
        <row r="259">
          <cell r="Y259">
            <v>37.2664523462738</v>
          </cell>
        </row>
        <row r="259">
          <cell r="AD259">
            <v>25.4980989737663</v>
          </cell>
        </row>
        <row r="260">
          <cell r="D260">
            <v>44075</v>
          </cell>
        </row>
        <row r="260">
          <cell r="G260">
            <v>39.1875838973285</v>
          </cell>
        </row>
        <row r="260">
          <cell r="L260">
            <v>25.4719295332635</v>
          </cell>
        </row>
        <row r="260">
          <cell r="O260">
            <v>52007.08203125</v>
          </cell>
          <cell r="P260">
            <v>37147.9140625</v>
          </cell>
          <cell r="Q260">
            <v>9906.111328125</v>
          </cell>
          <cell r="R260">
            <v>12382.638671875</v>
          </cell>
        </row>
        <row r="260">
          <cell r="T260">
            <v>-1438.04629641614</v>
          </cell>
        </row>
        <row r="260">
          <cell r="Y260">
            <v>37.228204702462</v>
          </cell>
        </row>
        <row r="260">
          <cell r="AD260">
            <v>25.4719295332635</v>
          </cell>
        </row>
        <row r="261">
          <cell r="D261">
            <v>44105</v>
          </cell>
        </row>
        <row r="261">
          <cell r="G261">
            <v>39.2115229951658</v>
          </cell>
        </row>
        <row r="261">
          <cell r="L261">
            <v>25.4874899468578</v>
          </cell>
        </row>
        <row r="261">
          <cell r="O261">
            <v>51702.09765625</v>
          </cell>
          <cell r="P261">
            <v>38314.94921875</v>
          </cell>
          <cell r="Q261">
            <v>12310.0234375</v>
          </cell>
          <cell r="R261">
            <v>12310.0234375</v>
          </cell>
        </row>
        <row r="261">
          <cell r="T261">
            <v>-1655.46504303728</v>
          </cell>
        </row>
        <row r="261">
          <cell r="Y261">
            <v>37.2509468454075</v>
          </cell>
        </row>
        <row r="261">
          <cell r="AD261">
            <v>25.4874899468578</v>
          </cell>
        </row>
        <row r="262">
          <cell r="D262">
            <v>44136</v>
          </cell>
        </row>
        <row r="262">
          <cell r="G262">
            <v>41.4889803183558</v>
          </cell>
        </row>
        <row r="262">
          <cell r="L262">
            <v>26.9678372069313</v>
          </cell>
        </row>
        <row r="262">
          <cell r="O262">
            <v>46514.703125</v>
          </cell>
          <cell r="P262">
            <v>36722.1328125</v>
          </cell>
          <cell r="Q262">
            <v>9792.5693359375</v>
          </cell>
          <cell r="R262">
            <v>17136.99609375</v>
          </cell>
        </row>
        <row r="262">
          <cell r="T262">
            <v>1191.67645481536</v>
          </cell>
        </row>
        <row r="262">
          <cell r="Y262">
            <v>39.414531302438</v>
          </cell>
        </row>
        <row r="262">
          <cell r="AD262">
            <v>26.9678372069313</v>
          </cell>
        </row>
        <row r="263">
          <cell r="D263">
            <v>44166</v>
          </cell>
        </row>
        <row r="263">
          <cell r="G263">
            <v>43.1542816592904</v>
          </cell>
        </row>
        <row r="263">
          <cell r="L263">
            <v>28.0502830785388</v>
          </cell>
        </row>
        <row r="263">
          <cell r="O263">
            <v>53545.48046875</v>
          </cell>
          <cell r="P263">
            <v>37725.2265625</v>
          </cell>
          <cell r="Q263">
            <v>9735.5419921875</v>
          </cell>
          <cell r="R263">
            <v>12169.427734375</v>
          </cell>
        </row>
        <row r="263">
          <cell r="T263">
            <v>2546.10948462492</v>
          </cell>
        </row>
        <row r="263">
          <cell r="Y263">
            <v>40.9965675763259</v>
          </cell>
        </row>
        <row r="263">
          <cell r="AD263">
            <v>28.0502830785388</v>
          </cell>
        </row>
        <row r="264">
          <cell r="D264">
            <v>44197</v>
          </cell>
        </row>
        <row r="264">
          <cell r="G264">
            <v>43.1542816592904</v>
          </cell>
        </row>
        <row r="264">
          <cell r="L264">
            <v>28.0502830785388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4">
          <cell r="T264">
            <v>0</v>
          </cell>
        </row>
        <row r="264">
          <cell r="Y264">
            <v>40.9965675763259</v>
          </cell>
        </row>
        <row r="264">
          <cell r="AD264">
            <v>28.0502830785388</v>
          </cell>
        </row>
        <row r="265">
          <cell r="D265">
            <v>44228</v>
          </cell>
        </row>
        <row r="265">
          <cell r="G265">
            <v>43.1542816592904</v>
          </cell>
        </row>
        <row r="265">
          <cell r="L265">
            <v>28.0502830785388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5">
          <cell r="T265">
            <v>0</v>
          </cell>
        </row>
        <row r="265">
          <cell r="Y265">
            <v>40.9965675763259</v>
          </cell>
        </row>
        <row r="265">
          <cell r="AD265">
            <v>28.0502830785388</v>
          </cell>
        </row>
        <row r="266">
          <cell r="D266">
            <v>44256</v>
          </cell>
        </row>
        <row r="266">
          <cell r="G266">
            <v>43.1542816592904</v>
          </cell>
        </row>
        <row r="266">
          <cell r="L266">
            <v>28.0502830785388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6">
          <cell r="T266">
            <v>0</v>
          </cell>
        </row>
        <row r="266">
          <cell r="Y266">
            <v>40.9965675763259</v>
          </cell>
        </row>
        <row r="266">
          <cell r="AD266">
            <v>28.0502830785388</v>
          </cell>
        </row>
        <row r="267">
          <cell r="D267">
            <v>44287</v>
          </cell>
        </row>
        <row r="267">
          <cell r="G267">
            <v>43.1542816592904</v>
          </cell>
        </row>
        <row r="267">
          <cell r="L267">
            <v>28.0502830785388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7">
          <cell r="T267">
            <v>0</v>
          </cell>
        </row>
        <row r="267">
          <cell r="Y267">
            <v>40.9965675763259</v>
          </cell>
        </row>
        <row r="267">
          <cell r="AD267">
            <v>28.0502830785388</v>
          </cell>
        </row>
        <row r="268">
          <cell r="D268">
            <v>44317</v>
          </cell>
        </row>
        <row r="268">
          <cell r="G268">
            <v>43.1542816592904</v>
          </cell>
        </row>
        <row r="268">
          <cell r="L268">
            <v>28.0502830785388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8">
          <cell r="T268">
            <v>0</v>
          </cell>
        </row>
        <row r="268">
          <cell r="Y268">
            <v>40.9965675763259</v>
          </cell>
        </row>
        <row r="268">
          <cell r="AD268">
            <v>28.0502830785388</v>
          </cell>
        </row>
        <row r="269">
          <cell r="D269">
            <v>44348</v>
          </cell>
        </row>
        <row r="269">
          <cell r="G269">
            <v>43.1542816592904</v>
          </cell>
        </row>
        <row r="269">
          <cell r="L269">
            <v>28.0502830785388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69">
          <cell r="T269">
            <v>0</v>
          </cell>
        </row>
        <row r="269">
          <cell r="Y269">
            <v>40.9965675763259</v>
          </cell>
        </row>
        <row r="269">
          <cell r="AD269">
            <v>28.0502830785388</v>
          </cell>
        </row>
        <row r="270">
          <cell r="D270">
            <v>44378</v>
          </cell>
        </row>
        <row r="270">
          <cell r="G270">
            <v>43.1542816592904</v>
          </cell>
        </row>
        <row r="270">
          <cell r="L270">
            <v>28.0502830785388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0">
          <cell r="T270">
            <v>0</v>
          </cell>
        </row>
        <row r="270">
          <cell r="Y270">
            <v>40.9965675763259</v>
          </cell>
        </row>
        <row r="270">
          <cell r="AD270">
            <v>28.0502830785388</v>
          </cell>
        </row>
        <row r="271">
          <cell r="D271">
            <v>44409</v>
          </cell>
        </row>
        <row r="271">
          <cell r="G271">
            <v>43.1542816592904</v>
          </cell>
        </row>
        <row r="271">
          <cell r="L271">
            <v>28.0502830785388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1">
          <cell r="T271">
            <v>0</v>
          </cell>
        </row>
        <row r="271">
          <cell r="Y271">
            <v>40.9965675763259</v>
          </cell>
        </row>
        <row r="271">
          <cell r="AD271">
            <v>28.0502830785388</v>
          </cell>
        </row>
        <row r="272">
          <cell r="D272">
            <v>44440</v>
          </cell>
        </row>
        <row r="272">
          <cell r="G272">
            <v>43.1542816592904</v>
          </cell>
        </row>
        <row r="272">
          <cell r="L272">
            <v>28.0502830785388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2">
          <cell r="T272">
            <v>0</v>
          </cell>
        </row>
        <row r="272">
          <cell r="Y272">
            <v>40.9965675763259</v>
          </cell>
        </row>
        <row r="272">
          <cell r="AD272">
            <v>28.0502830785388</v>
          </cell>
        </row>
        <row r="273">
          <cell r="T273">
            <v>0</v>
          </cell>
        </row>
      </sheetData>
      <sheetData sheetId="3">
        <row r="1">
          <cell r="T1">
            <v>538858.926762013</v>
          </cell>
        </row>
        <row r="3">
          <cell r="D3">
            <v>37190</v>
          </cell>
        </row>
        <row r="3">
          <cell r="T3">
            <v>0</v>
          </cell>
        </row>
        <row r="4">
          <cell r="D4">
            <v>37191</v>
          </cell>
        </row>
        <row r="4">
          <cell r="T4">
            <v>0</v>
          </cell>
        </row>
        <row r="5">
          <cell r="D5">
            <v>37192</v>
          </cell>
        </row>
        <row r="5">
          <cell r="T5">
            <v>0</v>
          </cell>
        </row>
        <row r="6">
          <cell r="D6">
            <v>37193</v>
          </cell>
        </row>
        <row r="6">
          <cell r="T6">
            <v>0</v>
          </cell>
        </row>
        <row r="7">
          <cell r="D7">
            <v>37194</v>
          </cell>
        </row>
        <row r="7">
          <cell r="T7">
            <v>0</v>
          </cell>
        </row>
        <row r="8">
          <cell r="D8">
            <v>37195</v>
          </cell>
        </row>
        <row r="8">
          <cell r="T8">
            <v>0</v>
          </cell>
        </row>
        <row r="9">
          <cell r="D9">
            <v>37196</v>
          </cell>
        </row>
        <row r="9">
          <cell r="T9">
            <v>0</v>
          </cell>
        </row>
        <row r="10">
          <cell r="D10">
            <v>37197</v>
          </cell>
        </row>
        <row r="10">
          <cell r="T10">
            <v>0</v>
          </cell>
        </row>
        <row r="11">
          <cell r="D11">
            <v>37198</v>
          </cell>
        </row>
        <row r="11">
          <cell r="T11">
            <v>0</v>
          </cell>
        </row>
        <row r="12">
          <cell r="D12">
            <v>37199</v>
          </cell>
        </row>
        <row r="12">
          <cell r="T12">
            <v>0</v>
          </cell>
        </row>
        <row r="13">
          <cell r="D13">
            <v>37200</v>
          </cell>
        </row>
        <row r="13">
          <cell r="T13">
            <v>0</v>
          </cell>
        </row>
        <row r="14">
          <cell r="D14">
            <v>37201</v>
          </cell>
        </row>
        <row r="14">
          <cell r="T14">
            <v>0</v>
          </cell>
        </row>
        <row r="15">
          <cell r="D15">
            <v>37202</v>
          </cell>
        </row>
        <row r="15">
          <cell r="T15">
            <v>0</v>
          </cell>
        </row>
        <row r="16">
          <cell r="D16">
            <v>37203</v>
          </cell>
        </row>
        <row r="16">
          <cell r="T16">
            <v>0</v>
          </cell>
        </row>
        <row r="17">
          <cell r="D17">
            <v>37204</v>
          </cell>
        </row>
        <row r="17">
          <cell r="T17">
            <v>0</v>
          </cell>
        </row>
        <row r="18">
          <cell r="D18">
            <v>37205</v>
          </cell>
        </row>
        <row r="18">
          <cell r="T18">
            <v>0</v>
          </cell>
        </row>
        <row r="19">
          <cell r="D19">
            <v>37206</v>
          </cell>
        </row>
        <row r="19">
          <cell r="T19">
            <v>0</v>
          </cell>
        </row>
        <row r="20">
          <cell r="D20">
            <v>37207</v>
          </cell>
        </row>
        <row r="20">
          <cell r="T20">
            <v>0</v>
          </cell>
        </row>
        <row r="21">
          <cell r="D21">
            <v>37208</v>
          </cell>
        </row>
        <row r="21">
          <cell r="T21">
            <v>0</v>
          </cell>
        </row>
        <row r="22">
          <cell r="D22">
            <v>37209</v>
          </cell>
        </row>
        <row r="22">
          <cell r="T22">
            <v>0</v>
          </cell>
        </row>
        <row r="23">
          <cell r="D23">
            <v>37210</v>
          </cell>
        </row>
        <row r="23">
          <cell r="T23">
            <v>0</v>
          </cell>
        </row>
        <row r="24">
          <cell r="D24">
            <v>37211</v>
          </cell>
        </row>
        <row r="24">
          <cell r="T24">
            <v>0</v>
          </cell>
        </row>
        <row r="25">
          <cell r="D25">
            <v>37212</v>
          </cell>
        </row>
        <row r="25">
          <cell r="T25">
            <v>0</v>
          </cell>
        </row>
        <row r="26">
          <cell r="D26">
            <v>37213</v>
          </cell>
        </row>
        <row r="26">
          <cell r="T26">
            <v>0</v>
          </cell>
        </row>
        <row r="27">
          <cell r="D27">
            <v>37214</v>
          </cell>
        </row>
        <row r="27">
          <cell r="T27">
            <v>0</v>
          </cell>
        </row>
        <row r="28">
          <cell r="D28">
            <v>37215</v>
          </cell>
        </row>
        <row r="28">
          <cell r="T28">
            <v>0</v>
          </cell>
        </row>
        <row r="29">
          <cell r="D29">
            <v>37216</v>
          </cell>
        </row>
        <row r="29">
          <cell r="T29">
            <v>0</v>
          </cell>
        </row>
        <row r="30">
          <cell r="D30">
            <v>37217</v>
          </cell>
        </row>
        <row r="30">
          <cell r="T30">
            <v>0</v>
          </cell>
        </row>
        <row r="31">
          <cell r="D31">
            <v>37218</v>
          </cell>
        </row>
        <row r="31">
          <cell r="T31">
            <v>0</v>
          </cell>
        </row>
        <row r="32">
          <cell r="D32">
            <v>37219</v>
          </cell>
        </row>
        <row r="32">
          <cell r="T32">
            <v>0</v>
          </cell>
        </row>
        <row r="33">
          <cell r="D33">
            <v>37220</v>
          </cell>
        </row>
        <row r="33">
          <cell r="T33">
            <v>0</v>
          </cell>
        </row>
        <row r="34">
          <cell r="D34">
            <v>37225</v>
          </cell>
        </row>
        <row r="34">
          <cell r="T34">
            <v>0</v>
          </cell>
        </row>
        <row r="35">
          <cell r="D35">
            <v>37226</v>
          </cell>
        </row>
        <row r="35">
          <cell r="T35">
            <v>0</v>
          </cell>
        </row>
        <row r="36">
          <cell r="D36">
            <v>37257</v>
          </cell>
        </row>
        <row r="36">
          <cell r="T36">
            <v>15274.2247910766</v>
          </cell>
        </row>
        <row r="37">
          <cell r="D37">
            <v>37288</v>
          </cell>
        </row>
        <row r="37">
          <cell r="T37">
            <v>15672.7312796396</v>
          </cell>
        </row>
        <row r="38">
          <cell r="D38">
            <v>37316</v>
          </cell>
        </row>
        <row r="38">
          <cell r="T38">
            <v>17740.8643737102</v>
          </cell>
        </row>
        <row r="39">
          <cell r="D39">
            <v>37347</v>
          </cell>
        </row>
        <row r="39">
          <cell r="T39">
            <v>9387.86014558111</v>
          </cell>
        </row>
        <row r="40">
          <cell r="D40">
            <v>37377</v>
          </cell>
        </row>
        <row r="40">
          <cell r="T40">
            <v>9368.87164797626</v>
          </cell>
        </row>
        <row r="41">
          <cell r="D41">
            <v>37408</v>
          </cell>
        </row>
        <row r="41">
          <cell r="T41">
            <v>9229.54595380144</v>
          </cell>
        </row>
        <row r="42">
          <cell r="D42">
            <v>37438</v>
          </cell>
        </row>
        <row r="42">
          <cell r="T42">
            <v>9136.05943219655</v>
          </cell>
        </row>
        <row r="43">
          <cell r="D43">
            <v>37469</v>
          </cell>
        </row>
        <row r="43">
          <cell r="T43">
            <v>9810.03904125092</v>
          </cell>
        </row>
        <row r="44">
          <cell r="D44">
            <v>37500</v>
          </cell>
        </row>
        <row r="44">
          <cell r="T44">
            <v>8892.9241971498</v>
          </cell>
        </row>
        <row r="45">
          <cell r="D45">
            <v>37530</v>
          </cell>
        </row>
        <row r="45">
          <cell r="T45">
            <v>11005.9747042812</v>
          </cell>
        </row>
        <row r="46">
          <cell r="D46">
            <v>37561</v>
          </cell>
        </row>
        <row r="46">
          <cell r="T46">
            <v>10479.6429793536</v>
          </cell>
        </row>
        <row r="47">
          <cell r="D47">
            <v>37591</v>
          </cell>
        </row>
        <row r="47">
          <cell r="T47">
            <v>12526.0356110034</v>
          </cell>
        </row>
        <row r="48">
          <cell r="D48">
            <v>37622</v>
          </cell>
        </row>
        <row r="48">
          <cell r="T48">
            <v>10154.2359188013</v>
          </cell>
        </row>
        <row r="49">
          <cell r="D49">
            <v>37653</v>
          </cell>
        </row>
        <row r="49">
          <cell r="T49">
            <v>10046.0535208825</v>
          </cell>
        </row>
        <row r="50">
          <cell r="D50">
            <v>37681</v>
          </cell>
        </row>
        <row r="50">
          <cell r="T50">
            <v>10508.458783945</v>
          </cell>
        </row>
        <row r="51">
          <cell r="D51">
            <v>37712</v>
          </cell>
        </row>
        <row r="51">
          <cell r="T51">
            <v>10972.0928143458</v>
          </cell>
        </row>
        <row r="52">
          <cell r="D52">
            <v>37742</v>
          </cell>
        </row>
        <row r="52">
          <cell r="T52">
            <v>10318.4539814992</v>
          </cell>
        </row>
        <row r="53">
          <cell r="D53">
            <v>37773</v>
          </cell>
        </row>
        <row r="53">
          <cell r="T53">
            <v>10268.6152424973</v>
          </cell>
        </row>
        <row r="54">
          <cell r="D54">
            <v>37803</v>
          </cell>
        </row>
        <row r="54">
          <cell r="T54">
            <v>10708.9522806818</v>
          </cell>
        </row>
        <row r="55">
          <cell r="D55">
            <v>37834</v>
          </cell>
        </row>
        <row r="55">
          <cell r="T55">
            <v>10175.0171310228</v>
          </cell>
        </row>
        <row r="56">
          <cell r="D56">
            <v>37865</v>
          </cell>
        </row>
        <row r="56">
          <cell r="T56">
            <v>9590.20872877132</v>
          </cell>
        </row>
        <row r="57">
          <cell r="D57">
            <v>37895</v>
          </cell>
        </row>
        <row r="57">
          <cell r="T57">
            <v>9866.70682521283</v>
          </cell>
        </row>
        <row r="58">
          <cell r="D58">
            <v>37926</v>
          </cell>
        </row>
        <row r="58">
          <cell r="T58">
            <v>7121.00820370611</v>
          </cell>
        </row>
        <row r="59">
          <cell r="D59">
            <v>37956</v>
          </cell>
        </row>
        <row r="59">
          <cell r="T59">
            <v>7605.7334235661</v>
          </cell>
        </row>
        <row r="60">
          <cell r="D60">
            <v>37987</v>
          </cell>
        </row>
        <row r="60">
          <cell r="T60">
            <v>5694.12524082003</v>
          </cell>
        </row>
        <row r="61">
          <cell r="D61">
            <v>38018</v>
          </cell>
        </row>
        <row r="61">
          <cell r="T61">
            <v>5485.31566893031</v>
          </cell>
        </row>
        <row r="62">
          <cell r="D62">
            <v>38047</v>
          </cell>
        </row>
        <row r="62">
          <cell r="T62">
            <v>6274.85623798917</v>
          </cell>
        </row>
        <row r="63">
          <cell r="D63">
            <v>38078</v>
          </cell>
        </row>
        <row r="63">
          <cell r="T63">
            <v>5979.69799449078</v>
          </cell>
        </row>
        <row r="64">
          <cell r="D64">
            <v>38108</v>
          </cell>
        </row>
        <row r="64">
          <cell r="T64">
            <v>5394.87974203854</v>
          </cell>
        </row>
        <row r="65">
          <cell r="D65">
            <v>38139</v>
          </cell>
        </row>
        <row r="65">
          <cell r="T65">
            <v>5882.91423970563</v>
          </cell>
        </row>
        <row r="66">
          <cell r="D66">
            <v>38169</v>
          </cell>
        </row>
        <row r="66">
          <cell r="T66">
            <v>5567.61611661776</v>
          </cell>
        </row>
        <row r="67">
          <cell r="D67">
            <v>38200</v>
          </cell>
        </row>
        <row r="67">
          <cell r="T67">
            <v>5779.74259540618</v>
          </cell>
        </row>
        <row r="68">
          <cell r="D68">
            <v>38231</v>
          </cell>
        </row>
        <row r="68">
          <cell r="T68">
            <v>5475.23066244238</v>
          </cell>
        </row>
        <row r="69">
          <cell r="D69">
            <v>38261</v>
          </cell>
        </row>
        <row r="69">
          <cell r="T69">
            <v>5434.30527002525</v>
          </cell>
        </row>
        <row r="70">
          <cell r="D70">
            <v>38292</v>
          </cell>
        </row>
        <row r="70">
          <cell r="T70">
            <v>5269.42346541158</v>
          </cell>
        </row>
        <row r="71">
          <cell r="D71">
            <v>38322</v>
          </cell>
        </row>
        <row r="71">
          <cell r="T71">
            <v>5709.68655849765</v>
          </cell>
        </row>
        <row r="72">
          <cell r="D72">
            <v>38353</v>
          </cell>
        </row>
        <row r="72">
          <cell r="T72">
            <v>4579.23601050592</v>
          </cell>
        </row>
        <row r="73">
          <cell r="D73">
            <v>38384</v>
          </cell>
        </row>
        <row r="73">
          <cell r="T73">
            <v>4435.74425663207</v>
          </cell>
        </row>
        <row r="74">
          <cell r="D74">
            <v>38412</v>
          </cell>
        </row>
        <row r="74">
          <cell r="T74">
            <v>5094.09883310019</v>
          </cell>
        </row>
        <row r="75">
          <cell r="D75">
            <v>38443</v>
          </cell>
        </row>
        <row r="75">
          <cell r="T75">
            <v>4656.65149880054</v>
          </cell>
        </row>
        <row r="76">
          <cell r="D76">
            <v>38473</v>
          </cell>
        </row>
        <row r="76">
          <cell r="T76">
            <v>4627.54370203108</v>
          </cell>
        </row>
        <row r="77">
          <cell r="D77">
            <v>38504</v>
          </cell>
        </row>
        <row r="77">
          <cell r="T77">
            <v>4812.40456446786</v>
          </cell>
        </row>
        <row r="78">
          <cell r="D78">
            <v>38534</v>
          </cell>
        </row>
        <row r="78">
          <cell r="T78">
            <v>4343.47415838273</v>
          </cell>
        </row>
        <row r="79">
          <cell r="D79">
            <v>38565</v>
          </cell>
        </row>
        <row r="79">
          <cell r="T79">
            <v>4954.88667382079</v>
          </cell>
        </row>
        <row r="80">
          <cell r="D80">
            <v>38596</v>
          </cell>
        </row>
        <row r="80">
          <cell r="T80">
            <v>4498.20390182809</v>
          </cell>
        </row>
        <row r="81">
          <cell r="D81">
            <v>38626</v>
          </cell>
        </row>
        <row r="81">
          <cell r="T81">
            <v>4470.57404355424</v>
          </cell>
        </row>
        <row r="82">
          <cell r="D82">
            <v>38657</v>
          </cell>
        </row>
        <row r="82">
          <cell r="T82">
            <v>4323.81148654383</v>
          </cell>
        </row>
        <row r="83">
          <cell r="D83">
            <v>38687</v>
          </cell>
        </row>
        <row r="83">
          <cell r="T83">
            <v>4270.05996311275</v>
          </cell>
        </row>
        <row r="84">
          <cell r="D84">
            <v>38718</v>
          </cell>
        </row>
        <row r="84">
          <cell r="T84">
            <v>3458.137977908</v>
          </cell>
        </row>
        <row r="85">
          <cell r="D85">
            <v>38749</v>
          </cell>
        </row>
        <row r="85">
          <cell r="T85">
            <v>3377.81525094577</v>
          </cell>
        </row>
        <row r="86">
          <cell r="D86">
            <v>38777</v>
          </cell>
        </row>
        <row r="86">
          <cell r="T86">
            <v>3899.72299191954</v>
          </cell>
        </row>
        <row r="87">
          <cell r="D87">
            <v>38808</v>
          </cell>
        </row>
        <row r="87">
          <cell r="T87">
            <v>3414.71339873802</v>
          </cell>
        </row>
        <row r="88">
          <cell r="D88">
            <v>38838</v>
          </cell>
        </row>
        <row r="88">
          <cell r="T88">
            <v>3748.35098812471</v>
          </cell>
        </row>
        <row r="89">
          <cell r="D89">
            <v>38869</v>
          </cell>
        </row>
        <row r="89">
          <cell r="T89">
            <v>3737.07962435779</v>
          </cell>
        </row>
        <row r="90">
          <cell r="D90">
            <v>38899</v>
          </cell>
        </row>
        <row r="90">
          <cell r="T90">
            <v>3389.58189780136</v>
          </cell>
        </row>
        <row r="91">
          <cell r="D91">
            <v>38930</v>
          </cell>
        </row>
        <row r="91">
          <cell r="T91">
            <v>3888.87087450016</v>
          </cell>
        </row>
        <row r="92">
          <cell r="D92">
            <v>38961</v>
          </cell>
        </row>
        <row r="92">
          <cell r="T92">
            <v>3381.9538259042</v>
          </cell>
        </row>
        <row r="93">
          <cell r="D93">
            <v>38991</v>
          </cell>
        </row>
        <row r="93">
          <cell r="T93">
            <v>3718.11149654161</v>
          </cell>
        </row>
        <row r="94">
          <cell r="D94">
            <v>39022</v>
          </cell>
        </row>
        <row r="94">
          <cell r="T94">
            <v>3461.23622388352</v>
          </cell>
        </row>
        <row r="95">
          <cell r="D95">
            <v>39052</v>
          </cell>
        </row>
        <row r="95">
          <cell r="T95">
            <v>3265.94281141897</v>
          </cell>
        </row>
        <row r="96">
          <cell r="D96">
            <v>39083</v>
          </cell>
        </row>
        <row r="96">
          <cell r="T96">
            <v>3179.95107627089</v>
          </cell>
        </row>
        <row r="97">
          <cell r="D97">
            <v>39114</v>
          </cell>
        </row>
        <row r="97">
          <cell r="T97">
            <v>2958.4503204863</v>
          </cell>
        </row>
        <row r="98">
          <cell r="D98">
            <v>39142</v>
          </cell>
        </row>
        <row r="98">
          <cell r="T98">
            <v>3254.81914483842</v>
          </cell>
        </row>
        <row r="99">
          <cell r="D99">
            <v>39173</v>
          </cell>
        </row>
        <row r="99">
          <cell r="T99">
            <v>3113.39188218506</v>
          </cell>
        </row>
        <row r="100">
          <cell r="D100">
            <v>39203</v>
          </cell>
        </row>
        <row r="100">
          <cell r="T100">
            <v>3246.60908678466</v>
          </cell>
        </row>
        <row r="101">
          <cell r="D101">
            <v>39234</v>
          </cell>
        </row>
        <row r="101">
          <cell r="T101">
            <v>3081.15252907563</v>
          </cell>
        </row>
        <row r="102">
          <cell r="D102">
            <v>39264</v>
          </cell>
        </row>
        <row r="102">
          <cell r="T102">
            <v>3064.22757525418</v>
          </cell>
        </row>
        <row r="103">
          <cell r="D103">
            <v>39295</v>
          </cell>
        </row>
        <row r="103">
          <cell r="T103">
            <v>3335.87911977383</v>
          </cell>
        </row>
        <row r="104">
          <cell r="D104">
            <v>39326</v>
          </cell>
        </row>
        <row r="104">
          <cell r="T104">
            <v>2747.0679777341</v>
          </cell>
        </row>
        <row r="105">
          <cell r="D105">
            <v>39356</v>
          </cell>
        </row>
        <row r="105">
          <cell r="T105">
            <v>3309.93213728845</v>
          </cell>
        </row>
        <row r="106">
          <cell r="D106">
            <v>39387</v>
          </cell>
        </row>
        <row r="106">
          <cell r="T106">
            <v>2921.58297363948</v>
          </cell>
        </row>
        <row r="107">
          <cell r="D107">
            <v>39417</v>
          </cell>
        </row>
        <row r="107">
          <cell r="T107">
            <v>2757.2554432024</v>
          </cell>
        </row>
        <row r="108">
          <cell r="D108">
            <v>39448</v>
          </cell>
        </row>
        <row r="108">
          <cell r="T108">
            <v>2647.53510511129</v>
          </cell>
        </row>
        <row r="109">
          <cell r="D109">
            <v>39479</v>
          </cell>
        </row>
        <row r="109">
          <cell r="T109">
            <v>2595.81031038294</v>
          </cell>
        </row>
        <row r="110">
          <cell r="D110">
            <v>39508</v>
          </cell>
        </row>
        <row r="110">
          <cell r="T110">
            <v>2597.49590036402</v>
          </cell>
        </row>
        <row r="111">
          <cell r="D111">
            <v>39539</v>
          </cell>
        </row>
        <row r="111">
          <cell r="T111">
            <v>2729.59478663289</v>
          </cell>
        </row>
        <row r="112">
          <cell r="D112">
            <v>39569</v>
          </cell>
        </row>
        <row r="112">
          <cell r="T112">
            <v>2595.10577527163</v>
          </cell>
        </row>
        <row r="113">
          <cell r="D113">
            <v>39600</v>
          </cell>
        </row>
        <row r="113">
          <cell r="T113">
            <v>2581.36522652239</v>
          </cell>
        </row>
        <row r="114">
          <cell r="D114">
            <v>39630</v>
          </cell>
        </row>
        <row r="114">
          <cell r="T114">
            <v>2690.33804995091</v>
          </cell>
        </row>
        <row r="115">
          <cell r="D115">
            <v>39661</v>
          </cell>
        </row>
        <row r="115">
          <cell r="T115">
            <v>2554.77615773524</v>
          </cell>
        </row>
        <row r="116">
          <cell r="D116">
            <v>39692</v>
          </cell>
        </row>
        <row r="116">
          <cell r="T116">
            <v>2546.50011540916</v>
          </cell>
        </row>
        <row r="117">
          <cell r="D117">
            <v>39722</v>
          </cell>
        </row>
        <row r="117">
          <cell r="T117">
            <v>2778.41952013008</v>
          </cell>
        </row>
        <row r="118">
          <cell r="D118">
            <v>39753</v>
          </cell>
        </row>
        <row r="118">
          <cell r="T118">
            <v>2225.02365678199</v>
          </cell>
        </row>
        <row r="119">
          <cell r="D119">
            <v>39783</v>
          </cell>
        </row>
        <row r="119">
          <cell r="T119">
            <v>2560.55730911253</v>
          </cell>
        </row>
        <row r="120">
          <cell r="D120">
            <v>39814</v>
          </cell>
        </row>
        <row r="120">
          <cell r="T120">
            <v>2108.86608399429</v>
          </cell>
        </row>
        <row r="121">
          <cell r="D121">
            <v>39845</v>
          </cell>
        </row>
        <row r="121">
          <cell r="T121">
            <v>2076.91353254899</v>
          </cell>
        </row>
        <row r="122">
          <cell r="D122">
            <v>39873</v>
          </cell>
        </row>
        <row r="122">
          <cell r="T122">
            <v>2290.9857946185</v>
          </cell>
        </row>
        <row r="123">
          <cell r="D123">
            <v>39904</v>
          </cell>
        </row>
        <row r="123">
          <cell r="T123">
            <v>2304.95860963853</v>
          </cell>
        </row>
        <row r="124">
          <cell r="D124">
            <v>39934</v>
          </cell>
        </row>
        <row r="124">
          <cell r="T124">
            <v>2094.14284742856</v>
          </cell>
        </row>
        <row r="125">
          <cell r="D125">
            <v>39965</v>
          </cell>
        </row>
        <row r="125">
          <cell r="T125">
            <v>2299.69261598822</v>
          </cell>
        </row>
        <row r="126">
          <cell r="D126">
            <v>39995</v>
          </cell>
        </row>
        <row r="126">
          <cell r="T126">
            <v>2295.93903829362</v>
          </cell>
        </row>
        <row r="127">
          <cell r="D127">
            <v>40026</v>
          </cell>
        </row>
        <row r="127">
          <cell r="T127">
            <v>2188.68419074156</v>
          </cell>
        </row>
        <row r="128">
          <cell r="D128">
            <v>40057</v>
          </cell>
        </row>
        <row r="128">
          <cell r="T128">
            <v>2189.28002404811</v>
          </cell>
        </row>
        <row r="129">
          <cell r="D129">
            <v>40087</v>
          </cell>
        </row>
        <row r="129">
          <cell r="T129">
            <v>2293.17634975852</v>
          </cell>
        </row>
        <row r="130">
          <cell r="D130">
            <v>40118</v>
          </cell>
        </row>
        <row r="130">
          <cell r="T130">
            <v>2017.87848570604</v>
          </cell>
        </row>
        <row r="131">
          <cell r="D131">
            <v>40148</v>
          </cell>
        </row>
        <row r="131">
          <cell r="T131">
            <v>2214.70619507186</v>
          </cell>
        </row>
        <row r="132">
          <cell r="D132">
            <v>40179</v>
          </cell>
        </row>
        <row r="132">
          <cell r="T132">
            <v>1718.91958407837</v>
          </cell>
        </row>
        <row r="133">
          <cell r="D133">
            <v>40210</v>
          </cell>
        </row>
        <row r="133">
          <cell r="T133">
            <v>1784.28643612363</v>
          </cell>
        </row>
        <row r="134">
          <cell r="D134">
            <v>40238</v>
          </cell>
        </row>
        <row r="134">
          <cell r="T134">
            <v>2056.45730701354</v>
          </cell>
        </row>
        <row r="135">
          <cell r="D135">
            <v>40269</v>
          </cell>
        </row>
        <row r="135">
          <cell r="T135">
            <v>1975.89608650355</v>
          </cell>
        </row>
        <row r="136">
          <cell r="D136">
            <v>40299</v>
          </cell>
        </row>
        <row r="136">
          <cell r="T136">
            <v>1797.69003067769</v>
          </cell>
        </row>
        <row r="137">
          <cell r="D137">
            <v>40330</v>
          </cell>
        </row>
        <row r="137">
          <cell r="T137">
            <v>1979.22586398289</v>
          </cell>
        </row>
        <row r="138">
          <cell r="D138">
            <v>40360</v>
          </cell>
        </row>
        <row r="138">
          <cell r="T138">
            <v>1891.58724844998</v>
          </cell>
        </row>
        <row r="139">
          <cell r="D139">
            <v>40391</v>
          </cell>
        </row>
        <row r="139">
          <cell r="T139">
            <v>1983.4838997492</v>
          </cell>
        </row>
        <row r="140">
          <cell r="D140">
            <v>40422</v>
          </cell>
        </row>
        <row r="140">
          <cell r="T140">
            <v>1897.02012683822</v>
          </cell>
        </row>
        <row r="141">
          <cell r="D141">
            <v>40452</v>
          </cell>
        </row>
        <row r="141">
          <cell r="T141">
            <v>1900.32873844528</v>
          </cell>
        </row>
        <row r="142">
          <cell r="D142">
            <v>40483</v>
          </cell>
        </row>
        <row r="142">
          <cell r="T142">
            <v>1845.28910956495</v>
          </cell>
        </row>
        <row r="143">
          <cell r="D143">
            <v>40513</v>
          </cell>
        </row>
        <row r="143">
          <cell r="T143">
            <v>2026.63953514829</v>
          </cell>
        </row>
        <row r="144">
          <cell r="D144">
            <v>40544</v>
          </cell>
        </row>
        <row r="144">
          <cell r="T144">
            <v>-204.500961045594</v>
          </cell>
        </row>
        <row r="145">
          <cell r="D145">
            <v>40575</v>
          </cell>
        </row>
        <row r="145">
          <cell r="T145">
            <v>-102.657745145902</v>
          </cell>
        </row>
        <row r="146">
          <cell r="D146">
            <v>40603</v>
          </cell>
        </row>
        <row r="146">
          <cell r="T146">
            <v>-39.0157272639786</v>
          </cell>
        </row>
        <row r="147">
          <cell r="D147">
            <v>40634</v>
          </cell>
        </row>
        <row r="147">
          <cell r="T147">
            <v>84.6286066880876</v>
          </cell>
        </row>
        <row r="148">
          <cell r="D148">
            <v>40664</v>
          </cell>
        </row>
        <row r="148">
          <cell r="T148">
            <v>88.556505685918</v>
          </cell>
        </row>
        <row r="149">
          <cell r="D149">
            <v>40695</v>
          </cell>
        </row>
        <row r="149">
          <cell r="T149">
            <v>81.6358714065665</v>
          </cell>
        </row>
        <row r="150">
          <cell r="D150">
            <v>40725</v>
          </cell>
        </row>
        <row r="150">
          <cell r="T150">
            <v>61.3520528106454</v>
          </cell>
        </row>
        <row r="151">
          <cell r="D151">
            <v>40756</v>
          </cell>
        </row>
        <row r="151">
          <cell r="T151">
            <v>59.8869020389253</v>
          </cell>
        </row>
        <row r="152">
          <cell r="D152">
            <v>40787</v>
          </cell>
        </row>
        <row r="152">
          <cell r="T152">
            <v>64.7755712284921</v>
          </cell>
        </row>
        <row r="153">
          <cell r="D153">
            <v>40817</v>
          </cell>
        </row>
        <row r="153">
          <cell r="T153">
            <v>72.0400763243891</v>
          </cell>
        </row>
        <row r="154">
          <cell r="D154">
            <v>40848</v>
          </cell>
        </row>
        <row r="154">
          <cell r="T154">
            <v>-54.6828645999578</v>
          </cell>
        </row>
        <row r="155">
          <cell r="D155">
            <v>40878</v>
          </cell>
        </row>
        <row r="155">
          <cell r="T155">
            <v>-110.788256363492</v>
          </cell>
        </row>
        <row r="156">
          <cell r="D156">
            <v>40909</v>
          </cell>
        </row>
        <row r="156">
          <cell r="T156">
            <v>-190.117254104275</v>
          </cell>
        </row>
        <row r="157">
          <cell r="D157">
            <v>40940</v>
          </cell>
        </row>
        <row r="157">
          <cell r="T157">
            <v>-100.26139892202</v>
          </cell>
        </row>
        <row r="158">
          <cell r="D158">
            <v>40969</v>
          </cell>
        </row>
        <row r="158">
          <cell r="T158">
            <v>-34.7464274483029</v>
          </cell>
        </row>
        <row r="159">
          <cell r="D159">
            <v>41000</v>
          </cell>
        </row>
        <row r="159">
          <cell r="T159">
            <v>78.8252730319336</v>
          </cell>
        </row>
        <row r="160">
          <cell r="D160">
            <v>41030</v>
          </cell>
        </row>
        <row r="160">
          <cell r="T160">
            <v>86.5011806416842</v>
          </cell>
        </row>
        <row r="161">
          <cell r="D161">
            <v>41061</v>
          </cell>
        </row>
        <row r="161">
          <cell r="T161">
            <v>72.7050809793174</v>
          </cell>
        </row>
        <row r="162">
          <cell r="D162">
            <v>41091</v>
          </cell>
        </row>
        <row r="162">
          <cell r="T162">
            <v>60.1402555405357</v>
          </cell>
        </row>
        <row r="163">
          <cell r="D163">
            <v>41122</v>
          </cell>
        </row>
        <row r="163">
          <cell r="T163">
            <v>55.9626641891074</v>
          </cell>
        </row>
        <row r="164">
          <cell r="D164">
            <v>41153</v>
          </cell>
        </row>
        <row r="164">
          <cell r="T164">
            <v>54.8493901677253</v>
          </cell>
        </row>
        <row r="165">
          <cell r="D165">
            <v>41183</v>
          </cell>
        </row>
        <row r="165">
          <cell r="T165">
            <v>73.8519450404978</v>
          </cell>
        </row>
        <row r="166">
          <cell r="D166">
            <v>41214</v>
          </cell>
        </row>
        <row r="166">
          <cell r="T166">
            <v>-51.1762669173622</v>
          </cell>
        </row>
        <row r="167">
          <cell r="D167">
            <v>41244</v>
          </cell>
        </row>
        <row r="167">
          <cell r="T167">
            <v>-98.7491879255094</v>
          </cell>
        </row>
        <row r="168">
          <cell r="D168">
            <v>41275</v>
          </cell>
        </row>
        <row r="168">
          <cell r="T168">
            <v>-186.343530333927</v>
          </cell>
        </row>
        <row r="169">
          <cell r="D169">
            <v>41306</v>
          </cell>
        </row>
        <row r="169">
          <cell r="T169">
            <v>-89.3417010341971</v>
          </cell>
        </row>
        <row r="170">
          <cell r="D170">
            <v>41334</v>
          </cell>
        </row>
        <row r="170">
          <cell r="T170">
            <v>-31.0338114835669</v>
          </cell>
        </row>
        <row r="171">
          <cell r="D171">
            <v>41365</v>
          </cell>
        </row>
        <row r="171">
          <cell r="T171">
            <v>77.2419270341643</v>
          </cell>
        </row>
        <row r="172">
          <cell r="D172">
            <v>41395</v>
          </cell>
        </row>
        <row r="172">
          <cell r="T172">
            <v>80.8988718734301</v>
          </cell>
        </row>
        <row r="173">
          <cell r="D173">
            <v>41426</v>
          </cell>
        </row>
        <row r="173">
          <cell r="T173">
            <v>64.7606125666476</v>
          </cell>
        </row>
        <row r="174">
          <cell r="D174">
            <v>41456</v>
          </cell>
        </row>
        <row r="174">
          <cell r="T174">
            <v>58.9065488643021</v>
          </cell>
        </row>
        <row r="175">
          <cell r="D175">
            <v>41487</v>
          </cell>
        </row>
        <row r="175">
          <cell r="T175">
            <v>50.0494671361202</v>
          </cell>
        </row>
        <row r="176">
          <cell r="D176">
            <v>41518</v>
          </cell>
        </row>
        <row r="176">
          <cell r="T176">
            <v>53.9459706965719</v>
          </cell>
        </row>
        <row r="177">
          <cell r="D177">
            <v>41548</v>
          </cell>
        </row>
        <row r="177">
          <cell r="T177">
            <v>69.0188372166655</v>
          </cell>
        </row>
        <row r="178">
          <cell r="D178">
            <v>41579</v>
          </cell>
        </row>
        <row r="178">
          <cell r="T178">
            <v>-45.5517426354129</v>
          </cell>
        </row>
        <row r="179">
          <cell r="D179">
            <v>41609</v>
          </cell>
        </row>
        <row r="179">
          <cell r="T179">
            <v>-96.8726124809331</v>
          </cell>
        </row>
        <row r="180">
          <cell r="D180">
            <v>41640</v>
          </cell>
        </row>
        <row r="180">
          <cell r="T180">
            <v>-174.072753636912</v>
          </cell>
        </row>
        <row r="181">
          <cell r="D181">
            <v>41671</v>
          </cell>
        </row>
        <row r="181">
          <cell r="T181">
            <v>-83.4474547785312</v>
          </cell>
        </row>
        <row r="182">
          <cell r="D182">
            <v>41699</v>
          </cell>
        </row>
        <row r="182">
          <cell r="T182">
            <v>-28.971406506371</v>
          </cell>
        </row>
        <row r="183">
          <cell r="D183">
            <v>41730</v>
          </cell>
        </row>
        <row r="183">
          <cell r="T183">
            <v>72.1251193960048</v>
          </cell>
        </row>
        <row r="184">
          <cell r="D184">
            <v>41760</v>
          </cell>
        </row>
        <row r="184">
          <cell r="T184">
            <v>72.1093465143081</v>
          </cell>
        </row>
        <row r="185">
          <cell r="D185">
            <v>41791</v>
          </cell>
        </row>
        <row r="185">
          <cell r="T185">
            <v>63.4755165613096</v>
          </cell>
        </row>
        <row r="186">
          <cell r="D186">
            <v>41821</v>
          </cell>
        </row>
        <row r="186">
          <cell r="T186">
            <v>54.9804008971138</v>
          </cell>
        </row>
        <row r="187">
          <cell r="D187">
            <v>41852</v>
          </cell>
        </row>
        <row r="187">
          <cell r="T187">
            <v>44.591883888422</v>
          </cell>
        </row>
        <row r="188">
          <cell r="D188">
            <v>41883</v>
          </cell>
        </row>
        <row r="188">
          <cell r="T188">
            <v>52.8527013298609</v>
          </cell>
        </row>
        <row r="189">
          <cell r="D189">
            <v>41913</v>
          </cell>
        </row>
        <row r="189">
          <cell r="T189">
            <v>64.3906536394771</v>
          </cell>
        </row>
        <row r="190">
          <cell r="D190">
            <v>41944</v>
          </cell>
        </row>
        <row r="190">
          <cell r="T190">
            <v>-40.3745757715843</v>
          </cell>
        </row>
        <row r="191">
          <cell r="D191">
            <v>41974</v>
          </cell>
        </row>
        <row r="191">
          <cell r="T191">
            <v>-94.6525086117926</v>
          </cell>
        </row>
        <row r="192">
          <cell r="D192">
            <v>42005</v>
          </cell>
        </row>
        <row r="192">
          <cell r="T192">
            <v>-147.600675176739</v>
          </cell>
        </row>
        <row r="193">
          <cell r="D193">
            <v>42036</v>
          </cell>
        </row>
        <row r="193">
          <cell r="T193">
            <v>-73.9315009426224</v>
          </cell>
        </row>
        <row r="194">
          <cell r="D194">
            <v>42064</v>
          </cell>
        </row>
        <row r="194">
          <cell r="T194">
            <v>-28.2900238044707</v>
          </cell>
        </row>
        <row r="195">
          <cell r="D195">
            <v>42095</v>
          </cell>
        </row>
        <row r="195">
          <cell r="T195">
            <v>64.1750700400356</v>
          </cell>
        </row>
        <row r="196">
          <cell r="D196">
            <v>42125</v>
          </cell>
        </row>
        <row r="196">
          <cell r="T196">
            <v>64.0189577010679</v>
          </cell>
        </row>
        <row r="197">
          <cell r="D197">
            <v>42156</v>
          </cell>
        </row>
        <row r="197">
          <cell r="T197">
            <v>61.9798327031389</v>
          </cell>
        </row>
        <row r="198">
          <cell r="D198">
            <v>42186</v>
          </cell>
        </row>
        <row r="198">
          <cell r="T198">
            <v>51.22736901326</v>
          </cell>
        </row>
        <row r="199">
          <cell r="D199">
            <v>42217</v>
          </cell>
        </row>
        <row r="199">
          <cell r="T199">
            <v>41.541697851016</v>
          </cell>
        </row>
        <row r="200">
          <cell r="D200">
            <v>42248</v>
          </cell>
        </row>
        <row r="200">
          <cell r="T200">
            <v>49.2307031282712</v>
          </cell>
        </row>
        <row r="201">
          <cell r="D201">
            <v>42278</v>
          </cell>
        </row>
        <row r="201">
          <cell r="T201">
            <v>54.7652552246573</v>
          </cell>
        </row>
        <row r="202">
          <cell r="D202">
            <v>42309</v>
          </cell>
        </row>
        <row r="202">
          <cell r="T202">
            <v>-37.5823502276297</v>
          </cell>
        </row>
        <row r="203">
          <cell r="D203">
            <v>42339</v>
          </cell>
        </row>
        <row r="203">
          <cell r="T203">
            <v>-88.1271929081389</v>
          </cell>
        </row>
        <row r="204">
          <cell r="D204">
            <v>42370</v>
          </cell>
        </row>
        <row r="204">
          <cell r="T204">
            <v>-130.561869749376</v>
          </cell>
        </row>
        <row r="205">
          <cell r="D205">
            <v>42401</v>
          </cell>
        </row>
        <row r="205">
          <cell r="T205">
            <v>-72.40923861825</v>
          </cell>
        </row>
        <row r="206">
          <cell r="D206">
            <v>42430</v>
          </cell>
        </row>
        <row r="206">
          <cell r="T206">
            <v>-26.3285106517328</v>
          </cell>
        </row>
        <row r="207">
          <cell r="D207">
            <v>42461</v>
          </cell>
        </row>
        <row r="207">
          <cell r="T207">
            <v>59.7172426990057</v>
          </cell>
        </row>
        <row r="208">
          <cell r="D208">
            <v>42491</v>
          </cell>
        </row>
        <row r="208">
          <cell r="T208">
            <v>62.5044841397987</v>
          </cell>
        </row>
        <row r="209">
          <cell r="D209">
            <v>42522</v>
          </cell>
        </row>
        <row r="209">
          <cell r="T209">
            <v>57.6347536747692</v>
          </cell>
        </row>
        <row r="210">
          <cell r="D210">
            <v>42552</v>
          </cell>
        </row>
        <row r="210">
          <cell r="T210">
            <v>43.3252476515371</v>
          </cell>
        </row>
        <row r="211">
          <cell r="D211">
            <v>42583</v>
          </cell>
        </row>
        <row r="211">
          <cell r="T211">
            <v>42.3042680882077</v>
          </cell>
        </row>
        <row r="212">
          <cell r="D212">
            <v>42614</v>
          </cell>
        </row>
        <row r="212">
          <cell r="T212">
            <v>45.7700831890427</v>
          </cell>
        </row>
        <row r="213">
          <cell r="D213">
            <v>42644</v>
          </cell>
        </row>
        <row r="213">
          <cell r="T213">
            <v>48.4869702984043</v>
          </cell>
        </row>
        <row r="214">
          <cell r="D214">
            <v>42675</v>
          </cell>
        </row>
        <row r="214">
          <cell r="T214">
            <v>-36.8016957602265</v>
          </cell>
        </row>
        <row r="215">
          <cell r="D215">
            <v>42705</v>
          </cell>
        </row>
        <row r="215">
          <cell r="T215">
            <v>-78.282620868891</v>
          </cell>
        </row>
        <row r="216">
          <cell r="D216">
            <v>42736</v>
          </cell>
        </row>
        <row r="216">
          <cell r="T216">
            <v>-127.93125824507</v>
          </cell>
        </row>
        <row r="217">
          <cell r="D217">
            <v>42767</v>
          </cell>
        </row>
        <row r="217">
          <cell r="T217">
            <v>-64.1013318302908</v>
          </cell>
        </row>
        <row r="218">
          <cell r="D218">
            <v>42795</v>
          </cell>
        </row>
        <row r="218">
          <cell r="T218">
            <v>-25.6633344850467</v>
          </cell>
        </row>
        <row r="219">
          <cell r="D219">
            <v>42826</v>
          </cell>
        </row>
        <row r="219">
          <cell r="T219">
            <v>50.409779499348</v>
          </cell>
        </row>
        <row r="220">
          <cell r="D220">
            <v>42856</v>
          </cell>
        </row>
        <row r="220">
          <cell r="T220">
            <v>61.1170388899419</v>
          </cell>
        </row>
        <row r="221">
          <cell r="D221">
            <v>42887</v>
          </cell>
        </row>
        <row r="221">
          <cell r="T221">
            <v>53.8040960862104</v>
          </cell>
        </row>
        <row r="222">
          <cell r="D222">
            <v>42917</v>
          </cell>
        </row>
        <row r="222">
          <cell r="T222">
            <v>40.4662251988369</v>
          </cell>
        </row>
        <row r="223">
          <cell r="D223">
            <v>42948</v>
          </cell>
        </row>
        <row r="223">
          <cell r="T223">
            <v>39.5517829886281</v>
          </cell>
        </row>
        <row r="224">
          <cell r="D224">
            <v>42979</v>
          </cell>
        </row>
        <row r="224">
          <cell r="T224">
            <v>40.7825583100714</v>
          </cell>
        </row>
        <row r="225">
          <cell r="D225">
            <v>43009</v>
          </cell>
        </row>
        <row r="225">
          <cell r="T225">
            <v>47.6384860537162</v>
          </cell>
        </row>
        <row r="226">
          <cell r="D226">
            <v>43040</v>
          </cell>
        </row>
        <row r="226">
          <cell r="T226">
            <v>-36.1555679712362</v>
          </cell>
        </row>
        <row r="227">
          <cell r="D227">
            <v>43070</v>
          </cell>
        </row>
        <row r="227">
          <cell r="T227">
            <v>-69.7662903970596</v>
          </cell>
        </row>
        <row r="228">
          <cell r="D228">
            <v>43101</v>
          </cell>
        </row>
        <row r="228">
          <cell r="T228">
            <v>-125.669883725061</v>
          </cell>
        </row>
        <row r="229">
          <cell r="D229">
            <v>43132</v>
          </cell>
        </row>
        <row r="229">
          <cell r="T229">
            <v>-59.9664651488287</v>
          </cell>
        </row>
        <row r="230">
          <cell r="D230">
            <v>43160</v>
          </cell>
        </row>
        <row r="230">
          <cell r="T230">
            <v>-21.9229698100618</v>
          </cell>
        </row>
        <row r="231">
          <cell r="D231">
            <v>43191</v>
          </cell>
        </row>
        <row r="231">
          <cell r="T231">
            <v>52.096893218068</v>
          </cell>
        </row>
        <row r="232">
          <cell r="D232">
            <v>43221</v>
          </cell>
        </row>
        <row r="232">
          <cell r="T232">
            <v>57.1643567744461</v>
          </cell>
        </row>
        <row r="233">
          <cell r="D233">
            <v>43252</v>
          </cell>
        </row>
        <row r="233">
          <cell r="T233">
            <v>48.0426477798939</v>
          </cell>
        </row>
        <row r="234">
          <cell r="D234">
            <v>43282</v>
          </cell>
        </row>
        <row r="234">
          <cell r="T234">
            <v>39.7368176942434</v>
          </cell>
        </row>
        <row r="235">
          <cell r="D235">
            <v>43313</v>
          </cell>
        </row>
        <row r="235">
          <cell r="T235">
            <v>36.9734078711446</v>
          </cell>
        </row>
        <row r="236">
          <cell r="D236">
            <v>43344</v>
          </cell>
        </row>
        <row r="236">
          <cell r="T236">
            <v>36.2358385974754</v>
          </cell>
        </row>
        <row r="237">
          <cell r="D237">
            <v>43374</v>
          </cell>
        </row>
        <row r="237">
          <cell r="T237">
            <v>46.6652977639907</v>
          </cell>
        </row>
        <row r="238">
          <cell r="D238">
            <v>43405</v>
          </cell>
        </row>
        <row r="238">
          <cell r="T238">
            <v>-33.8051102510881</v>
          </cell>
        </row>
        <row r="239">
          <cell r="D239">
            <v>43435</v>
          </cell>
        </row>
        <row r="239">
          <cell r="T239">
            <v>-65.2267213287537</v>
          </cell>
        </row>
        <row r="240">
          <cell r="D240">
            <v>43466</v>
          </cell>
        </row>
        <row r="240">
          <cell r="T240">
            <v>-117.485856633797</v>
          </cell>
        </row>
        <row r="241">
          <cell r="D241">
            <v>43497</v>
          </cell>
        </row>
        <row r="241">
          <cell r="T241">
            <v>-56.0581806216891</v>
          </cell>
        </row>
        <row r="242">
          <cell r="D242">
            <v>43525</v>
          </cell>
        </row>
        <row r="242">
          <cell r="T242">
            <v>-20.4967513506277</v>
          </cell>
        </row>
        <row r="243">
          <cell r="D243">
            <v>43556</v>
          </cell>
        </row>
        <row r="243">
          <cell r="T243">
            <v>48.6956776854273</v>
          </cell>
        </row>
        <row r="244">
          <cell r="D244">
            <v>43586</v>
          </cell>
        </row>
        <row r="244">
          <cell r="T244">
            <v>53.4290580102189</v>
          </cell>
        </row>
        <row r="245">
          <cell r="D245">
            <v>43617</v>
          </cell>
        </row>
        <row r="245">
          <cell r="T245">
            <v>42.7704150086561</v>
          </cell>
        </row>
        <row r="246">
          <cell r="D246">
            <v>43647</v>
          </cell>
        </row>
        <row r="246">
          <cell r="T246">
            <v>38.9042219784558</v>
          </cell>
        </row>
        <row r="247">
          <cell r="D247">
            <v>43678</v>
          </cell>
        </row>
        <row r="247">
          <cell r="T247">
            <v>33.0549628871383</v>
          </cell>
        </row>
        <row r="248">
          <cell r="D248">
            <v>43709</v>
          </cell>
        </row>
        <row r="248">
          <cell r="T248">
            <v>35.6289079461606</v>
          </cell>
        </row>
        <row r="249">
          <cell r="D249">
            <v>43739</v>
          </cell>
        </row>
        <row r="249">
          <cell r="T249">
            <v>43.6029620626157</v>
          </cell>
        </row>
        <row r="250">
          <cell r="D250">
            <v>43770</v>
          </cell>
        </row>
        <row r="250">
          <cell r="T250">
            <v>-28.5821107125466</v>
          </cell>
        </row>
        <row r="251">
          <cell r="D251">
            <v>43800</v>
          </cell>
        </row>
        <row r="251">
          <cell r="T251">
            <v>-63.9858520158755</v>
          </cell>
        </row>
        <row r="252">
          <cell r="D252">
            <v>43831</v>
          </cell>
        </row>
        <row r="252">
          <cell r="T252">
            <v>-109.756238128062</v>
          </cell>
        </row>
        <row r="253">
          <cell r="D253">
            <v>43862</v>
          </cell>
        </row>
        <row r="253">
          <cell r="T253">
            <v>-52.3671226867435</v>
          </cell>
        </row>
        <row r="254">
          <cell r="D254">
            <v>43891</v>
          </cell>
        </row>
        <row r="254">
          <cell r="T254">
            <v>-20.0465156735232</v>
          </cell>
        </row>
        <row r="255">
          <cell r="D255">
            <v>43922</v>
          </cell>
        </row>
        <row r="255">
          <cell r="T255">
            <v>45.4754141481996</v>
          </cell>
        </row>
        <row r="256">
          <cell r="D256">
            <v>43952</v>
          </cell>
        </row>
        <row r="257">
          <cell r="D257">
            <v>43983</v>
          </cell>
        </row>
        <row r="258">
          <cell r="D258">
            <v>44013</v>
          </cell>
        </row>
        <row r="259">
          <cell r="D259">
            <v>44044</v>
          </cell>
        </row>
        <row r="260">
          <cell r="D260">
            <v>44075</v>
          </cell>
        </row>
        <row r="261">
          <cell r="D261">
            <v>44105</v>
          </cell>
        </row>
        <row r="262">
          <cell r="D262">
            <v>44136</v>
          </cell>
        </row>
        <row r="263">
          <cell r="D263">
            <v>44166</v>
          </cell>
        </row>
        <row r="264">
          <cell r="D264">
            <v>44197</v>
          </cell>
        </row>
        <row r="265">
          <cell r="D265">
            <v>44228</v>
          </cell>
        </row>
        <row r="266">
          <cell r="D266">
            <v>44256</v>
          </cell>
        </row>
        <row r="267">
          <cell r="D267">
            <v>44287</v>
          </cell>
        </row>
        <row r="268">
          <cell r="D268">
            <v>44317</v>
          </cell>
        </row>
        <row r="269">
          <cell r="D269">
            <v>44348</v>
          </cell>
        </row>
        <row r="270">
          <cell r="D270">
            <v>44378</v>
          </cell>
        </row>
        <row r="271">
          <cell r="D271">
            <v>44409</v>
          </cell>
        </row>
        <row r="272">
          <cell r="D272">
            <v>44440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<Relationship Id="rId5" Type="http://schemas.openxmlformats.org/officeDocument/2006/relationships/ctrlProp" Target="../ctrlProps/ctrlProps8.xml"/><Relationship Id="rId6" Type="http://schemas.openxmlformats.org/officeDocument/2006/relationships/ctrlProp" Target="../ctrlProps/ctrlProps9.xml"/><Relationship Id="rId7" Type="http://schemas.openxmlformats.org/officeDocument/2006/relationships/ctrlProp" Target="../ctrlProps/ctrlProps10.xml"/><Relationship Id="rId8" Type="http://schemas.openxmlformats.org/officeDocument/2006/relationships/ctrlProp" Target="../ctrlProps/ctrlProps1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3.xml"/><Relationship Id="rId4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8" customHeight="true" zeroHeight="true" outlineLevelRow="0" outlineLevelCol="0"/>
  <cols>
    <col collapsed="false" customWidth="true" hidden="false" outlineLevel="0" max="1" min="1" style="1" width="18.7"/>
    <col collapsed="false" customWidth="true" hidden="false" outlineLevel="0" max="2" min="2" style="1" width="16.56"/>
    <col collapsed="false" customWidth="true" hidden="false" outlineLevel="0" max="3" min="3" style="1" width="13.28"/>
    <col collapsed="false" customWidth="true" hidden="false" outlineLevel="0" max="4" min="4" style="1" width="15.7"/>
    <col collapsed="false" customWidth="true" hidden="false" outlineLevel="0" max="6" min="5" style="1" width="13.85"/>
    <col collapsed="false" customWidth="true" hidden="false" outlineLevel="0" max="7" min="7" style="1" width="19.41"/>
    <col collapsed="false" customWidth="true" hidden="false" outlineLevel="0" max="8" min="8" style="1" width="17.42"/>
    <col collapsed="false" customWidth="true" hidden="false" outlineLevel="0" max="9" min="9" style="1" width="16.42"/>
    <col collapsed="false" customWidth="true" hidden="false" outlineLevel="0" max="10" min="10" style="1" width="15.7"/>
    <col collapsed="false" customWidth="true" hidden="false" outlineLevel="0" max="11" min="11" style="1" width="15.41"/>
    <col collapsed="false" customWidth="true" hidden="false" outlineLevel="0" max="12" min="12" style="1" width="15.28"/>
    <col collapsed="false" customWidth="true" hidden="false" outlineLevel="0" max="13" min="13" style="1" width="22.28"/>
    <col collapsed="false" customWidth="true" hidden="false" outlineLevel="0" max="14" min="14" style="1" width="14.99"/>
    <col collapsed="false" customWidth="true" hidden="false" outlineLevel="0" max="15" min="15" style="1" width="13.99"/>
    <col collapsed="false" customWidth="true" hidden="false" outlineLevel="0" max="17" min="16" style="1" width="15.41"/>
    <col collapsed="false" customWidth="true" hidden="false" outlineLevel="0" max="18" min="18" style="1" width="13.99"/>
    <col collapsed="false" customWidth="true" hidden="false" outlineLevel="0" max="19" min="19" style="1" width="14.7"/>
    <col collapsed="false" customWidth="true" hidden="true" outlineLevel="0" max="20" min="20" style="1" width="7.14"/>
    <col collapsed="false" customWidth="true" hidden="true" outlineLevel="0" max="21" min="21" style="1" width="9.06"/>
    <col collapsed="false" customWidth="true" hidden="false" outlineLevel="0" max="22" min="22" style="1" width="17.42"/>
    <col collapsed="false" customWidth="true" hidden="false" outlineLevel="0" max="23" min="23" style="1" width="14.85"/>
    <col collapsed="false" customWidth="true" hidden="false" outlineLevel="0" max="24" min="24" style="1" width="14.41"/>
    <col collapsed="false" customWidth="true" hidden="false" outlineLevel="0" max="25" min="25" style="1" width="13.99"/>
    <col collapsed="false" customWidth="true" hidden="false" outlineLevel="0" max="26" min="26" style="1" width="13.28"/>
    <col collapsed="false" customWidth="true" hidden="false" outlineLevel="0" max="27" min="27" style="1" width="13.99"/>
    <col collapsed="false" customWidth="true" hidden="false" outlineLevel="0" max="28" min="28" style="1" width="15.56"/>
    <col collapsed="false" customWidth="true" hidden="false" outlineLevel="0" max="29" min="29" style="1" width="14.99"/>
    <col collapsed="false" customWidth="true" hidden="false" outlineLevel="0" max="30" min="30" style="1" width="15.13"/>
    <col collapsed="false" customWidth="true" hidden="false" outlineLevel="0" max="31" min="31" style="1" width="14.99"/>
    <col collapsed="false" customWidth="true" hidden="false" outlineLevel="0" max="32" min="32" style="1" width="13.28"/>
    <col collapsed="false" customWidth="true" hidden="false" outlineLevel="0" max="33" min="33" style="1" width="10.41"/>
    <col collapsed="false" customWidth="false" hidden="false" outlineLevel="0" max="35" min="34" style="1" width="9.14"/>
    <col collapsed="false" customWidth="true" hidden="false" outlineLevel="0" max="36" min="36" style="1" width="10.85"/>
    <col collapsed="false" customWidth="true" hidden="false" outlineLevel="0" max="37" min="37" style="1" width="10.99"/>
    <col collapsed="false" customWidth="true" hidden="false" outlineLevel="0" max="38" min="38" style="1" width="12.28"/>
    <col collapsed="false" customWidth="true" hidden="false" outlineLevel="0" max="39" min="39" style="1" width="9.41"/>
    <col collapsed="false" customWidth="true" hidden="false" outlineLevel="0" max="40" min="40" style="1" width="11.7"/>
    <col collapsed="false" customWidth="false" hidden="false" outlineLevel="0" max="41" min="41" style="1" width="9.14"/>
    <col collapsed="false" customWidth="true" hidden="false" outlineLevel="0" max="42" min="42" style="1" width="11.85"/>
    <col collapsed="false" customWidth="true" hidden="false" outlineLevel="0" max="43" min="43" style="1" width="9.41"/>
    <col collapsed="false" customWidth="true" hidden="false" outlineLevel="0" max="44" min="44" style="1" width="11.7"/>
    <col collapsed="false" customWidth="false" hidden="false" outlineLevel="0" max="45" min="45" style="1" width="9.14"/>
    <col collapsed="false" customWidth="true" hidden="false" outlineLevel="0" max="46" min="46" style="1" width="11.56"/>
    <col collapsed="false" customWidth="true" hidden="false" outlineLevel="0" max="47" min="47" style="1" width="8.28"/>
    <col collapsed="false" customWidth="true" hidden="false" outlineLevel="0" max="48" min="48" style="1" width="11.56"/>
    <col collapsed="false" customWidth="false" hidden="false" outlineLevel="0" max="49" min="49" style="1" width="9.14"/>
    <col collapsed="false" customWidth="true" hidden="false" outlineLevel="0" max="50" min="50" style="1" width="11.42"/>
    <col collapsed="false" customWidth="false" hidden="false" outlineLevel="0" max="51" min="51" style="1" width="9.14"/>
    <col collapsed="false" customWidth="true" hidden="false" outlineLevel="0" max="52" min="52" style="1" width="12.56"/>
    <col collapsed="false" customWidth="true" hidden="false" outlineLevel="0" max="53" min="53" style="1" width="9.41"/>
    <col collapsed="false" customWidth="true" hidden="false" outlineLevel="0" max="54" min="54" style="1" width="11.28"/>
    <col collapsed="false" customWidth="false" hidden="false" outlineLevel="0" max="55" min="55" style="1" width="9.14"/>
    <col collapsed="false" customWidth="true" hidden="false" outlineLevel="0" max="56" min="56" style="1" width="10.99"/>
    <col collapsed="false" customWidth="false" hidden="false" outlineLevel="0" max="57" min="57" style="1" width="9.14"/>
    <col collapsed="false" customWidth="true" hidden="false" outlineLevel="0" max="58" min="58" style="1" width="12.42"/>
    <col collapsed="false" customWidth="false" hidden="false" outlineLevel="0" max="59" min="59" style="1" width="9.14"/>
    <col collapsed="false" customWidth="true" hidden="false" outlineLevel="0" max="60" min="60" style="1" width="11.28"/>
    <col collapsed="false" customWidth="false" hidden="false" outlineLevel="0" max="61" min="61" style="1" width="9.14"/>
    <col collapsed="false" customWidth="true" hidden="false" outlineLevel="0" max="62" min="62" style="1" width="12.42"/>
    <col collapsed="false" customWidth="false" hidden="false" outlineLevel="0" max="63" min="63" style="1" width="9.14"/>
    <col collapsed="false" customWidth="true" hidden="false" outlineLevel="0" max="64" min="64" style="1" width="10.99"/>
    <col collapsed="false" customWidth="false" hidden="false" outlineLevel="0" max="65" min="65" style="1" width="9.14"/>
    <col collapsed="false" customWidth="true" hidden="false" outlineLevel="0" max="66" min="66" style="1" width="11.85"/>
    <col collapsed="false" customWidth="false" hidden="false" outlineLevel="0" max="67" min="67" style="1" width="9.14"/>
    <col collapsed="false" customWidth="true" hidden="false" outlineLevel="0" max="68" min="68" style="1" width="12.85"/>
    <col collapsed="false" customWidth="false" hidden="false" outlineLevel="0" max="69" min="69" style="1" width="9.14"/>
    <col collapsed="false" customWidth="true" hidden="false" outlineLevel="0" max="70" min="70" style="1" width="10.99"/>
    <col collapsed="false" customWidth="false" hidden="false" outlineLevel="0" max="71" min="71" style="1" width="9.14"/>
    <col collapsed="false" customWidth="true" hidden="false" outlineLevel="0" max="72" min="72" style="1" width="11.56"/>
    <col collapsed="false" customWidth="false" hidden="false" outlineLevel="0" max="73" min="73" style="1" width="9.14"/>
    <col collapsed="false" customWidth="true" hidden="false" outlineLevel="0" max="74" min="74" style="1" width="10.99"/>
    <col collapsed="false" customWidth="false" hidden="false" outlineLevel="0" max="75" min="75" style="1" width="9.14"/>
    <col collapsed="false" customWidth="true" hidden="false" outlineLevel="0" max="76" min="76" style="1" width="11.99"/>
    <col collapsed="false" customWidth="false" hidden="false" outlineLevel="0" max="80" min="77" style="1" width="9.14"/>
    <col collapsed="false" customWidth="true" hidden="false" outlineLevel="0" max="81" min="81" style="1" width="14.41"/>
    <col collapsed="false" customWidth="true" hidden="false" outlineLevel="0" max="82" min="82" style="1" width="13.28"/>
    <col collapsed="false" customWidth="true" hidden="false" outlineLevel="0" max="83" min="83" style="1" width="17.28"/>
    <col collapsed="false" customWidth="true" hidden="false" outlineLevel="0" max="84" min="84" style="1" width="17.42"/>
    <col collapsed="false" customWidth="true" hidden="false" outlineLevel="0" max="85" min="85" style="1" width="16.56"/>
    <col collapsed="false" customWidth="true" hidden="false" outlineLevel="0" max="87" min="86" style="1" width="14.99"/>
    <col collapsed="false" customWidth="true" hidden="false" outlineLevel="0" max="88" min="88" style="1" width="15.56"/>
    <col collapsed="false" customWidth="false" hidden="false" outlineLevel="0" max="91" min="89" style="1" width="9.14"/>
    <col collapsed="false" customWidth="true" hidden="false" outlineLevel="0" max="92" min="92" style="1" width="13.28"/>
    <col collapsed="false" customWidth="false" hidden="false" outlineLevel="0" max="93" min="93" style="1" width="9.14"/>
    <col collapsed="false" customWidth="true" hidden="false" outlineLevel="0" max="94" min="94" style="1" width="13.7"/>
    <col collapsed="false" customWidth="true" hidden="false" outlineLevel="0" max="95" min="95" style="1" width="13.28"/>
    <col collapsed="false" customWidth="true" hidden="false" outlineLevel="0" max="96" min="96" style="1" width="17.42"/>
    <col collapsed="false" customWidth="false" hidden="false" outlineLevel="0" max="114" min="97" style="1" width="9.14"/>
    <col collapsed="false" customWidth="false" hidden="false" outlineLevel="0" max="117" min="115" style="2" width="9.14"/>
    <col collapsed="false" customWidth="false" hidden="false" outlineLevel="0" max="119" min="118" style="1" width="9.14"/>
    <col collapsed="false" customWidth="true" hidden="false" outlineLevel="0" max="120" min="120" style="1" width="9.7"/>
    <col collapsed="false" customWidth="true" hidden="false" outlineLevel="0" max="122" min="121" style="1" width="12.7"/>
    <col collapsed="false" customWidth="true" hidden="false" outlineLevel="0" max="123" min="123" style="1" width="12.85"/>
    <col collapsed="false" customWidth="false" hidden="false" outlineLevel="0" max="124" min="124" style="1" width="9.14"/>
    <col collapsed="false" customWidth="true" hidden="false" outlineLevel="0" max="126" min="125" style="1" width="12.7"/>
    <col collapsed="false" customWidth="true" hidden="false" outlineLevel="0" max="127" min="127" style="1" width="12.85"/>
    <col collapsed="false" customWidth="false" hidden="false" outlineLevel="0" max="257" min="128" style="1" width="9.14"/>
  </cols>
  <sheetData>
    <row r="1" customFormat="false" ht="21" hidden="false" customHeight="true" outlineLevel="0" collapsed="false">
      <c r="G1" s="3" t="s">
        <v>0</v>
      </c>
      <c r="O1" s="4"/>
      <c r="P1" s="5"/>
      <c r="Q1" s="4"/>
      <c r="R1" s="6"/>
      <c r="S1" s="6"/>
      <c r="T1" s="6"/>
      <c r="U1" s="6"/>
      <c r="V1" s="6"/>
      <c r="W1" s="6"/>
      <c r="DK1" s="1"/>
      <c r="DL1" s="1"/>
      <c r="DM1" s="1"/>
    </row>
    <row r="2" customFormat="false" ht="18.75" hidden="false" customHeight="true" outlineLevel="0" collapsed="false">
      <c r="A2" s="7" t="s">
        <v>1</v>
      </c>
      <c r="B2" s="8" t="n">
        <f aca="false">+[2]Top!$B$4</f>
        <v>37189</v>
      </c>
      <c r="F2" s="9"/>
      <c r="G2" s="9"/>
      <c r="I2" s="9"/>
      <c r="M2" s="0"/>
      <c r="N2" s="10"/>
      <c r="O2" s="4"/>
      <c r="P2" s="11"/>
      <c r="Q2" s="4"/>
      <c r="R2" s="12"/>
      <c r="S2" s="12"/>
      <c r="T2" s="13"/>
      <c r="V2" s="12"/>
      <c r="W2" s="12"/>
      <c r="X2" s="6"/>
      <c r="DK2" s="1"/>
      <c r="DL2" s="1"/>
      <c r="DM2" s="1"/>
    </row>
    <row r="3" customFormat="false" ht="18.75" hidden="false" customHeight="true" outlineLevel="0" collapsed="false">
      <c r="A3" s="14"/>
      <c r="B3" s="15"/>
      <c r="F3" s="16"/>
      <c r="G3" s="17"/>
      <c r="H3" s="18"/>
      <c r="I3" s="16"/>
      <c r="O3" s="4"/>
      <c r="P3" s="5"/>
      <c r="Q3" s="19"/>
      <c r="R3" s="20"/>
      <c r="S3" s="12"/>
      <c r="V3" s="12"/>
      <c r="W3" s="12"/>
      <c r="X3" s="21"/>
      <c r="DK3" s="1"/>
      <c r="DL3" s="1"/>
      <c r="DM3" s="1"/>
    </row>
    <row r="4" customFormat="false" ht="18.75" hidden="false" customHeight="true" outlineLevel="0" collapsed="false">
      <c r="A4" s="14"/>
      <c r="B4" s="22"/>
      <c r="F4" s="23"/>
      <c r="G4" s="24" t="s">
        <v>2</v>
      </c>
      <c r="H4" s="25" t="n">
        <f aca="false">SUM([2]EnergyCurve!$T$3:$T$273)+[2]OperatingCurve!$T$1</f>
        <v>-18607284.1476674</v>
      </c>
      <c r="I4" s="23"/>
      <c r="J4" s="12"/>
      <c r="K4" s="12"/>
      <c r="L4" s="21"/>
      <c r="M4" s="1" t="s">
        <v>3</v>
      </c>
      <c r="N4" s="14"/>
      <c r="O4" s="4"/>
      <c r="P4" s="26"/>
      <c r="Q4" s="27"/>
      <c r="R4" s="20"/>
      <c r="S4" s="12"/>
      <c r="DK4" s="1"/>
      <c r="DL4" s="1"/>
      <c r="DM4" s="1"/>
    </row>
    <row r="5" customFormat="false" ht="18.75" hidden="false" customHeight="true" outlineLevel="0" collapsed="false">
      <c r="A5" s="14" t="s">
        <v>3</v>
      </c>
      <c r="B5" s="15"/>
      <c r="E5" s="14"/>
      <c r="F5" s="23"/>
      <c r="G5" s="24" t="s">
        <v>4</v>
      </c>
      <c r="H5" s="25" t="n">
        <f aca="false">SUM(K12:K50)+SUM(K56:K94)</f>
        <v>350287.846148612</v>
      </c>
      <c r="I5" s="23"/>
      <c r="K5" s="28" t="s">
        <v>5</v>
      </c>
      <c r="L5" s="29" t="s">
        <v>6</v>
      </c>
      <c r="N5" s="30"/>
      <c r="O5" s="4"/>
      <c r="P5" s="31"/>
      <c r="Q5" s="27"/>
      <c r="R5" s="20"/>
      <c r="S5" s="12"/>
      <c r="DK5" s="1"/>
      <c r="DL5" s="1"/>
      <c r="DM5" s="1"/>
    </row>
    <row r="6" customFormat="false" ht="19.5" hidden="false" customHeight="true" outlineLevel="0" collapsed="false">
      <c r="A6" s="14"/>
      <c r="B6" s="15"/>
      <c r="F6" s="23"/>
      <c r="G6" s="17" t="s">
        <v>7</v>
      </c>
      <c r="H6" s="32" t="n">
        <f aca="false">H4+H5</f>
        <v>-18256996.3015188</v>
      </c>
      <c r="I6" s="23"/>
      <c r="J6" s="33" t="s">
        <v>8</v>
      </c>
      <c r="K6" s="34"/>
      <c r="L6" s="35" t="n">
        <v>1</v>
      </c>
      <c r="O6" s="4"/>
      <c r="P6" s="5"/>
      <c r="Q6" s="4"/>
      <c r="R6" s="14"/>
      <c r="S6" s="36"/>
      <c r="DK6" s="1"/>
      <c r="DL6" s="1"/>
      <c r="DM6" s="1"/>
    </row>
    <row r="7" customFormat="false" ht="19.5" hidden="false" customHeight="true" outlineLevel="0" collapsed="false">
      <c r="B7" s="15"/>
      <c r="F7" s="9"/>
      <c r="G7" s="17" t="s">
        <v>9</v>
      </c>
      <c r="H7" s="32" t="n">
        <f aca="false">H6+GasPosn!M6+H8+H9</f>
        <v>-139195.471578013</v>
      </c>
      <c r="I7" s="9"/>
      <c r="DK7" s="1"/>
      <c r="DL7" s="1"/>
      <c r="DM7" s="1"/>
    </row>
    <row r="8" customFormat="false" ht="34.5" hidden="false" customHeight="true" outlineLevel="0" collapsed="false">
      <c r="A8" s="37" t="s">
        <v>10</v>
      </c>
      <c r="B8" s="15"/>
      <c r="E8" s="1" t="s">
        <v>3</v>
      </c>
      <c r="G8" s="1" t="s">
        <v>11</v>
      </c>
      <c r="H8" s="38" t="n">
        <v>28000</v>
      </c>
      <c r="I8" s="39"/>
      <c r="K8" s="40"/>
      <c r="L8" s="41"/>
      <c r="N8" s="21"/>
      <c r="R8" s="42" t="s">
        <v>12</v>
      </c>
      <c r="S8" s="43"/>
      <c r="V8" s="44"/>
      <c r="W8" s="45"/>
      <c r="X8" s="45"/>
      <c r="DK8" s="1"/>
      <c r="DL8" s="1"/>
      <c r="DM8" s="1"/>
    </row>
    <row r="9" customFormat="false" ht="21.75" hidden="false" customHeight="true" outlineLevel="0" collapsed="false">
      <c r="A9" s="46"/>
      <c r="B9" s="47"/>
      <c r="C9" s="46"/>
      <c r="D9" s="46"/>
      <c r="E9" s="46"/>
      <c r="F9" s="46"/>
      <c r="G9" s="46" t="s">
        <v>13</v>
      </c>
      <c r="H9" s="46" t="n">
        <v>-45000</v>
      </c>
      <c r="I9" s="46"/>
      <c r="J9" s="46"/>
      <c r="K9" s="46"/>
      <c r="L9" s="46"/>
      <c r="M9" s="0"/>
      <c r="N9" s="46"/>
      <c r="O9" s="46"/>
      <c r="P9" s="46"/>
      <c r="Q9" s="46"/>
      <c r="R9" s="48" t="b">
        <f aca="false">TRUE()</f>
        <v>1</v>
      </c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CI9" s="4" t="s">
        <v>14</v>
      </c>
      <c r="CJ9" s="4" t="s">
        <v>14</v>
      </c>
      <c r="CK9" s="4" t="s">
        <v>14</v>
      </c>
      <c r="DK9" s="1"/>
      <c r="DL9" s="1"/>
      <c r="DM9" s="1"/>
    </row>
    <row r="10" customFormat="false" ht="13.5" hidden="false" customHeight="true" outlineLevel="0" collapsed="false">
      <c r="A10" s="49"/>
      <c r="B10" s="49" t="s">
        <v>15</v>
      </c>
      <c r="C10" s="49" t="s">
        <v>15</v>
      </c>
      <c r="D10" s="49" t="s">
        <v>16</v>
      </c>
      <c r="E10" s="49" t="s">
        <v>17</v>
      </c>
      <c r="F10" s="49" t="s">
        <v>17</v>
      </c>
      <c r="G10" s="49" t="s">
        <v>18</v>
      </c>
      <c r="H10" s="49" t="s">
        <v>16</v>
      </c>
      <c r="I10" s="49" t="s">
        <v>19</v>
      </c>
      <c r="J10" s="49" t="s">
        <v>20</v>
      </c>
      <c r="K10" s="50" t="s">
        <v>21</v>
      </c>
      <c r="L10" s="50"/>
      <c r="M10" s="0"/>
      <c r="N10" s="9"/>
      <c r="O10" s="9"/>
      <c r="P10" s="9"/>
      <c r="Q10" s="49" t="s">
        <v>22</v>
      </c>
      <c r="R10" s="51" t="s">
        <v>23</v>
      </c>
      <c r="S10" s="52" t="s">
        <v>24</v>
      </c>
      <c r="T10" s="46"/>
      <c r="U10" s="46"/>
      <c r="V10" s="53" t="s">
        <v>25</v>
      </c>
      <c r="W10" s="50" t="s">
        <v>26</v>
      </c>
      <c r="X10" s="50" t="s">
        <v>27</v>
      </c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5"/>
      <c r="AK10" s="49" t="n">
        <v>1</v>
      </c>
      <c r="AL10" s="49"/>
      <c r="AM10" s="49" t="n">
        <v>2</v>
      </c>
      <c r="AN10" s="49"/>
      <c r="AO10" s="49" t="n">
        <v>3</v>
      </c>
      <c r="AP10" s="49"/>
      <c r="AQ10" s="49" t="n">
        <v>4</v>
      </c>
      <c r="AR10" s="49"/>
      <c r="AS10" s="49" t="n">
        <v>5</v>
      </c>
      <c r="AT10" s="49"/>
      <c r="AU10" s="49" t="n">
        <v>6</v>
      </c>
      <c r="AV10" s="49"/>
      <c r="AW10" s="49" t="n">
        <v>7</v>
      </c>
      <c r="AX10" s="49"/>
      <c r="AY10" s="49" t="n">
        <v>8</v>
      </c>
      <c r="AZ10" s="49"/>
      <c r="BA10" s="49" t="n">
        <v>9</v>
      </c>
      <c r="BB10" s="49"/>
      <c r="BC10" s="49" t="n">
        <v>10</v>
      </c>
      <c r="BD10" s="49"/>
      <c r="BE10" s="49" t="n">
        <v>11</v>
      </c>
      <c r="BF10" s="49"/>
      <c r="BG10" s="49" t="n">
        <v>12</v>
      </c>
      <c r="BH10" s="49"/>
      <c r="BI10" s="49" t="n">
        <v>13</v>
      </c>
      <c r="BJ10" s="49"/>
      <c r="BK10" s="49" t="n">
        <v>14</v>
      </c>
      <c r="BL10" s="49"/>
      <c r="BM10" s="49" t="n">
        <v>15</v>
      </c>
      <c r="BN10" s="49"/>
      <c r="BO10" s="49" t="n">
        <v>16</v>
      </c>
      <c r="BP10" s="49"/>
      <c r="BQ10" s="49" t="n">
        <v>17</v>
      </c>
      <c r="BR10" s="49"/>
      <c r="BS10" s="49" t="n">
        <v>18</v>
      </c>
      <c r="BT10" s="49"/>
      <c r="BU10" s="49" t="n">
        <v>19</v>
      </c>
      <c r="BV10" s="49"/>
      <c r="BW10" s="49" t="n">
        <v>20</v>
      </c>
      <c r="BX10" s="49"/>
      <c r="BY10" s="56" t="s">
        <v>28</v>
      </c>
      <c r="BZ10" s="57" t="s">
        <v>29</v>
      </c>
      <c r="CA10" s="4"/>
      <c r="CB10" s="4"/>
      <c r="CC10" s="4" t="s">
        <v>30</v>
      </c>
      <c r="CD10" s="4" t="s">
        <v>31</v>
      </c>
      <c r="CE10" s="6" t="s">
        <v>32</v>
      </c>
      <c r="CF10" s="6" t="s">
        <v>33</v>
      </c>
      <c r="CG10" s="4" t="s">
        <v>34</v>
      </c>
      <c r="CH10" s="4" t="s">
        <v>35</v>
      </c>
      <c r="CI10" s="58" t="n">
        <f aca="false">T20</f>
        <v>2002</v>
      </c>
      <c r="CJ10" s="58" t="n">
        <f aca="false">T21</f>
        <v>2003</v>
      </c>
      <c r="CK10" s="58" t="n">
        <f aca="false">T22</f>
        <v>2004</v>
      </c>
      <c r="CL10" s="4" t="s">
        <v>36</v>
      </c>
      <c r="CN10" s="4"/>
      <c r="DK10" s="1"/>
      <c r="DL10" s="1"/>
      <c r="DM10" s="1"/>
      <c r="DN10" s="59" t="s">
        <v>37</v>
      </c>
      <c r="DO10" s="59"/>
      <c r="DP10" s="59"/>
      <c r="DQ10" s="59"/>
      <c r="DR10" s="59"/>
      <c r="DS10" s="4"/>
      <c r="DT10" s="60" t="s">
        <v>38</v>
      </c>
      <c r="DU10" s="60"/>
      <c r="DV10" s="60"/>
      <c r="DW10" s="60"/>
      <c r="DX10" s="60"/>
      <c r="EA10" s="4"/>
      <c r="EB10" s="4"/>
      <c r="EV10" s="44"/>
      <c r="EW10" s="44"/>
    </row>
    <row r="11" customFormat="false" ht="17.25" hidden="false" customHeight="true" outlineLevel="0" collapsed="false">
      <c r="A11" s="61" t="s">
        <v>39</v>
      </c>
      <c r="B11" s="61" t="s">
        <v>40</v>
      </c>
      <c r="C11" s="61" t="s">
        <v>41</v>
      </c>
      <c r="D11" s="61" t="s">
        <v>42</v>
      </c>
      <c r="E11" s="61" t="s">
        <v>40</v>
      </c>
      <c r="F11" s="61" t="s">
        <v>41</v>
      </c>
      <c r="G11" s="61" t="s">
        <v>43</v>
      </c>
      <c r="H11" s="61" t="s">
        <v>44</v>
      </c>
      <c r="I11" s="61" t="s">
        <v>43</v>
      </c>
      <c r="J11" s="61" t="s">
        <v>45</v>
      </c>
      <c r="K11" s="62" t="s">
        <v>46</v>
      </c>
      <c r="L11" s="62" t="s">
        <v>47</v>
      </c>
      <c r="M11" s="0"/>
      <c r="N11" s="63" t="s">
        <v>39</v>
      </c>
      <c r="O11" s="63" t="s">
        <v>48</v>
      </c>
      <c r="P11" s="63" t="s">
        <v>49</v>
      </c>
      <c r="Q11" s="61" t="s">
        <v>23</v>
      </c>
      <c r="R11" s="61"/>
      <c r="S11" s="64"/>
      <c r="T11" s="65"/>
      <c r="U11" s="65"/>
      <c r="V11" s="66" t="s">
        <v>50</v>
      </c>
      <c r="W11" s="62" t="s">
        <v>43</v>
      </c>
      <c r="X11" s="62" t="s">
        <v>43</v>
      </c>
      <c r="Y11" s="67" t="str">
        <f aca="false">V12</f>
        <v>Q1 2002</v>
      </c>
      <c r="Z11" s="67" t="str">
        <f aca="false">V13</f>
        <v>Q2 2002</v>
      </c>
      <c r="AA11" s="67" t="str">
        <f aca="false">V14</f>
        <v>Q3 2002</v>
      </c>
      <c r="AB11" s="67" t="str">
        <f aca="false">V15</f>
        <v>Q4 2002</v>
      </c>
      <c r="AC11" s="67" t="str">
        <f aca="false">V16</f>
        <v>Q1 2003</v>
      </c>
      <c r="AD11" s="67" t="str">
        <f aca="false">V17</f>
        <v>Q2 2003</v>
      </c>
      <c r="AE11" s="67" t="str">
        <f aca="false">V18</f>
        <v>Q3 2003</v>
      </c>
      <c r="AF11" s="67" t="str">
        <f aca="false">V19</f>
        <v>Q4 2003</v>
      </c>
      <c r="AG11" s="68" t="str">
        <f aca="false">V20</f>
        <v>Bal 2002</v>
      </c>
      <c r="AH11" s="68" t="n">
        <f aca="false">V21</f>
        <v>2003</v>
      </c>
      <c r="AI11" s="68" t="n">
        <f aca="false">V22</f>
        <v>2004</v>
      </c>
      <c r="AJ11" s="61" t="s">
        <v>39</v>
      </c>
      <c r="AK11" s="69" t="s">
        <v>51</v>
      </c>
      <c r="AL11" s="62" t="s">
        <v>43</v>
      </c>
      <c r="AM11" s="69" t="s">
        <v>51</v>
      </c>
      <c r="AN11" s="62" t="s">
        <v>43</v>
      </c>
      <c r="AO11" s="69" t="s">
        <v>51</v>
      </c>
      <c r="AP11" s="62" t="s">
        <v>43</v>
      </c>
      <c r="AQ11" s="69" t="s">
        <v>51</v>
      </c>
      <c r="AR11" s="62" t="s">
        <v>43</v>
      </c>
      <c r="AS11" s="69" t="s">
        <v>51</v>
      </c>
      <c r="AT11" s="62" t="s">
        <v>43</v>
      </c>
      <c r="AU11" s="69" t="s">
        <v>51</v>
      </c>
      <c r="AV11" s="62" t="s">
        <v>43</v>
      </c>
      <c r="AW11" s="69" t="s">
        <v>51</v>
      </c>
      <c r="AX11" s="62" t="s">
        <v>43</v>
      </c>
      <c r="AY11" s="69" t="s">
        <v>51</v>
      </c>
      <c r="AZ11" s="62" t="s">
        <v>43</v>
      </c>
      <c r="BA11" s="69" t="s">
        <v>51</v>
      </c>
      <c r="BB11" s="62" t="s">
        <v>43</v>
      </c>
      <c r="BC11" s="69" t="s">
        <v>51</v>
      </c>
      <c r="BD11" s="62" t="s">
        <v>43</v>
      </c>
      <c r="BE11" s="69" t="s">
        <v>51</v>
      </c>
      <c r="BF11" s="62" t="s">
        <v>43</v>
      </c>
      <c r="BG11" s="69" t="n">
        <v>50</v>
      </c>
      <c r="BH11" s="62" t="n">
        <v>172.5</v>
      </c>
      <c r="BI11" s="69" t="s">
        <v>51</v>
      </c>
      <c r="BJ11" s="62" t="s">
        <v>43</v>
      </c>
      <c r="BK11" s="69" t="s">
        <v>51</v>
      </c>
      <c r="BL11" s="62" t="s">
        <v>43</v>
      </c>
      <c r="BM11" s="69" t="s">
        <v>51</v>
      </c>
      <c r="BN11" s="62" t="s">
        <v>43</v>
      </c>
      <c r="BO11" s="69" t="s">
        <v>51</v>
      </c>
      <c r="BP11" s="62" t="s">
        <v>43</v>
      </c>
      <c r="BQ11" s="69" t="s">
        <v>51</v>
      </c>
      <c r="BR11" s="62" t="s">
        <v>43</v>
      </c>
      <c r="BS11" s="69" t="s">
        <v>51</v>
      </c>
      <c r="BT11" s="62" t="s">
        <v>43</v>
      </c>
      <c r="BU11" s="69" t="s">
        <v>51</v>
      </c>
      <c r="BV11" s="62" t="s">
        <v>43</v>
      </c>
      <c r="BW11" s="69" t="s">
        <v>51</v>
      </c>
      <c r="BX11" s="62" t="s">
        <v>43</v>
      </c>
      <c r="BY11" s="70" t="s">
        <v>51</v>
      </c>
      <c r="BZ11" s="71" t="s">
        <v>43</v>
      </c>
      <c r="CA11" s="4"/>
      <c r="CB11" s="4"/>
      <c r="CC11" s="4" t="s">
        <v>52</v>
      </c>
      <c r="CD11" s="4" t="s">
        <v>53</v>
      </c>
      <c r="CE11" s="6" t="s">
        <v>53</v>
      </c>
      <c r="CF11" s="6" t="s">
        <v>53</v>
      </c>
      <c r="CG11" s="4"/>
      <c r="CH11" s="4" t="s">
        <v>40</v>
      </c>
      <c r="CI11" s="14" t="s">
        <v>54</v>
      </c>
      <c r="CJ11" s="14" t="s">
        <v>54</v>
      </c>
      <c r="CK11" s="14" t="s">
        <v>54</v>
      </c>
      <c r="CL11" s="4" t="s">
        <v>55</v>
      </c>
      <c r="CN11" s="4"/>
      <c r="DK11" s="1" t="s">
        <v>56</v>
      </c>
      <c r="DL11" s="2" t="s">
        <v>57</v>
      </c>
      <c r="DN11" s="72" t="s">
        <v>58</v>
      </c>
      <c r="DO11" s="73" t="s">
        <v>59</v>
      </c>
      <c r="DP11" s="73" t="s">
        <v>60</v>
      </c>
      <c r="DQ11" s="73" t="s">
        <v>61</v>
      </c>
      <c r="DR11" s="74" t="s">
        <v>62</v>
      </c>
      <c r="DS11" s="14"/>
      <c r="DT11" s="14"/>
      <c r="DU11" s="2"/>
      <c r="DV11" s="72" t="s">
        <v>58</v>
      </c>
      <c r="DW11" s="73" t="s">
        <v>59</v>
      </c>
      <c r="DX11" s="73" t="s">
        <v>60</v>
      </c>
      <c r="DY11" s="73" t="s">
        <v>61</v>
      </c>
      <c r="DZ11" s="74" t="s">
        <v>62</v>
      </c>
      <c r="EA11" s="4"/>
      <c r="EB11" s="4"/>
      <c r="ER11" s="0"/>
    </row>
    <row r="12" customFormat="false" ht="18.75" hidden="false" customHeight="true" outlineLevel="0" collapsed="false">
      <c r="A12" s="75" t="n">
        <f aca="false">[2]EnergyCurve!$D34</f>
        <v>37225</v>
      </c>
      <c r="B12" s="76" t="n">
        <f aca="false" t="array" ref="B12:B12">SUM(IF(MONTH([2]EnergyCurve!$D$3:$D$40)&amp;YEAR([2]EnergyCurve!$D$3:$D$40)=MONTH($A12)&amp;YEAR($A12),[2]EnergyCurve!$O$3:$O$40))+SUM(IF(MONTH([2]EnergyCurve!$D$3:$D$40)&amp;YEAR([2]EnergyCurve!$D$3:$D$40)=MONTH($A12)&amp;YEAR($A12),[2]EnergyCurve!$Q$3:$Q$40))</f>
        <v>113232.943359375</v>
      </c>
      <c r="C12" s="77" t="n">
        <f aca="false">B12/(CG12*CD12)</f>
        <v>283.966620068983</v>
      </c>
      <c r="D12" s="78" t="n">
        <f aca="false">BY12+IF(YEAR(A12)=$T$20,$BY$48,0)+IF(YEAR(A12)=$T$21,$BY$49,0)+IF(YEAR(A12)=$T$22,$BY$50,0)</f>
        <v>0</v>
      </c>
      <c r="E12" s="77" t="n">
        <f aca="false">B12+(D12*CD12*CG12)</f>
        <v>113232.943359375</v>
      </c>
      <c r="F12" s="79" t="n">
        <f aca="false">C12+D12</f>
        <v>283.966620068983</v>
      </c>
      <c r="G12" s="80" t="n">
        <f aca="false">([2]EnergyCurve!$E34*CE12+[2]EnergyCurve!$W34*CF12)/CD12</f>
        <v>54.3907835388184</v>
      </c>
      <c r="H12" s="80" t="n">
        <f aca="false">I12-G12</f>
        <v>-1.81264521676406</v>
      </c>
      <c r="I12" s="81" t="n">
        <f aca="false">([2]EnergyCurve!$G34*CE12+[2]EnergyCurve!$Y34*CF12)/CD12</f>
        <v>52.5781383220543</v>
      </c>
      <c r="J12" s="76" t="n">
        <f aca="false" t="array" ref="J12:J12">SUM(IF(MONTH([2]EnergyCurve!$D$3:$D$40)&amp;YEAR([2]EnergyCurve!$D$3:$D$40)=MONTH($A12)&amp;YEAR($A12),[2]EnergyCurve!$F$3:$F$40*[2]EnergyCurve!$O$3:$O$40))+SUM(IF(MONTH([2]EnergyCurve!$D$3:$D$40)&amp;YEAR([2]EnergyCurve!$D$3:$D$40)=MONTH($A12)&amp;YEAR($A12),[2]EnergyCurve!$F$3:$F$40*[2]EnergyCurve!$Q$3:$Q$40))</f>
        <v>-205727.49675293</v>
      </c>
      <c r="K12" s="82" t="n">
        <f aca="false">(((I12-AL12)*AK12+(I12-AN12)*AM12+(I12-AP12)*AO12+(I12-AR12)*AQ12+(I12-AT12)*AS12+(I12-AV12)*AU12+(I12-AX12)*AW12+(I12-AZ12)*AY12+(I12-BB12)*BA12+(I12-BD12)*BC12+(I12-BF12)*BE12+(I12-BH12)*BG12+(I12-BJ12)*BI12+(I12-BL12)*BK12+(I12-BN12)*BM12+(I12-BP12)*BO12+(I12-BR12)*BQ12+(I12-BT12)*BS12+(I12-BV12)*BU12+(I12-BX12)*BW12)*CD12*CG12)+CI12+CJ12+CK12</f>
        <v>0</v>
      </c>
      <c r="L12" s="82" t="n">
        <f aca="false">J12+K12</f>
        <v>-205727.49675293</v>
      </c>
      <c r="M12" s="0"/>
      <c r="N12" s="83" t="n">
        <f aca="false">A12</f>
        <v>37225</v>
      </c>
      <c r="O12" s="84" t="n">
        <v>79</v>
      </c>
      <c r="P12" s="84" t="n">
        <v>79</v>
      </c>
      <c r="Q12" s="85" t="n">
        <f aca="false">AVERAGE(O12:P12)-G12</f>
        <v>24.6092164611816</v>
      </c>
      <c r="R12" s="86" t="n">
        <v>-2</v>
      </c>
      <c r="S12" s="87" t="n">
        <f aca="false">I12</f>
        <v>52.5781383220543</v>
      </c>
      <c r="T12" s="88" t="n">
        <f aca="false">IF(MONTH(TradeSum!$B$2)&gt;=10,YEAR(TradeSum!$B$2)+1,YEAR(TradeSum!$B$2))</f>
        <v>2002</v>
      </c>
      <c r="U12" s="89" t="n">
        <f aca="false">IF(INT((MONTH(TradeSum!$B$2)-1)/3)+2=5,1,INT((MONTH(TradeSum!$B$2)-1)/3)+2)</f>
        <v>1</v>
      </c>
      <c r="V12" s="90" t="str">
        <f aca="false">"Q"&amp;U12&amp;" "&amp;T12</f>
        <v>Q1 2002</v>
      </c>
      <c r="W12" s="91" t="n">
        <f aca="false" t="array" ref="W12:W12">SUM(IF((INT((MONTH($A$12:$A$47)-1)/3)=U12-1)*(YEAR($A$12:$A$47)=T12),$I$12:$I$47*$DK$12:$DK$47))/SUM(IF((INT((MONTH($A$12:$A$47)-1)/3)=U12-1)*(YEAR($A$12:$A$47)=T12),$DK$12:$DK$47))</f>
        <v>62.0722001742423</v>
      </c>
      <c r="X12" s="92" t="n">
        <f aca="false" t="array" ref="X12:X12">AVERAGE(IF((INT((MONTH($A$12:$A$47)-1)/3)=U12-1)*(YEAR($A$12:$A$47)=T12),$I$12:$I$47))</f>
        <v>62.0833582000934</v>
      </c>
      <c r="Y12" s="93" t="n">
        <v>0</v>
      </c>
      <c r="Z12" s="94"/>
      <c r="AA12" s="94"/>
      <c r="AB12" s="94"/>
      <c r="AC12" s="94"/>
      <c r="AD12" s="94"/>
      <c r="AE12" s="94"/>
      <c r="AF12" s="94"/>
      <c r="AG12" s="94"/>
      <c r="AH12" s="94"/>
      <c r="AI12" s="94"/>
      <c r="AJ12" s="95" t="n">
        <f aca="false">A12</f>
        <v>37225</v>
      </c>
      <c r="AK12" s="96"/>
      <c r="AL12" s="97"/>
      <c r="AM12" s="96"/>
      <c r="AN12" s="97"/>
      <c r="AO12" s="96"/>
      <c r="AP12" s="97"/>
      <c r="AQ12" s="96"/>
      <c r="AR12" s="97"/>
      <c r="AS12" s="96"/>
      <c r="AT12" s="97"/>
      <c r="AU12" s="96"/>
      <c r="AV12" s="97"/>
      <c r="AW12" s="96"/>
      <c r="AX12" s="97"/>
      <c r="AY12" s="96"/>
      <c r="AZ12" s="97"/>
      <c r="BA12" s="96"/>
      <c r="BB12" s="97"/>
      <c r="BC12" s="96"/>
      <c r="BD12" s="97"/>
      <c r="BE12" s="96"/>
      <c r="BF12" s="97"/>
      <c r="BG12" s="96"/>
      <c r="BH12" s="97"/>
      <c r="BI12" s="96"/>
      <c r="BJ12" s="97"/>
      <c r="BK12" s="96"/>
      <c r="BL12" s="97"/>
      <c r="BM12" s="96"/>
      <c r="BN12" s="97"/>
      <c r="BO12" s="96"/>
      <c r="BP12" s="97"/>
      <c r="BQ12" s="96"/>
      <c r="BR12" s="97"/>
      <c r="BS12" s="96"/>
      <c r="BT12" s="97"/>
      <c r="BU12" s="98"/>
      <c r="BV12" s="99"/>
      <c r="BW12" s="98"/>
      <c r="BX12" s="99"/>
      <c r="BY12" s="100" t="n">
        <f aca="false">AK12+AM12+AO12+AQ12+AS12+AU12+AW12+AY12+BA12+BC12+BE12+BG12+BI12+BK12+BM12+BO12+BQ12+BS12+BU12+BW12</f>
        <v>0</v>
      </c>
      <c r="BZ12" s="101" t="n">
        <f aca="false">IF(AND(BY12=0,CC12=0),0,(ABS(AK12)*AL12+ABS(AM12)*AN12+ABS(AO12)*AP12+ABS(AQ12)*AR12+ABS(AS12)*AT12+ABS(AU12)*AV12+ABS(AW12)*AX12+ABS(AY12)*AZ12+ABS(BA12)*BB12+ABS(BC12)*BD12+ABS(BE12)*BF12+ABS(BG12)*BH12+ABS(BI12)*BJ12+ABS(BK12)*BL12+ABS(BM12)*BN12+ABS(BO12)*BP12+ABS(BQ12)*BR12+ABS(BS12)*BT12+ABS(BU12)*BV12+ABS(BW12)*BX12)/CC12)</f>
        <v>0</v>
      </c>
      <c r="CA12" s="102"/>
      <c r="CB12" s="103" t="n">
        <f aca="false">AJ12</f>
        <v>37225</v>
      </c>
      <c r="CC12" s="102" t="n">
        <f aca="false">ABS(AK12)+ABS(AM12)+ABS(AO12)+ABS(AQ12)+ABS(AS12)+ABS(AU12)+ABS(AW12)+ABS(AY12)+ABS(BA12)+ABS(BC12)+ABS(BE12)+ABS(BG12)+ABS(BI12)+ABS(BK12)+ABS(BM12)+ABS(BO12)+ABS(BQ12)+ABS(BS12)+ABS(BU12)+ABS(BW12)</f>
        <v>0</v>
      </c>
      <c r="CD12" s="104" t="n">
        <f aca="false">16*DK12</f>
        <v>400</v>
      </c>
      <c r="CE12" s="102" t="n">
        <f aca="false">16*DL12</f>
        <v>336</v>
      </c>
      <c r="CF12" s="105" t="n">
        <f aca="false">CD12-CE12</f>
        <v>64</v>
      </c>
      <c r="CG12" s="102" t="n">
        <f aca="false">VLOOKUP(A12,Interest!$X$8:$AC$367,6)</f>
        <v>0.99688603656891</v>
      </c>
      <c r="CH12" s="106" t="n">
        <f aca="false">E12-B12</f>
        <v>0</v>
      </c>
      <c r="CI12" s="106" t="n">
        <f aca="false">IF(YEAR($AJ12)=$CI$10,(($I12-$AL$48)*$AK$48+($I12-$AN$48)*$AM$48+($I12-$AP$48)*$AO$48+($I12-$AR$48)*$AQ$48+($I12-$AT$48)*$AS$48+($I12-$AV$48)*$AU$48+($I12-$AX$48)*$AW$48+($I12-$AZ$48)*$AY$48+($I12-$BB$48)*$BA$48+($I12-$BD$48)*$BC$48+($I12-$BF$48)*$BE$48+($I12-$BH$48)*$BG$48+($I12-$BJ$48)*$BI$48+($I12-$BL$48)*$BK$48+($I12-$BN$48)*$BM$48+($I12-$BP$48)*$BO$48+($I12-$BR$48)*$BQ$48+($I12-$BT$48)*$BS$48+($I12-$BV$48)*$BU$48+($I12-$BX$48)*$BW$48)*$CD12*$CG12,0)</f>
        <v>0</v>
      </c>
      <c r="CJ12" s="106" t="n">
        <f aca="false">IF(YEAR($AJ12)=$CJ$10,(($I12-$AL$49)*$AK$49+($I12-$AN$49)*$AM$49+($I12-$AP$49)*$AO$49+($I12-$AR$49)*$AQ$49+($I12-$AT$49)*$AS$49+($I12-$AV$49)*$AU$49+($I12-$AX$49)*$AW$49+($I12-$AZ$49)*$AY$49+($I12-$BB$49)*$BA$49+($I12-$BD$49)*$BC$49+($I12-$BF$49)*$BE$49+($I12-$BH$49)*$BG$49+($I12-$BJ$49)*$BI$49+($I12-$BL$49)*$BK$49+($I12-$BN$49)*$BM$49+($I12-$BP$49)*$BO$49+($I12-$BR$49)*$BQ$49+($I12-$BT$49)*$BS$49+($I12-$BV$49)*$BU$49+($I12-$BX$49)*$BW$49)*$CD12*$CG12,0)</f>
        <v>0</v>
      </c>
      <c r="CK12" s="106" t="n">
        <f aca="false">IF(YEAR($AJ12)=$CK$10,(($I12-$AL$50)*$AK$50+($I12-$AN$50)*$AM$50+($I12-$AP$50)*$AO$50+($I12-$AR$50)*$AQ$50+($I12-$AT$50)*$AS$50+($I12-$AV$50)*$AU$50+($I12-$AX$50)*$AW$50+($I12-$AZ$50)*$AY$50+($I12-$BB$50)*$BA$50+($I12-$BD$50)*$BC$50+($I12-$BF$50)*$BE$50+($I12-$BH$50)*$BG$50+($I12-$BJ$50)*$BI$50+($I12-$BL$50)*$BK$50+($I12-$BN$50)*$BM$50+($I12-$BP$50)*$BO$50+($I12-$BR$50)*$BQ$50+($I12-$BT$50)*$BS$50+($I12-$BV$50)*$BU$50+($I12-$BX$50)*$BW$50)*$CD12*$CG12,0)</f>
        <v>0</v>
      </c>
      <c r="CL12" s="1" t="n">
        <f aca="false">CC12*CD12</f>
        <v>0</v>
      </c>
      <c r="CN12" s="105"/>
      <c r="DI12" s="1" t="n">
        <f aca="false">DK12-DL12</f>
        <v>4</v>
      </c>
      <c r="DJ12" s="107" t="n">
        <f aca="false">[2]EnergyCurve!$D34</f>
        <v>37225</v>
      </c>
      <c r="DK12" s="2" t="n">
        <f aca="false">IF($L$6=0,VLOOKUP(DJ12,$DM$13:$DQ$252,2)+VLOOKUP(DJ12,$DU$13:$DY$252,3),VLOOKUP(DJ12,$DU$13:$DY$252,2)+VLOOKUP(DJ12,$DU$13:$DY$252,3))</f>
        <v>25</v>
      </c>
      <c r="DL12" s="2" t="n">
        <f aca="false">IF($L$6=0,VLOOKUP(DJ12,$DM$13:$DQ$252,2),VLOOKUP(DJ12,$DU$13:$DY$252,2))</f>
        <v>21</v>
      </c>
      <c r="DN12" s="108" t="s">
        <v>63</v>
      </c>
      <c r="DO12" s="109" t="s">
        <v>63</v>
      </c>
      <c r="DP12" s="109" t="s">
        <v>63</v>
      </c>
      <c r="DQ12" s="109"/>
      <c r="DR12" s="110"/>
      <c r="DS12" s="111"/>
      <c r="DT12" s="111"/>
      <c r="DU12" s="2"/>
      <c r="DV12" s="108" t="s">
        <v>63</v>
      </c>
      <c r="DW12" s="109" t="s">
        <v>63</v>
      </c>
      <c r="DX12" s="109" t="s">
        <v>63</v>
      </c>
      <c r="DY12" s="109"/>
      <c r="DZ12" s="110"/>
      <c r="EA12" s="111"/>
      <c r="EB12" s="111"/>
      <c r="EQ12" s="107"/>
      <c r="ER12" s="111"/>
      <c r="ES12" s="44"/>
      <c r="ET12" s="44"/>
    </row>
    <row r="13" customFormat="false" ht="18.75" hidden="false" customHeight="true" outlineLevel="0" collapsed="false">
      <c r="A13" s="112" t="n">
        <f aca="false">[2]EnergyCurve!$D35</f>
        <v>37226</v>
      </c>
      <c r="B13" s="113" t="n">
        <f aca="false">[2]EnergyCurve!$O35+[2]EnergyCurve!$Q35</f>
        <v>-52641.654296875</v>
      </c>
      <c r="C13" s="114" t="n">
        <f aca="false">B13/(CG13*CD13)</f>
        <v>-132.323336358058</v>
      </c>
      <c r="D13" s="114" t="n">
        <f aca="false">BY13+IF(YEAR(A13)=$T$20,$BY$48,0)+IF(YEAR(A13)=$T$21,$BY$49,0)+IF(YEAR(A13)=$T$22,$BY$50,0)</f>
        <v>0</v>
      </c>
      <c r="E13" s="115" t="n">
        <f aca="false">B13+(D13*CD13*CG13)</f>
        <v>-52641.654296875</v>
      </c>
      <c r="F13" s="116" t="n">
        <f aca="false">C13+D13</f>
        <v>-132.323336358058</v>
      </c>
      <c r="G13" s="117" t="n">
        <f aca="false">([2]EnergyCurve!$E35*CE13+[2]EnergyCurve!$W35*CF13)/CD13</f>
        <v>60.1308815002441</v>
      </c>
      <c r="H13" s="80" t="n">
        <f aca="false">I13-G13</f>
        <v>-2.66473404385459</v>
      </c>
      <c r="I13" s="118" t="n">
        <f aca="false">([2]EnergyCurve!$G35*CE13+[2]EnergyCurve!$Y35*CF13)/CD13</f>
        <v>57.4661474563896</v>
      </c>
      <c r="J13" s="115" t="n">
        <f aca="false">H13*B13</f>
        <v>140276.008329707</v>
      </c>
      <c r="K13" s="119" t="n">
        <f aca="false">(((I13-AL13)*AK13+(I13-AN13)*AM13+(I13-AP13)*AO13+(I13-AR13)*AQ13+(I13-AT13)*AS13+(I13-AV13)*AU13+(I13-AX13)*AW13+(I13-AZ13)*AY13+(I13-BB13)*BA13+(I13-BD13)*BC13+(I13-BF13)*BE13+(I13-BH13)*BG13+(I13-BJ13)*BI13+(I13-BL13)*BK13+(I13-BN13)*BM13+(I13-BP13)*BO13+(I13-BR13)*BQ13+(I13-BT13)*BS13+(I13-BV13)*BU13+(I13-BX13)*BW13)*CD13*CG13)+CI13+CJ13+CK13</f>
        <v>0</v>
      </c>
      <c r="L13" s="119" t="n">
        <f aca="false">J13+K13</f>
        <v>140276.008329707</v>
      </c>
      <c r="M13" s="0"/>
      <c r="N13" s="83" t="n">
        <f aca="false">A13</f>
        <v>37226</v>
      </c>
      <c r="O13" s="84" t="n">
        <v>33.5</v>
      </c>
      <c r="P13" s="84" t="n">
        <v>33.5</v>
      </c>
      <c r="Q13" s="85" t="n">
        <f aca="false">AVERAGE(O13:P13)-G13</f>
        <v>-26.6308815002441</v>
      </c>
      <c r="R13" s="86" t="n">
        <v>-3</v>
      </c>
      <c r="S13" s="120" t="n">
        <f aca="false">I13</f>
        <v>57.4661474563896</v>
      </c>
      <c r="T13" s="88" t="n">
        <f aca="false">IF(U12=4,T12+1,T12)</f>
        <v>2002</v>
      </c>
      <c r="U13" s="89" t="n">
        <f aca="false">IF(U12=4,1,U12+1)</f>
        <v>2</v>
      </c>
      <c r="V13" s="121" t="str">
        <f aca="false">"Q"&amp;U13&amp;" "&amp;T13</f>
        <v>Q2 2002</v>
      </c>
      <c r="W13" s="91" t="n">
        <f aca="false" t="array" ref="W13:W13">SUM(IF((INT((MONTH($A$12:$A$47)-1)/3)=U13-1)*(YEAR($A$12:$A$47)=T13),$I$12:$I$47*$DK$12:$DK$47))/SUM(IF((INT((MONTH($A$12:$A$47)-1)/3)=U13-1)*(YEAR($A$12:$A$47)=T13),$DK$12:$DK$47))</f>
        <v>57.6047862909103</v>
      </c>
      <c r="X13" s="122" t="n">
        <f aca="false" t="array" ref="X13:X13">AVERAGE(IF((INT((MONTH($A$12:$A$47)-1)/3)=U13-1)*(YEAR($A$12:$A$47)=T13),$I$12:$I$47))</f>
        <v>57.6112476923745</v>
      </c>
      <c r="Y13" s="123" t="n">
        <f aca="false">W13-$W$12</f>
        <v>-4.46741388333197</v>
      </c>
      <c r="Z13" s="124" t="n">
        <v>0</v>
      </c>
      <c r="AA13" s="94"/>
      <c r="AB13" s="94"/>
      <c r="AC13" s="94"/>
      <c r="AD13" s="94"/>
      <c r="AE13" s="94"/>
      <c r="AF13" s="94"/>
      <c r="AG13" s="94"/>
      <c r="AH13" s="94"/>
      <c r="AI13" s="94"/>
      <c r="AJ13" s="95" t="n">
        <f aca="false">A13</f>
        <v>37226</v>
      </c>
      <c r="AK13" s="96"/>
      <c r="AL13" s="97"/>
      <c r="AM13" s="96"/>
      <c r="AN13" s="97"/>
      <c r="AO13" s="96"/>
      <c r="AP13" s="97"/>
      <c r="AQ13" s="96"/>
      <c r="AR13" s="97"/>
      <c r="AS13" s="96"/>
      <c r="AT13" s="97"/>
      <c r="AU13" s="96"/>
      <c r="AV13" s="97"/>
      <c r="AW13" s="96"/>
      <c r="AX13" s="97"/>
      <c r="AY13" s="96"/>
      <c r="AZ13" s="97"/>
      <c r="BA13" s="96"/>
      <c r="BB13" s="97"/>
      <c r="BC13" s="96"/>
      <c r="BD13" s="97"/>
      <c r="BE13" s="96"/>
      <c r="BF13" s="97"/>
      <c r="BG13" s="96"/>
      <c r="BH13" s="97"/>
      <c r="BI13" s="96"/>
      <c r="BJ13" s="97"/>
      <c r="BK13" s="96"/>
      <c r="BL13" s="97"/>
      <c r="BM13" s="96"/>
      <c r="BN13" s="97"/>
      <c r="BO13" s="96"/>
      <c r="BP13" s="97"/>
      <c r="BQ13" s="96"/>
      <c r="BR13" s="97"/>
      <c r="BS13" s="96"/>
      <c r="BT13" s="97"/>
      <c r="BU13" s="96"/>
      <c r="BV13" s="97"/>
      <c r="BW13" s="96"/>
      <c r="BX13" s="97"/>
      <c r="BY13" s="100" t="n">
        <f aca="false">AK13+AM13+AO13+AQ13+AS13+AU13+AW13+AY13+BA13+BC13+BE13+BG13+BI13+BK13+BM13+BO13+BQ13+BS13+BU13+BW13</f>
        <v>0</v>
      </c>
      <c r="BZ13" s="101" t="n">
        <f aca="false">IF(AND(BY13=0,CC13=0),0,(ABS(AK13)*AL13+ABS(AM13)*AN13+ABS(AO13)*AP13+ABS(AQ13)*AR13+ABS(AS13)*AT13+ABS(AU13)*AV13+ABS(AW13)*AX13+ABS(AY13)*AZ13+ABS(BA13)*BB13+ABS(BC13)*BD13+ABS(BE13)*BF13+ABS(BG13)*BH13+ABS(BI13)*BJ13+ABS(BK13)*BL13+ABS(BM13)*BN13+ABS(BO13)*BP13+ABS(BQ13)*BR13+ABS(BS13)*BT13+ABS(BU13)*BV13+ABS(BW13)*BX13)/CC13)</f>
        <v>0</v>
      </c>
      <c r="CB13" s="103" t="n">
        <f aca="false">AJ13</f>
        <v>37226</v>
      </c>
      <c r="CC13" s="102" t="n">
        <f aca="false">ABS(AK13)+ABS(AM13)+ABS(AO13)+ABS(AQ13)+ABS(AS13)+ABS(AU13)+ABS(AW13)+ABS(AY13)+ABS(BA13)+ABS(BC13)+ABS(BE13)+ABS(BG13)+ABS(BI13)+ABS(BK13)+ABS(BM13)+ABS(BO13)+ABS(BQ13)+ABS(BS13)+ABS(BU13)+ABS(BW13)</f>
        <v>0</v>
      </c>
      <c r="CD13" s="104" t="n">
        <f aca="false">16*DK13</f>
        <v>400</v>
      </c>
      <c r="CE13" s="102" t="n">
        <f aca="false">16*DL13</f>
        <v>320</v>
      </c>
      <c r="CF13" s="105" t="n">
        <f aca="false">CD13-CE13</f>
        <v>80</v>
      </c>
      <c r="CG13" s="102" t="n">
        <f aca="false">VLOOKUP(A13,Interest!$X$8:$AC$367,6)</f>
        <v>0.99456482404642</v>
      </c>
      <c r="CH13" s="106" t="n">
        <f aca="false">E13-B13</f>
        <v>0</v>
      </c>
      <c r="CI13" s="106" t="n">
        <f aca="false">IF(YEAR($AJ13)=$CI$10,(($I13-$AL$48)*$AK$48+($I13-$AN$48)*$AM$48+($I13-$AP$48)*$AO$48+($I13-$AR$48)*$AQ$48+($I13-$AT$48)*$AS$48+($I13-$AV$48)*$AU$48+($I13-$AX$48)*$AW$48+($I13-$AZ$48)*$AY$48+($I13-$BB$48)*$BA$48+($I13-$BD$48)*$BC$48+($I13-$BF$48)*$BE$48+($I13-$BH$48)*$BG$48+($I13-$BJ$48)*$BI$48+($I13-$BL$48)*$BK$48+($I13-$BN$48)*$BM$48+($I13-$BP$48)*$BO$48+($I13-$BR$48)*$BQ$48+($I13-$BT$48)*$BS$48+($I13-$BV$48)*$BU$48+($I13-$BX$48)*$BW$48)*$CD13*$CG13,0)</f>
        <v>0</v>
      </c>
      <c r="CJ13" s="106" t="n">
        <f aca="false">IF(YEAR($AJ13)=$CJ$10,(($I13-$AL$49)*$AK$49+($I13-$AN$49)*$AM$49+($I13-$AP$49)*$AO$49+($I13-$AR$49)*$AQ$49+($I13-$AT$49)*$AS$49+($I13-$AV$49)*$AU$49+($I13-$AX$49)*$AW$49+($I13-$AZ$49)*$AY$49+($I13-$BB$49)*$BA$49+($I13-$BD$49)*$BC$49+($I13-$BF$49)*$BE$49+($I13-$BH$49)*$BG$49+($I13-$BJ$49)*$BI$49+($I13-$BL$49)*$BK$49+($I13-$BN$49)*$BM$49+($I13-$BP$49)*$BO$49+($I13-$BR$49)*$BQ$49+($I13-$BT$49)*$BS$49+($I13-$BV$49)*$BU$49+($I13-$BX$49)*$BW$49)*$CD13*$CG13,0)</f>
        <v>0</v>
      </c>
      <c r="CK13" s="106" t="n">
        <f aca="false">IF(YEAR($AJ13)=$CK$10,(($I13-$AL$50)*$AK$50+($I13-$AN$50)*$AM$50+($I13-$AP$50)*$AO$50+($I13-$AR$50)*$AQ$50+($I13-$AT$50)*$AS$50+($I13-$AV$50)*$AU$50+($I13-$AX$50)*$AW$50+($I13-$AZ$50)*$AY$50+($I13-$BB$50)*$BA$50+($I13-$BD$50)*$BC$50+($I13-$BF$50)*$BE$50+($I13-$BH$50)*$BG$50+($I13-$BJ$50)*$BI$50+($I13-$BL$50)*$BK$50+($I13-$BN$50)*$BM$50+($I13-$BP$50)*$BO$50+($I13-$BR$50)*$BQ$50+($I13-$BT$50)*$BS$50+($I13-$BV$50)*$BU$50+($I13-$BX$50)*$BW$50)*$CD13*$CG13,0)</f>
        <v>0</v>
      </c>
      <c r="CL13" s="1" t="n">
        <f aca="false">CC13*CD13</f>
        <v>0</v>
      </c>
      <c r="CN13" s="105"/>
      <c r="DI13" s="1" t="n">
        <f aca="false">DK13-DL13</f>
        <v>5</v>
      </c>
      <c r="DJ13" s="107" t="n">
        <f aca="false">[2]EnergyCurve!$D35</f>
        <v>37226</v>
      </c>
      <c r="DK13" s="2" t="n">
        <f aca="false">IF($L$6=0,VLOOKUP(DJ13,$DM$13:$DQ$252,2)+VLOOKUP(DJ13,$DU$13:$DY$252,3),VLOOKUP(DJ13,$DU$13:$DY$252,2)+VLOOKUP(DJ13,$DU$13:$DY$252,3))</f>
        <v>25</v>
      </c>
      <c r="DL13" s="2" t="n">
        <f aca="false">IF($L$6=0,VLOOKUP(DJ13,$DM$13:$DQ$252,2),VLOOKUP(DJ13,$DU$13:$DY$252,2))</f>
        <v>20</v>
      </c>
      <c r="DM13" s="125" t="n">
        <v>36892</v>
      </c>
      <c r="DN13" s="126" t="n">
        <v>22</v>
      </c>
      <c r="DO13" s="126" t="n">
        <v>4</v>
      </c>
      <c r="DP13" s="126" t="n">
        <v>4</v>
      </c>
      <c r="DQ13" s="126" t="n">
        <v>1</v>
      </c>
      <c r="DR13" s="126" t="n">
        <v>31</v>
      </c>
      <c r="DS13" s="111"/>
      <c r="DT13" s="111"/>
      <c r="DU13" s="125" t="n">
        <v>36892</v>
      </c>
      <c r="DV13" s="126" t="n">
        <v>22</v>
      </c>
      <c r="DW13" s="126" t="n">
        <v>4</v>
      </c>
      <c r="DX13" s="126" t="n">
        <v>4</v>
      </c>
      <c r="DY13" s="126" t="n">
        <v>1</v>
      </c>
      <c r="DZ13" s="126" t="n">
        <v>31</v>
      </c>
      <c r="EA13" s="111"/>
      <c r="EB13" s="111"/>
      <c r="EQ13" s="107"/>
      <c r="ER13" s="111"/>
      <c r="ES13" s="44"/>
      <c r="ET13" s="44"/>
    </row>
    <row r="14" customFormat="false" ht="18.75" hidden="false" customHeight="true" outlineLevel="0" collapsed="false">
      <c r="A14" s="75" t="n">
        <f aca="false">[2]EnergyCurve!$D36</f>
        <v>37257</v>
      </c>
      <c r="B14" s="76" t="n">
        <f aca="false">[2]EnergyCurve!$O36+[2]EnergyCurve!$Q36</f>
        <v>21503.1618652344</v>
      </c>
      <c r="C14" s="77" t="n">
        <f aca="false">B14/(CG14*CD14)</f>
        <v>52.0819265093879</v>
      </c>
      <c r="D14" s="78" t="n">
        <f aca="false">BY14+IF(YEAR(A14)=$T$20,$BY$48,0)+IF(YEAR(A14)=$T$21,$BY$49,0)+IF(YEAR(A14)=$T$22,$BY$50,0)</f>
        <v>-30</v>
      </c>
      <c r="E14" s="77" t="n">
        <f aca="false">B14+(D14*CD14*CG14)</f>
        <v>9117.00606816047</v>
      </c>
      <c r="F14" s="79" t="n">
        <f aca="false">C14+D14</f>
        <v>22.0819265093879</v>
      </c>
      <c r="G14" s="80" t="n">
        <f aca="false">([2]EnergyCurve!$E36*CE14+[2]EnergyCurve!$W36*CF14)/CD14</f>
        <v>65.2862936166617</v>
      </c>
      <c r="H14" s="80" t="n">
        <f aca="false">I14-G14</f>
        <v>-1.93853302386746</v>
      </c>
      <c r="I14" s="81" t="n">
        <f aca="false">([2]EnergyCurve!$G36*CE14+[2]EnergyCurve!$Y36*CF14)/CD14</f>
        <v>63.3477605927942</v>
      </c>
      <c r="J14" s="76" t="n">
        <f aca="false">H14*B14</f>
        <v>-41684.5893933242</v>
      </c>
      <c r="K14" s="82" t="n">
        <f aca="false">(((I14-AL14)*AK14+(I14-AN14)*AM14+(I14-AP14)*AO14+(I14-AR14)*AQ14+(I14-AT14)*AS14+(I14-AV14)*AU14+(I14-AX14)*AW14+(I14-AZ14)*AY14+(I14-BB14)*BA14+(I14-BD14)*BC14+(I14-BF14)*BE14+(I14-BH14)*BG14+(I14-BJ14)*BI14+(I14-BL14)*BK14+(I14-BN14)*BM14+(I14-BP14)*BO14+(I14-BR14)*BQ14+(I14-BT14)*BS14+(I14-BV14)*BU14+(I14-BX14)*BW14)*CD14*CG14)+CI14+CJ14+CK14</f>
        <v>-136426.41205122</v>
      </c>
      <c r="L14" s="82" t="n">
        <f aca="false">J14+K14</f>
        <v>-178111.001444544</v>
      </c>
      <c r="M14" s="0"/>
      <c r="N14" s="83" t="n">
        <f aca="false">A14</f>
        <v>37257</v>
      </c>
      <c r="O14" s="84" t="n">
        <v>25.25</v>
      </c>
      <c r="P14" s="84" t="n">
        <v>25.25</v>
      </c>
      <c r="Q14" s="85" t="n">
        <f aca="false">AVERAGE(O14:P14)-G14</f>
        <v>-40.0362936166617</v>
      </c>
      <c r="R14" s="86"/>
      <c r="S14" s="120" t="n">
        <f aca="false">I14</f>
        <v>63.3477605927942</v>
      </c>
      <c r="T14" s="88" t="n">
        <f aca="false">IF(U13=4,T13+1,T13)</f>
        <v>2002</v>
      </c>
      <c r="U14" s="89" t="n">
        <f aca="false">IF(U13=4,1,U13+1)</f>
        <v>3</v>
      </c>
      <c r="V14" s="127" t="str">
        <f aca="false">"Q"&amp;U14&amp;" "&amp;T14</f>
        <v>Q3 2002</v>
      </c>
      <c r="W14" s="91" t="n">
        <f aca="false" t="array" ref="W14:W14">SUM(IF((INT((MONTH($A$12:$A$47)-1)/3)=U14-1)*(YEAR($A$12:$A$47)=T14),$I$12:$I$47*$DK$12:$DK$47))/SUM(IF((INT((MONTH($A$12:$A$47)-1)/3)=U14-1)*(YEAR($A$12:$A$47)=T14),$DK$12:$DK$47))</f>
        <v>50.8382205938503</v>
      </c>
      <c r="X14" s="122" t="n">
        <f aca="false" t="array" ref="X14:X14">AVERAGE(IF((INT((MONTH($A$12:$A$47)-1)/3)=U14-1)*(YEAR($A$12:$A$47)=T14),$I$12:$I$47))</f>
        <v>50.8415951025632</v>
      </c>
      <c r="Y14" s="128" t="n">
        <f aca="false">W14-$W$12</f>
        <v>-11.2339795803919</v>
      </c>
      <c r="Z14" s="128" t="n">
        <f aca="false">W14-$W$13</f>
        <v>-6.76656569705996</v>
      </c>
      <c r="AA14" s="93" t="n">
        <v>0</v>
      </c>
      <c r="AB14" s="94"/>
      <c r="AC14" s="94"/>
      <c r="AD14" s="94"/>
      <c r="AE14" s="94"/>
      <c r="AF14" s="94"/>
      <c r="AG14" s="94"/>
      <c r="AH14" s="94"/>
      <c r="AI14" s="94"/>
      <c r="AJ14" s="95" t="n">
        <f aca="false">A14</f>
        <v>37257</v>
      </c>
      <c r="AK14" s="96" t="n">
        <v>-5</v>
      </c>
      <c r="AL14" s="97" t="n">
        <v>47.5</v>
      </c>
      <c r="AM14" s="96" t="n">
        <v>-15</v>
      </c>
      <c r="AN14" s="97" t="n">
        <v>47</v>
      </c>
      <c r="AO14" s="96" t="n">
        <v>-10</v>
      </c>
      <c r="AP14" s="97" t="n">
        <v>62.75</v>
      </c>
      <c r="AQ14" s="96"/>
      <c r="AR14" s="97"/>
      <c r="AS14" s="96"/>
      <c r="AT14" s="97"/>
      <c r="AU14" s="96"/>
      <c r="AV14" s="97"/>
      <c r="AW14" s="96"/>
      <c r="AX14" s="97"/>
      <c r="AY14" s="96"/>
      <c r="AZ14" s="97"/>
      <c r="BA14" s="96"/>
      <c r="BB14" s="97"/>
      <c r="BC14" s="96"/>
      <c r="BD14" s="97"/>
      <c r="BE14" s="96"/>
      <c r="BF14" s="97"/>
      <c r="BG14" s="96"/>
      <c r="BH14" s="97"/>
      <c r="BI14" s="96"/>
      <c r="BJ14" s="97"/>
      <c r="BK14" s="96"/>
      <c r="BL14" s="97"/>
      <c r="BM14" s="96"/>
      <c r="BN14" s="97"/>
      <c r="BO14" s="96"/>
      <c r="BP14" s="97"/>
      <c r="BQ14" s="96"/>
      <c r="BR14" s="97"/>
      <c r="BS14" s="96"/>
      <c r="BT14" s="97"/>
      <c r="BU14" s="96"/>
      <c r="BV14" s="97"/>
      <c r="BW14" s="96"/>
      <c r="BX14" s="97"/>
      <c r="BY14" s="100" t="n">
        <f aca="false">AK14+AM14+AO14+AQ14+AS14+AU14+AW14+AY14+BA14+BC14+BE14+BG14+BI14+BK14+BM14+BO14+BQ14+BS14+BU14+BW14</f>
        <v>-30</v>
      </c>
      <c r="BZ14" s="101" t="n">
        <f aca="false">IF(AND(BY14=0,CC14=0),0,(ABS(AK14)*AL14+ABS(AM14)*AN14+ABS(AO14)*AP14+ABS(AQ14)*AR14+ABS(AS14)*AT14+ABS(AU14)*AV14+ABS(AW14)*AX14+ABS(AY14)*AZ14+ABS(BA14)*BB14+ABS(BC14)*BD14+ABS(BE14)*BF14+ABS(BG14)*BH14+ABS(BI14)*BJ14+ABS(BK14)*BL14+ABS(BM14)*BN14+ABS(BO14)*BP14+ABS(BQ14)*BR14+ABS(BS14)*BT14+ABS(BU14)*BV14+ABS(BW14)*BX14)/CC14)</f>
        <v>52.3333333333333</v>
      </c>
      <c r="CB14" s="103" t="n">
        <f aca="false">AJ14</f>
        <v>37257</v>
      </c>
      <c r="CC14" s="102" t="n">
        <f aca="false">ABS(AK14)+ABS(AM14)+ABS(AO14)+ABS(AQ14)+ABS(AS14)+ABS(AU14)+ABS(AW14)+ABS(AY14)+ABS(BA14)+ABS(BC14)+ABS(BE14)+ABS(BG14)+ABS(BI14)+ABS(BK14)+ABS(BM14)+ABS(BO14)+ABS(BQ14)+ABS(BS14)+ABS(BU14)+ABS(BW14)</f>
        <v>30</v>
      </c>
      <c r="CD14" s="104" t="n">
        <f aca="false">16*DK14</f>
        <v>416</v>
      </c>
      <c r="CE14" s="102" t="n">
        <f aca="false">16*DL14</f>
        <v>352</v>
      </c>
      <c r="CF14" s="105" t="n">
        <f aca="false">CD14-CE14</f>
        <v>64</v>
      </c>
      <c r="CG14" s="102" t="n">
        <f aca="false">VLOOKUP(A14,Interest!$X$8:$AC$367,6)</f>
        <v>0.992480432457845</v>
      </c>
      <c r="CH14" s="106" t="n">
        <f aca="false">E14-B14</f>
        <v>-12386.1557970739</v>
      </c>
      <c r="CI14" s="106" t="n">
        <f aca="false">IF(YEAR($AJ14)=$CI$10,(($I14-$AL$48)*$AK$48+($I14-$AN$48)*$AM$48+($I14-$AP$48)*$AO$48+($I14-$AR$48)*$AQ$48+($I14-$AT$48)*$AS$48+($I14-$AV$48)*$AU$48+($I14-$AX$48)*$AW$48+($I14-$AZ$48)*$AY$48+($I14-$BB$48)*$BA$48+($I14-$BD$48)*$BC$48+($I14-$BF$48)*$BE$48+($I14-$BH$48)*$BG$48+($I14-$BJ$48)*$BI$48+($I14-$BL$48)*$BK$48+($I14-$BN$48)*$BM$48+($I14-$BP$48)*$BO$48+($I14-$BR$48)*$BQ$48+($I14-$BT$48)*$BS$48+($I14-$BV$48)*$BU$48+($I14-$BX$48)*$BW$48)*$CD14*$CG14,0)</f>
        <v>0</v>
      </c>
      <c r="CJ14" s="106" t="n">
        <f aca="false">IF(YEAR($AJ14)=$CJ$10,(($I14-$AL$49)*$AK$49+($I14-$AN$49)*$AM$49+($I14-$AP$49)*$AO$49+($I14-$AR$49)*$AQ$49+($I14-$AT$49)*$AS$49+($I14-$AV$49)*$AU$49+($I14-$AX$49)*$AW$49+($I14-$AZ$49)*$AY$49+($I14-$BB$49)*$BA$49+($I14-$BD$49)*$BC$49+($I14-$BF$49)*$BE$49+($I14-$BH$49)*$BG$49+($I14-$BJ$49)*$BI$49+($I14-$BL$49)*$BK$49+($I14-$BN$49)*$BM$49+($I14-$BP$49)*$BO$49+($I14-$BR$49)*$BQ$49+($I14-$BT$49)*$BS$49+($I14-$BV$49)*$BU$49+($I14-$BX$49)*$BW$49)*$CD14*$CG14,0)</f>
        <v>0</v>
      </c>
      <c r="CK14" s="106" t="n">
        <f aca="false">IF(YEAR($AJ14)=$CK$10,(($I14-$AL$50)*$AK$50+($I14-$AN$50)*$AM$50+($I14-$AP$50)*$AO$50+($I14-$AR$50)*$AQ$50+($I14-$AT$50)*$AS$50+($I14-$AV$50)*$AU$50+($I14-$AX$50)*$AW$50+($I14-$AZ$50)*$AY$50+($I14-$BB$50)*$BA$50+($I14-$BD$50)*$BC$50+($I14-$BF$50)*$BE$50+($I14-$BH$50)*$BG$50+($I14-$BJ$50)*$BI$50+($I14-$BL$50)*$BK$50+($I14-$BN$50)*$BM$50+($I14-$BP$50)*$BO$50+($I14-$BR$50)*$BQ$50+($I14-$BT$50)*$BS$50+($I14-$BV$50)*$BU$50+($I14-$BX$50)*$BW$50)*$CD14*$CG14,0)</f>
        <v>0</v>
      </c>
      <c r="CL14" s="1" t="n">
        <f aca="false">CC14*CD14</f>
        <v>12480</v>
      </c>
      <c r="CM14" s="129"/>
      <c r="CN14" s="105"/>
      <c r="CO14" s="129"/>
      <c r="DI14" s="1" t="n">
        <f aca="false">DK14-DL14</f>
        <v>4</v>
      </c>
      <c r="DJ14" s="107" t="n">
        <f aca="false">[2]EnergyCurve!$D36</f>
        <v>37257</v>
      </c>
      <c r="DK14" s="2" t="n">
        <f aca="false">IF($L$6=0,VLOOKUP(DJ14,$DM$13:$DQ$252,2)+VLOOKUP(DJ14,$DU$13:$DY$252,3),VLOOKUP(DJ14,$DU$13:$DY$252,2)+VLOOKUP(DJ14,$DU$13:$DY$252,3))</f>
        <v>26</v>
      </c>
      <c r="DL14" s="2" t="n">
        <f aca="false">IF($L$6=0,VLOOKUP(DJ14,$DM$13:$DQ$252,2),VLOOKUP(DJ14,$DU$13:$DY$252,2))</f>
        <v>22</v>
      </c>
      <c r="DM14" s="130" t="n">
        <v>36923</v>
      </c>
      <c r="DN14" s="22" t="n">
        <v>19</v>
      </c>
      <c r="DO14" s="22" t="n">
        <v>4</v>
      </c>
      <c r="DP14" s="22" t="n">
        <v>4</v>
      </c>
      <c r="DQ14" s="22" t="n">
        <v>1</v>
      </c>
      <c r="DR14" s="22" t="n">
        <v>28</v>
      </c>
      <c r="DS14" s="111"/>
      <c r="DT14" s="111"/>
      <c r="DU14" s="130" t="n">
        <v>36923</v>
      </c>
      <c r="DV14" s="22" t="n">
        <v>20</v>
      </c>
      <c r="DW14" s="22" t="n">
        <v>4</v>
      </c>
      <c r="DX14" s="22" t="n">
        <v>4</v>
      </c>
      <c r="DY14" s="22" t="n">
        <v>0</v>
      </c>
      <c r="DZ14" s="22" t="n">
        <v>28</v>
      </c>
      <c r="EA14" s="111"/>
      <c r="EB14" s="111"/>
      <c r="EQ14" s="107"/>
      <c r="ER14" s="111"/>
      <c r="ES14" s="44"/>
      <c r="ET14" s="44"/>
    </row>
    <row r="15" customFormat="false" ht="18.75" hidden="false" customHeight="true" outlineLevel="0" collapsed="false">
      <c r="A15" s="112" t="n">
        <f aca="false">[2]EnergyCurve!$D37</f>
        <v>37288</v>
      </c>
      <c r="B15" s="113" t="n">
        <f aca="false">[2]EnergyCurve!$O37+[2]EnergyCurve!$Q37</f>
        <v>19531.9223632813</v>
      </c>
      <c r="C15" s="114" t="n">
        <f aca="false">B15/(CG15*CD15)</f>
        <v>51.3424191060712</v>
      </c>
      <c r="D15" s="114" t="n">
        <f aca="false">BY15+IF(YEAR(A15)=$T$20,$BY$48,0)+IF(YEAR(A15)=$T$21,$BY$49,0)+IF(YEAR(A15)=$T$22,$BY$50,0)</f>
        <v>-30</v>
      </c>
      <c r="E15" s="115" t="n">
        <f aca="false">B15+(D15*CD15*CG15)</f>
        <v>8119.18254500594</v>
      </c>
      <c r="F15" s="116" t="n">
        <f aca="false">C15+D15</f>
        <v>21.3424191060712</v>
      </c>
      <c r="G15" s="117" t="n">
        <f aca="false">([2]EnergyCurve!$E37*CE15+[2]EnergyCurve!$W37*CF15)/CD15</f>
        <v>64.6978136698405</v>
      </c>
      <c r="H15" s="80" t="n">
        <f aca="false">I15-G15</f>
        <v>-2.19045048740306</v>
      </c>
      <c r="I15" s="118" t="n">
        <f aca="false">([2]EnergyCurve!$G37*CE15+[2]EnergyCurve!$Y37*CF15)/CD15</f>
        <v>62.5073631824374</v>
      </c>
      <c r="J15" s="115" t="n">
        <f aca="false">H15*B15</f>
        <v>-42783.7088605681</v>
      </c>
      <c r="K15" s="119" t="n">
        <f aca="false">(((I15-AL15)*AK15+(I15-AN15)*AM15+(I15-AP15)*AO15+(I15-AR15)*AQ15+(I15-AT15)*AS15+(I15-AV15)*AU15+(I15-AX15)*AW15+(I15-AZ15)*AY15+(I15-BB15)*BA15+(I15-BD15)*BC15+(I15-BF15)*BE15+(I15-BH15)*BG15+(I15-BJ15)*BI15+(I15-BL15)*BK15+(I15-BN15)*BM15+(I15-BP15)*BO15+(I15-BR15)*BQ15+(I15-BT15)*BS15+(I15-BV15)*BU15+(I15-BX15)*BW15)*CD15*CG15)+CI15+CJ15+CK15</f>
        <v>-116113.555571192</v>
      </c>
      <c r="L15" s="119" t="n">
        <f aca="false">J15+K15</f>
        <v>-158897.26443176</v>
      </c>
      <c r="M15" s="131"/>
      <c r="N15" s="83" t="n">
        <f aca="false">A15</f>
        <v>37288</v>
      </c>
      <c r="O15" s="84" t="n">
        <v>25.25</v>
      </c>
      <c r="P15" s="84" t="n">
        <v>25.25</v>
      </c>
      <c r="Q15" s="85" t="n">
        <f aca="false">AVERAGE(O15:P15)-G15</f>
        <v>-39.4478136698405</v>
      </c>
      <c r="R15" s="86"/>
      <c r="S15" s="120" t="n">
        <f aca="false">I15</f>
        <v>62.5073631824374</v>
      </c>
      <c r="T15" s="88" t="n">
        <f aca="false">IF(U14=4,T14+1,T14)</f>
        <v>2002</v>
      </c>
      <c r="U15" s="89" t="n">
        <f aca="false">IF(U14=4,1,U14+1)</f>
        <v>4</v>
      </c>
      <c r="V15" s="121" t="str">
        <f aca="false">"Q"&amp;U15&amp;" "&amp;T15</f>
        <v>Q4 2002</v>
      </c>
      <c r="W15" s="91" t="n">
        <f aca="false" t="array" ref="W15:W15">SUM(IF((INT((MONTH($A$12:$A$47)-1)/3)=U15-1)*(YEAR($A$12:$A$47)=T15),$I$12:$I$47*$DK$12:$DK$47))/SUM(IF((INT((MONTH($A$12:$A$47)-1)/3)=U15-1)*(YEAR($A$12:$A$47)=T15),$DK$12:$DK$47))</f>
        <v>59.5924240204556</v>
      </c>
      <c r="X15" s="122" t="n">
        <f aca="false" t="array" ref="X15:X15">AVERAGE(IF((INT((MONTH($A$12:$A$47)-1)/3)=U15-1)*(YEAR($A$12:$A$47)=T15),$I$12:$I$47))</f>
        <v>59.7054533207488</v>
      </c>
      <c r="Y15" s="123" t="n">
        <f aca="false">W15-$W$12</f>
        <v>-2.47977615378665</v>
      </c>
      <c r="Z15" s="123" t="n">
        <f aca="false">W15-$W$13</f>
        <v>1.98763772954533</v>
      </c>
      <c r="AA15" s="123" t="n">
        <f aca="false">W15-$W$14</f>
        <v>8.75420342660529</v>
      </c>
      <c r="AB15" s="124" t="n">
        <v>0</v>
      </c>
      <c r="AC15" s="94"/>
      <c r="AD15" s="94"/>
      <c r="AE15" s="94"/>
      <c r="AF15" s="94"/>
      <c r="AG15" s="94"/>
      <c r="AH15" s="94"/>
      <c r="AI15" s="94"/>
      <c r="AJ15" s="95" t="n">
        <f aca="false">A15</f>
        <v>37288</v>
      </c>
      <c r="AK15" s="96" t="n">
        <v>-5</v>
      </c>
      <c r="AL15" s="97" t="n">
        <v>47.5</v>
      </c>
      <c r="AM15" s="96" t="n">
        <v>-15</v>
      </c>
      <c r="AN15" s="97" t="n">
        <v>47</v>
      </c>
      <c r="AO15" s="96" t="n">
        <v>-10</v>
      </c>
      <c r="AP15" s="97" t="n">
        <v>62.75</v>
      </c>
      <c r="AQ15" s="96"/>
      <c r="AR15" s="97"/>
      <c r="AS15" s="96"/>
      <c r="AT15" s="97"/>
      <c r="AU15" s="96"/>
      <c r="AV15" s="97"/>
      <c r="AW15" s="96"/>
      <c r="AX15" s="97"/>
      <c r="AY15" s="96"/>
      <c r="AZ15" s="97"/>
      <c r="BA15" s="96"/>
      <c r="BB15" s="97"/>
      <c r="BC15" s="96"/>
      <c r="BD15" s="97"/>
      <c r="BE15" s="96"/>
      <c r="BF15" s="97"/>
      <c r="BG15" s="96"/>
      <c r="BH15" s="97"/>
      <c r="BI15" s="96"/>
      <c r="BJ15" s="97"/>
      <c r="BK15" s="96"/>
      <c r="BL15" s="97"/>
      <c r="BM15" s="96"/>
      <c r="BN15" s="97"/>
      <c r="BO15" s="96"/>
      <c r="BP15" s="97"/>
      <c r="BQ15" s="96"/>
      <c r="BR15" s="97"/>
      <c r="BS15" s="96"/>
      <c r="BT15" s="97"/>
      <c r="BU15" s="96"/>
      <c r="BV15" s="97"/>
      <c r="BW15" s="96"/>
      <c r="BX15" s="97"/>
      <c r="BY15" s="100" t="n">
        <f aca="false">AK15+AM15+AO15+AQ15+AS15+AU15+AW15+AY15+BA15+BC15+BE15+BG15+BI15+BK15+BM15+BO15+BQ15+BS15+BU15+BW15</f>
        <v>-30</v>
      </c>
      <c r="BZ15" s="101" t="n">
        <f aca="false">IF(AND(BY15=0,CC15=0),0,(ABS(AK15)*AL15+ABS(AM15)*AN15+ABS(AO15)*AP15+ABS(AQ15)*AR15+ABS(AS15)*AT15+ABS(AU15)*AV15+ABS(AW15)*AX15+ABS(AY15)*AZ15+ABS(BA15)*BB15+ABS(BC15)*BD15+ABS(BE15)*BF15+ABS(BG15)*BH15+ABS(BI15)*BJ15+ABS(BK15)*BL15+ABS(BM15)*BN15+ABS(BO15)*BP15+ABS(BQ15)*BR15+ABS(BS15)*BT15+ABS(BU15)*BV15+ABS(BW15)*BX15)/CC15)</f>
        <v>52.3333333333333</v>
      </c>
      <c r="CB15" s="103" t="n">
        <f aca="false">AJ15</f>
        <v>37288</v>
      </c>
      <c r="CC15" s="102" t="n">
        <f aca="false">ABS(AK15)+ABS(AM15)+ABS(AO15)+ABS(AQ15)+ABS(AS15)+ABS(AU15)+ABS(AW15)+ABS(AY15)+ABS(BA15)+ABS(BC15)+ABS(BE15)+ABS(BG15)+ABS(BI15)+ABS(BK15)+ABS(BM15)+ABS(BO15)+ABS(BQ15)+ABS(BS15)+ABS(BU15)+ABS(BW15)</f>
        <v>30</v>
      </c>
      <c r="CD15" s="104" t="n">
        <f aca="false">16*DK15</f>
        <v>384</v>
      </c>
      <c r="CE15" s="102" t="n">
        <f aca="false">16*DL15</f>
        <v>320</v>
      </c>
      <c r="CF15" s="105" t="n">
        <f aca="false">CD15-CE15</f>
        <v>64</v>
      </c>
      <c r="CG15" s="102" t="n">
        <f aca="false">VLOOKUP(A15,Interest!$X$8:$AC$367,6)</f>
        <v>0.990689220336398</v>
      </c>
      <c r="CH15" s="106" t="n">
        <f aca="false">E15-B15</f>
        <v>-11412.7398182753</v>
      </c>
      <c r="CI15" s="106" t="n">
        <f aca="false">IF(YEAR($AJ15)=$CI$10,(($I15-$AL$48)*$AK$48+($I15-$AN$48)*$AM$48+($I15-$AP$48)*$AO$48+($I15-$AR$48)*$AQ$48+($I15-$AT$48)*$AS$48+($I15-$AV$48)*$AU$48+($I15-$AX$48)*$AW$48+($I15-$AZ$48)*$AY$48+($I15-$BB$48)*$BA$48+($I15-$BD$48)*$BC$48+($I15-$BF$48)*$BE$48+($I15-$BH$48)*$BG$48+($I15-$BJ$48)*$BI$48+($I15-$BL$48)*$BK$48+($I15-$BN$48)*$BM$48+($I15-$BP$48)*$BO$48+($I15-$BR$48)*$BQ$48+($I15-$BT$48)*$BS$48+($I15-$BV$48)*$BU$48+($I15-$BX$48)*$BW$48)*$CD15*$CG15,0)</f>
        <v>0</v>
      </c>
      <c r="CJ15" s="106" t="n">
        <f aca="false">IF(YEAR($AJ15)=$CJ$10,(($I15-$AL$49)*$AK$49+($I15-$AN$49)*$AM$49+($I15-$AP$49)*$AO$49+($I15-$AR$49)*$AQ$49+($I15-$AT$49)*$AS$49+($I15-$AV$49)*$AU$49+($I15-$AX$49)*$AW$49+($I15-$AZ$49)*$AY$49+($I15-$BB$49)*$BA$49+($I15-$BD$49)*$BC$49+($I15-$BF$49)*$BE$49+($I15-$BH$49)*$BG$49+($I15-$BJ$49)*$BI$49+($I15-$BL$49)*$BK$49+($I15-$BN$49)*$BM$49+($I15-$BP$49)*$BO$49+($I15-$BR$49)*$BQ$49+($I15-$BT$49)*$BS$49+($I15-$BV$49)*$BU$49+($I15-$BX$49)*$BW$49)*$CD15*$CG15,0)</f>
        <v>0</v>
      </c>
      <c r="CK15" s="106" t="n">
        <f aca="false">IF(YEAR($AJ15)=$CK$10,(($I15-$AL$50)*$AK$50+($I15-$AN$50)*$AM$50+($I15-$AP$50)*$AO$50+($I15-$AR$50)*$AQ$50+($I15-$AT$50)*$AS$50+($I15-$AV$50)*$AU$50+($I15-$AX$50)*$AW$50+($I15-$AZ$50)*$AY$50+($I15-$BB$50)*$BA$50+($I15-$BD$50)*$BC$50+($I15-$BF$50)*$BE$50+($I15-$BH$50)*$BG$50+($I15-$BJ$50)*$BI$50+($I15-$BL$50)*$BK$50+($I15-$BN$50)*$BM$50+($I15-$BP$50)*$BO$50+($I15-$BR$50)*$BQ$50+($I15-$BT$50)*$BS$50+($I15-$BV$50)*$BU$50+($I15-$BX$50)*$BW$50)*$CD15*$CG15,0)</f>
        <v>0</v>
      </c>
      <c r="CL15" s="1" t="n">
        <f aca="false">CC15*CD15</f>
        <v>11520</v>
      </c>
      <c r="CM15" s="129"/>
      <c r="CN15" s="105"/>
      <c r="CO15" s="129"/>
      <c r="DI15" s="1" t="n">
        <f aca="false">DK15-DL15</f>
        <v>4</v>
      </c>
      <c r="DJ15" s="107" t="n">
        <f aca="false">[2]EnergyCurve!$D37</f>
        <v>37288</v>
      </c>
      <c r="DK15" s="2" t="n">
        <f aca="false">IF($L$6=0,VLOOKUP(DJ15,$DM$13:$DQ$252,2)+VLOOKUP(DJ15,$DU$13:$DY$252,3),VLOOKUP(DJ15,$DU$13:$DY$252,2)+VLOOKUP(DJ15,$DU$13:$DY$252,3))</f>
        <v>24</v>
      </c>
      <c r="DL15" s="2" t="n">
        <f aca="false">IF($L$6=0,VLOOKUP(DJ15,$DM$13:$DQ$252,2),VLOOKUP(DJ15,$DU$13:$DY$252,2))</f>
        <v>20</v>
      </c>
      <c r="DM15" s="130" t="n">
        <v>36951</v>
      </c>
      <c r="DN15" s="22" t="n">
        <v>22</v>
      </c>
      <c r="DO15" s="22" t="n">
        <v>5</v>
      </c>
      <c r="DP15" s="22" t="n">
        <v>4</v>
      </c>
      <c r="DQ15" s="22" t="n">
        <v>0</v>
      </c>
      <c r="DR15" s="22" t="n">
        <v>31</v>
      </c>
      <c r="DS15" s="111"/>
      <c r="DT15" s="111"/>
      <c r="DU15" s="130" t="n">
        <v>36951</v>
      </c>
      <c r="DV15" s="22" t="n">
        <v>22</v>
      </c>
      <c r="DW15" s="22" t="n">
        <v>5</v>
      </c>
      <c r="DX15" s="22" t="n">
        <v>4</v>
      </c>
      <c r="DY15" s="22" t="n">
        <v>0</v>
      </c>
      <c r="DZ15" s="22" t="n">
        <v>31</v>
      </c>
      <c r="EA15" s="111"/>
      <c r="EB15" s="111"/>
      <c r="EQ15" s="107"/>
      <c r="ER15" s="111"/>
      <c r="ES15" s="44"/>
      <c r="ET15" s="44"/>
    </row>
    <row r="16" customFormat="false" ht="18.75" hidden="false" customHeight="true" outlineLevel="0" collapsed="false">
      <c r="A16" s="75" t="n">
        <f aca="false">[2]EnergyCurve!$D38</f>
        <v>37316</v>
      </c>
      <c r="B16" s="76" t="n">
        <f aca="false">[2]EnergyCurve!$O38+[2]EnergyCurve!$Q38</f>
        <v>20954.9904785156</v>
      </c>
      <c r="C16" s="77" t="n">
        <f aca="false">B16/(CG16*CD16)</f>
        <v>50.941332751105</v>
      </c>
      <c r="D16" s="78" t="n">
        <f aca="false">BY16+IF(YEAR(A16)=$T$20,$BY$48,0)+IF(YEAR(A16)=$T$21,$BY$49,0)+IF(YEAR(A16)=$T$22,$BY$50,0)</f>
        <v>-30</v>
      </c>
      <c r="E16" s="77" t="n">
        <f aca="false">B16+(D16*CD16*CG16)</f>
        <v>8614.32955731441</v>
      </c>
      <c r="F16" s="79" t="n">
        <f aca="false">C16+D16</f>
        <v>20.941332751105</v>
      </c>
      <c r="G16" s="80" t="n">
        <f aca="false">([2]EnergyCurve!$E38*CE16+[2]EnergyCurve!$W38*CF16)/CD16</f>
        <v>62.7501012361967</v>
      </c>
      <c r="H16" s="80" t="n">
        <f aca="false">I16-G16</f>
        <v>-2.35515041114805</v>
      </c>
      <c r="I16" s="81" t="n">
        <f aca="false">([2]EnergyCurve!$G38*CE16+[2]EnergyCurve!$Y38*CF16)/CD16</f>
        <v>60.3949508250486</v>
      </c>
      <c r="J16" s="76" t="n">
        <f aca="false">H16*B16</f>
        <v>-49352.1544410796</v>
      </c>
      <c r="K16" s="82" t="n">
        <f aca="false">(((I16-AL16)*AK16+(I16-AN16)*AM16+(I16-AP16)*AO16+(I16-AR16)*AQ16+(I16-AT16)*AS16+(I16-AV16)*AU16+(I16-AX16)*AW16+(I16-AZ16)*AY16+(I16-BB16)*BA16+(I16-BD16)*BC16+(I16-BF16)*BE16+(I16-BH16)*BG16+(I16-BJ16)*BI16+(I16-BL16)*BK16+(I16-BN16)*BM16+(I16-BP16)*BO16+(I16-BR16)*BQ16+(I16-BT16)*BS16+(I16-BV16)*BU16+(I16-BX16)*BW16)*CD16*CG16)+CI16+CJ16+CK16</f>
        <v>-99485.6879416829</v>
      </c>
      <c r="L16" s="82" t="n">
        <f aca="false">J16+K16</f>
        <v>-148837.842382762</v>
      </c>
      <c r="M16" s="0"/>
      <c r="N16" s="83" t="n">
        <f aca="false">A16</f>
        <v>37316</v>
      </c>
      <c r="O16" s="84" t="n">
        <v>25.25</v>
      </c>
      <c r="P16" s="84" t="n">
        <v>25.25</v>
      </c>
      <c r="Q16" s="85" t="n">
        <f aca="false">AVERAGE(O16:P16)-G16</f>
        <v>-37.5001012361967</v>
      </c>
      <c r="R16" s="86"/>
      <c r="S16" s="120" t="n">
        <f aca="false">I16</f>
        <v>60.3949508250486</v>
      </c>
      <c r="T16" s="88" t="n">
        <f aca="false">IF(U15=4,T15+1,T15)</f>
        <v>2003</v>
      </c>
      <c r="U16" s="89" t="n">
        <f aca="false">IF(U15=4,1,U15+1)</f>
        <v>1</v>
      </c>
      <c r="V16" s="127" t="str">
        <f aca="false">"Q"&amp;U16&amp;" "&amp;T16</f>
        <v>Q1 2003</v>
      </c>
      <c r="W16" s="91" t="n">
        <f aca="false" t="array" ref="W16:W16">SUM(IF((INT((MONTH($A$12:$A$47)-1)/3)=U16-1)*(YEAR($A$12:$A$47)=T16),$I$12:$I$47*$DK$12:$DK$47))/SUM(IF((INT((MONTH($A$12:$A$47)-1)/3)=U16-1)*(YEAR($A$12:$A$47)=T16),$DK$12:$DK$47))</f>
        <v>50.7237548900505</v>
      </c>
      <c r="X16" s="122" t="n">
        <f aca="false" t="array" ref="X16:X16">AVERAGE(IF((INT((MONTH($A$12:$A$47)-1)/3)=U16-1)*(YEAR($A$12:$A$47)=T16),$I$12:$I$47))</f>
        <v>50.724296171279</v>
      </c>
      <c r="Y16" s="128" t="n">
        <f aca="false">W16-$W$12</f>
        <v>-11.3484452841917</v>
      </c>
      <c r="Z16" s="128" t="n">
        <f aca="false">W16-$W$13</f>
        <v>-6.88103140085975</v>
      </c>
      <c r="AA16" s="128" t="n">
        <f aca="false">W16-$W$14</f>
        <v>-0.114465703799787</v>
      </c>
      <c r="AB16" s="128" t="n">
        <f aca="false">W16-$W$15</f>
        <v>-8.86866913040507</v>
      </c>
      <c r="AC16" s="93" t="n">
        <v>0</v>
      </c>
      <c r="AD16" s="94"/>
      <c r="AE16" s="94"/>
      <c r="AF16" s="94"/>
      <c r="AG16" s="94"/>
      <c r="AH16" s="94"/>
      <c r="AI16" s="94"/>
      <c r="AJ16" s="95" t="n">
        <f aca="false">A16</f>
        <v>37316</v>
      </c>
      <c r="AK16" s="96" t="n">
        <v>-5</v>
      </c>
      <c r="AL16" s="97" t="n">
        <v>47.5</v>
      </c>
      <c r="AM16" s="96" t="n">
        <v>-15</v>
      </c>
      <c r="AN16" s="97" t="n">
        <v>47</v>
      </c>
      <c r="AO16" s="96" t="n">
        <v>-10</v>
      </c>
      <c r="AP16" s="97" t="n">
        <v>62.75</v>
      </c>
      <c r="AQ16" s="96"/>
      <c r="AR16" s="97"/>
      <c r="AS16" s="96"/>
      <c r="AT16" s="97"/>
      <c r="AU16" s="96"/>
      <c r="AV16" s="97"/>
      <c r="AW16" s="96"/>
      <c r="AX16" s="97"/>
      <c r="AY16" s="96"/>
      <c r="AZ16" s="97"/>
      <c r="BA16" s="96"/>
      <c r="BB16" s="97"/>
      <c r="BC16" s="96"/>
      <c r="BD16" s="97"/>
      <c r="BE16" s="96"/>
      <c r="BF16" s="97"/>
      <c r="BG16" s="96"/>
      <c r="BH16" s="97"/>
      <c r="BI16" s="96"/>
      <c r="BJ16" s="97"/>
      <c r="BK16" s="96"/>
      <c r="BL16" s="97"/>
      <c r="BM16" s="96"/>
      <c r="BN16" s="97"/>
      <c r="BO16" s="96"/>
      <c r="BP16" s="97"/>
      <c r="BQ16" s="96"/>
      <c r="BR16" s="97"/>
      <c r="BS16" s="96"/>
      <c r="BT16" s="97"/>
      <c r="BU16" s="96"/>
      <c r="BV16" s="97"/>
      <c r="BW16" s="96"/>
      <c r="BX16" s="97"/>
      <c r="BY16" s="100" t="n">
        <f aca="false">AK16+AM16+AO16+AQ16+AS16+AU16+AW16+AY16+BA16+BC16+BE16+BG16+BI16+BK16+BM16+BO16+BQ16+BS16+BU16+BW16</f>
        <v>-30</v>
      </c>
      <c r="BZ16" s="101" t="n">
        <f aca="false">IF(AND(BY16=0,CC16=0),0,(ABS(AK16)*AL16+ABS(AM16)*AN16+ABS(AO16)*AP16+ABS(AQ16)*AR16+ABS(AS16)*AT16+ABS(AU16)*AV16+ABS(AW16)*AX16+ABS(AY16)*AZ16+ABS(BA16)*BB16+ABS(BC16)*BD16+ABS(BE16)*BF16+ABS(BG16)*BH16+ABS(BI16)*BJ16+ABS(BK16)*BL16+ABS(BM16)*BN16+ABS(BO16)*BP16+ABS(BQ16)*BR16+ABS(BS16)*BT16+ABS(BU16)*BV16+ABS(BW16)*BX16)/CC16)</f>
        <v>52.3333333333333</v>
      </c>
      <c r="CB16" s="103" t="n">
        <f aca="false">AJ16</f>
        <v>37316</v>
      </c>
      <c r="CC16" s="102" t="n">
        <f aca="false">ABS(AK16)+ABS(AM16)+ABS(AO16)+ABS(AQ16)+ABS(AS16)+ABS(AU16)+ABS(AW16)+ABS(AY16)+ABS(BA16)+ABS(BC16)+ABS(BE16)+ABS(BG16)+ABS(BI16)+ABS(BK16)+ABS(BM16)+ABS(BO16)+ABS(BQ16)+ABS(BS16)+ABS(BU16)+ABS(BW16)</f>
        <v>30</v>
      </c>
      <c r="CD16" s="104" t="n">
        <f aca="false">16*DK16</f>
        <v>416</v>
      </c>
      <c r="CE16" s="102" t="n">
        <f aca="false">16*DL16</f>
        <v>336</v>
      </c>
      <c r="CF16" s="105" t="n">
        <f aca="false">CD16-CE16</f>
        <v>80</v>
      </c>
      <c r="CG16" s="102" t="n">
        <f aca="false">VLOOKUP(A16,Interest!$X$8:$AC$367,6)</f>
        <v>0.988835009711636</v>
      </c>
      <c r="CH16" s="106" t="n">
        <f aca="false">E16-B16</f>
        <v>-12340.6609212012</v>
      </c>
      <c r="CI16" s="106" t="n">
        <f aca="false">IF(YEAR($AJ16)=$CI$10,(($I16-$AL$48)*$AK$48+($I16-$AN$48)*$AM$48+($I16-$AP$48)*$AO$48+($I16-$AR$48)*$AQ$48+($I16-$AT$48)*$AS$48+($I16-$AV$48)*$AU$48+($I16-$AX$48)*$AW$48+($I16-$AZ$48)*$AY$48+($I16-$BB$48)*$BA$48+($I16-$BD$48)*$BC$48+($I16-$BF$48)*$BE$48+($I16-$BH$48)*$BG$48+($I16-$BJ$48)*$BI$48+($I16-$BL$48)*$BK$48+($I16-$BN$48)*$BM$48+($I16-$BP$48)*$BO$48+($I16-$BR$48)*$BQ$48+($I16-$BT$48)*$BS$48+($I16-$BV$48)*$BU$48+($I16-$BX$48)*$BW$48)*$CD16*$CG16,0)</f>
        <v>0</v>
      </c>
      <c r="CJ16" s="106" t="n">
        <f aca="false">IF(YEAR($AJ16)=$CJ$10,(($I16-$AL$49)*$AK$49+($I16-$AN$49)*$AM$49+($I16-$AP$49)*$AO$49+($I16-$AR$49)*$AQ$49+($I16-$AT$49)*$AS$49+($I16-$AV$49)*$AU$49+($I16-$AX$49)*$AW$49+($I16-$AZ$49)*$AY$49+($I16-$BB$49)*$BA$49+($I16-$BD$49)*$BC$49+($I16-$BF$49)*$BE$49+($I16-$BH$49)*$BG$49+($I16-$BJ$49)*$BI$49+($I16-$BL$49)*$BK$49+($I16-$BN$49)*$BM$49+($I16-$BP$49)*$BO$49+($I16-$BR$49)*$BQ$49+($I16-$BT$49)*$BS$49+($I16-$BV$49)*$BU$49+($I16-$BX$49)*$BW$49)*$CD16*$CG16,0)</f>
        <v>0</v>
      </c>
      <c r="CK16" s="106" t="n">
        <f aca="false">IF(YEAR($AJ16)=$CK$10,(($I16-$AL$50)*$AK$50+($I16-$AN$50)*$AM$50+($I16-$AP$50)*$AO$50+($I16-$AR$50)*$AQ$50+($I16-$AT$50)*$AS$50+($I16-$AV$50)*$AU$50+($I16-$AX$50)*$AW$50+($I16-$AZ$50)*$AY$50+($I16-$BB$50)*$BA$50+($I16-$BD$50)*$BC$50+($I16-$BF$50)*$BE$50+($I16-$BH$50)*$BG$50+($I16-$BJ$50)*$BI$50+($I16-$BL$50)*$BK$50+($I16-$BN$50)*$BM$50+($I16-$BP$50)*$BO$50+($I16-$BR$50)*$BQ$50+($I16-$BT$50)*$BS$50+($I16-$BV$50)*$BU$50+($I16-$BX$50)*$BW$50)*$CD16*$CG16,0)</f>
        <v>0</v>
      </c>
      <c r="CL16" s="1" t="n">
        <f aca="false">CC16*CD16</f>
        <v>12480</v>
      </c>
      <c r="CM16" s="129"/>
      <c r="CN16" s="105"/>
      <c r="CO16" s="129"/>
      <c r="DI16" s="1" t="n">
        <f aca="false">DK16-DL16</f>
        <v>5</v>
      </c>
      <c r="DJ16" s="107" t="n">
        <f aca="false">[2]EnergyCurve!$D38</f>
        <v>37316</v>
      </c>
      <c r="DK16" s="2" t="n">
        <f aca="false">IF($L$6=0,VLOOKUP(DJ16,$DM$13:$DQ$252,2)+VLOOKUP(DJ16,$DU$13:$DY$252,3),VLOOKUP(DJ16,$DU$13:$DY$252,2)+VLOOKUP(DJ16,$DU$13:$DY$252,3))</f>
        <v>26</v>
      </c>
      <c r="DL16" s="2" t="n">
        <f aca="false">IF($L$6=0,VLOOKUP(DJ16,$DM$13:$DQ$252,2),VLOOKUP(DJ16,$DU$13:$DY$252,2))</f>
        <v>21</v>
      </c>
      <c r="DM16" s="130" t="n">
        <v>36982</v>
      </c>
      <c r="DN16" s="22" t="n">
        <v>20</v>
      </c>
      <c r="DO16" s="22" t="n">
        <v>4</v>
      </c>
      <c r="DP16" s="22" t="n">
        <v>5</v>
      </c>
      <c r="DQ16" s="22" t="n">
        <v>1</v>
      </c>
      <c r="DR16" s="22" t="n">
        <v>30</v>
      </c>
      <c r="DS16" s="111"/>
      <c r="DT16" s="111"/>
      <c r="DU16" s="130" t="n">
        <v>36982</v>
      </c>
      <c r="DV16" s="22" t="n">
        <v>21</v>
      </c>
      <c r="DW16" s="22" t="n">
        <v>4</v>
      </c>
      <c r="DX16" s="22" t="n">
        <v>5</v>
      </c>
      <c r="DY16" s="22" t="n">
        <v>0</v>
      </c>
      <c r="DZ16" s="22" t="n">
        <v>30</v>
      </c>
      <c r="EA16" s="111"/>
      <c r="EB16" s="111"/>
      <c r="EQ16" s="107"/>
      <c r="ER16" s="111"/>
      <c r="ES16" s="44"/>
      <c r="ET16" s="44"/>
    </row>
    <row r="17" customFormat="false" ht="18.75" hidden="false" customHeight="true" outlineLevel="0" collapsed="false">
      <c r="A17" s="112" t="n">
        <f aca="false">[2]EnergyCurve!$D39</f>
        <v>37347</v>
      </c>
      <c r="B17" s="113" t="n">
        <f aca="false">[2]EnergyCurve!$O39+[2]EnergyCurve!$Q39</f>
        <v>36599.4970703125</v>
      </c>
      <c r="C17" s="114" t="n">
        <f aca="false">B17/(CG17*CD17)</f>
        <v>89.1334693792718</v>
      </c>
      <c r="D17" s="114" t="n">
        <f aca="false">BY17+IF(YEAR(A17)=$T$20,$BY$48,0)+IF(YEAR(A17)=$T$21,$BY$49,0)+IF(YEAR(A17)=$T$22,$BY$50,0)</f>
        <v>-20</v>
      </c>
      <c r="E17" s="115" t="n">
        <f aca="false">B17+(D17*CD17*CG17)</f>
        <v>28387.2065973415</v>
      </c>
      <c r="F17" s="116" t="n">
        <f aca="false">C17+D17</f>
        <v>69.1334693792718</v>
      </c>
      <c r="G17" s="117" t="n">
        <f aca="false">([2]EnergyCurve!$E39*CE17+[2]EnergyCurve!$W39*CF17)/CD17</f>
        <v>58.2317243722769</v>
      </c>
      <c r="H17" s="80" t="n">
        <f aca="false">I17-G17</f>
        <v>-1.19825162804056</v>
      </c>
      <c r="I17" s="118" t="n">
        <f aca="false">([2]EnergyCurve!$G39*CE17+[2]EnergyCurve!$Y39*CF17)/CD17</f>
        <v>57.0334727442363</v>
      </c>
      <c r="J17" s="115" t="n">
        <f aca="false">H17*B17</f>
        <v>-43855.4069499676</v>
      </c>
      <c r="K17" s="119" t="n">
        <f aca="false">(((I17-AL17)*AK17+(I17-AN17)*AM17+(I17-AP17)*AO17+(I17-AR17)*AQ17+(I17-AT17)*AS17+(I17-AV17)*AU17+(I17-AX17)*AW17+(I17-AZ17)*AY17+(I17-BB17)*BA17+(I17-BD17)*BC17+(I17-BF17)*BE17+(I17-BH17)*BG17+(I17-BJ17)*BI17+(I17-BL17)*BK17+(I17-BN17)*BM17+(I17-BP17)*BO17+(I17-BR17)*BQ17+(I17-BT17)*BS17+(I17-BV17)*BU17+(I17-BX17)*BW17)*CD17*CG17)+CI17+CJ17+CK17</f>
        <v>-81371.2563191853</v>
      </c>
      <c r="L17" s="119" t="n">
        <f aca="false">J17+K17</f>
        <v>-125226.663269153</v>
      </c>
      <c r="M17" s="0"/>
      <c r="N17" s="83" t="n">
        <f aca="false">A17</f>
        <v>37347</v>
      </c>
      <c r="O17" s="84" t="n">
        <v>30</v>
      </c>
      <c r="P17" s="84" t="n">
        <v>30</v>
      </c>
      <c r="Q17" s="85" t="n">
        <f aca="false">AVERAGE(O17:P17)-G17</f>
        <v>-28.2317243722769</v>
      </c>
      <c r="R17" s="86"/>
      <c r="S17" s="120" t="n">
        <f aca="false">I17</f>
        <v>57.0334727442363</v>
      </c>
      <c r="T17" s="88" t="n">
        <f aca="false">IF(U16=4,T16+1,T16)</f>
        <v>2003</v>
      </c>
      <c r="U17" s="89" t="n">
        <f aca="false">IF(U16=4,1,U16+1)</f>
        <v>2</v>
      </c>
      <c r="V17" s="121" t="str">
        <f aca="false">"Q"&amp;U17&amp;" "&amp;T17</f>
        <v>Q2 2003</v>
      </c>
      <c r="W17" s="91" t="n">
        <f aca="false" t="array" ref="W17:W17">SUM(IF((INT((MONTH($A$12:$A$47)-1)/3)=U17-1)*(YEAR($A$12:$A$47)=T17),$I$12:$I$47*$DK$12:$DK$47))/SUM(IF((INT((MONTH($A$12:$A$47)-1)/3)=U17-1)*(YEAR($A$12:$A$47)=T17),$DK$12:$DK$47))</f>
        <v>47.1817381001497</v>
      </c>
      <c r="X17" s="122" t="n">
        <f aca="false" t="array" ref="X17:X17">AVERAGE(IF((INT((MONTH($A$12:$A$47)-1)/3)=U17-1)*(YEAR($A$12:$A$47)=T17),$I$12:$I$47))</f>
        <v>47.1845970088247</v>
      </c>
      <c r="Y17" s="123" t="n">
        <f aca="false">W17-$W$12</f>
        <v>-14.8904620740925</v>
      </c>
      <c r="Z17" s="123" t="n">
        <f aca="false">W17-$W$13</f>
        <v>-10.4230481907605</v>
      </c>
      <c r="AA17" s="123" t="n">
        <f aca="false">W17-$W$14</f>
        <v>-3.65648249370059</v>
      </c>
      <c r="AB17" s="123" t="n">
        <f aca="false">W17-$W$15</f>
        <v>-12.4106859203059</v>
      </c>
      <c r="AC17" s="123" t="n">
        <f aca="false">W17-$W$16</f>
        <v>-3.5420167899008</v>
      </c>
      <c r="AD17" s="124" t="n">
        <v>0</v>
      </c>
      <c r="AE17" s="94"/>
      <c r="AF17" s="94"/>
      <c r="AG17" s="94"/>
      <c r="AH17" s="94"/>
      <c r="AI17" s="94"/>
      <c r="AJ17" s="95" t="n">
        <f aca="false">A17</f>
        <v>37347</v>
      </c>
      <c r="AK17" s="96" t="n">
        <v>-5</v>
      </c>
      <c r="AL17" s="97" t="n">
        <v>47.5</v>
      </c>
      <c r="AM17" s="96" t="n">
        <v>-15</v>
      </c>
      <c r="AN17" s="97" t="n">
        <v>47</v>
      </c>
      <c r="AO17" s="96"/>
      <c r="AP17" s="97"/>
      <c r="AQ17" s="96"/>
      <c r="AR17" s="97"/>
      <c r="AS17" s="96"/>
      <c r="AT17" s="97"/>
      <c r="AU17" s="96"/>
      <c r="AV17" s="97"/>
      <c r="AW17" s="96"/>
      <c r="AX17" s="97"/>
      <c r="AY17" s="96"/>
      <c r="AZ17" s="97"/>
      <c r="BA17" s="96"/>
      <c r="BB17" s="97"/>
      <c r="BC17" s="96"/>
      <c r="BD17" s="97"/>
      <c r="BE17" s="96"/>
      <c r="BF17" s="97"/>
      <c r="BG17" s="96"/>
      <c r="BH17" s="97"/>
      <c r="BI17" s="96"/>
      <c r="BJ17" s="97"/>
      <c r="BK17" s="96"/>
      <c r="BL17" s="97"/>
      <c r="BM17" s="96"/>
      <c r="BN17" s="97"/>
      <c r="BO17" s="96"/>
      <c r="BP17" s="97"/>
      <c r="BQ17" s="96"/>
      <c r="BR17" s="97"/>
      <c r="BS17" s="96"/>
      <c r="BT17" s="97"/>
      <c r="BU17" s="96"/>
      <c r="BV17" s="97"/>
      <c r="BW17" s="96"/>
      <c r="BX17" s="97"/>
      <c r="BY17" s="100" t="n">
        <f aca="false">AK17+AM17+AO17+AQ17+AS17+AU17+AW17+AY17+BA17+BC17+BE17+BG17+BI17+BK17+BM17+BO17+BQ17+BS17+BU17+BW17</f>
        <v>-20</v>
      </c>
      <c r="BZ17" s="101" t="n">
        <f aca="false">IF(AND(BY17=0,CC17=0),0,(ABS(AK17)*AL17+ABS(AM17)*AN17+ABS(AO17)*AP17+ABS(AQ17)*AR17+ABS(AS17)*AT17+ABS(AU17)*AV17+ABS(AW17)*AX17+ABS(AY17)*AZ17+ABS(BA17)*BB17+ABS(BC17)*BD17+ABS(BE17)*BF17+ABS(BG17)*BH17+ABS(BI17)*BJ17+ABS(BK17)*BL17+ABS(BM17)*BN17+ABS(BO17)*BP17+ABS(BQ17)*BR17+ABS(BS17)*BT17+ABS(BU17)*BV17+ABS(BW17)*BX17)/CC17)</f>
        <v>47.125</v>
      </c>
      <c r="CB17" s="103" t="n">
        <f aca="false">AJ17</f>
        <v>37347</v>
      </c>
      <c r="CC17" s="102" t="n">
        <f aca="false">ABS(AK17)+ABS(AM17)+ABS(AO17)+ABS(AQ17)+ABS(AS17)+ABS(AU17)+ABS(AW17)+ABS(AY17)+ABS(BA17)+ABS(BC17)+ABS(BE17)+ABS(BG17)+ABS(BI17)+ABS(BK17)+ABS(BM17)+ABS(BO17)+ABS(BQ17)+ABS(BS17)+ABS(BU17)+ABS(BW17)</f>
        <v>20</v>
      </c>
      <c r="CD17" s="104" t="n">
        <f aca="false">16*DK17</f>
        <v>416</v>
      </c>
      <c r="CE17" s="102" t="n">
        <f aca="false">16*DL17</f>
        <v>352</v>
      </c>
      <c r="CF17" s="105" t="n">
        <f aca="false">CD17-CE17</f>
        <v>64</v>
      </c>
      <c r="CG17" s="102" t="n">
        <f aca="false">VLOOKUP(A17,Interest!$X$8:$AC$367,6)</f>
        <v>0.987054143385943</v>
      </c>
      <c r="CH17" s="106" t="n">
        <f aca="false">E17-B17</f>
        <v>-8212.29047297105</v>
      </c>
      <c r="CI17" s="106" t="n">
        <f aca="false">IF(YEAR($AJ17)=$CI$10,(($I17-$AL$48)*$AK$48+($I17-$AN$48)*$AM$48+($I17-$AP$48)*$AO$48+($I17-$AR$48)*$AQ$48+($I17-$AT$48)*$AS$48+($I17-$AV$48)*$AU$48+($I17-$AX$48)*$AW$48+($I17-$AZ$48)*$AY$48+($I17-$BB$48)*$BA$48+($I17-$BD$48)*$BC$48+($I17-$BF$48)*$BE$48+($I17-$BH$48)*$BG$48+($I17-$BJ$48)*$BI$48+($I17-$BL$48)*$BK$48+($I17-$BN$48)*$BM$48+($I17-$BP$48)*$BO$48+($I17-$BR$48)*$BQ$48+($I17-$BT$48)*$BS$48+($I17-$BV$48)*$BU$48+($I17-$BX$48)*$BW$48)*$CD17*$CG17,0)</f>
        <v>0</v>
      </c>
      <c r="CJ17" s="106" t="n">
        <f aca="false">IF(YEAR($AJ17)=$CJ$10,(($I17-$AL$49)*$AK$49+($I17-$AN$49)*$AM$49+($I17-$AP$49)*$AO$49+($I17-$AR$49)*$AQ$49+($I17-$AT$49)*$AS$49+($I17-$AV$49)*$AU$49+($I17-$AX$49)*$AW$49+($I17-$AZ$49)*$AY$49+($I17-$BB$49)*$BA$49+($I17-$BD$49)*$BC$49+($I17-$BF$49)*$BE$49+($I17-$BH$49)*$BG$49+($I17-$BJ$49)*$BI$49+($I17-$BL$49)*$BK$49+($I17-$BN$49)*$BM$49+($I17-$BP$49)*$BO$49+($I17-$BR$49)*$BQ$49+($I17-$BT$49)*$BS$49+($I17-$BV$49)*$BU$49+($I17-$BX$49)*$BW$49)*$CD17*$CG17,0)</f>
        <v>0</v>
      </c>
      <c r="CK17" s="106" t="n">
        <f aca="false">IF(YEAR($AJ17)=$CK$10,(($I17-$AL$50)*$AK$50+($I17-$AN$50)*$AM$50+($I17-$AP$50)*$AO$50+($I17-$AR$50)*$AQ$50+($I17-$AT$50)*$AS$50+($I17-$AV$50)*$AU$50+($I17-$AX$50)*$AW$50+($I17-$AZ$50)*$AY$50+($I17-$BB$50)*$BA$50+($I17-$BD$50)*$BC$50+($I17-$BF$50)*$BE$50+($I17-$BH$50)*$BG$50+($I17-$BJ$50)*$BI$50+($I17-$BL$50)*$BK$50+($I17-$BN$50)*$BM$50+($I17-$BP$50)*$BO$50+($I17-$BR$50)*$BQ$50+($I17-$BT$50)*$BS$50+($I17-$BV$50)*$BU$50+($I17-$BX$50)*$BW$50)*$CD17*$CG17,0)</f>
        <v>0</v>
      </c>
      <c r="CL17" s="1" t="n">
        <f aca="false">CC17*CD17</f>
        <v>8320</v>
      </c>
      <c r="CM17" s="129"/>
      <c r="CN17" s="105"/>
      <c r="CO17" s="129"/>
      <c r="DI17" s="1" t="n">
        <f aca="false">DK17-DL17</f>
        <v>4</v>
      </c>
      <c r="DJ17" s="107" t="n">
        <f aca="false">[2]EnergyCurve!$D39</f>
        <v>37347</v>
      </c>
      <c r="DK17" s="2" t="n">
        <f aca="false">IF($L$6=0,VLOOKUP(DJ17,$DM$13:$DQ$252,2)+VLOOKUP(DJ17,$DU$13:$DY$252,3),VLOOKUP(DJ17,$DU$13:$DY$252,2)+VLOOKUP(DJ17,$DU$13:$DY$252,3))</f>
        <v>26</v>
      </c>
      <c r="DL17" s="2" t="n">
        <f aca="false">IF($L$6=0,VLOOKUP(DJ17,$DM$13:$DQ$252,2),VLOOKUP(DJ17,$DU$13:$DY$252,2))</f>
        <v>22</v>
      </c>
      <c r="DM17" s="130" t="n">
        <v>37012</v>
      </c>
      <c r="DN17" s="22" t="n">
        <v>22</v>
      </c>
      <c r="DO17" s="22" t="n">
        <v>4</v>
      </c>
      <c r="DP17" s="22" t="n">
        <v>4</v>
      </c>
      <c r="DQ17" s="22" t="n">
        <v>1</v>
      </c>
      <c r="DR17" s="22" t="n">
        <v>31</v>
      </c>
      <c r="DS17" s="111"/>
      <c r="DT17" s="111"/>
      <c r="DU17" s="130" t="n">
        <v>37012</v>
      </c>
      <c r="DV17" s="22" t="n">
        <v>22</v>
      </c>
      <c r="DW17" s="22" t="n">
        <v>4</v>
      </c>
      <c r="DX17" s="22" t="n">
        <v>4</v>
      </c>
      <c r="DY17" s="22" t="n">
        <v>1</v>
      </c>
      <c r="DZ17" s="22" t="n">
        <v>31</v>
      </c>
      <c r="EA17" s="111"/>
      <c r="EB17" s="111"/>
      <c r="EQ17" s="107"/>
      <c r="ER17" s="111"/>
      <c r="ES17" s="44"/>
      <c r="ET17" s="44"/>
    </row>
    <row r="18" customFormat="false" ht="18.75" hidden="false" customHeight="true" outlineLevel="0" collapsed="false">
      <c r="A18" s="75" t="n">
        <f aca="false">[2]EnergyCurve!$D40</f>
        <v>37377</v>
      </c>
      <c r="B18" s="76" t="n">
        <f aca="false">[2]EnergyCurve!$O40+[2]EnergyCurve!$Q40</f>
        <v>36914.4321289063</v>
      </c>
      <c r="C18" s="77" t="n">
        <f aca="false">B18/(CG18*CD18)</f>
        <v>90.0826805703306</v>
      </c>
      <c r="D18" s="78" t="n">
        <f aca="false">BY18+IF(YEAR(A18)=$T$20,$BY$48,0)+IF(YEAR(A18)=$T$21,$BY$49,0)+IF(YEAR(A18)=$T$22,$BY$50,0)</f>
        <v>-20</v>
      </c>
      <c r="E18" s="77" t="n">
        <f aca="false">B18+(D18*CD18*CG18)</f>
        <v>28718.754137267</v>
      </c>
      <c r="F18" s="79" t="n">
        <f aca="false">C18+D18</f>
        <v>70.0826805703306</v>
      </c>
      <c r="G18" s="80" t="n">
        <f aca="false">([2]EnergyCurve!$E40*CE18+[2]EnergyCurve!$W40*CF18)/CD18</f>
        <v>58.8894832317646</v>
      </c>
      <c r="H18" s="80" t="n">
        <f aca="false">I18-G18</f>
        <v>-1.19798850399675</v>
      </c>
      <c r="I18" s="81" t="n">
        <f aca="false">([2]EnergyCurve!$G40*CE18+[2]EnergyCurve!$Y40*CF18)/CD18</f>
        <v>57.6914947277678</v>
      </c>
      <c r="J18" s="76" t="n">
        <f aca="false">H18*B18</f>
        <v>-44223.0653219981</v>
      </c>
      <c r="K18" s="82" t="n">
        <f aca="false">(((I18-AL18)*AK18+(I18-AN18)*AM18+(I18-AP18)*AO18+(I18-AR18)*AQ18+(I18-AT18)*AS18+(I18-AV18)*AU18+(I18-AX18)*AW18+(I18-AZ18)*AY18+(I18-BB18)*BA18+(I18-BD18)*BC18+(I18-BF18)*BE18+(I18-BH18)*BG18+(I18-BJ18)*BI18+(I18-BL18)*BK18+(I18-BN18)*BM18+(I18-BP18)*BO18+(I18-BR18)*BQ18+(I18-BT18)*BS18+(I18-BV18)*BU18+(I18-BX18)*BW18)*CD18*CG18)+CI18+CJ18+CK18</f>
        <v>-86599.5882891386</v>
      </c>
      <c r="L18" s="82" t="n">
        <f aca="false">J18+K18</f>
        <v>-130822.653611137</v>
      </c>
      <c r="M18" s="0"/>
      <c r="N18" s="83" t="n">
        <f aca="false">A18</f>
        <v>37377</v>
      </c>
      <c r="O18" s="84" t="n">
        <v>28</v>
      </c>
      <c r="P18" s="84" t="n">
        <v>28</v>
      </c>
      <c r="Q18" s="85" t="n">
        <f aca="false">AVERAGE(O18:P18)-G18</f>
        <v>-30.8894832317646</v>
      </c>
      <c r="R18" s="86"/>
      <c r="S18" s="120" t="n">
        <f aca="false">I18</f>
        <v>57.6914947277678</v>
      </c>
      <c r="T18" s="88" t="n">
        <f aca="false">IF(U17=4,T17+1,T17)</f>
        <v>2003</v>
      </c>
      <c r="U18" s="89" t="n">
        <f aca="false">IF(U17=4,1,U17+1)</f>
        <v>3</v>
      </c>
      <c r="V18" s="127" t="str">
        <f aca="false">"Q"&amp;U18&amp;" "&amp;T18</f>
        <v>Q3 2003</v>
      </c>
      <c r="W18" s="91" t="n">
        <f aca="false" t="array" ref="W18:W18">SUM(IF((INT((MONTH($A$12:$A$47)-1)/3)=U18-1)*(YEAR($A$12:$A$47)=T18),$I$12:$I$47*$DK$12:$DK$47))/SUM(IF((INT((MONTH($A$12:$A$47)-1)/3)=U18-1)*(YEAR($A$12:$A$47)=T18),$DK$12:$DK$47))</f>
        <v>48.1427696141815</v>
      </c>
      <c r="X18" s="122" t="n">
        <f aca="false" t="array" ref="X18:X18">AVERAGE(IF((INT((MONTH($A$12:$A$47)-1)/3)=U18-1)*(YEAR($A$12:$A$47)=T18),$I$12:$I$47))</f>
        <v>48.145740486014</v>
      </c>
      <c r="Y18" s="128" t="n">
        <f aca="false">W18-$W$12</f>
        <v>-13.9294305600607</v>
      </c>
      <c r="Z18" s="128" t="n">
        <f aca="false">W18-$W$13</f>
        <v>-9.46201667672874</v>
      </c>
      <c r="AA18" s="128" t="n">
        <f aca="false">W18-$W$14</f>
        <v>-2.69545097966878</v>
      </c>
      <c r="AB18" s="128" t="n">
        <f aca="false">W18-$W$15</f>
        <v>-11.4496544062741</v>
      </c>
      <c r="AC18" s="128" t="n">
        <f aca="false">W18-$W$16</f>
        <v>-2.580985275869</v>
      </c>
      <c r="AD18" s="128" t="n">
        <f aca="false">W18-$W$17</f>
        <v>0.961031514031802</v>
      </c>
      <c r="AE18" s="93" t="n">
        <v>0</v>
      </c>
      <c r="AF18" s="94"/>
      <c r="AG18" s="94"/>
      <c r="AH18" s="94"/>
      <c r="AI18" s="94"/>
      <c r="AJ18" s="95" t="n">
        <f aca="false">A18</f>
        <v>37377</v>
      </c>
      <c r="AK18" s="96" t="n">
        <v>-5</v>
      </c>
      <c r="AL18" s="97" t="n">
        <v>47.5</v>
      </c>
      <c r="AM18" s="96" t="n">
        <v>-15</v>
      </c>
      <c r="AN18" s="97" t="n">
        <v>47</v>
      </c>
      <c r="AO18" s="96"/>
      <c r="AP18" s="97"/>
      <c r="AQ18" s="96"/>
      <c r="AR18" s="97"/>
      <c r="AS18" s="96"/>
      <c r="AT18" s="97"/>
      <c r="AU18" s="96"/>
      <c r="AV18" s="97"/>
      <c r="AW18" s="96"/>
      <c r="AX18" s="97"/>
      <c r="AY18" s="96"/>
      <c r="AZ18" s="97"/>
      <c r="BA18" s="96"/>
      <c r="BB18" s="97"/>
      <c r="BC18" s="96"/>
      <c r="BD18" s="97"/>
      <c r="BE18" s="96"/>
      <c r="BF18" s="97"/>
      <c r="BG18" s="96"/>
      <c r="BH18" s="97"/>
      <c r="BI18" s="96"/>
      <c r="BJ18" s="97"/>
      <c r="BK18" s="96"/>
      <c r="BL18" s="97"/>
      <c r="BM18" s="96"/>
      <c r="BN18" s="97"/>
      <c r="BO18" s="96"/>
      <c r="BP18" s="97"/>
      <c r="BQ18" s="96"/>
      <c r="BR18" s="97"/>
      <c r="BS18" s="96"/>
      <c r="BT18" s="97"/>
      <c r="BU18" s="96"/>
      <c r="BV18" s="97"/>
      <c r="BW18" s="96"/>
      <c r="BX18" s="97"/>
      <c r="BY18" s="100" t="n">
        <f aca="false">AK18+AM18+AO18+AQ18+AS18+AU18+AW18+AY18+BA18+BC18+BE18+BG18+BI18+BK18+BM18+BO18+BQ18+BS18+BU18+BW18</f>
        <v>-20</v>
      </c>
      <c r="BZ18" s="101" t="n">
        <f aca="false">IF(AND(BY18=0,CC18=0),0,(ABS(AK18)*AL18+ABS(AM18)*AN18+ABS(AO18)*AP18+ABS(AQ18)*AR18+ABS(AS18)*AT18+ABS(AU18)*AV18+ABS(AW18)*AX18+ABS(AY18)*AZ18+ABS(BA18)*BB18+ABS(BC18)*BD18+ABS(BE18)*BF18+ABS(BG18)*BH18+ABS(BI18)*BJ18+ABS(BK18)*BL18+ABS(BM18)*BN18+ABS(BO18)*BP18+ABS(BQ18)*BR18+ABS(BS18)*BT18+ABS(BU18)*BV18+ABS(BW18)*BX18)/CC18)</f>
        <v>47.125</v>
      </c>
      <c r="CB18" s="103" t="n">
        <f aca="false">AJ18</f>
        <v>37377</v>
      </c>
      <c r="CC18" s="102" t="n">
        <f aca="false">ABS(AK18)+ABS(AM18)+ABS(AO18)+ABS(AQ18)+ABS(AS18)+ABS(AU18)+ABS(AW18)+ABS(AY18)+ABS(BA18)+ABS(BC18)+ABS(BE18)+ABS(BG18)+ABS(BI18)+ABS(BK18)+ABS(BM18)+ABS(BO18)+ABS(BQ18)+ABS(BS18)+ABS(BU18)+ABS(BW18)</f>
        <v>20</v>
      </c>
      <c r="CD18" s="104" t="n">
        <f aca="false">16*DK18</f>
        <v>416</v>
      </c>
      <c r="CE18" s="102" t="n">
        <f aca="false">16*DL18</f>
        <v>352</v>
      </c>
      <c r="CF18" s="105" t="n">
        <f aca="false">CD18-CE18</f>
        <v>64</v>
      </c>
      <c r="CG18" s="102" t="n">
        <f aca="false">VLOOKUP(A18,Interest!$X$8:$AC$367,6)</f>
        <v>0.985057450918176</v>
      </c>
      <c r="CH18" s="106" t="n">
        <f aca="false">E18-B18</f>
        <v>-8195.67799163923</v>
      </c>
      <c r="CI18" s="106" t="n">
        <f aca="false">IF(YEAR($AJ18)=$CI$10,(($I18-$AL$48)*$AK$48+($I18-$AN$48)*$AM$48+($I18-$AP$48)*$AO$48+($I18-$AR$48)*$AQ$48+($I18-$AT$48)*$AS$48+($I18-$AV$48)*$AU$48+($I18-$AX$48)*$AW$48+($I18-$AZ$48)*$AY$48+($I18-$BB$48)*$BA$48+($I18-$BD$48)*$BC$48+($I18-$BF$48)*$BE$48+($I18-$BH$48)*$BG$48+($I18-$BJ$48)*$BI$48+($I18-$BL$48)*$BK$48+($I18-$BN$48)*$BM$48+($I18-$BP$48)*$BO$48+($I18-$BR$48)*$BQ$48+($I18-$BT$48)*$BS$48+($I18-$BV$48)*$BU$48+($I18-$BX$48)*$BW$48)*$CD18*$CG18,0)</f>
        <v>0</v>
      </c>
      <c r="CJ18" s="106" t="n">
        <f aca="false">IF(YEAR($AJ18)=$CJ$10,(($I18-$AL$49)*$AK$49+($I18-$AN$49)*$AM$49+($I18-$AP$49)*$AO$49+($I18-$AR$49)*$AQ$49+($I18-$AT$49)*$AS$49+($I18-$AV$49)*$AU$49+($I18-$AX$49)*$AW$49+($I18-$AZ$49)*$AY$49+($I18-$BB$49)*$BA$49+($I18-$BD$49)*$BC$49+($I18-$BF$49)*$BE$49+($I18-$BH$49)*$BG$49+($I18-$BJ$49)*$BI$49+($I18-$BL$49)*$BK$49+($I18-$BN$49)*$BM$49+($I18-$BP$49)*$BO$49+($I18-$BR$49)*$BQ$49+($I18-$BT$49)*$BS$49+($I18-$BV$49)*$BU$49+($I18-$BX$49)*$BW$49)*$CD18*$CG18,0)</f>
        <v>0</v>
      </c>
      <c r="CK18" s="106" t="n">
        <f aca="false">IF(YEAR($AJ18)=$CK$10,(($I18-$AL$50)*$AK$50+($I18-$AN$50)*$AM$50+($I18-$AP$50)*$AO$50+($I18-$AR$50)*$AQ$50+($I18-$AT$50)*$AS$50+($I18-$AV$50)*$AU$50+($I18-$AX$50)*$AW$50+($I18-$AZ$50)*$AY$50+($I18-$BB$50)*$BA$50+($I18-$BD$50)*$BC$50+($I18-$BF$50)*$BE$50+($I18-$BH$50)*$BG$50+($I18-$BJ$50)*$BI$50+($I18-$BL$50)*$BK$50+($I18-$BN$50)*$BM$50+($I18-$BP$50)*$BO$50+($I18-$BR$50)*$BQ$50+($I18-$BT$50)*$BS$50+($I18-$BV$50)*$BU$50+($I18-$BX$50)*$BW$50)*$CD18*$CG18,0)</f>
        <v>0</v>
      </c>
      <c r="CL18" s="1" t="n">
        <f aca="false">CC18*CD18</f>
        <v>8320</v>
      </c>
      <c r="CM18" s="129"/>
      <c r="CN18" s="105"/>
      <c r="CO18" s="129"/>
      <c r="DI18" s="1" t="n">
        <f aca="false">DK18-DL18</f>
        <v>4</v>
      </c>
      <c r="DJ18" s="107" t="n">
        <f aca="false">[2]EnergyCurve!$D40</f>
        <v>37377</v>
      </c>
      <c r="DK18" s="2" t="n">
        <f aca="false">IF($L$6=0,VLOOKUP(DJ18,$DM$13:$DQ$252,2)+VLOOKUP(DJ18,$DU$13:$DY$252,3),VLOOKUP(DJ18,$DU$13:$DY$252,2)+VLOOKUP(DJ18,$DU$13:$DY$252,3))</f>
        <v>26</v>
      </c>
      <c r="DL18" s="2" t="n">
        <f aca="false">IF($L$6=0,VLOOKUP(DJ18,$DM$13:$DQ$252,2),VLOOKUP(DJ18,$DU$13:$DY$252,2))</f>
        <v>22</v>
      </c>
      <c r="DM18" s="130" t="n">
        <v>37043</v>
      </c>
      <c r="DN18" s="22" t="n">
        <v>21</v>
      </c>
      <c r="DO18" s="22" t="n">
        <v>5</v>
      </c>
      <c r="DP18" s="22" t="n">
        <v>4</v>
      </c>
      <c r="DQ18" s="22" t="n">
        <v>0</v>
      </c>
      <c r="DR18" s="22" t="n">
        <v>30</v>
      </c>
      <c r="DS18" s="111"/>
      <c r="DT18" s="111"/>
      <c r="DU18" s="130" t="n">
        <v>37043</v>
      </c>
      <c r="DV18" s="22" t="n">
        <v>21</v>
      </c>
      <c r="DW18" s="22" t="n">
        <v>5</v>
      </c>
      <c r="DX18" s="22" t="n">
        <v>4</v>
      </c>
      <c r="DY18" s="22" t="n">
        <v>0</v>
      </c>
      <c r="DZ18" s="22" t="n">
        <v>30</v>
      </c>
      <c r="EA18" s="111"/>
      <c r="EB18" s="111"/>
      <c r="EQ18" s="107"/>
      <c r="ER18" s="111"/>
      <c r="ES18" s="44"/>
      <c r="ET18" s="44"/>
    </row>
    <row r="19" customFormat="false" ht="18.75" hidden="false" customHeight="true" outlineLevel="0" collapsed="false">
      <c r="A19" s="112" t="n">
        <f aca="false">[2]EnergyCurve!$D41</f>
        <v>37408</v>
      </c>
      <c r="B19" s="113" t="n">
        <f aca="false">[2]EnergyCurve!$O41+[2]EnergyCurve!$Q41</f>
        <v>35530.986328125</v>
      </c>
      <c r="C19" s="114" t="n">
        <f aca="false">B19/(CG19*CD19)</f>
        <v>90.3493704324542</v>
      </c>
      <c r="D19" s="114" t="n">
        <f aca="false">BY19+IF(YEAR(A19)=$T$20,$BY$48,0)+IF(YEAR(A19)=$T$21,$BY$49,0)+IF(YEAR(A19)=$T$22,$BY$50,0)</f>
        <v>-20</v>
      </c>
      <c r="E19" s="115" t="n">
        <f aca="false">B19+(D19*CD19*CG19)</f>
        <v>27665.7436245938</v>
      </c>
      <c r="F19" s="116" t="n">
        <f aca="false">C19+D19</f>
        <v>70.3493704324542</v>
      </c>
      <c r="G19" s="117" t="n">
        <f aca="false">([2]EnergyCurve!$E41*CE19+[2]EnergyCurve!$W41*CF19)/CD19</f>
        <v>59.3999488830566</v>
      </c>
      <c r="H19" s="80" t="n">
        <f aca="false">I19-G19</f>
        <v>-1.29117327793728</v>
      </c>
      <c r="I19" s="118" t="n">
        <f aca="false">([2]EnergyCurve!$G41*CE19+[2]EnergyCurve!$Y41*CF19)/CD19</f>
        <v>58.1087756051194</v>
      </c>
      <c r="J19" s="115" t="n">
        <f aca="false">H19*B19</f>
        <v>-45876.6600856299</v>
      </c>
      <c r="K19" s="119" t="n">
        <f aca="false">(((I19-AL19)*AK19+(I19-AN19)*AM19+(I19-AP19)*AO19+(I19-AR19)*AQ19+(I19-AT19)*AS19+(I19-AV19)*AU19+(I19-AX19)*AW19+(I19-AZ19)*AY19+(I19-BB19)*BA19+(I19-BD19)*BC19+(I19-BF19)*BE19+(I19-BH19)*BG19+(I19-BJ19)*BI19+(I19-BL19)*BK19+(I19-BN19)*BM19+(I19-BP19)*BO19+(I19-BR19)*BQ19+(I19-BT19)*BS19+(I19-BV19)*BU19+(I19-BX19)*BW19)*CD19*CG19)+CI19+CJ19+CK19</f>
        <v>-86390.0609353893</v>
      </c>
      <c r="L19" s="119" t="n">
        <f aca="false">J19+K19</f>
        <v>-132266.721021019</v>
      </c>
      <c r="M19" s="0"/>
      <c r="N19" s="83" t="n">
        <f aca="false">A19</f>
        <v>37408</v>
      </c>
      <c r="O19" s="84" t="n">
        <v>33</v>
      </c>
      <c r="P19" s="84" t="n">
        <v>35</v>
      </c>
      <c r="Q19" s="85" t="n">
        <f aca="false">AVERAGE(O19:P19)-G19</f>
        <v>-25.3999488830566</v>
      </c>
      <c r="R19" s="132"/>
      <c r="S19" s="120" t="n">
        <f aca="false">I19</f>
        <v>58.1087756051194</v>
      </c>
      <c r="T19" s="88" t="n">
        <f aca="false">IF(U18=4,T18+1,T18)</f>
        <v>2003</v>
      </c>
      <c r="U19" s="89" t="n">
        <f aca="false">IF(U18=4,1,U18+1)</f>
        <v>4</v>
      </c>
      <c r="V19" s="121" t="str">
        <f aca="false">"Q"&amp;U19&amp;" "&amp;T19</f>
        <v>Q4 2003</v>
      </c>
      <c r="W19" s="91" t="n">
        <f aca="false" t="array" ref="W19:W19">SUM(IF((INT((MONTH($A$12:$A$47)-1)/3)=U19-1)*(YEAR($A$12:$A$47)=T19),$I$12:$I$47*$DK$12:$DK$47))/SUM(IF((INT((MONTH($A$12:$A$47)-1)/3)=U19-1)*(YEAR($A$12:$A$47)=T19),$DK$12:$DK$47))</f>
        <v>51.4317268512791</v>
      </c>
      <c r="X19" s="122" t="n">
        <f aca="false" t="array" ref="X19:X19">AVERAGE(IF((INT((MONTH($A$12:$A$47)-1)/3)=U19-1)*(YEAR($A$12:$A$47)=T19),$I$12:$I$47))</f>
        <v>51.4721029593597</v>
      </c>
      <c r="Y19" s="123" t="n">
        <f aca="false">W19-$W$12</f>
        <v>-10.6404733229632</v>
      </c>
      <c r="Z19" s="123" t="n">
        <f aca="false">W19-$W$13</f>
        <v>-6.17305943963119</v>
      </c>
      <c r="AA19" s="123" t="n">
        <f aca="false">W19-$W$14</f>
        <v>0.593506257428771</v>
      </c>
      <c r="AB19" s="123" t="n">
        <f aca="false">W19-$W$15</f>
        <v>-8.16069716917652</v>
      </c>
      <c r="AC19" s="123" t="n">
        <f aca="false">W19-$W$16</f>
        <v>0.707971961228559</v>
      </c>
      <c r="AD19" s="123" t="n">
        <f aca="false">W19-$W$17</f>
        <v>4.24998875112936</v>
      </c>
      <c r="AE19" s="123" t="n">
        <f aca="false">W19-$W$18</f>
        <v>3.28895723709756</v>
      </c>
      <c r="AF19" s="124" t="n">
        <v>0</v>
      </c>
      <c r="AG19" s="94"/>
      <c r="AH19" s="94"/>
      <c r="AI19" s="94"/>
      <c r="AJ19" s="95" t="n">
        <f aca="false">A19</f>
        <v>37408</v>
      </c>
      <c r="AK19" s="96" t="n">
        <v>-5</v>
      </c>
      <c r="AL19" s="97" t="n">
        <v>47.5</v>
      </c>
      <c r="AM19" s="96" t="n">
        <v>-15</v>
      </c>
      <c r="AN19" s="97" t="n">
        <v>47</v>
      </c>
      <c r="AO19" s="96"/>
      <c r="AP19" s="97"/>
      <c r="AQ19" s="96"/>
      <c r="AR19" s="97"/>
      <c r="AS19" s="96"/>
      <c r="AT19" s="97"/>
      <c r="AU19" s="96"/>
      <c r="AV19" s="97"/>
      <c r="AW19" s="96"/>
      <c r="AX19" s="97"/>
      <c r="AY19" s="96"/>
      <c r="AZ19" s="97"/>
      <c r="BA19" s="96"/>
      <c r="BB19" s="97"/>
      <c r="BC19" s="96"/>
      <c r="BD19" s="97"/>
      <c r="BE19" s="96"/>
      <c r="BF19" s="97"/>
      <c r="BG19" s="96"/>
      <c r="BH19" s="97"/>
      <c r="BI19" s="96"/>
      <c r="BJ19" s="97"/>
      <c r="BK19" s="96"/>
      <c r="BL19" s="97"/>
      <c r="BM19" s="96"/>
      <c r="BN19" s="97"/>
      <c r="BO19" s="96"/>
      <c r="BP19" s="97"/>
      <c r="BQ19" s="96"/>
      <c r="BR19" s="97"/>
      <c r="BS19" s="96"/>
      <c r="BT19" s="97"/>
      <c r="BU19" s="96"/>
      <c r="BV19" s="97"/>
      <c r="BW19" s="96"/>
      <c r="BX19" s="97"/>
      <c r="BY19" s="100" t="n">
        <f aca="false">AK19+AM19+AO19+AQ19+AS19+AU19+AW19+AY19+BA19+BC19+BE19+BG19+BI19+BK19+BM19+BO19+BQ19+BS19+BU19+BW19</f>
        <v>-20</v>
      </c>
      <c r="BZ19" s="101" t="n">
        <f aca="false">IF(AND(BY19=0,CC19=0),0,(ABS(AK19)*AL19+ABS(AM19)*AN19+ABS(AO19)*AP19+ABS(AQ19)*AR19+ABS(AS19)*AT19+ABS(AU19)*AV19+ABS(AW19)*AX19+ABS(AY19)*AZ19+ABS(BA19)*BB19+ABS(BC19)*BD19+ABS(BE19)*BF19+ABS(BG19)*BH19+ABS(BI19)*BJ19+ABS(BK19)*BL19+ABS(BM19)*BN19+ABS(BO19)*BP19+ABS(BQ19)*BR19+ABS(BS19)*BT19+ABS(BU19)*BV19+ABS(BW19)*BX19)/CC19)</f>
        <v>47.125</v>
      </c>
      <c r="CB19" s="103" t="n">
        <f aca="false">AJ19</f>
        <v>37408</v>
      </c>
      <c r="CC19" s="102" t="n">
        <f aca="false">ABS(AK19)+ABS(AM19)+ABS(AO19)+ABS(AQ19)+ABS(AS19)+ABS(AU19)+ABS(AW19)+ABS(AY19)+ABS(BA19)+ABS(BC19)+ABS(BE19)+ABS(BG19)+ABS(BI19)+ABS(BK19)+ABS(BM19)+ABS(BO19)+ABS(BQ19)+ABS(BS19)+ABS(BU19)+ABS(BW19)</f>
        <v>20</v>
      </c>
      <c r="CD19" s="104" t="n">
        <f aca="false">16*DK19</f>
        <v>400</v>
      </c>
      <c r="CE19" s="102" t="n">
        <f aca="false">16*DL19</f>
        <v>320</v>
      </c>
      <c r="CF19" s="105" t="n">
        <f aca="false">CD19-CE19</f>
        <v>80</v>
      </c>
      <c r="CG19" s="102" t="n">
        <f aca="false">VLOOKUP(A19,Interest!$X$8:$AC$367,6)</f>
        <v>0.983155337941403</v>
      </c>
      <c r="CH19" s="106" t="n">
        <f aca="false">E19-B19</f>
        <v>-7865.24270353123</v>
      </c>
      <c r="CI19" s="106" t="n">
        <f aca="false">IF(YEAR($AJ19)=$CI$10,(($I19-$AL$48)*$AK$48+($I19-$AN$48)*$AM$48+($I19-$AP$48)*$AO$48+($I19-$AR$48)*$AQ$48+($I19-$AT$48)*$AS$48+($I19-$AV$48)*$AU$48+($I19-$AX$48)*$AW$48+($I19-$AZ$48)*$AY$48+($I19-$BB$48)*$BA$48+($I19-$BD$48)*$BC$48+($I19-$BF$48)*$BE$48+($I19-$BH$48)*$BG$48+($I19-$BJ$48)*$BI$48+($I19-$BL$48)*$BK$48+($I19-$BN$48)*$BM$48+($I19-$BP$48)*$BO$48+($I19-$BR$48)*$BQ$48+($I19-$BT$48)*$BS$48+($I19-$BV$48)*$BU$48+($I19-$BX$48)*$BW$48)*$CD19*$CG19,0)</f>
        <v>0</v>
      </c>
      <c r="CJ19" s="106" t="n">
        <f aca="false">IF(YEAR($AJ19)=$CJ$10,(($I19-$AL$49)*$AK$49+($I19-$AN$49)*$AM$49+($I19-$AP$49)*$AO$49+($I19-$AR$49)*$AQ$49+($I19-$AT$49)*$AS$49+($I19-$AV$49)*$AU$49+($I19-$AX$49)*$AW$49+($I19-$AZ$49)*$AY$49+($I19-$BB$49)*$BA$49+($I19-$BD$49)*$BC$49+($I19-$BF$49)*$BE$49+($I19-$BH$49)*$BG$49+($I19-$BJ$49)*$BI$49+($I19-$BL$49)*$BK$49+($I19-$BN$49)*$BM$49+($I19-$BP$49)*$BO$49+($I19-$BR$49)*$BQ$49+($I19-$BT$49)*$BS$49+($I19-$BV$49)*$BU$49+($I19-$BX$49)*$BW$49)*$CD19*$CG19,0)</f>
        <v>0</v>
      </c>
      <c r="CK19" s="106" t="n">
        <f aca="false">IF(YEAR($AJ19)=$CK$10,(($I19-$AL$50)*$AK$50+($I19-$AN$50)*$AM$50+($I19-$AP$50)*$AO$50+($I19-$AR$50)*$AQ$50+($I19-$AT$50)*$AS$50+($I19-$AV$50)*$AU$50+($I19-$AX$50)*$AW$50+($I19-$AZ$50)*$AY$50+($I19-$BB$50)*$BA$50+($I19-$BD$50)*$BC$50+($I19-$BF$50)*$BE$50+($I19-$BH$50)*$BG$50+($I19-$BJ$50)*$BI$50+($I19-$BL$50)*$BK$50+($I19-$BN$50)*$BM$50+($I19-$BP$50)*$BO$50+($I19-$BR$50)*$BQ$50+($I19-$BT$50)*$BS$50+($I19-$BV$50)*$BU$50+($I19-$BX$50)*$BW$50)*$CD19*$CG19,0)</f>
        <v>0</v>
      </c>
      <c r="CL19" s="1" t="n">
        <f aca="false">CC19*CD19</f>
        <v>8000</v>
      </c>
      <c r="CM19" s="129"/>
      <c r="CN19" s="105"/>
      <c r="CO19" s="129"/>
      <c r="DI19" s="1" t="n">
        <f aca="false">DK19-DL19</f>
        <v>5</v>
      </c>
      <c r="DJ19" s="107" t="n">
        <f aca="false">[2]EnergyCurve!$D41</f>
        <v>37408</v>
      </c>
      <c r="DK19" s="2" t="n">
        <f aca="false">IF($L$6=0,VLOOKUP(DJ19,$DM$13:$DQ$252,2)+VLOOKUP(DJ19,$DU$13:$DY$252,3),VLOOKUP(DJ19,$DU$13:$DY$252,2)+VLOOKUP(DJ19,$DU$13:$DY$252,3))</f>
        <v>25</v>
      </c>
      <c r="DL19" s="2" t="n">
        <f aca="false">IF($L$6=0,VLOOKUP(DJ19,$DM$13:$DQ$252,2),VLOOKUP(DJ19,$DU$13:$DY$252,2))</f>
        <v>20</v>
      </c>
      <c r="DM19" s="130" t="n">
        <v>37073</v>
      </c>
      <c r="DN19" s="22" t="n">
        <v>21</v>
      </c>
      <c r="DO19" s="22" t="n">
        <v>4</v>
      </c>
      <c r="DP19" s="22" t="n">
        <v>5</v>
      </c>
      <c r="DQ19" s="22" t="n">
        <v>1</v>
      </c>
      <c r="DR19" s="22" t="n">
        <v>31</v>
      </c>
      <c r="DS19" s="111"/>
      <c r="DT19" s="111"/>
      <c r="DU19" s="130" t="n">
        <v>37073</v>
      </c>
      <c r="DV19" s="22" t="n">
        <v>21</v>
      </c>
      <c r="DW19" s="22" t="n">
        <v>4</v>
      </c>
      <c r="DX19" s="22" t="n">
        <v>5</v>
      </c>
      <c r="DY19" s="22" t="n">
        <v>1</v>
      </c>
      <c r="DZ19" s="22" t="n">
        <v>31</v>
      </c>
      <c r="EA19" s="111"/>
      <c r="EB19" s="111"/>
      <c r="EQ19" s="107"/>
      <c r="ER19" s="111"/>
      <c r="ES19" s="44"/>
      <c r="ET19" s="44"/>
    </row>
    <row r="20" customFormat="false" ht="18.75" hidden="false" customHeight="true" outlineLevel="0" collapsed="false">
      <c r="A20" s="75" t="n">
        <f aca="false">[2]EnergyCurve!$D42</f>
        <v>37438</v>
      </c>
      <c r="B20" s="76" t="n">
        <f aca="false">[2]EnergyCurve!$O42+[2]EnergyCurve!$Q42</f>
        <v>158260.427734375</v>
      </c>
      <c r="C20" s="77" t="n">
        <f aca="false">B20/(CG20*CD20)</f>
        <v>387.759171705233</v>
      </c>
      <c r="D20" s="78" t="n">
        <f aca="false">BY20+IF(YEAR(A20)=$T$20,$BY$48,0)+IF(YEAR(A20)=$T$21,$BY$49,0)+IF(YEAR(A20)=$T$22,$BY$50,0)</f>
        <v>-20</v>
      </c>
      <c r="E20" s="77" t="n">
        <f aca="false">B20+(D20*CD20*CG20)</f>
        <v>150097.607134238</v>
      </c>
      <c r="F20" s="79" t="n">
        <f aca="false">C20+D20</f>
        <v>367.759171705233</v>
      </c>
      <c r="G20" s="80" t="n">
        <f aca="false">([2]EnergyCurve!$E42*CE20+[2]EnergyCurve!$W42*CF20)/CD20</f>
        <v>51.6349413945125</v>
      </c>
      <c r="H20" s="80" t="n">
        <f aca="false">I20-G20</f>
        <v>-1.1971342409351</v>
      </c>
      <c r="I20" s="81" t="n">
        <f aca="false">([2]EnergyCurve!$G42*CE20+[2]EnergyCurve!$Y42*CF20)/CD20</f>
        <v>50.4378071535774</v>
      </c>
      <c r="J20" s="76" t="n">
        <f aca="false">H20*B20</f>
        <v>-189458.977025855</v>
      </c>
      <c r="K20" s="82" t="n">
        <f aca="false">(((I20-AL20)*AK20+(I20-AN20)*AM20+(I20-AP20)*AO20+(I20-AR20)*AQ20+(I20-AT20)*AS20+(I20-AV20)*AU20+(I20-AX20)*AW20+(I20-AZ20)*AY20+(I20-BB20)*BA20+(I20-BD20)*BC20+(I20-BF20)*BE20+(I20-BH20)*BG20+(I20-BJ20)*BI20+(I20-BL20)*BK20+(I20-BN20)*BM20+(I20-BP20)*BO20+(I20-BR20)*BQ20+(I20-BT20)*BS20+(I20-BV20)*BU20+(I20-BX20)*BW20)*CD20*CG20)+CI20+CJ20+CK20</f>
        <v>-27041.8504775023</v>
      </c>
      <c r="L20" s="82" t="n">
        <f aca="false">J20+K20</f>
        <v>-216500.827503357</v>
      </c>
      <c r="M20" s="0"/>
      <c r="N20" s="83" t="n">
        <f aca="false">A20</f>
        <v>37438</v>
      </c>
      <c r="O20" s="84" t="n">
        <v>33</v>
      </c>
      <c r="P20" s="84" t="n">
        <v>35</v>
      </c>
      <c r="Q20" s="85" t="n">
        <f aca="false">AVERAGE(O20:P20)-G20</f>
        <v>-17.6349413945125</v>
      </c>
      <c r="R20" s="133"/>
      <c r="S20" s="120" t="n">
        <f aca="false">I20</f>
        <v>50.4378071535774</v>
      </c>
      <c r="T20" s="88" t="n">
        <f aca="false">IF(MONTH(TradeSum!$B$2)&gt;8,YEAR(TradeSum!$B$2)+1,YEAR(TradeSum!$B$2))</f>
        <v>2002</v>
      </c>
      <c r="U20" s="89"/>
      <c r="V20" s="127" t="str">
        <f aca="false">"Bal "&amp;T20</f>
        <v>Bal 2002</v>
      </c>
      <c r="W20" s="91" t="n">
        <f aca="false" t="array" ref="W20:W20">SUM(IF((YEAR($A$12:$A$47)=T20),$I$12:$I$47*$DK$12:$DK$47))/SUM(IF((YEAR($A$12:$A$47)=T20),$DK$12:$DK$47))</f>
        <v>57.5121022571468</v>
      </c>
      <c r="X20" s="122" t="n">
        <f aca="false" t="array" ref="X20:X20">AVERAGE(IF((YEAR($A$12:$A$47)=T20),$I$12:$I$47))</f>
        <v>57.560413578945</v>
      </c>
      <c r="Y20" s="128" t="n">
        <f aca="false">W20-$W$12</f>
        <v>-4.56009791709548</v>
      </c>
      <c r="Z20" s="128" t="n">
        <f aca="false">W20-$W$13</f>
        <v>-0.0926840337635042</v>
      </c>
      <c r="AA20" s="128" t="n">
        <f aca="false">W20-$W$14</f>
        <v>6.67388166329646</v>
      </c>
      <c r="AB20" s="128" t="n">
        <f aca="false">W20-$W$15</f>
        <v>-2.08032176330883</v>
      </c>
      <c r="AC20" s="128" t="n">
        <f aca="false">W20-$W$16</f>
        <v>6.78834736709624</v>
      </c>
      <c r="AD20" s="128" t="n">
        <f aca="false">W20-$W$17</f>
        <v>10.330364156997</v>
      </c>
      <c r="AE20" s="128" t="n">
        <f aca="false">W20-$W$18</f>
        <v>9.36933264296524</v>
      </c>
      <c r="AF20" s="128" t="n">
        <f aca="false">W20-$W$19</f>
        <v>6.08037540586768</v>
      </c>
      <c r="AG20" s="93" t="n">
        <v>0</v>
      </c>
      <c r="AH20" s="134"/>
      <c r="AI20" s="94"/>
      <c r="AJ20" s="95" t="n">
        <f aca="false">A20</f>
        <v>37438</v>
      </c>
      <c r="AK20" s="96" t="n">
        <v>-5</v>
      </c>
      <c r="AL20" s="97" t="n">
        <v>47.5</v>
      </c>
      <c r="AM20" s="96" t="n">
        <v>-15</v>
      </c>
      <c r="AN20" s="97" t="n">
        <v>47</v>
      </c>
      <c r="AO20" s="96"/>
      <c r="AP20" s="97"/>
      <c r="AQ20" s="96"/>
      <c r="AR20" s="97"/>
      <c r="AS20" s="96"/>
      <c r="AT20" s="97"/>
      <c r="AU20" s="96"/>
      <c r="AV20" s="97"/>
      <c r="AW20" s="96"/>
      <c r="AX20" s="97"/>
      <c r="AY20" s="96"/>
      <c r="AZ20" s="97"/>
      <c r="BA20" s="96"/>
      <c r="BB20" s="97"/>
      <c r="BC20" s="96"/>
      <c r="BD20" s="97"/>
      <c r="BE20" s="96"/>
      <c r="BF20" s="97"/>
      <c r="BG20" s="96"/>
      <c r="BH20" s="97"/>
      <c r="BI20" s="96"/>
      <c r="BJ20" s="97"/>
      <c r="BK20" s="96"/>
      <c r="BL20" s="97"/>
      <c r="BM20" s="96"/>
      <c r="BN20" s="97"/>
      <c r="BO20" s="96"/>
      <c r="BP20" s="97"/>
      <c r="BQ20" s="96"/>
      <c r="BR20" s="97"/>
      <c r="BS20" s="96"/>
      <c r="BT20" s="97"/>
      <c r="BU20" s="96"/>
      <c r="BV20" s="97"/>
      <c r="BW20" s="96"/>
      <c r="BX20" s="97"/>
      <c r="BY20" s="100" t="n">
        <f aca="false">AK20+AM20+AO20+AQ20+AS20+AU20+AW20+AY20+BA20+BC20+BE20+BG20+BI20+BK20+BM20+BO20+BQ20+BS20+BU20+BW20</f>
        <v>-20</v>
      </c>
      <c r="BZ20" s="101" t="n">
        <f aca="false">IF(AND(BY20=0,CC20=0),0,(ABS(AK20)*AL20+ABS(AM20)*AN20+ABS(AO20)*AP20+ABS(AQ20)*AR20+ABS(AS20)*AT20+ABS(AU20)*AV20+ABS(AW20)*AX20+ABS(AY20)*AZ20+ABS(BA20)*BB20+ABS(BC20)*BD20+ABS(BE20)*BF20+ABS(BG20)*BH20+ABS(BI20)*BJ20+ABS(BK20)*BL20+ABS(BM20)*BN20+ABS(BO20)*BP20+ABS(BQ20)*BR20+ABS(BS20)*BT20+ABS(BU20)*BV20+ABS(BW20)*BX20)/CC20)</f>
        <v>47.125</v>
      </c>
      <c r="CB20" s="103" t="n">
        <f aca="false">AJ20</f>
        <v>37438</v>
      </c>
      <c r="CC20" s="102" t="n">
        <f aca="false">ABS(AK20)+ABS(AM20)+ABS(AO20)+ABS(AQ20)+ABS(AS20)+ABS(AU20)+ABS(AW20)+ABS(AY20)+ABS(BA20)+ABS(BC20)+ABS(BE20)+ABS(BG20)+ABS(BI20)+ABS(BK20)+ABS(BM20)+ABS(BO20)+ABS(BQ20)+ABS(BS20)+ABS(BU20)+ABS(BW20)</f>
        <v>20</v>
      </c>
      <c r="CD20" s="104" t="n">
        <f aca="false">16*DK20</f>
        <v>416</v>
      </c>
      <c r="CE20" s="102" t="n">
        <f aca="false">16*DL20</f>
        <v>352</v>
      </c>
      <c r="CF20" s="105" t="n">
        <f aca="false">CD20-CE20</f>
        <v>64</v>
      </c>
      <c r="CG20" s="102" t="n">
        <f aca="false">VLOOKUP(A20,Interest!$X$8:$AC$367,6)</f>
        <v>0.981108245208763</v>
      </c>
      <c r="CH20" s="106" t="n">
        <f aca="false">E20-B20</f>
        <v>-8162.82060013691</v>
      </c>
      <c r="CI20" s="106" t="n">
        <f aca="false">IF(YEAR($AJ20)=$CI$10,(($I20-$AL$48)*$AK$48+($I20-$AN$48)*$AM$48+($I20-$AP$48)*$AO$48+($I20-$AR$48)*$AQ$48+($I20-$AT$48)*$AS$48+($I20-$AV$48)*$AU$48+($I20-$AX$48)*$AW$48+($I20-$AZ$48)*$AY$48+($I20-$BB$48)*$BA$48+($I20-$BD$48)*$BC$48+($I20-$BF$48)*$BE$48+($I20-$BH$48)*$BG$48+($I20-$BJ$48)*$BI$48+($I20-$BL$48)*$BK$48+($I20-$BN$48)*$BM$48+($I20-$BP$48)*$BO$48+($I20-$BR$48)*$BQ$48+($I20-$BT$48)*$BS$48+($I20-$BV$48)*$BU$48+($I20-$BX$48)*$BW$48)*$CD20*$CG20,0)</f>
        <v>0</v>
      </c>
      <c r="CJ20" s="106" t="n">
        <f aca="false">IF(YEAR($AJ20)=$CJ$10,(($I20-$AL$49)*$AK$49+($I20-$AN$49)*$AM$49+($I20-$AP$49)*$AO$49+($I20-$AR$49)*$AQ$49+($I20-$AT$49)*$AS$49+($I20-$AV$49)*$AU$49+($I20-$AX$49)*$AW$49+($I20-$AZ$49)*$AY$49+($I20-$BB$49)*$BA$49+($I20-$BD$49)*$BC$49+($I20-$BF$49)*$BE$49+($I20-$BH$49)*$BG$49+($I20-$BJ$49)*$BI$49+($I20-$BL$49)*$BK$49+($I20-$BN$49)*$BM$49+($I20-$BP$49)*$BO$49+($I20-$BR$49)*$BQ$49+($I20-$BT$49)*$BS$49+($I20-$BV$49)*$BU$49+($I20-$BX$49)*$BW$49)*$CD20*$CG20,0)</f>
        <v>0</v>
      </c>
      <c r="CK20" s="106" t="n">
        <f aca="false">IF(YEAR($AJ20)=$CK$10,(($I20-$AL$50)*$AK$50+($I20-$AN$50)*$AM$50+($I20-$AP$50)*$AO$50+($I20-$AR$50)*$AQ$50+($I20-$AT$50)*$AS$50+($I20-$AV$50)*$AU$50+($I20-$AX$50)*$AW$50+($I20-$AZ$50)*$AY$50+($I20-$BB$50)*$BA$50+($I20-$BD$50)*$BC$50+($I20-$BF$50)*$BE$50+($I20-$BH$50)*$BG$50+($I20-$BJ$50)*$BI$50+($I20-$BL$50)*$BK$50+($I20-$BN$50)*$BM$50+($I20-$BP$50)*$BO$50+($I20-$BR$50)*$BQ$50+($I20-$BT$50)*$BS$50+($I20-$BV$50)*$BU$50+($I20-$BX$50)*$BW$50)*$CD20*$CG20,0)</f>
        <v>0</v>
      </c>
      <c r="CL20" s="1" t="n">
        <f aca="false">CC20*CD20</f>
        <v>8320</v>
      </c>
      <c r="CM20" s="129"/>
      <c r="CN20" s="105"/>
      <c r="CO20" s="129"/>
      <c r="DI20" s="1" t="n">
        <f aca="false">DK20-DL20</f>
        <v>4</v>
      </c>
      <c r="DJ20" s="107" t="n">
        <f aca="false">[2]EnergyCurve!$D42</f>
        <v>37438</v>
      </c>
      <c r="DK20" s="2" t="n">
        <f aca="false">IF($L$6=0,VLOOKUP(DJ20,$DM$13:$DQ$252,2)+VLOOKUP(DJ20,$DU$13:$DY$252,3),VLOOKUP(DJ20,$DU$13:$DY$252,2)+VLOOKUP(DJ20,$DU$13:$DY$252,3))</f>
        <v>26</v>
      </c>
      <c r="DL20" s="2" t="n">
        <f aca="false">IF($L$6=0,VLOOKUP(DJ20,$DM$13:$DQ$252,2),VLOOKUP(DJ20,$DU$13:$DY$252,2))</f>
        <v>22</v>
      </c>
      <c r="DM20" s="130" t="n">
        <v>37104</v>
      </c>
      <c r="DN20" s="22" t="n">
        <v>22</v>
      </c>
      <c r="DO20" s="22" t="n">
        <v>4</v>
      </c>
      <c r="DP20" s="22" t="n">
        <v>4</v>
      </c>
      <c r="DQ20" s="22" t="n">
        <v>1</v>
      </c>
      <c r="DR20" s="22" t="n">
        <v>31</v>
      </c>
      <c r="DS20" s="111"/>
      <c r="DT20" s="111"/>
      <c r="DU20" s="130" t="n">
        <v>37104</v>
      </c>
      <c r="DV20" s="22" t="n">
        <v>23</v>
      </c>
      <c r="DW20" s="22" t="n">
        <v>4</v>
      </c>
      <c r="DX20" s="22" t="n">
        <v>4</v>
      </c>
      <c r="DY20" s="22" t="n">
        <v>0</v>
      </c>
      <c r="DZ20" s="22" t="n">
        <v>31</v>
      </c>
      <c r="EA20" s="111"/>
      <c r="EB20" s="111"/>
      <c r="EQ20" s="107"/>
      <c r="ER20" s="111"/>
      <c r="ES20" s="44"/>
      <c r="ET20" s="44"/>
    </row>
    <row r="21" customFormat="false" ht="18.75" hidden="false" customHeight="true" outlineLevel="0" collapsed="false">
      <c r="A21" s="112" t="n">
        <f aca="false">[2]EnergyCurve!$D43</f>
        <v>37469</v>
      </c>
      <c r="B21" s="113" t="n">
        <f aca="false">[2]EnergyCurve!$O43+[2]EnergyCurve!$Q43</f>
        <v>164915.052734375</v>
      </c>
      <c r="C21" s="114" t="n">
        <f aca="false">B21/(CG21*CD21)</f>
        <v>389.965656026985</v>
      </c>
      <c r="D21" s="114" t="n">
        <f aca="false">BY21+IF(YEAR(A21)=$T$20,$BY$48,0)+IF(YEAR(A21)=$T$21,$BY$49,0)+IF(YEAR(A21)=$T$22,$BY$50,0)</f>
        <v>-20</v>
      </c>
      <c r="E21" s="115" t="n">
        <f aca="false">B21+(D21*CD21*CG21)</f>
        <v>156457.125725389</v>
      </c>
      <c r="F21" s="116" t="n">
        <f aca="false">C21+D21</f>
        <v>369.965656026985</v>
      </c>
      <c r="G21" s="117" t="n">
        <f aca="false">([2]EnergyCurve!$E43*CE21+[2]EnergyCurve!$W43*CF21)/CD21</f>
        <v>52.3111072116428</v>
      </c>
      <c r="H21" s="80" t="n">
        <f aca="false">I21-G21</f>
        <v>-1.28693253338531</v>
      </c>
      <c r="I21" s="118" t="n">
        <f aca="false">([2]EnergyCurve!$G43*CE21+[2]EnergyCurve!$Y43*CF21)/CD21</f>
        <v>51.0241746782575</v>
      </c>
      <c r="J21" s="115" t="n">
        <f aca="false">H21*B21</f>
        <v>-212234.546608821</v>
      </c>
      <c r="K21" s="119" t="n">
        <f aca="false">(((I21-AL21)*AK21+(I21-AN21)*AM21+(I21-AP21)*AO21+(I21-AR21)*AQ21+(I21-AT21)*AS21+(I21-AV21)*AU21+(I21-AX21)*AW21+(I21-AZ21)*AY21+(I21-BB21)*BA21+(I21-BD21)*BC21+(I21-BF21)*BE21+(I21-BH21)*BG21+(I21-BJ21)*BI21+(I21-BL21)*BK21+(I21-BN21)*BM21+(I21-BP21)*BO21+(I21-BR21)*BQ21+(I21-BT21)*BS21+(I21-BV21)*BU21+(I21-BX21)*BW21)*CD21*CG21)+CI21+CJ21+CK21</f>
        <v>-32978.9348239874</v>
      </c>
      <c r="L21" s="119" t="n">
        <f aca="false">J21+K21</f>
        <v>-245213.481432809</v>
      </c>
      <c r="M21" s="0"/>
      <c r="N21" s="83" t="n">
        <f aca="false">A21</f>
        <v>37469</v>
      </c>
      <c r="O21" s="84" t="n">
        <v>27</v>
      </c>
      <c r="P21" s="84" t="n">
        <v>28</v>
      </c>
      <c r="Q21" s="85" t="n">
        <f aca="false">AVERAGE(O21:P21)-G21</f>
        <v>-24.8111072116428</v>
      </c>
      <c r="R21" s="133"/>
      <c r="S21" s="120" t="n">
        <f aca="false">I21</f>
        <v>51.0241746782575</v>
      </c>
      <c r="T21" s="88" t="n">
        <f aca="false">T20+1</f>
        <v>2003</v>
      </c>
      <c r="U21" s="89"/>
      <c r="V21" s="135" t="n">
        <f aca="false">T21</f>
        <v>2003</v>
      </c>
      <c r="W21" s="91" t="n">
        <f aca="false" t="array" ref="W21:W21">SUM(IF((YEAR($A$12:$A$47)=T21),$I$12:$I$47*$DK$12:$DK$47))/SUM(IF((YEAR($A$12:$A$47)=T21),$DK$12:$DK$47))</f>
        <v>49.3655877302796</v>
      </c>
      <c r="X21" s="122" t="n">
        <f aca="false" t="array" ref="X21:X21">AVERAGE(IF((YEAR($A$12:$A$47)=T21),$I$12:$I$47))</f>
        <v>49.3816841563693</v>
      </c>
      <c r="Y21" s="123" t="n">
        <f aca="false">W21-$W$12</f>
        <v>-12.7066124439626</v>
      </c>
      <c r="Z21" s="123" t="n">
        <f aca="false">W21-$W$13</f>
        <v>-8.23919856063068</v>
      </c>
      <c r="AA21" s="123" t="n">
        <f aca="false">W21-$W$14</f>
        <v>-1.47263286357072</v>
      </c>
      <c r="AB21" s="123" t="n">
        <f aca="false">W21-$W$15</f>
        <v>-10.226836290176</v>
      </c>
      <c r="AC21" s="123" t="n">
        <f aca="false">W21-$W$16</f>
        <v>-1.35816715977093</v>
      </c>
      <c r="AD21" s="123" t="n">
        <f aca="false">W21-$W$17</f>
        <v>2.18384963012987</v>
      </c>
      <c r="AE21" s="123" t="n">
        <f aca="false">W21-$W$18</f>
        <v>1.22281811609807</v>
      </c>
      <c r="AF21" s="123" t="n">
        <f aca="false">W21-$W$19</f>
        <v>-2.06613912099949</v>
      </c>
      <c r="AG21" s="123" t="n">
        <f aca="false">W21-$W$20</f>
        <v>-8.14651452686717</v>
      </c>
      <c r="AH21" s="124" t="n">
        <v>0</v>
      </c>
      <c r="AI21" s="134"/>
      <c r="AJ21" s="95" t="n">
        <f aca="false">A21</f>
        <v>37469</v>
      </c>
      <c r="AK21" s="96" t="n">
        <v>-5</v>
      </c>
      <c r="AL21" s="97" t="n">
        <v>47.5</v>
      </c>
      <c r="AM21" s="96" t="n">
        <v>-15</v>
      </c>
      <c r="AN21" s="97" t="n">
        <v>47</v>
      </c>
      <c r="AO21" s="96"/>
      <c r="AP21" s="97"/>
      <c r="AQ21" s="96"/>
      <c r="AR21" s="97"/>
      <c r="AS21" s="96"/>
      <c r="AT21" s="97"/>
      <c r="AU21" s="96"/>
      <c r="AV21" s="97"/>
      <c r="AW21" s="96"/>
      <c r="AX21" s="97"/>
      <c r="AY21" s="96"/>
      <c r="AZ21" s="97"/>
      <c r="BA21" s="96"/>
      <c r="BB21" s="97"/>
      <c r="BC21" s="96"/>
      <c r="BD21" s="97"/>
      <c r="BE21" s="96"/>
      <c r="BF21" s="97"/>
      <c r="BG21" s="96"/>
      <c r="BH21" s="97"/>
      <c r="BI21" s="96"/>
      <c r="BJ21" s="97"/>
      <c r="BK21" s="96"/>
      <c r="BL21" s="97"/>
      <c r="BM21" s="96"/>
      <c r="BN21" s="97"/>
      <c r="BO21" s="96"/>
      <c r="BP21" s="97"/>
      <c r="BQ21" s="96"/>
      <c r="BR21" s="97"/>
      <c r="BS21" s="96"/>
      <c r="BT21" s="97"/>
      <c r="BU21" s="96"/>
      <c r="BV21" s="97"/>
      <c r="BW21" s="96"/>
      <c r="BX21" s="97"/>
      <c r="BY21" s="100" t="n">
        <f aca="false">AK21+AM21+AO21+AQ21+AS21+AU21+AW21+AY21+BA21+BC21+BE21+BG21+BI21+BK21+BM21+BO21+BQ21+BS21+BU21+BW21</f>
        <v>-20</v>
      </c>
      <c r="BZ21" s="101" t="n">
        <f aca="false">IF(AND(BY21=0,CC21=0),0,(ABS(AK21)*AL21+ABS(AM21)*AN21+ABS(AO21)*AP21+ABS(AQ21)*AR21+ABS(AS21)*AT21+ABS(AU21)*AV21+ABS(AW21)*AX21+ABS(AY21)*AZ21+ABS(BA21)*BB21+ABS(BC21)*BD21+ABS(BE21)*BF21+ABS(BG21)*BH21+ABS(BI21)*BJ21+ABS(BK21)*BL21+ABS(BM21)*BN21+ABS(BO21)*BP21+ABS(BQ21)*BR21+ABS(BS21)*BT21+ABS(BU21)*BV21+ABS(BW21)*BX21)/CC21)</f>
        <v>47.125</v>
      </c>
      <c r="CB21" s="103" t="n">
        <f aca="false">AJ21</f>
        <v>37469</v>
      </c>
      <c r="CC21" s="102" t="n">
        <f aca="false">ABS(AK21)+ABS(AM21)+ABS(AO21)+ABS(AQ21)+ABS(AS21)+ABS(AU21)+ABS(AW21)+ABS(AY21)+ABS(BA21)+ABS(BC21)+ABS(BE21)+ABS(BG21)+ABS(BI21)+ABS(BK21)+ABS(BM21)+ABS(BO21)+ABS(BQ21)+ABS(BS21)+ABS(BU21)+ABS(BW21)</f>
        <v>20</v>
      </c>
      <c r="CD21" s="104" t="n">
        <f aca="false">16*DK21</f>
        <v>432</v>
      </c>
      <c r="CE21" s="102" t="n">
        <f aca="false">16*DL21</f>
        <v>352</v>
      </c>
      <c r="CF21" s="105" t="n">
        <f aca="false">CD21-CE21</f>
        <v>80</v>
      </c>
      <c r="CG21" s="102" t="n">
        <f aca="false">VLOOKUP(A21,Interest!$X$8:$AC$367,6)</f>
        <v>0.978926737151134</v>
      </c>
      <c r="CH21" s="106" t="n">
        <f aca="false">E21-B21</f>
        <v>-8457.9270089858</v>
      </c>
      <c r="CI21" s="106" t="n">
        <f aca="false">IF(YEAR($AJ21)=$CI$10,(($I21-$AL$48)*$AK$48+($I21-$AN$48)*$AM$48+($I21-$AP$48)*$AO$48+($I21-$AR$48)*$AQ$48+($I21-$AT$48)*$AS$48+($I21-$AV$48)*$AU$48+($I21-$AX$48)*$AW$48+($I21-$AZ$48)*$AY$48+($I21-$BB$48)*$BA$48+($I21-$BD$48)*$BC$48+($I21-$BF$48)*$BE$48+($I21-$BH$48)*$BG$48+($I21-$BJ$48)*$BI$48+($I21-$BL$48)*$BK$48+($I21-$BN$48)*$BM$48+($I21-$BP$48)*$BO$48+($I21-$BR$48)*$BQ$48+($I21-$BT$48)*$BS$48+($I21-$BV$48)*$BU$48+($I21-$BX$48)*$BW$48)*$CD21*$CG21,0)</f>
        <v>0</v>
      </c>
      <c r="CJ21" s="106" t="n">
        <f aca="false">IF(YEAR($AJ21)=$CJ$10,(($I21-$AL$49)*$AK$49+($I21-$AN$49)*$AM$49+($I21-$AP$49)*$AO$49+($I21-$AR$49)*$AQ$49+($I21-$AT$49)*$AS$49+($I21-$AV$49)*$AU$49+($I21-$AX$49)*$AW$49+($I21-$AZ$49)*$AY$49+($I21-$BB$49)*$BA$49+($I21-$BD$49)*$BC$49+($I21-$BF$49)*$BE$49+($I21-$BH$49)*$BG$49+($I21-$BJ$49)*$BI$49+($I21-$BL$49)*$BK$49+($I21-$BN$49)*$BM$49+($I21-$BP$49)*$BO$49+($I21-$BR$49)*$BQ$49+($I21-$BT$49)*$BS$49+($I21-$BV$49)*$BU$49+($I21-$BX$49)*$BW$49)*$CD21*$CG21,0)</f>
        <v>0</v>
      </c>
      <c r="CK21" s="106" t="n">
        <f aca="false">IF(YEAR($AJ21)=$CK$10,(($I21-$AL$50)*$AK$50+($I21-$AN$50)*$AM$50+($I21-$AP$50)*$AO$50+($I21-$AR$50)*$AQ$50+($I21-$AT$50)*$AS$50+($I21-$AV$50)*$AU$50+($I21-$AX$50)*$AW$50+($I21-$AZ$50)*$AY$50+($I21-$BB$50)*$BA$50+($I21-$BD$50)*$BC$50+($I21-$BF$50)*$BE$50+($I21-$BH$50)*$BG$50+($I21-$BJ$50)*$BI$50+($I21-$BL$50)*$BK$50+($I21-$BN$50)*$BM$50+($I21-$BP$50)*$BO$50+($I21-$BR$50)*$BQ$50+($I21-$BT$50)*$BS$50+($I21-$BV$50)*$BU$50+($I21-$BX$50)*$BW$50)*$CD21*$CG21,0)</f>
        <v>0</v>
      </c>
      <c r="CL21" s="1" t="n">
        <f aca="false">CC21*CD21</f>
        <v>8640</v>
      </c>
      <c r="CM21" s="129"/>
      <c r="CN21" s="105"/>
      <c r="CO21" s="129"/>
      <c r="DI21" s="1" t="n">
        <f aca="false">DK21-DL21</f>
        <v>5</v>
      </c>
      <c r="DJ21" s="107" t="n">
        <f aca="false">[2]EnergyCurve!$D43</f>
        <v>37469</v>
      </c>
      <c r="DK21" s="2" t="n">
        <f aca="false">IF($L$6=0,VLOOKUP(DJ21,$DM$13:$DQ$252,2)+VLOOKUP(DJ21,$DU$13:$DY$252,3),VLOOKUP(DJ21,$DU$13:$DY$252,2)+VLOOKUP(DJ21,$DU$13:$DY$252,3))</f>
        <v>27</v>
      </c>
      <c r="DL21" s="2" t="n">
        <f aca="false">IF($L$6=0,VLOOKUP(DJ21,$DM$13:$DQ$252,2),VLOOKUP(DJ21,$DU$13:$DY$252,2))</f>
        <v>22</v>
      </c>
      <c r="DM21" s="130" t="n">
        <v>37135</v>
      </c>
      <c r="DN21" s="22" t="n">
        <v>19</v>
      </c>
      <c r="DO21" s="22" t="n">
        <v>5</v>
      </c>
      <c r="DP21" s="22" t="n">
        <v>5</v>
      </c>
      <c r="DQ21" s="22" t="n">
        <v>1</v>
      </c>
      <c r="DR21" s="22" t="n">
        <v>30</v>
      </c>
      <c r="DS21" s="111"/>
      <c r="DT21" s="111"/>
      <c r="DU21" s="130" t="n">
        <v>37135</v>
      </c>
      <c r="DV21" s="22" t="n">
        <v>19</v>
      </c>
      <c r="DW21" s="22" t="n">
        <v>5</v>
      </c>
      <c r="DX21" s="22" t="n">
        <v>5</v>
      </c>
      <c r="DY21" s="22" t="n">
        <v>1</v>
      </c>
      <c r="DZ21" s="22" t="n">
        <v>30</v>
      </c>
      <c r="EA21" s="111"/>
      <c r="EB21" s="111"/>
      <c r="EQ21" s="107"/>
      <c r="ER21" s="111"/>
      <c r="ES21" s="44"/>
      <c r="ET21" s="44"/>
    </row>
    <row r="22" customFormat="false" ht="18.75" hidden="false" customHeight="true" outlineLevel="0" collapsed="false">
      <c r="A22" s="75" t="n">
        <f aca="false">[2]EnergyCurve!$D44</f>
        <v>37500</v>
      </c>
      <c r="B22" s="76" t="n">
        <f aca="false">[2]EnergyCurve!$O44+[2]EnergyCurve!$Q44</f>
        <v>146225.4921875</v>
      </c>
      <c r="C22" s="77" t="n">
        <f aca="false">B22/(CG22*CD22)</f>
        <v>389.844277699714</v>
      </c>
      <c r="D22" s="78" t="n">
        <f aca="false">BY22+IF(YEAR(A22)=$T$20,$BY$48,0)+IF(YEAR(A22)=$T$21,$BY$49,0)+IF(YEAR(A22)=$T$22,$BY$50,0)</f>
        <v>-20</v>
      </c>
      <c r="E22" s="77" t="n">
        <f aca="false">B22+(D22*CD22*CG22)</f>
        <v>138723.753644597</v>
      </c>
      <c r="F22" s="79" t="n">
        <f aca="false">C22+D22</f>
        <v>369.844277699714</v>
      </c>
      <c r="G22" s="80" t="n">
        <f aca="false">([2]EnergyCurve!$E44*CE22+[2]EnergyCurve!$W44*CF22)/CD22</f>
        <v>52.3498458862305</v>
      </c>
      <c r="H22" s="80" t="n">
        <f aca="false">I22-G22</f>
        <v>-1.28704241037582</v>
      </c>
      <c r="I22" s="81" t="n">
        <f aca="false">([2]EnergyCurve!$G44*CE22+[2]EnergyCurve!$Y44*CF22)/CD22</f>
        <v>51.0628034758547</v>
      </c>
      <c r="J22" s="76" t="n">
        <f aca="false">H22*B22</f>
        <v>-188198.40992339</v>
      </c>
      <c r="K22" s="82" t="n">
        <f aca="false">(((I22-AL22)*AK22+(I22-AN22)*AM22+(I22-AP22)*AO22+(I22-AR22)*AQ22+(I22-AT22)*AS22+(I22-AV22)*AU22+(I22-AX22)*AW22+(I22-AZ22)*AY22+(I22-BB22)*BA22+(I22-BD22)*BC22+(I22-BF22)*BE22+(I22-BH22)*BG22+(I22-BJ22)*BI22+(I22-BL22)*BK22+(I22-BN22)*BM22+(I22-BP22)*BO22+(I22-BR22)*BQ22+(I22-BT22)*BS22+(I22-BV22)*BU22+(I22-BX22)*BW22)*CD22*CG22)+CI22+CJ22+CK22</f>
        <v>-29540.372109195</v>
      </c>
      <c r="L22" s="82" t="n">
        <f aca="false">J22+K22</f>
        <v>-217738.782032585</v>
      </c>
      <c r="M22" s="0"/>
      <c r="N22" s="83" t="n">
        <f aca="false">A22</f>
        <v>37500</v>
      </c>
      <c r="O22" s="84" t="n">
        <v>29</v>
      </c>
      <c r="P22" s="84" t="n">
        <v>30</v>
      </c>
      <c r="Q22" s="85" t="n">
        <f aca="false">AVERAGE(O22:P22)-G22</f>
        <v>-22.8498458862305</v>
      </c>
      <c r="R22" s="133"/>
      <c r="S22" s="120" t="n">
        <f aca="false">I22</f>
        <v>51.0628034758547</v>
      </c>
      <c r="T22" s="88" t="n">
        <f aca="false">T21+1</f>
        <v>2004</v>
      </c>
      <c r="U22" s="89"/>
      <c r="V22" s="136" t="n">
        <f aca="false">T22</f>
        <v>2004</v>
      </c>
      <c r="W22" s="137" t="n">
        <f aca="false" t="array" ref="W22:W22">SUM(IF((YEAR($A$12:$A$50)=T22),$I$12:$I$50*$DK$12:$DK$50))/SUM(IF((YEAR($A$12:$A$50)=T22),$DK$12:$DK$50))</f>
        <v>47.3026929036224</v>
      </c>
      <c r="X22" s="138" t="n">
        <f aca="false" t="array" ref="X22:X22">AVERAGE(IF((YEAR($A$12:$A$50)=T22),$I$12:$I$50))</f>
        <v>47.3101870124318</v>
      </c>
      <c r="Y22" s="139" t="n">
        <f aca="false">W22-$W$12</f>
        <v>-14.7695072706199</v>
      </c>
      <c r="Z22" s="139" t="n">
        <f aca="false">W22-$W$13</f>
        <v>-10.3020933872879</v>
      </c>
      <c r="AA22" s="139" t="n">
        <f aca="false">W22-$W$14</f>
        <v>-3.53552769022797</v>
      </c>
      <c r="AB22" s="139" t="n">
        <f aca="false">W22-$W$15</f>
        <v>-12.2897311168333</v>
      </c>
      <c r="AC22" s="139" t="n">
        <f aca="false">W22-$W$16</f>
        <v>-3.42106198642819</v>
      </c>
      <c r="AD22" s="139" t="n">
        <f aca="false">W22-$W$17</f>
        <v>0.120954803472614</v>
      </c>
      <c r="AE22" s="139" t="n">
        <f aca="false">W22-$W$18</f>
        <v>-0.840076710559188</v>
      </c>
      <c r="AF22" s="139" t="n">
        <f aca="false">W22-$W$19</f>
        <v>-4.12903394765674</v>
      </c>
      <c r="AG22" s="139" t="n">
        <f aca="false">W22-$W$20</f>
        <v>-10.2094093535244</v>
      </c>
      <c r="AH22" s="139" t="n">
        <f aca="false">W22-$W$21</f>
        <v>-2.06289482665726</v>
      </c>
      <c r="AI22" s="140" t="n">
        <v>0</v>
      </c>
      <c r="AJ22" s="95" t="n">
        <f aca="false">A22</f>
        <v>37500</v>
      </c>
      <c r="AK22" s="96" t="n">
        <v>-5</v>
      </c>
      <c r="AL22" s="97" t="n">
        <v>47.5</v>
      </c>
      <c r="AM22" s="96" t="n">
        <v>-15</v>
      </c>
      <c r="AN22" s="97" t="n">
        <v>47</v>
      </c>
      <c r="AO22" s="96"/>
      <c r="AP22" s="97"/>
      <c r="AQ22" s="96"/>
      <c r="AR22" s="97"/>
      <c r="AS22" s="96"/>
      <c r="AT22" s="97"/>
      <c r="AU22" s="96"/>
      <c r="AV22" s="97"/>
      <c r="AW22" s="96"/>
      <c r="AX22" s="97"/>
      <c r="AY22" s="96"/>
      <c r="AZ22" s="97"/>
      <c r="BA22" s="96"/>
      <c r="BB22" s="97"/>
      <c r="BC22" s="96"/>
      <c r="BD22" s="97"/>
      <c r="BE22" s="96"/>
      <c r="BF22" s="97"/>
      <c r="BG22" s="96"/>
      <c r="BH22" s="97"/>
      <c r="BI22" s="96"/>
      <c r="BJ22" s="97"/>
      <c r="BK22" s="96"/>
      <c r="BL22" s="97"/>
      <c r="BM22" s="96"/>
      <c r="BN22" s="97"/>
      <c r="BO22" s="96"/>
      <c r="BP22" s="97"/>
      <c r="BQ22" s="96"/>
      <c r="BR22" s="97"/>
      <c r="BS22" s="96"/>
      <c r="BT22" s="97"/>
      <c r="BU22" s="96"/>
      <c r="BV22" s="97"/>
      <c r="BW22" s="96"/>
      <c r="BX22" s="97"/>
      <c r="BY22" s="100" t="n">
        <f aca="false">AK22+AM22+AO22+AQ22+AS22+AU22+AW22+AY22+BA22+BC22+BE22+BG22+BI22+BK22+BM22+BO22+BQ22+BS22+BU22+BW22</f>
        <v>-20</v>
      </c>
      <c r="BZ22" s="101" t="n">
        <f aca="false">IF(AND(BY22=0,CC22=0),0,(ABS(AK22)*AL22+ABS(AM22)*AN22+ABS(AO22)*AP22+ABS(AQ22)*AR22+ABS(AS22)*AT22+ABS(AU22)*AV22+ABS(AW22)*AX22+ABS(AY22)*AZ22+ABS(BA22)*BB22+ABS(BC22)*BD22+ABS(BE22)*BF22+ABS(BG22)*BH22+ABS(BI22)*BJ22+ABS(BK22)*BL22+ABS(BM22)*BN22+ABS(BO22)*BP22+ABS(BQ22)*BR22+ABS(BS22)*BT22+ABS(BU22)*BV22+ABS(BW22)*BX22)/CC22)</f>
        <v>47.125</v>
      </c>
      <c r="CB22" s="103" t="n">
        <f aca="false">AJ22</f>
        <v>37500</v>
      </c>
      <c r="CC22" s="102" t="n">
        <f aca="false">ABS(AK22)+ABS(AM22)+ABS(AO22)+ABS(AQ22)+ABS(AS22)+ABS(AU22)+ABS(AW22)+ABS(AY22)+ABS(BA22)+ABS(BC22)+ABS(BE22)+ABS(BG22)+ABS(BI22)+ABS(BK22)+ABS(BM22)+ABS(BO22)+ABS(BQ22)+ABS(BS22)+ABS(BU22)+ABS(BW22)</f>
        <v>20</v>
      </c>
      <c r="CD22" s="104" t="n">
        <f aca="false">16*DK22</f>
        <v>384</v>
      </c>
      <c r="CE22" s="102" t="n">
        <f aca="false">16*DL22</f>
        <v>320</v>
      </c>
      <c r="CF22" s="105" t="n">
        <f aca="false">CD22-CE22</f>
        <v>64</v>
      </c>
      <c r="CG22" s="102" t="n">
        <f aca="false">VLOOKUP(A22,Interest!$X$8:$AC$367,6)</f>
        <v>0.976788872773786</v>
      </c>
      <c r="CH22" s="106" t="n">
        <f aca="false">E22-B22</f>
        <v>-7501.73854290269</v>
      </c>
      <c r="CI22" s="106" t="n">
        <f aca="false">IF(YEAR($AJ22)=$CI$10,(($I22-$AL$48)*$AK$48+($I22-$AN$48)*$AM$48+($I22-$AP$48)*$AO$48+($I22-$AR$48)*$AQ$48+($I22-$AT$48)*$AS$48+($I22-$AV$48)*$AU$48+($I22-$AX$48)*$AW$48+($I22-$AZ$48)*$AY$48+($I22-$BB$48)*$BA$48+($I22-$BD$48)*$BC$48+($I22-$BF$48)*$BE$48+($I22-$BH$48)*$BG$48+($I22-$BJ$48)*$BI$48+($I22-$BL$48)*$BK$48+($I22-$BN$48)*$BM$48+($I22-$BP$48)*$BO$48+($I22-$BR$48)*$BQ$48+($I22-$BT$48)*$BS$48+($I22-$BV$48)*$BU$48+($I22-$BX$48)*$BW$48)*$CD22*$CG22,0)</f>
        <v>0</v>
      </c>
      <c r="CJ22" s="106" t="n">
        <f aca="false">IF(YEAR($AJ22)=$CJ$10,(($I22-$AL$49)*$AK$49+($I22-$AN$49)*$AM$49+($I22-$AP$49)*$AO$49+($I22-$AR$49)*$AQ$49+($I22-$AT$49)*$AS$49+($I22-$AV$49)*$AU$49+($I22-$AX$49)*$AW$49+($I22-$AZ$49)*$AY$49+($I22-$BB$49)*$BA$49+($I22-$BD$49)*$BC$49+($I22-$BF$49)*$BE$49+($I22-$BH$49)*$BG$49+($I22-$BJ$49)*$BI$49+($I22-$BL$49)*$BK$49+($I22-$BN$49)*$BM$49+($I22-$BP$49)*$BO$49+($I22-$BR$49)*$BQ$49+($I22-$BT$49)*$BS$49+($I22-$BV$49)*$BU$49+($I22-$BX$49)*$BW$49)*$CD22*$CG22,0)</f>
        <v>0</v>
      </c>
      <c r="CK22" s="106" t="n">
        <f aca="false">IF(YEAR($AJ22)=$CK$10,(($I22-$AL$50)*$AK$50+($I22-$AN$50)*$AM$50+($I22-$AP$50)*$AO$50+($I22-$AR$50)*$AQ$50+($I22-$AT$50)*$AS$50+($I22-$AV$50)*$AU$50+($I22-$AX$50)*$AW$50+($I22-$AZ$50)*$AY$50+($I22-$BB$50)*$BA$50+($I22-$BD$50)*$BC$50+($I22-$BF$50)*$BE$50+($I22-$BH$50)*$BG$50+($I22-$BJ$50)*$BI$50+($I22-$BL$50)*$BK$50+($I22-$BN$50)*$BM$50+($I22-$BP$50)*$BO$50+($I22-$BR$50)*$BQ$50+($I22-$BT$50)*$BS$50+($I22-$BV$50)*$BU$50+($I22-$BX$50)*$BW$50)*$CD22*$CG22,0)</f>
        <v>0</v>
      </c>
      <c r="CL22" s="1" t="n">
        <f aca="false">CC22*CD22</f>
        <v>7680</v>
      </c>
      <c r="CM22" s="129"/>
      <c r="CN22" s="105"/>
      <c r="CO22" s="129"/>
      <c r="DI22" s="1" t="n">
        <f aca="false">DK22-DL22</f>
        <v>4</v>
      </c>
      <c r="DJ22" s="107" t="n">
        <f aca="false">[2]EnergyCurve!$D44</f>
        <v>37500</v>
      </c>
      <c r="DK22" s="2" t="n">
        <f aca="false">IF($L$6=0,VLOOKUP(DJ22,$DM$13:$DQ$252,2)+VLOOKUP(DJ22,$DU$13:$DY$252,3),VLOOKUP(DJ22,$DU$13:$DY$252,2)+VLOOKUP(DJ22,$DU$13:$DY$252,3))</f>
        <v>24</v>
      </c>
      <c r="DL22" s="2" t="n">
        <f aca="false">IF($L$6=0,VLOOKUP(DJ22,$DM$13:$DQ$252,2),VLOOKUP(DJ22,$DU$13:$DY$252,2))</f>
        <v>20</v>
      </c>
      <c r="DM22" s="130" t="n">
        <v>37165</v>
      </c>
      <c r="DN22" s="22" t="n">
        <v>22</v>
      </c>
      <c r="DO22" s="22" t="n">
        <v>4</v>
      </c>
      <c r="DP22" s="22" t="n">
        <v>4</v>
      </c>
      <c r="DQ22" s="22" t="n">
        <v>1</v>
      </c>
      <c r="DR22" s="22" t="n">
        <v>31</v>
      </c>
      <c r="DS22" s="111"/>
      <c r="DT22" s="111"/>
      <c r="DU22" s="130" t="n">
        <v>37165</v>
      </c>
      <c r="DV22" s="22" t="n">
        <v>23</v>
      </c>
      <c r="DW22" s="22" t="n">
        <v>4</v>
      </c>
      <c r="DX22" s="22" t="n">
        <v>4</v>
      </c>
      <c r="DY22" s="22" t="n">
        <v>0</v>
      </c>
      <c r="DZ22" s="22" t="n">
        <v>31</v>
      </c>
      <c r="EA22" s="111"/>
      <c r="EB22" s="111"/>
      <c r="EQ22" s="107"/>
      <c r="ER22" s="111"/>
      <c r="ES22" s="44"/>
      <c r="ET22" s="44"/>
    </row>
    <row r="23" customFormat="false" ht="18" hidden="false" customHeight="true" outlineLevel="0" collapsed="false">
      <c r="A23" s="112" t="n">
        <f aca="false">[2]EnergyCurve!$D45</f>
        <v>37530</v>
      </c>
      <c r="B23" s="113" t="n">
        <f aca="false">[2]EnergyCurve!$O45+[2]EnergyCurve!$Q45</f>
        <v>48819.8823242188</v>
      </c>
      <c r="C23" s="114" t="n">
        <f aca="false">B23/(CG23*CD23)</f>
        <v>115.971138824807</v>
      </c>
      <c r="D23" s="114" t="n">
        <f aca="false">BY23+IF(YEAR(A23)=$T$20,$BY$48,0)+IF(YEAR(A23)=$T$21,$BY$49,0)+IF(YEAR(A23)=$T$22,$BY$50,0)</f>
        <v>-20</v>
      </c>
      <c r="E23" s="115" t="n">
        <f aca="false">B23+(D23*CD23*CG23)</f>
        <v>40400.5664808228</v>
      </c>
      <c r="F23" s="116" t="n">
        <f aca="false">C23+D23</f>
        <v>95.9711388248075</v>
      </c>
      <c r="G23" s="117" t="n">
        <f aca="false">([2]EnergyCurve!$E45*CE23+[2]EnergyCurve!$W45*CF23)/CD23</f>
        <v>56.7325994703505</v>
      </c>
      <c r="H23" s="80" t="n">
        <f aca="false">I23-G23</f>
        <v>-1.37877421088891</v>
      </c>
      <c r="I23" s="118" t="n">
        <f aca="false">([2]EnergyCurve!$G45*CE23+[2]EnergyCurve!$Y45*CF23)/CD23</f>
        <v>55.3538252594616</v>
      </c>
      <c r="J23" s="115" t="n">
        <f aca="false">H23*B23</f>
        <v>-67311.5947272643</v>
      </c>
      <c r="K23" s="119" t="n">
        <f aca="false">(((I23-AL23)*AK23+(I23-AN23)*AM23+(I23-AP23)*AO23+(I23-AR23)*AQ23+(I23-AT23)*AS23+(I23-AV23)*AU23+(I23-AX23)*AW23+(I23-AZ23)*AY23+(I23-BB23)*BA23+(I23-BD23)*BC23+(I23-BF23)*BE23+(I23-BH23)*BG23+(I23-BJ23)*BI23+(I23-BL23)*BK23+(I23-BN23)*BM23+(I23-BP23)*BO23+(I23-BR23)*BQ23+(I23-BT23)*BS23+(I23-BV23)*BU23+(I23-BX23)*BW23)*CD23*CG23)+CI23+CJ23+CK23</f>
        <v>-69281.0788795217</v>
      </c>
      <c r="L23" s="119" t="n">
        <f aca="false">J23+K23</f>
        <v>-136592.673606786</v>
      </c>
      <c r="M23" s="0"/>
      <c r="N23" s="83" t="n">
        <f aca="false">A23</f>
        <v>37530</v>
      </c>
      <c r="O23" s="84" t="n">
        <v>37</v>
      </c>
      <c r="P23" s="84" t="n">
        <v>40</v>
      </c>
      <c r="Q23" s="85" t="n">
        <f aca="false">AVERAGE(O23:P23)-G23</f>
        <v>-18.2325994703505</v>
      </c>
      <c r="R23" s="133"/>
      <c r="S23" s="120" t="n">
        <f aca="false">I23</f>
        <v>55.3538252594616</v>
      </c>
      <c r="T23" s="88"/>
      <c r="U23" s="89"/>
      <c r="V23" s="141"/>
      <c r="W23" s="142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95" t="n">
        <f aca="false">A23</f>
        <v>37530</v>
      </c>
      <c r="AK23" s="96" t="n">
        <v>-5</v>
      </c>
      <c r="AL23" s="97" t="n">
        <v>47.5</v>
      </c>
      <c r="AM23" s="96" t="n">
        <v>-15</v>
      </c>
      <c r="AN23" s="97" t="n">
        <v>47</v>
      </c>
      <c r="AO23" s="96"/>
      <c r="AP23" s="97"/>
      <c r="AQ23" s="96"/>
      <c r="AR23" s="97"/>
      <c r="AS23" s="96"/>
      <c r="AT23" s="97"/>
      <c r="AU23" s="96"/>
      <c r="AV23" s="97"/>
      <c r="AW23" s="96"/>
      <c r="AX23" s="97"/>
      <c r="AY23" s="96"/>
      <c r="AZ23" s="97"/>
      <c r="BA23" s="96"/>
      <c r="BB23" s="97"/>
      <c r="BC23" s="96"/>
      <c r="BD23" s="97"/>
      <c r="BE23" s="96"/>
      <c r="BF23" s="97"/>
      <c r="BG23" s="96"/>
      <c r="BH23" s="97"/>
      <c r="BI23" s="96"/>
      <c r="BJ23" s="97"/>
      <c r="BK23" s="96"/>
      <c r="BL23" s="97"/>
      <c r="BM23" s="96"/>
      <c r="BN23" s="97"/>
      <c r="BO23" s="96"/>
      <c r="BP23" s="97"/>
      <c r="BQ23" s="96"/>
      <c r="BR23" s="97"/>
      <c r="BS23" s="96"/>
      <c r="BT23" s="97"/>
      <c r="BU23" s="96"/>
      <c r="BV23" s="97"/>
      <c r="BW23" s="96"/>
      <c r="BX23" s="97"/>
      <c r="BY23" s="100" t="n">
        <f aca="false">AK23+AM23+AO23+AQ23+AS23+AU23+AW23+AY23+BA23+BC23+BE23+BG23+BI23+BK23+BM23+BO23+BQ23+BS23+BU23+BW23</f>
        <v>-20</v>
      </c>
      <c r="BZ23" s="101" t="n">
        <f aca="false">IF(AND(BY23=0,CC23=0),0,(ABS(AK23)*AL23+ABS(AM23)*AN23+ABS(AO23)*AP23+ABS(AQ23)*AR23+ABS(AS23)*AT23+ABS(AU23)*AV23+ABS(AW23)*AX23+ABS(AY23)*AZ23+ABS(BA23)*BB23+ABS(BC23)*BD23+ABS(BE23)*BF23+ABS(BG23)*BH23+ABS(BI23)*BJ23+ABS(BK23)*BL23+ABS(BM23)*BN23+ABS(BO23)*BP23+ABS(BQ23)*BR23+ABS(BS23)*BT23+ABS(BU23)*BV23+ABS(BW23)*BX23)/CC23)</f>
        <v>47.125</v>
      </c>
      <c r="CB23" s="103" t="n">
        <f aca="false">AJ23</f>
        <v>37530</v>
      </c>
      <c r="CC23" s="102" t="n">
        <f aca="false">ABS(AK23)+ABS(AM23)+ABS(AO23)+ABS(AQ23)+ABS(AS23)+ABS(AU23)+ABS(AW23)+ABS(AY23)+ABS(BA23)+ABS(BC23)+ABS(BE23)+ABS(BG23)+ABS(BI23)+ABS(BK23)+ABS(BM23)+ABS(BO23)+ABS(BQ23)+ABS(BS23)+ABS(BU23)+ABS(BW23)</f>
        <v>20</v>
      </c>
      <c r="CD23" s="104" t="n">
        <f aca="false">16*DK23</f>
        <v>432</v>
      </c>
      <c r="CE23" s="102" t="n">
        <f aca="false">16*DL23</f>
        <v>368</v>
      </c>
      <c r="CF23" s="105" t="n">
        <f aca="false">CD23-CE23</f>
        <v>64</v>
      </c>
      <c r="CG23" s="102" t="n">
        <f aca="false">VLOOKUP(A23,Interest!$X$8:$AC$367,6)</f>
        <v>0.974457852244904</v>
      </c>
      <c r="CH23" s="106" t="n">
        <f aca="false">E23-B23</f>
        <v>-8419.31584339597</v>
      </c>
      <c r="CI23" s="106" t="n">
        <f aca="false">IF(YEAR($AJ23)=$CI$10,(($I23-$AL$48)*$AK$48+($I23-$AN$48)*$AM$48+($I23-$AP$48)*$AO$48+($I23-$AR$48)*$AQ$48+($I23-$AT$48)*$AS$48+($I23-$AV$48)*$AU$48+($I23-$AX$48)*$AW$48+($I23-$AZ$48)*$AY$48+($I23-$BB$48)*$BA$48+($I23-$BD$48)*$BC$48+($I23-$BF$48)*$BE$48+($I23-$BH$48)*$BG$48+($I23-$BJ$48)*$BI$48+($I23-$BL$48)*$BK$48+($I23-$BN$48)*$BM$48+($I23-$BP$48)*$BO$48+($I23-$BR$48)*$BQ$48+($I23-$BT$48)*$BS$48+($I23-$BV$48)*$BU$48+($I23-$BX$48)*$BW$48)*$CD23*$CG23,0)</f>
        <v>0</v>
      </c>
      <c r="CJ23" s="106" t="n">
        <f aca="false">IF(YEAR($AJ23)=$CJ$10,(($I23-$AL$49)*$AK$49+($I23-$AN$49)*$AM$49+($I23-$AP$49)*$AO$49+($I23-$AR$49)*$AQ$49+($I23-$AT$49)*$AS$49+($I23-$AV$49)*$AU$49+($I23-$AX$49)*$AW$49+($I23-$AZ$49)*$AY$49+($I23-$BB$49)*$BA$49+($I23-$BD$49)*$BC$49+($I23-$BF$49)*$BE$49+($I23-$BH$49)*$BG$49+($I23-$BJ$49)*$BI$49+($I23-$BL$49)*$BK$49+($I23-$BN$49)*$BM$49+($I23-$BP$49)*$BO$49+($I23-$BR$49)*$BQ$49+($I23-$BT$49)*$BS$49+($I23-$BV$49)*$BU$49+($I23-$BX$49)*$BW$49)*$CD23*$CG23,0)</f>
        <v>0</v>
      </c>
      <c r="CK23" s="106" t="n">
        <f aca="false">IF(YEAR($AJ23)=$CK$10,(($I23-$AL$50)*$AK$50+($I23-$AN$50)*$AM$50+($I23-$AP$50)*$AO$50+($I23-$AR$50)*$AQ$50+($I23-$AT$50)*$AS$50+($I23-$AV$50)*$AU$50+($I23-$AX$50)*$AW$50+($I23-$AZ$50)*$AY$50+($I23-$BB$50)*$BA$50+($I23-$BD$50)*$BC$50+($I23-$BF$50)*$BE$50+($I23-$BH$50)*$BG$50+($I23-$BJ$50)*$BI$50+($I23-$BL$50)*$BK$50+($I23-$BN$50)*$BM$50+($I23-$BP$50)*$BO$50+($I23-$BR$50)*$BQ$50+($I23-$BT$50)*$BS$50+($I23-$BV$50)*$BU$50+($I23-$BX$50)*$BW$50)*$CD23*$CG23,0)</f>
        <v>0</v>
      </c>
      <c r="CL23" s="1" t="n">
        <f aca="false">CC23*CD23</f>
        <v>8640</v>
      </c>
      <c r="CM23" s="129"/>
      <c r="CN23" s="105"/>
      <c r="CO23" s="129"/>
      <c r="DI23" s="1" t="n">
        <f aca="false">DK23-DL23</f>
        <v>4</v>
      </c>
      <c r="DJ23" s="107" t="n">
        <f aca="false">[2]EnergyCurve!$D45</f>
        <v>37530</v>
      </c>
      <c r="DK23" s="2" t="n">
        <f aca="false">IF($L$6=0,VLOOKUP(DJ23,$DM$13:$DQ$252,2)+VLOOKUP(DJ23,$DU$13:$DY$252,3),VLOOKUP(DJ23,$DU$13:$DY$252,2)+VLOOKUP(DJ23,$DU$13:$DY$252,3))</f>
        <v>27</v>
      </c>
      <c r="DL23" s="2" t="n">
        <f aca="false">IF($L$6=0,VLOOKUP(DJ23,$DM$13:$DQ$252,2),VLOOKUP(DJ23,$DU$13:$DY$252,2))</f>
        <v>23</v>
      </c>
      <c r="DM23" s="130" t="n">
        <v>37196</v>
      </c>
      <c r="DN23" s="22" t="n">
        <v>21</v>
      </c>
      <c r="DO23" s="22" t="n">
        <v>4</v>
      </c>
      <c r="DP23" s="22" t="n">
        <v>4</v>
      </c>
      <c r="DQ23" s="22" t="n">
        <v>1</v>
      </c>
      <c r="DR23" s="22" t="n">
        <v>30</v>
      </c>
      <c r="DS23" s="111"/>
      <c r="DT23" s="111"/>
      <c r="DU23" s="130" t="n">
        <v>37196</v>
      </c>
      <c r="DV23" s="22" t="n">
        <v>21</v>
      </c>
      <c r="DW23" s="22" t="n">
        <v>4</v>
      </c>
      <c r="DX23" s="22" t="n">
        <v>4</v>
      </c>
      <c r="DY23" s="22" t="n">
        <v>1</v>
      </c>
      <c r="DZ23" s="22" t="n">
        <v>30</v>
      </c>
      <c r="EA23" s="111"/>
      <c r="EB23" s="111"/>
      <c r="EQ23" s="107"/>
      <c r="ER23" s="111"/>
      <c r="ES23" s="44"/>
      <c r="ET23" s="44"/>
    </row>
    <row r="24" customFormat="false" ht="18" hidden="false" customHeight="true" outlineLevel="0" collapsed="false">
      <c r="A24" s="75" t="n">
        <f aca="false">[2]EnergyCurve!$D46</f>
        <v>37561</v>
      </c>
      <c r="B24" s="76" t="n">
        <f aca="false">[2]EnergyCurve!$O46+[2]EnergyCurve!$Q46</f>
        <v>46267.265625</v>
      </c>
      <c r="C24" s="77" t="n">
        <f aca="false">B24/(CG24*CD24)</f>
        <v>118.998032921783</v>
      </c>
      <c r="D24" s="78" t="n">
        <f aca="false">BY24+IF(YEAR(A24)=$T$20,$BY$48,0)+IF(YEAR(A24)=$T$21,$BY$49,0)+IF(YEAR(A24)=$T$22,$BY$50,0)</f>
        <v>-20</v>
      </c>
      <c r="E24" s="77" t="n">
        <f aca="false">B24+(D24*CD24*CG24)</f>
        <v>38491.1260554642</v>
      </c>
      <c r="F24" s="79" t="n">
        <f aca="false">C24+D24</f>
        <v>98.9980329217825</v>
      </c>
      <c r="G24" s="80" t="n">
        <f aca="false">([2]EnergyCurve!$E46*CE24+[2]EnergyCurve!$W46*CF24)/CD24</f>
        <v>61.3980117797852</v>
      </c>
      <c r="H24" s="80" t="n">
        <f aca="false">I24-G24</f>
        <v>-1.50612520531175</v>
      </c>
      <c r="I24" s="81" t="n">
        <f aca="false">([2]EnergyCurve!$G46*CE24+[2]EnergyCurve!$Y46*CF24)/CD24</f>
        <v>59.8918865744734</v>
      </c>
      <c r="J24" s="76" t="n">
        <f aca="false">H24*B24</f>
        <v>-69684.2949386663</v>
      </c>
      <c r="K24" s="82" t="n">
        <f aca="false">(((I24-AL24)*AK24+(I24-AN24)*AM24+(I24-AP24)*AO24+(I24-AR24)*AQ24+(I24-AT24)*AS24+(I24-AV24)*AU24+(I24-AX24)*AW24+(I24-AZ24)*AY24+(I24-BB24)*BA24+(I24-BD24)*BC24+(I24-BF24)*BE24+(I24-BH24)*BG24+(I24-BJ24)*BI24+(I24-BL24)*BK24+(I24-BN24)*BM24+(I24-BP24)*BO24+(I24-BR24)*BQ24+(I24-BT24)*BS24+(I24-BV24)*BU24+(I24-BX24)*BW24)*CD24*CG24)+CI24+CJ24+CK24</f>
        <v>-99277.0918715384</v>
      </c>
      <c r="L24" s="82" t="n">
        <f aca="false">J24+K24</f>
        <v>-168961.386810205</v>
      </c>
      <c r="M24" s="131"/>
      <c r="N24" s="83" t="n">
        <f aca="false">A24</f>
        <v>37561</v>
      </c>
      <c r="O24" s="84" t="n">
        <v>68</v>
      </c>
      <c r="P24" s="84" t="n">
        <v>70</v>
      </c>
      <c r="Q24" s="85" t="n">
        <f aca="false">AVERAGE(O24:P24)-G24</f>
        <v>7.60198822021484</v>
      </c>
      <c r="R24" s="132"/>
      <c r="S24" s="120" t="n">
        <f aca="false">I24</f>
        <v>59.8918865744734</v>
      </c>
      <c r="T24" s="88"/>
      <c r="U24" s="89"/>
      <c r="V24" s="141"/>
      <c r="W24" s="142"/>
      <c r="X24" s="9"/>
      <c r="Y24" s="9"/>
      <c r="Z24" s="143"/>
      <c r="AA24" s="143"/>
      <c r="AB24" s="143"/>
      <c r="AC24" s="143"/>
      <c r="AD24" s="143"/>
      <c r="AE24" s="46"/>
      <c r="AF24" s="46"/>
      <c r="AG24" s="46"/>
      <c r="AH24" s="46"/>
      <c r="AI24" s="46"/>
      <c r="AJ24" s="95" t="n">
        <f aca="false">A24</f>
        <v>37561</v>
      </c>
      <c r="AK24" s="96" t="n">
        <v>-5</v>
      </c>
      <c r="AL24" s="97" t="n">
        <v>47.5</v>
      </c>
      <c r="AM24" s="96" t="n">
        <v>-15</v>
      </c>
      <c r="AN24" s="97" t="n">
        <v>47</v>
      </c>
      <c r="AO24" s="96"/>
      <c r="AP24" s="97"/>
      <c r="AQ24" s="96"/>
      <c r="AR24" s="97"/>
      <c r="AS24" s="96"/>
      <c r="AT24" s="97"/>
      <c r="AU24" s="96"/>
      <c r="AV24" s="97"/>
      <c r="AW24" s="96"/>
      <c r="AX24" s="97"/>
      <c r="AY24" s="96"/>
      <c r="AZ24" s="97"/>
      <c r="BA24" s="96"/>
      <c r="BB24" s="97"/>
      <c r="BC24" s="96"/>
      <c r="BD24" s="97"/>
      <c r="BE24" s="96"/>
      <c r="BF24" s="97"/>
      <c r="BG24" s="96"/>
      <c r="BH24" s="97"/>
      <c r="BI24" s="96"/>
      <c r="BJ24" s="97"/>
      <c r="BK24" s="96"/>
      <c r="BL24" s="97"/>
      <c r="BM24" s="96"/>
      <c r="BN24" s="97"/>
      <c r="BO24" s="96"/>
      <c r="BP24" s="97"/>
      <c r="BQ24" s="96"/>
      <c r="BR24" s="97"/>
      <c r="BS24" s="96"/>
      <c r="BT24" s="97"/>
      <c r="BU24" s="96"/>
      <c r="BV24" s="97"/>
      <c r="BW24" s="96"/>
      <c r="BX24" s="97"/>
      <c r="BY24" s="100" t="n">
        <f aca="false">AK24+AM24+AO24+AQ24+AS24+AU24+AW24+AY24+BA24+BC24+BE24+BG24+BI24+BK24+BM24+BO24+BQ24+BS24+BU24+BW24</f>
        <v>-20</v>
      </c>
      <c r="BZ24" s="101" t="n">
        <f aca="false">IF(AND(BY24=0,CC24=0),0,(ABS(AK24)*AL24+ABS(AM24)*AN24+ABS(AO24)*AP24+ABS(AQ24)*AR24+ABS(AS24)*AT24+ABS(AU24)*AV24+ABS(AW24)*AX24+ABS(AY24)*AZ24+ABS(BA24)*BB24+ABS(BC24)*BD24+ABS(BE24)*BF24+ABS(BG24)*BH24+ABS(BI24)*BJ24+ABS(BK24)*BL24+ABS(BM24)*BN24+ABS(BO24)*BP24+ABS(BQ24)*BR24+ABS(BS24)*BT24+ABS(BU24)*BV24+ABS(BW24)*BX24)/CC24)</f>
        <v>47.125</v>
      </c>
      <c r="CB24" s="103" t="n">
        <f aca="false">AJ24</f>
        <v>37561</v>
      </c>
      <c r="CC24" s="102" t="n">
        <f aca="false">ABS(AK24)+ABS(AM24)+ABS(AO24)+ABS(AQ24)+ABS(AS24)+ABS(AU24)+ABS(AW24)+ABS(AY24)+ABS(BA24)+ABS(BC24)+ABS(BE24)+ABS(BG24)+ABS(BI24)+ABS(BK24)+ABS(BM24)+ABS(BO24)+ABS(BQ24)+ABS(BS24)+ABS(BU24)+ABS(BW24)</f>
        <v>20</v>
      </c>
      <c r="CD24" s="104" t="n">
        <f aca="false">16*DK24</f>
        <v>400</v>
      </c>
      <c r="CE24" s="102" t="n">
        <f aca="false">16*DL24</f>
        <v>320</v>
      </c>
      <c r="CF24" s="105" t="n">
        <f aca="false">CD24-CE24</f>
        <v>80</v>
      </c>
      <c r="CG24" s="102" t="n">
        <f aca="false">VLOOKUP(A24,Interest!$X$8:$AC$367,6)</f>
        <v>0.972017446191978</v>
      </c>
      <c r="CH24" s="106" t="n">
        <f aca="false">E24-B24</f>
        <v>-7776.13956953583</v>
      </c>
      <c r="CI24" s="106" t="n">
        <f aca="false">IF(YEAR($AJ24)=$CI$10,(($I24-$AL$48)*$AK$48+($I24-$AN$48)*$AM$48+($I24-$AP$48)*$AO$48+($I24-$AR$48)*$AQ$48+($I24-$AT$48)*$AS$48+($I24-$AV$48)*$AU$48+($I24-$AX$48)*$AW$48+($I24-$AZ$48)*$AY$48+($I24-$BB$48)*$BA$48+($I24-$BD$48)*$BC$48+($I24-$BF$48)*$BE$48+($I24-$BH$48)*$BG$48+($I24-$BJ$48)*$BI$48+($I24-$BL$48)*$BK$48+($I24-$BN$48)*$BM$48+($I24-$BP$48)*$BO$48+($I24-$BR$48)*$BQ$48+($I24-$BT$48)*$BS$48+($I24-$BV$48)*$BU$48+($I24-$BX$48)*$BW$48)*$CD24*$CG24,0)</f>
        <v>0</v>
      </c>
      <c r="CJ24" s="106" t="n">
        <f aca="false">IF(YEAR($AJ24)=$CJ$10,(($I24-$AL$49)*$AK$49+($I24-$AN$49)*$AM$49+($I24-$AP$49)*$AO$49+($I24-$AR$49)*$AQ$49+($I24-$AT$49)*$AS$49+($I24-$AV$49)*$AU$49+($I24-$AX$49)*$AW$49+($I24-$AZ$49)*$AY$49+($I24-$BB$49)*$BA$49+($I24-$BD$49)*$BC$49+($I24-$BF$49)*$BE$49+($I24-$BH$49)*$BG$49+($I24-$BJ$49)*$BI$49+($I24-$BL$49)*$BK$49+($I24-$BN$49)*$BM$49+($I24-$BP$49)*$BO$49+($I24-$BR$49)*$BQ$49+($I24-$BT$49)*$BS$49+($I24-$BV$49)*$BU$49+($I24-$BX$49)*$BW$49)*$CD24*$CG24,0)</f>
        <v>0</v>
      </c>
      <c r="CK24" s="106" t="n">
        <f aca="false">IF(YEAR($AJ24)=$CK$10,(($I24-$AL$50)*$AK$50+($I24-$AN$50)*$AM$50+($I24-$AP$50)*$AO$50+($I24-$AR$50)*$AQ$50+($I24-$AT$50)*$AS$50+($I24-$AV$50)*$AU$50+($I24-$AX$50)*$AW$50+($I24-$AZ$50)*$AY$50+($I24-$BB$50)*$BA$50+($I24-$BD$50)*$BC$50+($I24-$BF$50)*$BE$50+($I24-$BH$50)*$BG$50+($I24-$BJ$50)*$BI$50+($I24-$BL$50)*$BK$50+($I24-$BN$50)*$BM$50+($I24-$BP$50)*$BO$50+($I24-$BR$50)*$BQ$50+($I24-$BT$50)*$BS$50+($I24-$BV$50)*$BU$50+($I24-$BX$50)*$BW$50)*$CD24*$CG24,0)</f>
        <v>0</v>
      </c>
      <c r="CL24" s="1" t="n">
        <f aca="false">CC24*CD24</f>
        <v>8000</v>
      </c>
      <c r="CM24" s="129"/>
      <c r="CN24" s="105"/>
      <c r="CO24" s="129"/>
      <c r="DI24" s="1" t="n">
        <f aca="false">DK24-DL24</f>
        <v>5</v>
      </c>
      <c r="DJ24" s="107" t="n">
        <f aca="false">[2]EnergyCurve!$D46</f>
        <v>37561</v>
      </c>
      <c r="DK24" s="2" t="n">
        <f aca="false">IF($L$6=0,VLOOKUP(DJ24,$DM$13:$DQ$252,2)+VLOOKUP(DJ24,$DU$13:$DY$252,3),VLOOKUP(DJ24,$DU$13:$DY$252,2)+VLOOKUP(DJ24,$DU$13:$DY$252,3))</f>
        <v>25</v>
      </c>
      <c r="DL24" s="2" t="n">
        <f aca="false">IF($L$6=0,VLOOKUP(DJ24,$DM$13:$DQ$252,2),VLOOKUP(DJ24,$DU$13:$DY$252,2))</f>
        <v>20</v>
      </c>
      <c r="DM24" s="130" t="n">
        <v>37226</v>
      </c>
      <c r="DN24" s="22" t="n">
        <v>19</v>
      </c>
      <c r="DO24" s="22" t="n">
        <v>5</v>
      </c>
      <c r="DP24" s="22" t="n">
        <v>5</v>
      </c>
      <c r="DQ24" s="22" t="n">
        <v>2</v>
      </c>
      <c r="DR24" s="22" t="n">
        <v>31</v>
      </c>
      <c r="DS24" s="111"/>
      <c r="DT24" s="111"/>
      <c r="DU24" s="130" t="n">
        <v>37226</v>
      </c>
      <c r="DV24" s="22" t="n">
        <v>20</v>
      </c>
      <c r="DW24" s="22" t="n">
        <v>5</v>
      </c>
      <c r="DX24" s="22" t="n">
        <v>5</v>
      </c>
      <c r="DY24" s="22" t="n">
        <v>1</v>
      </c>
      <c r="DZ24" s="22" t="n">
        <v>31</v>
      </c>
      <c r="EA24" s="111"/>
      <c r="EB24" s="111"/>
      <c r="EQ24" s="107"/>
      <c r="ER24" s="111"/>
      <c r="ES24" s="44"/>
      <c r="ET24" s="44"/>
    </row>
    <row r="25" customFormat="false" ht="18" hidden="false" customHeight="true" outlineLevel="0" collapsed="false">
      <c r="A25" s="112" t="n">
        <f aca="false">[2]EnergyCurve!$D47</f>
        <v>37591</v>
      </c>
      <c r="B25" s="113" t="n">
        <f aca="false">[2]EnergyCurve!$O47+[2]EnergyCurve!$Q47</f>
        <v>46893.4301757813</v>
      </c>
      <c r="C25" s="114" t="n">
        <f aca="false">B25/(CG25*CD25)</f>
        <v>120.925948218145</v>
      </c>
      <c r="D25" s="114" t="n">
        <f aca="false">BY25+IF(YEAR(A25)=$T$20,$BY$48,0)+IF(YEAR(A25)=$T$21,$BY$49,0)+IF(YEAR(A25)=$T$22,$BY$50,0)</f>
        <v>-20</v>
      </c>
      <c r="E25" s="115" t="n">
        <f aca="false">B25+(D25*CD25*CG25)</f>
        <v>39137.7034906884</v>
      </c>
      <c r="F25" s="116" t="n">
        <f aca="false">C25+D25</f>
        <v>100.925948218145</v>
      </c>
      <c r="G25" s="117" t="n">
        <f aca="false">([2]EnergyCurve!$E47*CE25+[2]EnergyCurve!$W47*CF25)/CD25</f>
        <v>65.5968112182617</v>
      </c>
      <c r="H25" s="80" t="n">
        <f aca="false">I25-G25</f>
        <v>-1.72616308995035</v>
      </c>
      <c r="I25" s="118" t="n">
        <f aca="false">([2]EnergyCurve!$G47*CE25+[2]EnergyCurve!$Y47*CF25)/CD25</f>
        <v>63.8706481283114</v>
      </c>
      <c r="J25" s="115" t="n">
        <f aca="false">H25*B25</f>
        <v>-80945.7083305978</v>
      </c>
      <c r="K25" s="119" t="n">
        <f aca="false">(((I25-AL25)*AK25+(I25-AN25)*AM25+(I25-AP25)*AO25+(I25-AR25)*AQ25+(I25-AT25)*AS25+(I25-AV25)*AU25+(I25-AX25)*AW25+(I25-AZ25)*AY25+(I25-BB25)*BA25+(I25-BD25)*BC25+(I25-BF25)*BE25+(I25-BH25)*BG25+(I25-BJ25)*BI25+(I25-BL25)*BK25+(I25-BN25)*BM25+(I25-BP25)*BO25+(I25-BR25)*BQ25+(I25-BT25)*BS25+(I25-BV25)*BU25+(I25-BX25)*BW25)*CD25*CG25)+CI25+CJ25+CK25</f>
        <v>-129874.670047919</v>
      </c>
      <c r="L25" s="119" t="n">
        <f aca="false">J25+K25</f>
        <v>-210820.378378517</v>
      </c>
      <c r="M25" s="131"/>
      <c r="N25" s="83" t="n">
        <f aca="false">A25</f>
        <v>37591</v>
      </c>
      <c r="O25" s="84" t="n">
        <v>127.5</v>
      </c>
      <c r="P25" s="84" t="n">
        <v>130</v>
      </c>
      <c r="Q25" s="85" t="n">
        <f aca="false">AVERAGE(O25:P25)-G25</f>
        <v>63.1531887817383</v>
      </c>
      <c r="R25" s="132"/>
      <c r="S25" s="120" t="n">
        <f aca="false">I25</f>
        <v>63.8706481283114</v>
      </c>
      <c r="T25" s="89"/>
      <c r="U25" s="89"/>
      <c r="V25" s="144"/>
      <c r="W25" s="145"/>
      <c r="X25" s="145"/>
      <c r="Y25" s="146"/>
      <c r="Z25" s="9"/>
      <c r="AA25" s="147"/>
      <c r="AB25" s="147"/>
      <c r="AC25" s="147"/>
      <c r="AD25" s="147"/>
      <c r="AE25" s="46"/>
      <c r="AF25" s="46"/>
      <c r="AG25" s="46"/>
      <c r="AH25" s="46"/>
      <c r="AI25" s="46"/>
      <c r="AJ25" s="95" t="n">
        <f aca="false">A25</f>
        <v>37591</v>
      </c>
      <c r="AK25" s="96" t="n">
        <v>-5</v>
      </c>
      <c r="AL25" s="97" t="n">
        <v>47.5</v>
      </c>
      <c r="AM25" s="96" t="n">
        <v>-15</v>
      </c>
      <c r="AN25" s="97" t="n">
        <v>47</v>
      </c>
      <c r="AO25" s="96"/>
      <c r="AP25" s="97"/>
      <c r="AQ25" s="96"/>
      <c r="AR25" s="97"/>
      <c r="AS25" s="96"/>
      <c r="AT25" s="97"/>
      <c r="AU25" s="96"/>
      <c r="AV25" s="97"/>
      <c r="AW25" s="96"/>
      <c r="AX25" s="97"/>
      <c r="AY25" s="96"/>
      <c r="AZ25" s="97"/>
      <c r="BA25" s="96"/>
      <c r="BB25" s="97"/>
      <c r="BC25" s="96"/>
      <c r="BD25" s="97"/>
      <c r="BE25" s="96"/>
      <c r="BF25" s="97"/>
      <c r="BG25" s="96"/>
      <c r="BH25" s="97"/>
      <c r="BI25" s="96"/>
      <c r="BJ25" s="97"/>
      <c r="BK25" s="96"/>
      <c r="BL25" s="97"/>
      <c r="BM25" s="96"/>
      <c r="BN25" s="97"/>
      <c r="BO25" s="96"/>
      <c r="BP25" s="97"/>
      <c r="BQ25" s="96"/>
      <c r="BR25" s="97"/>
      <c r="BS25" s="96"/>
      <c r="BT25" s="97"/>
      <c r="BU25" s="96"/>
      <c r="BV25" s="97"/>
      <c r="BW25" s="96"/>
      <c r="BX25" s="97"/>
      <c r="BY25" s="100" t="n">
        <f aca="false">AK25+AM25+AO25+AQ25+AS25+AU25+AW25+AY25+BA25+BC25+BE25+BG25+BI25+BK25+BM25+BO25+BQ25+BS25+BU25+BW25</f>
        <v>-20</v>
      </c>
      <c r="BZ25" s="101" t="n">
        <f aca="false">IF(AND(BY25=0,CC25=0),0,(ABS(AK25)*AL25+ABS(AM25)*AN25+ABS(AO25)*AP25+ABS(AQ25)*AR25+ABS(AS25)*AT25+ABS(AU25)*AV25+ABS(AW25)*AX25+ABS(AY25)*AZ25+ABS(BA25)*BB25+ABS(BC25)*BD25+ABS(BE25)*BF25+ABS(BG25)*BH25+ABS(BI25)*BJ25+ABS(BK25)*BL25+ABS(BM25)*BN25+ABS(BO25)*BP25+ABS(BQ25)*BR25+ABS(BS25)*BT25+ABS(BU25)*BV25+ABS(BW25)*BX25)/CC25)</f>
        <v>47.125</v>
      </c>
      <c r="CB25" s="103" t="n">
        <f aca="false">AJ25</f>
        <v>37591</v>
      </c>
      <c r="CC25" s="102" t="n">
        <f aca="false">ABS(AK25)+ABS(AM25)+ABS(AO25)+ABS(AQ25)+ABS(AS25)+ABS(AU25)+ABS(AW25)+ABS(AY25)+ABS(BA25)+ABS(BC25)+ABS(BE25)+ABS(BG25)+ABS(BI25)+ABS(BK25)+ABS(BM25)+ABS(BO25)+ABS(BQ25)+ABS(BS25)+ABS(BU25)+ABS(BW25)</f>
        <v>20</v>
      </c>
      <c r="CD25" s="104" t="n">
        <f aca="false">16*DK25</f>
        <v>400</v>
      </c>
      <c r="CE25" s="102" t="n">
        <f aca="false">16*DL25</f>
        <v>336</v>
      </c>
      <c r="CF25" s="105" t="n">
        <f aca="false">CD25-CE25</f>
        <v>64</v>
      </c>
      <c r="CG25" s="102" t="n">
        <f aca="false">VLOOKUP(A25,Interest!$X$8:$AC$367,6)</f>
        <v>0.969465835636604</v>
      </c>
      <c r="CH25" s="106" t="n">
        <f aca="false">E25-B25</f>
        <v>-7755.72668509283</v>
      </c>
      <c r="CI25" s="106" t="n">
        <f aca="false">IF(YEAR($AJ25)=$CI$10,(($I25-$AL$48)*$AK$48+($I25-$AN$48)*$AM$48+($I25-$AP$48)*$AO$48+($I25-$AR$48)*$AQ$48+($I25-$AT$48)*$AS$48+($I25-$AV$48)*$AU$48+($I25-$AX$48)*$AW$48+($I25-$AZ$48)*$AY$48+($I25-$BB$48)*$BA$48+($I25-$BD$48)*$BC$48+($I25-$BF$48)*$BE$48+($I25-$BH$48)*$BG$48+($I25-$BJ$48)*$BI$48+($I25-$BL$48)*$BK$48+($I25-$BN$48)*$BM$48+($I25-$BP$48)*$BO$48+($I25-$BR$48)*$BQ$48+($I25-$BT$48)*$BS$48+($I25-$BV$48)*$BU$48+($I25-$BX$48)*$BW$48)*$CD25*$CG25,0)</f>
        <v>0</v>
      </c>
      <c r="CJ25" s="106" t="n">
        <f aca="false">IF(YEAR($AJ25)=$CJ$10,(($I25-$AL$49)*$AK$49+($I25-$AN$49)*$AM$49+($I25-$AP$49)*$AO$49+($I25-$AR$49)*$AQ$49+($I25-$AT$49)*$AS$49+($I25-$AV$49)*$AU$49+($I25-$AX$49)*$AW$49+($I25-$AZ$49)*$AY$49+($I25-$BB$49)*$BA$49+($I25-$BD$49)*$BC$49+($I25-$BF$49)*$BE$49+($I25-$BH$49)*$BG$49+($I25-$BJ$49)*$BI$49+($I25-$BL$49)*$BK$49+($I25-$BN$49)*$BM$49+($I25-$BP$49)*$BO$49+($I25-$BR$49)*$BQ$49+($I25-$BT$49)*$BS$49+($I25-$BV$49)*$BU$49+($I25-$BX$49)*$BW$49)*$CD25*$CG25,0)</f>
        <v>0</v>
      </c>
      <c r="CK25" s="106" t="n">
        <f aca="false">IF(YEAR($AJ25)=$CK$10,(($I25-$AL$50)*$AK$50+($I25-$AN$50)*$AM$50+($I25-$AP$50)*$AO$50+($I25-$AR$50)*$AQ$50+($I25-$AT$50)*$AS$50+($I25-$AV$50)*$AU$50+($I25-$AX$50)*$AW$50+($I25-$AZ$50)*$AY$50+($I25-$BB$50)*$BA$50+($I25-$BD$50)*$BC$50+($I25-$BF$50)*$BE$50+($I25-$BH$50)*$BG$50+($I25-$BJ$50)*$BI$50+($I25-$BL$50)*$BK$50+($I25-$BN$50)*$BM$50+($I25-$BP$50)*$BO$50+($I25-$BR$50)*$BQ$50+($I25-$BT$50)*$BS$50+($I25-$BV$50)*$BU$50+($I25-$BX$50)*$BW$50)*$CD25*$CG25,0)</f>
        <v>0</v>
      </c>
      <c r="CL25" s="1" t="n">
        <f aca="false">CC25*CD25</f>
        <v>8000</v>
      </c>
      <c r="CM25" s="129"/>
      <c r="CN25" s="105"/>
      <c r="CO25" s="129"/>
      <c r="DI25" s="1" t="n">
        <f aca="false">DK25-DL25</f>
        <v>4</v>
      </c>
      <c r="DJ25" s="107" t="n">
        <f aca="false">[2]EnergyCurve!$D47</f>
        <v>37591</v>
      </c>
      <c r="DK25" s="2" t="n">
        <f aca="false">IF($L$6=0,VLOOKUP(DJ25,$DM$13:$DQ$252,2)+VLOOKUP(DJ25,$DU$13:$DY$252,3),VLOOKUP(DJ25,$DU$13:$DY$252,2)+VLOOKUP(DJ25,$DU$13:$DY$252,3))</f>
        <v>25</v>
      </c>
      <c r="DL25" s="2" t="n">
        <f aca="false">IF($L$6=0,VLOOKUP(DJ25,$DM$13:$DQ$252,2),VLOOKUP(DJ25,$DU$13:$DY$252,2))</f>
        <v>21</v>
      </c>
      <c r="DM25" s="130" t="n">
        <v>37257</v>
      </c>
      <c r="DN25" s="22" t="n">
        <v>22</v>
      </c>
      <c r="DO25" s="22" t="n">
        <v>4</v>
      </c>
      <c r="DP25" s="22" t="n">
        <v>4</v>
      </c>
      <c r="DQ25" s="22" t="n">
        <v>1</v>
      </c>
      <c r="DR25" s="22" t="n">
        <v>31</v>
      </c>
      <c r="DS25" s="111"/>
      <c r="DT25" s="111"/>
      <c r="DU25" s="130" t="n">
        <v>37257</v>
      </c>
      <c r="DV25" s="22" t="n">
        <v>22</v>
      </c>
      <c r="DW25" s="22" t="n">
        <v>4</v>
      </c>
      <c r="DX25" s="22" t="n">
        <v>4</v>
      </c>
      <c r="DY25" s="22" t="n">
        <v>1</v>
      </c>
      <c r="DZ25" s="22" t="n">
        <v>31</v>
      </c>
      <c r="EA25" s="111"/>
      <c r="EB25" s="111"/>
      <c r="EQ25" s="107"/>
      <c r="ER25" s="111"/>
      <c r="ES25" s="44"/>
      <c r="ET25" s="44"/>
    </row>
    <row r="26" customFormat="false" ht="18" hidden="false" customHeight="true" outlineLevel="0" collapsed="false">
      <c r="A26" s="75" t="n">
        <f aca="false">[2]EnergyCurve!$D48</f>
        <v>37622</v>
      </c>
      <c r="B26" s="76" t="n">
        <f aca="false">[2]EnergyCurve!$O48+[2]EnergyCurve!$Q48</f>
        <v>242733.0078125</v>
      </c>
      <c r="C26" s="77" t="n">
        <f aca="false">B26/(CG26*CD26)</f>
        <v>603.578711937714</v>
      </c>
      <c r="D26" s="78" t="n">
        <f aca="false">BY26+IF(YEAR(A26)=$T$20,$BY$48,0)+IF(YEAR(A26)=$T$21,$BY$49,0)+IF(YEAR(A26)=$T$22,$BY$50,0)</f>
        <v>0</v>
      </c>
      <c r="E26" s="77" t="n">
        <f aca="false">B26+(D26*CD26*CG26)</f>
        <v>242733.0078125</v>
      </c>
      <c r="F26" s="79" t="n">
        <f aca="false">C26+D26</f>
        <v>603.578711937714</v>
      </c>
      <c r="G26" s="80" t="n">
        <f aca="false">([2]EnergyCurve!$E48*CE26+[2]EnergyCurve!$W48*CF26)/CD26</f>
        <v>53.5486438457782</v>
      </c>
      <c r="H26" s="80" t="n">
        <f aca="false">I26-G26</f>
        <v>-1.35476995785378</v>
      </c>
      <c r="I26" s="81" t="n">
        <f aca="false">([2]EnergyCurve!$G48*CE26+[2]EnergyCurve!$Y48*CF26)/CD26</f>
        <v>52.1938738879245</v>
      </c>
      <c r="J26" s="76" t="n">
        <f aca="false">H26*B26</f>
        <v>-328847.386763861</v>
      </c>
      <c r="K26" s="82" t="n">
        <f aca="false">(((I26-AL26)*AK26+(I26-AN26)*AM26+(I26-AP26)*AO26+(I26-AR26)*AQ26+(I26-AT26)*AS26+(I26-AV26)*AU26+(I26-AX26)*AW26+(I26-AZ26)*AY26+(I26-BB26)*BA26+(I26-BD26)*BC26+(I26-BF26)*BE26+(I26-BH26)*BG26+(I26-BJ26)*BI26+(I26-BL26)*BK26+(I26-BN26)*BM26+(I26-BP26)*BO26+(I26-BR26)*BQ26+(I26-BT26)*BS26+(I26-BV26)*BU26+(I26-BX26)*BW26)*CD26*CG26)+CI26+CJ26+CK26</f>
        <v>0</v>
      </c>
      <c r="L26" s="82" t="n">
        <f aca="false">J26+K26</f>
        <v>-328847.386763861</v>
      </c>
      <c r="M26" s="131"/>
      <c r="N26" s="83" t="n">
        <f aca="false">A26</f>
        <v>37622</v>
      </c>
      <c r="O26" s="84" t="n">
        <v>127.5</v>
      </c>
      <c r="P26" s="84" t="n">
        <v>130</v>
      </c>
      <c r="Q26" s="85" t="n">
        <f aca="false">AVERAGE(O26:P26)-G26</f>
        <v>75.2013561542218</v>
      </c>
      <c r="R26" s="132"/>
      <c r="S26" s="120" t="n">
        <f aca="false">I26</f>
        <v>52.1938738879245</v>
      </c>
      <c r="T26" s="89"/>
      <c r="U26" s="89"/>
      <c r="V26" s="144"/>
      <c r="W26" s="146"/>
      <c r="X26" s="146"/>
      <c r="Y26" s="148"/>
      <c r="Z26" s="149"/>
      <c r="AA26" s="150"/>
      <c r="AB26" s="151"/>
      <c r="AC26" s="151"/>
      <c r="AD26" s="151"/>
      <c r="AE26" s="46"/>
      <c r="AF26" s="46"/>
      <c r="AG26" s="46"/>
      <c r="AH26" s="46"/>
      <c r="AI26" s="46"/>
      <c r="AJ26" s="95" t="n">
        <f aca="false">A26</f>
        <v>37622</v>
      </c>
      <c r="AK26" s="96"/>
      <c r="AL26" s="97"/>
      <c r="AM26" s="96"/>
      <c r="AN26" s="97"/>
      <c r="AO26" s="96"/>
      <c r="AP26" s="97"/>
      <c r="AQ26" s="96"/>
      <c r="AR26" s="97"/>
      <c r="AS26" s="96"/>
      <c r="AT26" s="97"/>
      <c r="AU26" s="96"/>
      <c r="AV26" s="97"/>
      <c r="AW26" s="96"/>
      <c r="AX26" s="97"/>
      <c r="AY26" s="96"/>
      <c r="AZ26" s="97"/>
      <c r="BA26" s="96"/>
      <c r="BB26" s="97"/>
      <c r="BC26" s="96"/>
      <c r="BD26" s="97"/>
      <c r="BE26" s="96"/>
      <c r="BF26" s="97"/>
      <c r="BG26" s="96"/>
      <c r="BH26" s="97"/>
      <c r="BI26" s="96"/>
      <c r="BJ26" s="97"/>
      <c r="BK26" s="96"/>
      <c r="BL26" s="97"/>
      <c r="BM26" s="96"/>
      <c r="BN26" s="97"/>
      <c r="BO26" s="96"/>
      <c r="BP26" s="97"/>
      <c r="BQ26" s="96"/>
      <c r="BR26" s="97"/>
      <c r="BS26" s="96"/>
      <c r="BT26" s="97"/>
      <c r="BU26" s="96"/>
      <c r="BV26" s="97"/>
      <c r="BW26" s="96"/>
      <c r="BX26" s="97"/>
      <c r="BY26" s="100" t="n">
        <f aca="false">AK26+AM26+AO26+AQ26+AS26+AU26+AW26+AY26+BA26+BC26+BE26+BG26+BI26+BK26+BM26+BO26+BQ26+BS26+BU26+BW26</f>
        <v>0</v>
      </c>
      <c r="BZ26" s="101" t="n">
        <f aca="false">IF(AND(BY26=0,CC26=0),0,(ABS(AK26)*AL26+ABS(AM26)*AN26+ABS(AO26)*AP26+ABS(AQ26)*AR26+ABS(AS26)*AT26+ABS(AU26)*AV26+ABS(AW26)*AX26+ABS(AY26)*AZ26+ABS(BA26)*BB26+ABS(BC26)*BD26+ABS(BE26)*BF26+ABS(BG26)*BH26+ABS(BI26)*BJ26+ABS(BK26)*BL26+ABS(BM26)*BN26+ABS(BO26)*BP26+ABS(BQ26)*BR26+ABS(BS26)*BT26+ABS(BU26)*BV26+ABS(BW26)*BX26)/CC26)</f>
        <v>0</v>
      </c>
      <c r="CB26" s="103" t="n">
        <f aca="false">AJ26</f>
        <v>37622</v>
      </c>
      <c r="CC26" s="102" t="n">
        <f aca="false">ABS(AK26)+ABS(AM26)+ABS(AO26)+ABS(AQ26)+ABS(AS26)+ABS(AU26)+ABS(AW26)+ABS(AY26)+ABS(BA26)+ABS(BC26)+ABS(BE26)+ABS(BG26)+ABS(BI26)+ABS(BK26)+ABS(BM26)+ABS(BO26)+ABS(BQ26)+ABS(BS26)+ABS(BU26)+ABS(BW26)</f>
        <v>0</v>
      </c>
      <c r="CD26" s="104" t="n">
        <f aca="false">16*DK26</f>
        <v>416</v>
      </c>
      <c r="CE26" s="102" t="n">
        <f aca="false">16*DL26</f>
        <v>352</v>
      </c>
      <c r="CF26" s="105" t="n">
        <f aca="false">CD26-CE26</f>
        <v>64</v>
      </c>
      <c r="CG26" s="102" t="n">
        <f aca="false">VLOOKUP(A26,Interest!$X$8:$AC$367,6)</f>
        <v>0.966721979587974</v>
      </c>
      <c r="CH26" s="106" t="n">
        <f aca="false">E26-B26</f>
        <v>0</v>
      </c>
      <c r="CI26" s="106" t="n">
        <f aca="false">IF(YEAR($AJ26)=$CI$10,(($I26-$AL$48)*$AK$48+($I26-$AN$48)*$AM$48+($I26-$AP$48)*$AO$48+($I26-$AR$48)*$AQ$48+($I26-$AT$48)*$AS$48+($I26-$AV$48)*$AU$48+($I26-$AX$48)*$AW$48+($I26-$AZ$48)*$AY$48+($I26-$BB$48)*$BA$48+($I26-$BD$48)*$BC$48+($I26-$BF$48)*$BE$48+($I26-$BH$48)*$BG$48+($I26-$BJ$48)*$BI$48+($I26-$BL$48)*$BK$48+($I26-$BN$48)*$BM$48+($I26-$BP$48)*$BO$48+($I26-$BR$48)*$BQ$48+($I26-$BT$48)*$BS$48+($I26-$BV$48)*$BU$48+($I26-$BX$48)*$BW$48)*$CD26*$CG26,0)</f>
        <v>0</v>
      </c>
      <c r="CJ26" s="106" t="n">
        <f aca="false">IF(YEAR($AJ26)=$CJ$10,(($I26-$AL$49)*$AK$49+($I26-$AN$49)*$AM$49+($I26-$AP$49)*$AO$49+($I26-$AR$49)*$AQ$49+($I26-$AT$49)*$AS$49+($I26-$AV$49)*$AU$49+($I26-$AX$49)*$AW$49+($I26-$AZ$49)*$AY$49+($I26-$BB$49)*$BA$49+($I26-$BD$49)*$BC$49+($I26-$BF$49)*$BE$49+($I26-$BH$49)*$BG$49+($I26-$BJ$49)*$BI$49+($I26-$BL$49)*$BK$49+($I26-$BN$49)*$BM$49+($I26-$BP$49)*$BO$49+($I26-$BR$49)*$BQ$49+($I26-$BT$49)*$BS$49+($I26-$BV$49)*$BU$49+($I26-$BX$49)*$BW$49)*$CD26*$CG26,0)</f>
        <v>0</v>
      </c>
      <c r="CK26" s="106" t="n">
        <f aca="false">IF(YEAR($AJ26)=$CK$10,(($I26-$AL$50)*$AK$50+($I26-$AN$50)*$AM$50+($I26-$AP$50)*$AO$50+($I26-$AR$50)*$AQ$50+($I26-$AT$50)*$AS$50+($I26-$AV$50)*$AU$50+($I26-$AX$50)*$AW$50+($I26-$AZ$50)*$AY$50+($I26-$BB$50)*$BA$50+($I26-$BD$50)*$BC$50+($I26-$BF$50)*$BE$50+($I26-$BH$50)*$BG$50+($I26-$BJ$50)*$BI$50+($I26-$BL$50)*$BK$50+($I26-$BN$50)*$BM$50+($I26-$BP$50)*$BO$50+($I26-$BR$50)*$BQ$50+($I26-$BT$50)*$BS$50+($I26-$BV$50)*$BU$50+($I26-$BX$50)*$BW$50)*$CD26*$CG26,0)</f>
        <v>0</v>
      </c>
      <c r="CL26" s="1" t="n">
        <f aca="false">CC26*CD26</f>
        <v>0</v>
      </c>
      <c r="CM26" s="129"/>
      <c r="CN26" s="105"/>
      <c r="CO26" s="129"/>
      <c r="DI26" s="1" t="n">
        <f aca="false">DK26-DL26</f>
        <v>4</v>
      </c>
      <c r="DJ26" s="107" t="n">
        <f aca="false">[2]EnergyCurve!$D48</f>
        <v>37622</v>
      </c>
      <c r="DK26" s="2" t="n">
        <f aca="false">IF($L$6=0,VLOOKUP(DJ26,$DM$13:$DQ$252,2)+VLOOKUP(DJ26,$DU$13:$DY$252,3),VLOOKUP(DJ26,$DU$13:$DY$252,2)+VLOOKUP(DJ26,$DU$13:$DY$252,3))</f>
        <v>26</v>
      </c>
      <c r="DL26" s="2" t="n">
        <f aca="false">IF($L$6=0,VLOOKUP(DJ26,$DM$13:$DQ$252,2),VLOOKUP(DJ26,$DU$13:$DY$252,2))</f>
        <v>22</v>
      </c>
      <c r="DM26" s="130" t="n">
        <v>37288</v>
      </c>
      <c r="DN26" s="22" t="n">
        <v>19</v>
      </c>
      <c r="DO26" s="22" t="n">
        <v>4</v>
      </c>
      <c r="DP26" s="22" t="n">
        <v>4</v>
      </c>
      <c r="DQ26" s="22" t="n">
        <v>1</v>
      </c>
      <c r="DR26" s="22" t="n">
        <v>28</v>
      </c>
      <c r="DS26" s="111"/>
      <c r="DT26" s="111"/>
      <c r="DU26" s="130" t="n">
        <v>37288</v>
      </c>
      <c r="DV26" s="22" t="n">
        <v>20</v>
      </c>
      <c r="DW26" s="22" t="n">
        <v>4</v>
      </c>
      <c r="DX26" s="22" t="n">
        <v>4</v>
      </c>
      <c r="DY26" s="22" t="n">
        <v>0</v>
      </c>
      <c r="DZ26" s="22" t="n">
        <v>28</v>
      </c>
      <c r="EA26" s="111"/>
      <c r="EB26" s="111"/>
      <c r="EQ26" s="107"/>
      <c r="ER26" s="111"/>
      <c r="ES26" s="44"/>
      <c r="ET26" s="44"/>
    </row>
    <row r="27" customFormat="false" ht="18" hidden="false" customHeight="true" outlineLevel="0" collapsed="false">
      <c r="A27" s="112" t="n">
        <f aca="false">[2]EnergyCurve!$D49</f>
        <v>37653</v>
      </c>
      <c r="B27" s="113" t="n">
        <f aca="false">[2]EnergyCurve!$O49+[2]EnergyCurve!$Q49</f>
        <v>223342.76171875</v>
      </c>
      <c r="C27" s="114" t="n">
        <f aca="false">B27/(CG27*CD27)</f>
        <v>603.342456979602</v>
      </c>
      <c r="D27" s="114" t="n">
        <f aca="false">BY27+IF(YEAR(A27)=$T$20,$BY$48,0)+IF(YEAR(A27)=$T$21,$BY$49,0)+IF(YEAR(A27)=$T$22,$BY$50,0)</f>
        <v>0</v>
      </c>
      <c r="E27" s="115" t="n">
        <f aca="false">B27+(D27*CD27*CG27)</f>
        <v>223342.76171875</v>
      </c>
      <c r="F27" s="116" t="n">
        <f aca="false">C27+D27</f>
        <v>603.342456979602</v>
      </c>
      <c r="G27" s="117" t="n">
        <f aca="false">([2]EnergyCurve!$E49*CE27+[2]EnergyCurve!$W49*CF27)/CD27</f>
        <v>52.2229169209798</v>
      </c>
      <c r="H27" s="80" t="n">
        <f aca="false">I27-G27</f>
        <v>-1.47805206302044</v>
      </c>
      <c r="I27" s="118" t="n">
        <f aca="false">([2]EnergyCurve!$G49*CE27+[2]EnergyCurve!$Y49*CF27)/CD27</f>
        <v>50.7448648579594</v>
      </c>
      <c r="J27" s="115" t="n">
        <f aca="false">H27*B27</f>
        <v>-330112.22971908</v>
      </c>
      <c r="K27" s="119" t="n">
        <f aca="false">(((I27-AL27)*AK27+(I27-AN27)*AM27+(I27-AP27)*AO27+(I27-AR27)*AQ27+(I27-AT27)*AS27+(I27-AV27)*AU27+(I27-AX27)*AW27+(I27-AZ27)*AY27+(I27-BB27)*BA27+(I27-BD27)*BC27+(I27-BF27)*BE27+(I27-BH27)*BG27+(I27-BJ27)*BI27+(I27-BL27)*BK27+(I27-BN27)*BM27+(I27-BP27)*BO27+(I27-BR27)*BQ27+(I27-BT27)*BS27+(I27-BV27)*BU27+(I27-BX27)*BW27)*CD27*CG27)+CI27+CJ27+CK27</f>
        <v>0</v>
      </c>
      <c r="L27" s="119" t="n">
        <f aca="false">J27+K27</f>
        <v>-330112.22971908</v>
      </c>
      <c r="M27" s="131"/>
      <c r="N27" s="83" t="n">
        <f aca="false">A27</f>
        <v>37653</v>
      </c>
      <c r="O27" s="84" t="n">
        <v>34</v>
      </c>
      <c r="P27" s="84" t="n">
        <v>35</v>
      </c>
      <c r="Q27" s="85" t="n">
        <f aca="false">AVERAGE(O27:P27)-G27</f>
        <v>-17.7229169209798</v>
      </c>
      <c r="R27" s="132"/>
      <c r="S27" s="120" t="n">
        <f aca="false">I27</f>
        <v>50.7448648579594</v>
      </c>
      <c r="T27" s="88" t="n">
        <f aca="false">IF(MONTH(TradeSum!$B$2)&gt;=10,YEAR(TradeSum!$B$2)+1,YEAR(TradeSum!$B$2))</f>
        <v>2002</v>
      </c>
      <c r="U27" s="89" t="n">
        <f aca="false">IF(INT((MONTH(TradeSum!$B$2)-1)/3)+2=5,1,INT((MONTH(TradeSum!$B$2)-1)/3)+2)</f>
        <v>1</v>
      </c>
      <c r="V27" s="152"/>
      <c r="W27" s="152"/>
      <c r="X27" s="152"/>
      <c r="Y27" s="9"/>
      <c r="Z27" s="149"/>
      <c r="AA27" s="153"/>
      <c r="AB27" s="152"/>
      <c r="AC27" s="152"/>
      <c r="AD27" s="152"/>
      <c r="AE27" s="46"/>
      <c r="AF27" s="46"/>
      <c r="AG27" s="46"/>
      <c r="AH27" s="46"/>
      <c r="AI27" s="46"/>
      <c r="AJ27" s="95" t="n">
        <f aca="false">A27</f>
        <v>37653</v>
      </c>
      <c r="AK27" s="96"/>
      <c r="AL27" s="97"/>
      <c r="AM27" s="96"/>
      <c r="AN27" s="97"/>
      <c r="AO27" s="96"/>
      <c r="AP27" s="97"/>
      <c r="AQ27" s="96"/>
      <c r="AR27" s="97"/>
      <c r="AS27" s="96"/>
      <c r="AT27" s="97"/>
      <c r="AU27" s="96"/>
      <c r="AV27" s="97"/>
      <c r="AW27" s="96"/>
      <c r="AX27" s="97"/>
      <c r="AY27" s="96"/>
      <c r="AZ27" s="97"/>
      <c r="BA27" s="96"/>
      <c r="BB27" s="97"/>
      <c r="BC27" s="96"/>
      <c r="BD27" s="97"/>
      <c r="BE27" s="96"/>
      <c r="BF27" s="97"/>
      <c r="BG27" s="96"/>
      <c r="BH27" s="97"/>
      <c r="BI27" s="96"/>
      <c r="BJ27" s="97"/>
      <c r="BK27" s="96"/>
      <c r="BL27" s="97"/>
      <c r="BM27" s="96"/>
      <c r="BN27" s="97"/>
      <c r="BO27" s="96"/>
      <c r="BP27" s="97"/>
      <c r="BQ27" s="96"/>
      <c r="BR27" s="97"/>
      <c r="BS27" s="96"/>
      <c r="BT27" s="97"/>
      <c r="BU27" s="96"/>
      <c r="BV27" s="97"/>
      <c r="BW27" s="96"/>
      <c r="BX27" s="97"/>
      <c r="BY27" s="100" t="n">
        <f aca="false">AK27+AM27+AO27+AQ27+AS27+AU27+AW27+AY27+BA27+BC27+BE27+BG27+BI27+BK27+BM27+BO27+BQ27+BS27+BU27+BW27</f>
        <v>0</v>
      </c>
      <c r="BZ27" s="101" t="n">
        <f aca="false">IF(AND(BY27=0,CC27=0),0,(ABS(AK27)*AL27+ABS(AM27)*AN27+ABS(AO27)*AP27+ABS(AQ27)*AR27+ABS(AS27)*AT27+ABS(AU27)*AV27+ABS(AW27)*AX27+ABS(AY27)*AZ27+ABS(BA27)*BB27+ABS(BC27)*BD27+ABS(BE27)*BF27+ABS(BG27)*BH27+ABS(BI27)*BJ27+ABS(BK27)*BL27+ABS(BM27)*BN27+ABS(BO27)*BP27+ABS(BQ27)*BR27+ABS(BS27)*BT27+ABS(BU27)*BV27+ABS(BW27)*BX27)/CC27)</f>
        <v>0</v>
      </c>
      <c r="CB27" s="103" t="n">
        <f aca="false">AJ27</f>
        <v>37653</v>
      </c>
      <c r="CC27" s="102" t="n">
        <f aca="false">ABS(AK27)+ABS(AM27)+ABS(AO27)+ABS(AQ27)+ABS(AS27)+ABS(AU27)+ABS(AW27)+ABS(AY27)+ABS(BA27)+ABS(BC27)+ABS(BE27)+ABS(BG27)+ABS(BI27)+ABS(BK27)+ABS(BM27)+ABS(BO27)+ABS(BQ27)+ABS(BS27)+ABS(BU27)+ABS(BW27)</f>
        <v>0</v>
      </c>
      <c r="CD27" s="104" t="n">
        <f aca="false">16*DK27</f>
        <v>384</v>
      </c>
      <c r="CE27" s="102" t="n">
        <f aca="false">16*DL27</f>
        <v>320</v>
      </c>
      <c r="CF27" s="105" t="n">
        <f aca="false">CD27-CE27</f>
        <v>64</v>
      </c>
      <c r="CG27" s="102" t="n">
        <f aca="false">VLOOKUP(A27,Interest!$X$8:$AC$367,6)</f>
        <v>0.963999414562844</v>
      </c>
      <c r="CH27" s="106" t="n">
        <f aca="false">E27-B27</f>
        <v>0</v>
      </c>
      <c r="CI27" s="106" t="n">
        <f aca="false">IF(YEAR($AJ27)=$CI$10,(($I27-$AL$48)*$AK$48+($I27-$AN$48)*$AM$48+($I27-$AP$48)*$AO$48+($I27-$AR$48)*$AQ$48+($I27-$AT$48)*$AS$48+($I27-$AV$48)*$AU$48+($I27-$AX$48)*$AW$48+($I27-$AZ$48)*$AY$48+($I27-$BB$48)*$BA$48+($I27-$BD$48)*$BC$48+($I27-$BF$48)*$BE$48+($I27-$BH$48)*$BG$48+($I27-$BJ$48)*$BI$48+($I27-$BL$48)*$BK$48+($I27-$BN$48)*$BM$48+($I27-$BP$48)*$BO$48+($I27-$BR$48)*$BQ$48+($I27-$BT$48)*$BS$48+($I27-$BV$48)*$BU$48+($I27-$BX$48)*$BW$48)*$CD27*$CG27,0)</f>
        <v>0</v>
      </c>
      <c r="CJ27" s="106" t="n">
        <f aca="false">IF(YEAR($AJ27)=$CJ$10,(($I27-$AL$49)*$AK$49+($I27-$AN$49)*$AM$49+($I27-$AP$49)*$AO$49+($I27-$AR$49)*$AQ$49+($I27-$AT$49)*$AS$49+($I27-$AV$49)*$AU$49+($I27-$AX$49)*$AW$49+($I27-$AZ$49)*$AY$49+($I27-$BB$49)*$BA$49+($I27-$BD$49)*$BC$49+($I27-$BF$49)*$BE$49+($I27-$BH$49)*$BG$49+($I27-$BJ$49)*$BI$49+($I27-$BL$49)*$BK$49+($I27-$BN$49)*$BM$49+($I27-$BP$49)*$BO$49+($I27-$BR$49)*$BQ$49+($I27-$BT$49)*$BS$49+($I27-$BV$49)*$BU$49+($I27-$BX$49)*$BW$49)*$CD27*$CG27,0)</f>
        <v>0</v>
      </c>
      <c r="CK27" s="106" t="n">
        <f aca="false">IF(YEAR($AJ27)=$CK$10,(($I27-$AL$50)*$AK$50+($I27-$AN$50)*$AM$50+($I27-$AP$50)*$AO$50+($I27-$AR$50)*$AQ$50+($I27-$AT$50)*$AS$50+($I27-$AV$50)*$AU$50+($I27-$AX$50)*$AW$50+($I27-$AZ$50)*$AY$50+($I27-$BB$50)*$BA$50+($I27-$BD$50)*$BC$50+($I27-$BF$50)*$BE$50+($I27-$BH$50)*$BG$50+($I27-$BJ$50)*$BI$50+($I27-$BL$50)*$BK$50+($I27-$BN$50)*$BM$50+($I27-$BP$50)*$BO$50+($I27-$BR$50)*$BQ$50+($I27-$BT$50)*$BS$50+($I27-$BV$50)*$BU$50+($I27-$BX$50)*$BW$50)*$CD27*$CG27,0)</f>
        <v>0</v>
      </c>
      <c r="CL27" s="1" t="n">
        <f aca="false">CC27*CD27</f>
        <v>0</v>
      </c>
      <c r="CM27" s="129"/>
      <c r="CN27" s="105"/>
      <c r="CO27" s="129"/>
      <c r="DI27" s="1" t="n">
        <f aca="false">DK27-DL27</f>
        <v>4</v>
      </c>
      <c r="DJ27" s="107" t="n">
        <f aca="false">[2]EnergyCurve!$D49</f>
        <v>37653</v>
      </c>
      <c r="DK27" s="2" t="n">
        <f aca="false">IF($L$6=0,VLOOKUP(DJ27,$DM$13:$DQ$252,2)+VLOOKUP(DJ27,$DU$13:$DY$252,3),VLOOKUP(DJ27,$DU$13:$DY$252,2)+VLOOKUP(DJ27,$DU$13:$DY$252,3))</f>
        <v>24</v>
      </c>
      <c r="DL27" s="2" t="n">
        <f aca="false">IF($L$6=0,VLOOKUP(DJ27,$DM$13:$DQ$252,2),VLOOKUP(DJ27,$DU$13:$DY$252,2))</f>
        <v>20</v>
      </c>
      <c r="DM27" s="130" t="n">
        <v>37316</v>
      </c>
      <c r="DN27" s="22" t="n">
        <v>20</v>
      </c>
      <c r="DO27" s="22" t="n">
        <v>5</v>
      </c>
      <c r="DP27" s="22" t="n">
        <v>5</v>
      </c>
      <c r="DQ27" s="22" t="n">
        <v>1</v>
      </c>
      <c r="DR27" s="22" t="n">
        <v>31</v>
      </c>
      <c r="DS27" s="111"/>
      <c r="DT27" s="111"/>
      <c r="DU27" s="130" t="n">
        <v>37316</v>
      </c>
      <c r="DV27" s="22" t="n">
        <v>21</v>
      </c>
      <c r="DW27" s="22" t="n">
        <v>5</v>
      </c>
      <c r="DX27" s="22" t="n">
        <v>5</v>
      </c>
      <c r="DY27" s="22" t="n">
        <v>0</v>
      </c>
      <c r="DZ27" s="22" t="n">
        <v>31</v>
      </c>
      <c r="EA27" s="111"/>
      <c r="EB27" s="111"/>
      <c r="EQ27" s="107"/>
      <c r="ER27" s="111"/>
      <c r="ES27" s="44"/>
      <c r="ET27" s="44"/>
    </row>
    <row r="28" customFormat="false" ht="18" hidden="false" customHeight="true" outlineLevel="0" collapsed="false">
      <c r="A28" s="75" t="n">
        <f aca="false">[2]EnergyCurve!$D50</f>
        <v>37681</v>
      </c>
      <c r="B28" s="76" t="n">
        <f aca="false">[2]EnergyCurve!$O50+[2]EnergyCurve!$Q50</f>
        <v>241321.66796875</v>
      </c>
      <c r="C28" s="77" t="n">
        <f aca="false">B28/(CG28*CD28)</f>
        <v>603.605001100862</v>
      </c>
      <c r="D28" s="78" t="n">
        <f aca="false">BY28+IF(YEAR(A28)=$T$20,$BY$48,0)+IF(YEAR(A28)=$T$21,$BY$49,0)+IF(YEAR(A28)=$T$22,$BY$50,0)</f>
        <v>0</v>
      </c>
      <c r="E28" s="77" t="n">
        <f aca="false">B28+(D28*CD28*CG28)</f>
        <v>241321.66796875</v>
      </c>
      <c r="F28" s="79" t="n">
        <f aca="false">C28+D28</f>
        <v>603.605001100862</v>
      </c>
      <c r="G28" s="80" t="n">
        <f aca="false">([2]EnergyCurve!$E50*CE28+[2]EnergyCurve!$W50*CF28)/CD28</f>
        <v>50.7104175274189</v>
      </c>
      <c r="H28" s="80" t="n">
        <f aca="false">I28-G28</f>
        <v>-1.47626775946582</v>
      </c>
      <c r="I28" s="81" t="n">
        <f aca="false">([2]EnergyCurve!$G50*CE28+[2]EnergyCurve!$Y50*CF28)/CD28</f>
        <v>49.2341497679531</v>
      </c>
      <c r="J28" s="76" t="n">
        <f aca="false">H28*B28</f>
        <v>-356255.398082781</v>
      </c>
      <c r="K28" s="82" t="n">
        <f aca="false">(((I28-AL28)*AK28+(I28-AN28)*AM28+(I28-AP28)*AO28+(I28-AR28)*AQ28+(I28-AT28)*AS28+(I28-AV28)*AU28+(I28-AX28)*AW28+(I28-AZ28)*AY28+(I28-BB28)*BA28+(I28-BD28)*BC28+(I28-BF28)*BE28+(I28-BH28)*BG28+(I28-BJ28)*BI28+(I28-BL28)*BK28+(I28-BN28)*BM28+(I28-BP28)*BO28+(I28-BR28)*BQ28+(I28-BT28)*BS28+(I28-BV28)*BU28+(I28-BX28)*BW28)*CD28*CG28)+CI28+CJ28+CK28</f>
        <v>0</v>
      </c>
      <c r="L28" s="82" t="n">
        <f aca="false">J28+K28</f>
        <v>-356255.398082781</v>
      </c>
      <c r="M28" s="131"/>
      <c r="N28" s="83" t="n">
        <f aca="false">A28</f>
        <v>37681</v>
      </c>
      <c r="O28" s="84" t="n">
        <v>27.5</v>
      </c>
      <c r="P28" s="84" t="n">
        <v>29</v>
      </c>
      <c r="Q28" s="85" t="n">
        <f aca="false">AVERAGE(O28:P28)-G28</f>
        <v>-22.4604175274189</v>
      </c>
      <c r="R28" s="132"/>
      <c r="S28" s="120" t="n">
        <f aca="false">I28</f>
        <v>49.2341497679531</v>
      </c>
      <c r="T28" s="88" t="n">
        <f aca="false">IF(U27=4,T27+1,T27)</f>
        <v>2002</v>
      </c>
      <c r="U28" s="89" t="n">
        <f aca="false">IF(U27=4,1,U27+1)</f>
        <v>2</v>
      </c>
      <c r="V28" s="152"/>
      <c r="W28" s="152"/>
      <c r="X28" s="152"/>
      <c r="Y28" s="9"/>
      <c r="Z28" s="149"/>
      <c r="AA28" s="150"/>
      <c r="AB28" s="151"/>
      <c r="AC28" s="151"/>
      <c r="AD28" s="151"/>
      <c r="AE28" s="46"/>
      <c r="AF28" s="46"/>
      <c r="AG28" s="46"/>
      <c r="AH28" s="46"/>
      <c r="AI28" s="46"/>
      <c r="AJ28" s="95" t="n">
        <f aca="false">A28</f>
        <v>37681</v>
      </c>
      <c r="AK28" s="96"/>
      <c r="AL28" s="97"/>
      <c r="AM28" s="96"/>
      <c r="AN28" s="97"/>
      <c r="AO28" s="96"/>
      <c r="AP28" s="97"/>
      <c r="AQ28" s="96"/>
      <c r="AR28" s="97"/>
      <c r="AS28" s="96"/>
      <c r="AT28" s="97"/>
      <c r="AU28" s="96"/>
      <c r="AV28" s="97"/>
      <c r="AW28" s="96"/>
      <c r="AX28" s="97"/>
      <c r="AY28" s="96"/>
      <c r="AZ28" s="97"/>
      <c r="BA28" s="96"/>
      <c r="BB28" s="97"/>
      <c r="BC28" s="96"/>
      <c r="BD28" s="97"/>
      <c r="BE28" s="96"/>
      <c r="BF28" s="97"/>
      <c r="BG28" s="96"/>
      <c r="BH28" s="97"/>
      <c r="BI28" s="96"/>
      <c r="BJ28" s="97"/>
      <c r="BK28" s="96"/>
      <c r="BL28" s="97"/>
      <c r="BM28" s="96"/>
      <c r="BN28" s="97"/>
      <c r="BO28" s="96"/>
      <c r="BP28" s="97"/>
      <c r="BQ28" s="96"/>
      <c r="BR28" s="97"/>
      <c r="BS28" s="96"/>
      <c r="BT28" s="97"/>
      <c r="BU28" s="96"/>
      <c r="BV28" s="97"/>
      <c r="BW28" s="96"/>
      <c r="BX28" s="97"/>
      <c r="BY28" s="100" t="n">
        <f aca="false">AK28+AM28+AO28+AQ28+AS28+AU28+AW28+AY28+BA28+BC28+BE28+BG28+BI28+BK28+BM28+BO28+BQ28+BS28+BU28+BW28</f>
        <v>0</v>
      </c>
      <c r="BZ28" s="101" t="n">
        <f aca="false">IF(AND(BY28=0,CC28=0),0,(ABS(AK28)*AL28+ABS(AM28)*AN28+ABS(AO28)*AP28+ABS(AQ28)*AR28+ABS(AS28)*AT28+ABS(AU28)*AV28+ABS(AW28)*AX28+ABS(AY28)*AZ28+ABS(BA28)*BB28+ABS(BC28)*BD28+ABS(BE28)*BF28+ABS(BG28)*BH28+ABS(BI28)*BJ28+ABS(BK28)*BL28+ABS(BM28)*BN28+ABS(BO28)*BP28+ABS(BQ28)*BR28+ABS(BS28)*BT28+ABS(BU28)*BV28+ABS(BW28)*BX28)/CC28)</f>
        <v>0</v>
      </c>
      <c r="CB28" s="103" t="n">
        <f aca="false">AJ28</f>
        <v>37681</v>
      </c>
      <c r="CC28" s="102" t="n">
        <f aca="false">ABS(AK28)+ABS(AM28)+ABS(AO28)+ABS(AQ28)+ABS(AS28)+ABS(AU28)+ABS(AW28)+ABS(AY28)+ABS(BA28)+ABS(BC28)+ABS(BE28)+ABS(BG28)+ABS(BI28)+ABS(BK28)+ABS(BM28)+ABS(BO28)+ABS(BQ28)+ABS(BS28)+ABS(BU28)+ABS(BW28)</f>
        <v>0</v>
      </c>
      <c r="CD28" s="104" t="n">
        <f aca="false">16*DK28</f>
        <v>416</v>
      </c>
      <c r="CE28" s="102" t="n">
        <f aca="false">16*DL28</f>
        <v>336</v>
      </c>
      <c r="CF28" s="105" t="n">
        <f aca="false">CD28-CE28</f>
        <v>80</v>
      </c>
      <c r="CG28" s="102" t="n">
        <f aca="false">VLOOKUP(A28,Interest!$X$8:$AC$367,6)</f>
        <v>0.961059239616015</v>
      </c>
      <c r="CH28" s="106" t="n">
        <f aca="false">E28-B28</f>
        <v>0</v>
      </c>
      <c r="CI28" s="106" t="n">
        <f aca="false">IF(YEAR($AJ28)=$CI$10,(($I28-$AL$48)*$AK$48+($I28-$AN$48)*$AM$48+($I28-$AP$48)*$AO$48+($I28-$AR$48)*$AQ$48+($I28-$AT$48)*$AS$48+($I28-$AV$48)*$AU$48+($I28-$AX$48)*$AW$48+($I28-$AZ$48)*$AY$48+($I28-$BB$48)*$BA$48+($I28-$BD$48)*$BC$48+($I28-$BF$48)*$BE$48+($I28-$BH$48)*$BG$48+($I28-$BJ$48)*$BI$48+($I28-$BL$48)*$BK$48+($I28-$BN$48)*$BM$48+($I28-$BP$48)*$BO$48+($I28-$BR$48)*$BQ$48+($I28-$BT$48)*$BS$48+($I28-$BV$48)*$BU$48+($I28-$BX$48)*$BW$48)*$CD28*$CG28,0)</f>
        <v>0</v>
      </c>
      <c r="CJ28" s="106" t="n">
        <f aca="false">IF(YEAR($AJ28)=$CJ$10,(($I28-$AL$49)*$AK$49+($I28-$AN$49)*$AM$49+($I28-$AP$49)*$AO$49+($I28-$AR$49)*$AQ$49+($I28-$AT$49)*$AS$49+($I28-$AV$49)*$AU$49+($I28-$AX$49)*$AW$49+($I28-$AZ$49)*$AY$49+($I28-$BB$49)*$BA$49+($I28-$BD$49)*$BC$49+($I28-$BF$49)*$BE$49+($I28-$BH$49)*$BG$49+($I28-$BJ$49)*$BI$49+($I28-$BL$49)*$BK$49+($I28-$BN$49)*$BM$49+($I28-$BP$49)*$BO$49+($I28-$BR$49)*$BQ$49+($I28-$BT$49)*$BS$49+($I28-$BV$49)*$BU$49+($I28-$BX$49)*$BW$49)*$CD28*$CG28,0)</f>
        <v>0</v>
      </c>
      <c r="CK28" s="106" t="n">
        <f aca="false">IF(YEAR($AJ28)=$CK$10,(($I28-$AL$50)*$AK$50+($I28-$AN$50)*$AM$50+($I28-$AP$50)*$AO$50+($I28-$AR$50)*$AQ$50+($I28-$AT$50)*$AS$50+($I28-$AV$50)*$AU$50+($I28-$AX$50)*$AW$50+($I28-$AZ$50)*$AY$50+($I28-$BB$50)*$BA$50+($I28-$BD$50)*$BC$50+($I28-$BF$50)*$BE$50+($I28-$BH$50)*$BG$50+($I28-$BJ$50)*$BI$50+($I28-$BL$50)*$BK$50+($I28-$BN$50)*$BM$50+($I28-$BP$50)*$BO$50+($I28-$BR$50)*$BQ$50+($I28-$BT$50)*$BS$50+($I28-$BV$50)*$BU$50+($I28-$BX$50)*$BW$50)*$CD28*$CG28,0)</f>
        <v>0</v>
      </c>
      <c r="CL28" s="1" t="n">
        <f aca="false">CC28*CD28</f>
        <v>0</v>
      </c>
      <c r="CM28" s="129"/>
      <c r="CN28" s="105"/>
      <c r="CO28" s="129"/>
      <c r="DI28" s="1" t="n">
        <f aca="false">DK28-DL28</f>
        <v>5</v>
      </c>
      <c r="DJ28" s="107" t="n">
        <f aca="false">[2]EnergyCurve!$D50</f>
        <v>37681</v>
      </c>
      <c r="DK28" s="2" t="n">
        <f aca="false">IF($L$6=0,VLOOKUP(DJ28,$DM$13:$DQ$252,2)+VLOOKUP(DJ28,$DU$13:$DY$252,3),VLOOKUP(DJ28,$DU$13:$DY$252,2)+VLOOKUP(DJ28,$DU$13:$DY$252,3))</f>
        <v>26</v>
      </c>
      <c r="DL28" s="2" t="n">
        <f aca="false">IF($L$6=0,VLOOKUP(DJ28,$DM$13:$DQ$252,2),VLOOKUP(DJ28,$DU$13:$DY$252,2))</f>
        <v>21</v>
      </c>
      <c r="DM28" s="130" t="n">
        <v>37347</v>
      </c>
      <c r="DN28" s="22" t="n">
        <v>22</v>
      </c>
      <c r="DO28" s="22" t="n">
        <v>4</v>
      </c>
      <c r="DP28" s="22" t="n">
        <v>4</v>
      </c>
      <c r="DQ28" s="22" t="n">
        <v>0</v>
      </c>
      <c r="DR28" s="22" t="n">
        <v>30</v>
      </c>
      <c r="DS28" s="111"/>
      <c r="DT28" s="111"/>
      <c r="DU28" s="130" t="n">
        <v>37347</v>
      </c>
      <c r="DV28" s="22" t="n">
        <v>22</v>
      </c>
      <c r="DW28" s="22" t="n">
        <v>4</v>
      </c>
      <c r="DX28" s="22" t="n">
        <v>4</v>
      </c>
      <c r="DY28" s="22" t="n">
        <v>0</v>
      </c>
      <c r="DZ28" s="22" t="n">
        <v>30</v>
      </c>
      <c r="EA28" s="111"/>
      <c r="EB28" s="111"/>
      <c r="EQ28" s="107"/>
      <c r="ER28" s="111"/>
      <c r="ES28" s="44"/>
      <c r="ET28" s="44"/>
    </row>
    <row r="29" customFormat="false" ht="18" hidden="false" customHeight="true" outlineLevel="0" collapsed="false">
      <c r="A29" s="112" t="n">
        <f aca="false">[2]EnergyCurve!$D51</f>
        <v>37712</v>
      </c>
      <c r="B29" s="113" t="n">
        <f aca="false">[2]EnergyCurve!$O51+[2]EnergyCurve!$Q51</f>
        <v>240614.51171875</v>
      </c>
      <c r="C29" s="114" t="n">
        <f aca="false">B29/(CG29*CD29)</f>
        <v>603.73727379439</v>
      </c>
      <c r="D29" s="114" t="n">
        <f aca="false">BY29+IF(YEAR(A29)=$T$20,$BY$48,0)+IF(YEAR(A29)=$T$21,$BY$49,0)+IF(YEAR(A29)=$T$22,$BY$50,0)</f>
        <v>0</v>
      </c>
      <c r="E29" s="115" t="n">
        <f aca="false">B29+(D29*CD29*CG29)</f>
        <v>240614.51171875</v>
      </c>
      <c r="F29" s="116" t="n">
        <f aca="false">C29+D29</f>
        <v>603.73727379439</v>
      </c>
      <c r="G29" s="117" t="n">
        <f aca="false">([2]EnergyCurve!$E51*CE29+[2]EnergyCurve!$W51*CF29)/CD29</f>
        <v>48.5724857036884</v>
      </c>
      <c r="H29" s="80" t="n">
        <f aca="false">I29-G29</f>
        <v>-1.47739071382985</v>
      </c>
      <c r="I29" s="118" t="n">
        <f aca="false">([2]EnergyCurve!$G51*CE29+[2]EnergyCurve!$Y51*CF29)/CD29</f>
        <v>47.0950949898586</v>
      </c>
      <c r="J29" s="115" t="n">
        <f aca="false">H29*B29</f>
        <v>-355481.645225984</v>
      </c>
      <c r="K29" s="119" t="n">
        <f aca="false">(((I29-AL29)*AK29+(I29-AN29)*AM29+(I29-AP29)*AO29+(I29-AR29)*AQ29+(I29-AT29)*AS29+(I29-AV29)*AU29+(I29-AX29)*AW29+(I29-AZ29)*AY29+(I29-BB29)*BA29+(I29-BD29)*BC29+(I29-BF29)*BE29+(I29-BH29)*BG29+(I29-BJ29)*BI29+(I29-BL29)*BK29+(I29-BN29)*BM29+(I29-BP29)*BO29+(I29-BR29)*BQ29+(I29-BT29)*BS29+(I29-BV29)*BU29+(I29-BX29)*BW29)*CD29*CG29)+CI29+CJ29+CK29</f>
        <v>0</v>
      </c>
      <c r="L29" s="119" t="n">
        <f aca="false">J29+K29</f>
        <v>-355481.645225984</v>
      </c>
      <c r="M29" s="131"/>
      <c r="N29" s="83" t="n">
        <f aca="false">A29</f>
        <v>37712</v>
      </c>
      <c r="O29" s="84" t="n">
        <v>27.5</v>
      </c>
      <c r="P29" s="84" t="n">
        <v>29</v>
      </c>
      <c r="Q29" s="85" t="n">
        <f aca="false">AVERAGE(O29:P29)-G29</f>
        <v>-20.3224857036884</v>
      </c>
      <c r="R29" s="132"/>
      <c r="S29" s="120" t="n">
        <f aca="false">I29</f>
        <v>47.0950949898586</v>
      </c>
      <c r="T29" s="88" t="n">
        <f aca="false">IF(U28=4,T28+1,T28)</f>
        <v>2002</v>
      </c>
      <c r="U29" s="89" t="n">
        <f aca="false">IF(U28=4,1,U28+1)</f>
        <v>3</v>
      </c>
      <c r="V29" s="152"/>
      <c r="W29" s="152"/>
      <c r="X29" s="152"/>
      <c r="Y29" s="146"/>
      <c r="Z29" s="149"/>
      <c r="AA29" s="153"/>
      <c r="AB29" s="152"/>
      <c r="AC29" s="152"/>
      <c r="AD29" s="152"/>
      <c r="AE29" s="46"/>
      <c r="AF29" s="46"/>
      <c r="AG29" s="46"/>
      <c r="AH29" s="46"/>
      <c r="AI29" s="46"/>
      <c r="AJ29" s="95" t="n">
        <f aca="false">A29</f>
        <v>37712</v>
      </c>
      <c r="AK29" s="96"/>
      <c r="AL29" s="97"/>
      <c r="AM29" s="96"/>
      <c r="AN29" s="97"/>
      <c r="AO29" s="96"/>
      <c r="AP29" s="97"/>
      <c r="AQ29" s="96"/>
      <c r="AR29" s="97"/>
      <c r="AS29" s="96"/>
      <c r="AT29" s="97"/>
      <c r="AU29" s="96"/>
      <c r="AV29" s="97"/>
      <c r="AW29" s="96"/>
      <c r="AX29" s="97"/>
      <c r="AY29" s="96"/>
      <c r="AZ29" s="97"/>
      <c r="BA29" s="96"/>
      <c r="BB29" s="97"/>
      <c r="BC29" s="96"/>
      <c r="BD29" s="97"/>
      <c r="BE29" s="96"/>
      <c r="BF29" s="97"/>
      <c r="BG29" s="96"/>
      <c r="BH29" s="97"/>
      <c r="BI29" s="96"/>
      <c r="BJ29" s="97"/>
      <c r="BK29" s="96"/>
      <c r="BL29" s="97"/>
      <c r="BM29" s="96"/>
      <c r="BN29" s="97"/>
      <c r="BO29" s="96"/>
      <c r="BP29" s="97"/>
      <c r="BQ29" s="96"/>
      <c r="BR29" s="97"/>
      <c r="BS29" s="96"/>
      <c r="BT29" s="97"/>
      <c r="BU29" s="96"/>
      <c r="BV29" s="97"/>
      <c r="BW29" s="96"/>
      <c r="BX29" s="97"/>
      <c r="BY29" s="100" t="n">
        <f aca="false">AK29+AM29+AO29+AQ29+AS29+AU29+AW29+AY29+BA29+BC29+BE29+BG29+BI29+BK29+BM29+BO29+BQ29+BS29+BU29+BW29</f>
        <v>0</v>
      </c>
      <c r="BZ29" s="101" t="n">
        <f aca="false">IF(AND(BY29=0,CC29=0),0,(ABS(AK29)*AL29+ABS(AM29)*AN29+ABS(AO29)*AP29+ABS(AQ29)*AR29+ABS(AS29)*AT29+ABS(AU29)*AV29+ABS(AW29)*AX29+ABS(AY29)*AZ29+ABS(BA29)*BB29+ABS(BC29)*BD29+ABS(BE29)*BF29+ABS(BG29)*BH29+ABS(BI29)*BJ29+ABS(BK29)*BL29+ABS(BM29)*BN29+ABS(BO29)*BP29+ABS(BQ29)*BR29+ABS(BS29)*BT29+ABS(BU29)*BV29+ABS(BW29)*BX29)/CC29)</f>
        <v>0</v>
      </c>
      <c r="CB29" s="103" t="n">
        <f aca="false">AJ29</f>
        <v>37712</v>
      </c>
      <c r="CC29" s="102" t="n">
        <f aca="false">ABS(AK29)+ABS(AM29)+ABS(AO29)+ABS(AQ29)+ABS(AS29)+ABS(AU29)+ABS(AW29)+ABS(AY29)+ABS(BA29)+ABS(BC29)+ABS(BE29)+ABS(BG29)+ABS(BI29)+ABS(BK29)+ABS(BM29)+ABS(BO29)+ABS(BQ29)+ABS(BS29)+ABS(BU29)+ABS(BW29)</f>
        <v>0</v>
      </c>
      <c r="CD29" s="104" t="n">
        <f aca="false">16*DK29</f>
        <v>416</v>
      </c>
      <c r="CE29" s="102" t="n">
        <f aca="false">16*DL29</f>
        <v>352</v>
      </c>
      <c r="CF29" s="105" t="n">
        <f aca="false">CD29-CE29</f>
        <v>64</v>
      </c>
      <c r="CG29" s="102" t="n">
        <f aca="false">VLOOKUP(A29,Interest!$X$8:$AC$367,6)</f>
        <v>0.958033061168373</v>
      </c>
      <c r="CH29" s="106" t="n">
        <f aca="false">E29-B29</f>
        <v>0</v>
      </c>
      <c r="CI29" s="106" t="n">
        <f aca="false">IF(YEAR($AJ29)=$CI$10,(($I29-$AL$48)*$AK$48+($I29-$AN$48)*$AM$48+($I29-$AP$48)*$AO$48+($I29-$AR$48)*$AQ$48+($I29-$AT$48)*$AS$48+($I29-$AV$48)*$AU$48+($I29-$AX$48)*$AW$48+($I29-$AZ$48)*$AY$48+($I29-$BB$48)*$BA$48+($I29-$BD$48)*$BC$48+($I29-$BF$48)*$BE$48+($I29-$BH$48)*$BG$48+($I29-$BJ$48)*$BI$48+($I29-$BL$48)*$BK$48+($I29-$BN$48)*$BM$48+($I29-$BP$48)*$BO$48+($I29-$BR$48)*$BQ$48+($I29-$BT$48)*$BS$48+($I29-$BV$48)*$BU$48+($I29-$BX$48)*$BW$48)*$CD29*$CG29,0)</f>
        <v>0</v>
      </c>
      <c r="CJ29" s="106" t="n">
        <f aca="false">IF(YEAR($AJ29)=$CJ$10,(($I29-$AL$49)*$AK$49+($I29-$AN$49)*$AM$49+($I29-$AP$49)*$AO$49+($I29-$AR$49)*$AQ$49+($I29-$AT$49)*$AS$49+($I29-$AV$49)*$AU$49+($I29-$AX$49)*$AW$49+($I29-$AZ$49)*$AY$49+($I29-$BB$49)*$BA$49+($I29-$BD$49)*$BC$49+($I29-$BF$49)*$BE$49+($I29-$BH$49)*$BG$49+($I29-$BJ$49)*$BI$49+($I29-$BL$49)*$BK$49+($I29-$BN$49)*$BM$49+($I29-$BP$49)*$BO$49+($I29-$BR$49)*$BQ$49+($I29-$BT$49)*$BS$49+($I29-$BV$49)*$BU$49+($I29-$BX$49)*$BW$49)*$CD29*$CG29,0)</f>
        <v>0</v>
      </c>
      <c r="CK29" s="106" t="n">
        <f aca="false">IF(YEAR($AJ29)=$CK$10,(($I29-$AL$50)*$AK$50+($I29-$AN$50)*$AM$50+($I29-$AP$50)*$AO$50+($I29-$AR$50)*$AQ$50+($I29-$AT$50)*$AS$50+($I29-$AV$50)*$AU$50+($I29-$AX$50)*$AW$50+($I29-$AZ$50)*$AY$50+($I29-$BB$50)*$BA$50+($I29-$BD$50)*$BC$50+($I29-$BF$50)*$BE$50+($I29-$BH$50)*$BG$50+($I29-$BJ$50)*$BI$50+($I29-$BL$50)*$BK$50+($I29-$BN$50)*$BM$50+($I29-$BP$50)*$BO$50+($I29-$BR$50)*$BQ$50+($I29-$BT$50)*$BS$50+($I29-$BV$50)*$BU$50+($I29-$BX$50)*$BW$50)*$CD29*$CG29,0)</f>
        <v>0</v>
      </c>
      <c r="CL29" s="1" t="n">
        <f aca="false">CC29*CD29</f>
        <v>0</v>
      </c>
      <c r="CM29" s="129"/>
      <c r="CN29" s="105"/>
      <c r="CO29" s="129"/>
      <c r="DI29" s="1" t="n">
        <f aca="false">DK29-DL29</f>
        <v>4</v>
      </c>
      <c r="DJ29" s="107" t="n">
        <f aca="false">[2]EnergyCurve!$D51</f>
        <v>37712</v>
      </c>
      <c r="DK29" s="2" t="n">
        <f aca="false">IF($L$6=0,VLOOKUP(DJ29,$DM$13:$DQ$252,2)+VLOOKUP(DJ29,$DU$13:$DY$252,3),VLOOKUP(DJ29,$DU$13:$DY$252,2)+VLOOKUP(DJ29,$DU$13:$DY$252,3))</f>
        <v>26</v>
      </c>
      <c r="DL29" s="2" t="n">
        <f aca="false">IF($L$6=0,VLOOKUP(DJ29,$DM$13:$DQ$252,2),VLOOKUP(DJ29,$DU$13:$DY$252,2))</f>
        <v>22</v>
      </c>
      <c r="DM29" s="130" t="n">
        <v>37377</v>
      </c>
      <c r="DN29" s="22" t="n">
        <v>22</v>
      </c>
      <c r="DO29" s="22" t="n">
        <v>4</v>
      </c>
      <c r="DP29" s="22" t="n">
        <v>4</v>
      </c>
      <c r="DQ29" s="22" t="n">
        <v>1</v>
      </c>
      <c r="DR29" s="22" t="n">
        <v>31</v>
      </c>
      <c r="DS29" s="111"/>
      <c r="DT29" s="111"/>
      <c r="DU29" s="130" t="n">
        <v>37377</v>
      </c>
      <c r="DV29" s="22" t="n">
        <v>22</v>
      </c>
      <c r="DW29" s="22" t="n">
        <v>4</v>
      </c>
      <c r="DX29" s="22" t="n">
        <v>4</v>
      </c>
      <c r="DY29" s="22" t="n">
        <v>1</v>
      </c>
      <c r="DZ29" s="22" t="n">
        <v>31</v>
      </c>
      <c r="EA29" s="111"/>
      <c r="EB29" s="111"/>
      <c r="EQ29" s="107"/>
      <c r="ER29" s="111"/>
      <c r="ES29" s="44"/>
      <c r="ET29" s="44"/>
    </row>
    <row r="30" customFormat="false" ht="18" hidden="false" customHeight="true" outlineLevel="0" collapsed="false">
      <c r="A30" s="75" t="n">
        <f aca="false">[2]EnergyCurve!$D52</f>
        <v>37742</v>
      </c>
      <c r="B30" s="76" t="n">
        <f aca="false">[2]EnergyCurve!$O52+[2]EnergyCurve!$Q52</f>
        <v>239842.81640625</v>
      </c>
      <c r="C30" s="77" t="n">
        <f aca="false">B30/(CG30*CD30)</f>
        <v>603.788894130188</v>
      </c>
      <c r="D30" s="78" t="n">
        <f aca="false">BY30+IF(YEAR(A30)=$T$20,$BY$48,0)+IF(YEAR(A30)=$T$21,$BY$49,0)+IF(YEAR(A30)=$T$22,$BY$50,0)</f>
        <v>0</v>
      </c>
      <c r="E30" s="77" t="n">
        <f aca="false">B30+(D30*CD30*CG30)</f>
        <v>239842.81640625</v>
      </c>
      <c r="F30" s="79" t="n">
        <f aca="false">C30+D30</f>
        <v>603.788894130188</v>
      </c>
      <c r="G30" s="80" t="n">
        <f aca="false">([2]EnergyCurve!$E52*CE30+[2]EnergyCurve!$W52*CF30)/CD30</f>
        <v>48.512940626878</v>
      </c>
      <c r="H30" s="80" t="n">
        <f aca="false">I30-G30</f>
        <v>-1.45897756705578</v>
      </c>
      <c r="I30" s="81" t="n">
        <f aca="false">([2]EnergyCurve!$G52*CE30+[2]EnergyCurve!$Y52*CF30)/CD30</f>
        <v>47.0539630598222</v>
      </c>
      <c r="J30" s="76" t="n">
        <f aca="false">H30*B30</f>
        <v>-349925.288756196</v>
      </c>
      <c r="K30" s="82" t="n">
        <f aca="false">(((I30-AL30)*AK30+(I30-AN30)*AM30+(I30-AP30)*AO30+(I30-AR30)*AQ30+(I30-AT30)*AS30+(I30-AV30)*AU30+(I30-AX30)*AW30+(I30-AZ30)*AY30+(I30-BB30)*BA30+(I30-BD30)*BC30+(I30-BF30)*BE30+(I30-BH30)*BG30+(I30-BJ30)*BI30+(I30-BL30)*BK30+(I30-BN30)*BM30+(I30-BP30)*BO30+(I30-BR30)*BQ30+(I30-BT30)*BS30+(I30-BV30)*BU30+(I30-BX30)*BW30)*CD30*CG30)+CI30+CJ30+CK30</f>
        <v>0</v>
      </c>
      <c r="L30" s="82" t="n">
        <f aca="false">J30+K30</f>
        <v>-349925.288756196</v>
      </c>
      <c r="M30" s="131"/>
      <c r="N30" s="83" t="n">
        <f aca="false">A30</f>
        <v>37742</v>
      </c>
      <c r="O30" s="84" t="n">
        <v>27.5</v>
      </c>
      <c r="P30" s="84" t="n">
        <v>29</v>
      </c>
      <c r="Q30" s="85" t="n">
        <f aca="false">AVERAGE(O30:P30)-G30</f>
        <v>-20.262940626878</v>
      </c>
      <c r="R30" s="132"/>
      <c r="S30" s="120" t="n">
        <f aca="false">I30</f>
        <v>47.0539630598222</v>
      </c>
      <c r="T30" s="88" t="n">
        <f aca="false">IF(U29=4,T29+1,T29)</f>
        <v>2002</v>
      </c>
      <c r="U30" s="89" t="n">
        <f aca="false">IF(U29=4,1,U29+1)</f>
        <v>4</v>
      </c>
      <c r="V30" s="152"/>
      <c r="W30" s="152"/>
      <c r="X30" s="152"/>
      <c r="Y30" s="148"/>
      <c r="Z30" s="149"/>
      <c r="AA30" s="150"/>
      <c r="AB30" s="151"/>
      <c r="AC30" s="151"/>
      <c r="AD30" s="151"/>
      <c r="AE30" s="46"/>
      <c r="AF30" s="46"/>
      <c r="AG30" s="46"/>
      <c r="AH30" s="46"/>
      <c r="AI30" s="46"/>
      <c r="AJ30" s="95" t="n">
        <f aca="false">A30</f>
        <v>37742</v>
      </c>
      <c r="AK30" s="96"/>
      <c r="AL30" s="97"/>
      <c r="AM30" s="96"/>
      <c r="AN30" s="97"/>
      <c r="AO30" s="96"/>
      <c r="AP30" s="97"/>
      <c r="AQ30" s="96"/>
      <c r="AR30" s="97"/>
      <c r="AS30" s="96"/>
      <c r="AT30" s="97"/>
      <c r="AU30" s="96"/>
      <c r="AV30" s="97"/>
      <c r="AW30" s="96"/>
      <c r="AX30" s="97"/>
      <c r="AY30" s="96"/>
      <c r="AZ30" s="97"/>
      <c r="BA30" s="96"/>
      <c r="BB30" s="97"/>
      <c r="BC30" s="96"/>
      <c r="BD30" s="97"/>
      <c r="BE30" s="96"/>
      <c r="BF30" s="97"/>
      <c r="BG30" s="96"/>
      <c r="BH30" s="97"/>
      <c r="BI30" s="96"/>
      <c r="BJ30" s="97"/>
      <c r="BK30" s="96"/>
      <c r="BL30" s="97"/>
      <c r="BM30" s="96"/>
      <c r="BN30" s="97"/>
      <c r="BO30" s="96"/>
      <c r="BP30" s="97"/>
      <c r="BQ30" s="96"/>
      <c r="BR30" s="97"/>
      <c r="BS30" s="96"/>
      <c r="BT30" s="97"/>
      <c r="BU30" s="96"/>
      <c r="BV30" s="97"/>
      <c r="BW30" s="96"/>
      <c r="BX30" s="97"/>
      <c r="BY30" s="100" t="n">
        <f aca="false">AK30+AM30+AO30+AQ30+AS30+AU30+AW30+AY30+BA30+BC30+BE30+BG30+BI30+BK30+BM30+BO30+BQ30+BS30+BU30+BW30</f>
        <v>0</v>
      </c>
      <c r="BZ30" s="101" t="n">
        <f aca="false">IF(AND(BY30=0,CC30=0),0,(ABS(AK30)*AL30+ABS(AM30)*AN30+ABS(AO30)*AP30+ABS(AQ30)*AR30+ABS(AS30)*AT30+ABS(AU30)*AV30+ABS(AW30)*AX30+ABS(AY30)*AZ30+ABS(BA30)*BB30+ABS(BC30)*BD30+ABS(BE30)*BF30+ABS(BG30)*BH30+ABS(BI30)*BJ30+ABS(BK30)*BL30+ABS(BM30)*BN30+ABS(BO30)*BP30+ABS(BQ30)*BR30+ABS(BS30)*BT30+ABS(BU30)*BV30+ABS(BW30)*BX30)/CC30)</f>
        <v>0</v>
      </c>
      <c r="CB30" s="103" t="n">
        <f aca="false">AJ30</f>
        <v>37742</v>
      </c>
      <c r="CC30" s="102" t="n">
        <f aca="false">ABS(AK30)+ABS(AM30)+ABS(AO30)+ABS(AQ30)+ABS(AS30)+ABS(AU30)+ABS(AW30)+ABS(AY30)+ABS(BA30)+ABS(BC30)+ABS(BE30)+ABS(BG30)+ABS(BI30)+ABS(BK30)+ABS(BM30)+ABS(BO30)+ABS(BQ30)+ABS(BS30)+ABS(BU30)+ABS(BW30)</f>
        <v>0</v>
      </c>
      <c r="CD30" s="104" t="n">
        <f aca="false">16*DK30</f>
        <v>416</v>
      </c>
      <c r="CE30" s="102" t="n">
        <f aca="false">16*DL30</f>
        <v>336</v>
      </c>
      <c r="CF30" s="105" t="n">
        <f aca="false">CD30-CE30</f>
        <v>80</v>
      </c>
      <c r="CG30" s="102" t="n">
        <f aca="false">VLOOKUP(A30,Interest!$X$8:$AC$367,6)</f>
        <v>0.954878828263906</v>
      </c>
      <c r="CH30" s="106" t="n">
        <f aca="false">E30-B30</f>
        <v>0</v>
      </c>
      <c r="CI30" s="106" t="n">
        <f aca="false">IF(YEAR($AJ30)=$CI$10,(($I30-$AL$48)*$AK$48+($I30-$AN$48)*$AM$48+($I30-$AP$48)*$AO$48+($I30-$AR$48)*$AQ$48+($I30-$AT$48)*$AS$48+($I30-$AV$48)*$AU$48+($I30-$AX$48)*$AW$48+($I30-$AZ$48)*$AY$48+($I30-$BB$48)*$BA$48+($I30-$BD$48)*$BC$48+($I30-$BF$48)*$BE$48+($I30-$BH$48)*$BG$48+($I30-$BJ$48)*$BI$48+($I30-$BL$48)*$BK$48+($I30-$BN$48)*$BM$48+($I30-$BP$48)*$BO$48+($I30-$BR$48)*$BQ$48+($I30-$BT$48)*$BS$48+($I30-$BV$48)*$BU$48+($I30-$BX$48)*$BW$48)*$CD30*$CG30,0)</f>
        <v>0</v>
      </c>
      <c r="CJ30" s="106" t="n">
        <f aca="false">IF(YEAR($AJ30)=$CJ$10,(($I30-$AL$49)*$AK$49+($I30-$AN$49)*$AM$49+($I30-$AP$49)*$AO$49+($I30-$AR$49)*$AQ$49+($I30-$AT$49)*$AS$49+($I30-$AV$49)*$AU$49+($I30-$AX$49)*$AW$49+($I30-$AZ$49)*$AY$49+($I30-$BB$49)*$BA$49+($I30-$BD$49)*$BC$49+($I30-$BF$49)*$BE$49+($I30-$BH$49)*$BG$49+($I30-$BJ$49)*$BI$49+($I30-$BL$49)*$BK$49+($I30-$BN$49)*$BM$49+($I30-$BP$49)*$BO$49+($I30-$BR$49)*$BQ$49+($I30-$BT$49)*$BS$49+($I30-$BV$49)*$BU$49+($I30-$BX$49)*$BW$49)*$CD30*$CG30,0)</f>
        <v>0</v>
      </c>
      <c r="CK30" s="106" t="n">
        <f aca="false">IF(YEAR($AJ30)=$CK$10,(($I30-$AL$50)*$AK$50+($I30-$AN$50)*$AM$50+($I30-$AP$50)*$AO$50+($I30-$AR$50)*$AQ$50+($I30-$AT$50)*$AS$50+($I30-$AV$50)*$AU$50+($I30-$AX$50)*$AW$50+($I30-$AZ$50)*$AY$50+($I30-$BB$50)*$BA$50+($I30-$BD$50)*$BC$50+($I30-$BF$50)*$BE$50+($I30-$BH$50)*$BG$50+($I30-$BJ$50)*$BI$50+($I30-$BL$50)*$BK$50+($I30-$BN$50)*$BM$50+($I30-$BP$50)*$BO$50+($I30-$BR$50)*$BQ$50+($I30-$BT$50)*$BS$50+($I30-$BV$50)*$BU$50+($I30-$BX$50)*$BW$50)*$CD30*$CG30,0)</f>
        <v>0</v>
      </c>
      <c r="CL30" s="1" t="n">
        <f aca="false">CC30*CD30</f>
        <v>0</v>
      </c>
      <c r="CM30" s="129"/>
      <c r="CN30" s="105"/>
      <c r="CO30" s="129"/>
      <c r="DI30" s="1" t="n">
        <f aca="false">DK30-DL30</f>
        <v>5</v>
      </c>
      <c r="DJ30" s="107" t="n">
        <f aca="false">[2]EnergyCurve!$D52</f>
        <v>37742</v>
      </c>
      <c r="DK30" s="2" t="n">
        <f aca="false">IF($L$6=0,VLOOKUP(DJ30,$DM$13:$DQ$252,2)+VLOOKUP(DJ30,$DU$13:$DY$252,3),VLOOKUP(DJ30,$DU$13:$DY$252,2)+VLOOKUP(DJ30,$DU$13:$DY$252,3))</f>
        <v>26</v>
      </c>
      <c r="DL30" s="2" t="n">
        <f aca="false">IF($L$6=0,VLOOKUP(DJ30,$DM$13:$DQ$252,2),VLOOKUP(DJ30,$DU$13:$DY$252,2))</f>
        <v>21</v>
      </c>
      <c r="DM30" s="130" t="n">
        <v>37408</v>
      </c>
      <c r="DN30" s="22" t="n">
        <v>20</v>
      </c>
      <c r="DO30" s="22" t="n">
        <v>5</v>
      </c>
      <c r="DP30" s="22" t="n">
        <v>5</v>
      </c>
      <c r="DQ30" s="22" t="n">
        <v>0</v>
      </c>
      <c r="DR30" s="22" t="n">
        <v>30</v>
      </c>
      <c r="DS30" s="111"/>
      <c r="DT30" s="111"/>
      <c r="DU30" s="130" t="n">
        <v>37408</v>
      </c>
      <c r="DV30" s="22" t="n">
        <v>20</v>
      </c>
      <c r="DW30" s="22" t="n">
        <v>5</v>
      </c>
      <c r="DX30" s="22" t="n">
        <v>5</v>
      </c>
      <c r="DY30" s="22" t="n">
        <v>0</v>
      </c>
      <c r="DZ30" s="22" t="n">
        <v>30</v>
      </c>
      <c r="EA30" s="111"/>
      <c r="EB30" s="111"/>
      <c r="EQ30" s="107"/>
      <c r="ER30" s="111"/>
      <c r="ES30" s="44"/>
      <c r="ET30" s="44"/>
    </row>
    <row r="31" customFormat="false" ht="18" hidden="false" customHeight="true" outlineLevel="0" collapsed="false">
      <c r="A31" s="112" t="n">
        <f aca="false">[2]EnergyCurve!$D53</f>
        <v>37773</v>
      </c>
      <c r="B31" s="113" t="n">
        <f aca="false">[2]EnergyCurve!$O53+[2]EnergyCurve!$Q53</f>
        <v>229732.7578125</v>
      </c>
      <c r="C31" s="114" t="n">
        <f aca="false">B31/(CG31*CD31)</f>
        <v>603.486593979193</v>
      </c>
      <c r="D31" s="114" t="n">
        <f aca="false">BY31+IF(YEAR(A31)=$T$20,$BY$48,0)+IF(YEAR(A31)=$T$21,$BY$49,0)+IF(YEAR(A31)=$T$22,$BY$50,0)</f>
        <v>0</v>
      </c>
      <c r="E31" s="115" t="n">
        <f aca="false">B31+(D31*CD31*CG31)</f>
        <v>229732.7578125</v>
      </c>
      <c r="F31" s="116" t="n">
        <f aca="false">C31+D31</f>
        <v>603.486593979193</v>
      </c>
      <c r="G31" s="117" t="n">
        <f aca="false">([2]EnergyCurve!$E53*CE31+[2]EnergyCurve!$W53*CF31)/CD31</f>
        <v>48.8630281066895</v>
      </c>
      <c r="H31" s="80" t="n">
        <f aca="false">I31-G31</f>
        <v>-1.45829512989628</v>
      </c>
      <c r="I31" s="118" t="n">
        <f aca="false">([2]EnergyCurve!$G53*CE31+[2]EnergyCurve!$Y53*CF31)/CD31</f>
        <v>47.4047329767932</v>
      </c>
      <c r="J31" s="115" t="n">
        <f aca="false">H31*B31</f>
        <v>-335018.16189561</v>
      </c>
      <c r="K31" s="119" t="n">
        <f aca="false">(((I31-AL31)*AK31+(I31-AN31)*AM31+(I31-AP31)*AO31+(I31-AR31)*AQ31+(I31-AT31)*AS31+(I31-AV31)*AU31+(I31-AX31)*AW31+(I31-AZ31)*AY31+(I31-BB31)*BA31+(I31-BD31)*BC31+(I31-BF31)*BE31+(I31-BH31)*BG31+(I31-BJ31)*BI31+(I31-BL31)*BK31+(I31-BN31)*BM31+(I31-BP31)*BO31+(I31-BR31)*BQ31+(I31-BT31)*BS31+(I31-BV31)*BU31+(I31-BX31)*BW31)*CD31*CG31)+CI31+CJ31+CK31</f>
        <v>0</v>
      </c>
      <c r="L31" s="119" t="n">
        <f aca="false">J31+K31</f>
        <v>-335018.16189561</v>
      </c>
      <c r="M31" s="131"/>
      <c r="N31" s="83" t="n">
        <f aca="false">A31</f>
        <v>37773</v>
      </c>
      <c r="O31" s="84" t="n">
        <v>24</v>
      </c>
      <c r="P31" s="84" t="n">
        <v>25</v>
      </c>
      <c r="Q31" s="85" t="n">
        <f aca="false">AVERAGE(O31:P31)-G31</f>
        <v>-24.3630281066895</v>
      </c>
      <c r="R31" s="132"/>
      <c r="S31" s="120" t="n">
        <f aca="false">I31</f>
        <v>47.4047329767932</v>
      </c>
      <c r="T31" s="88" t="n">
        <f aca="false">IF(U30=4,T30+1,T30)</f>
        <v>2003</v>
      </c>
      <c r="U31" s="89" t="n">
        <f aca="false">IF(U30=4,1,U30+1)</f>
        <v>1</v>
      </c>
      <c r="V31" s="152"/>
      <c r="W31" s="152"/>
      <c r="X31" s="152"/>
      <c r="Y31" s="9"/>
      <c r="Z31" s="149"/>
      <c r="AA31" s="153"/>
      <c r="AB31" s="152"/>
      <c r="AC31" s="152"/>
      <c r="AD31" s="152"/>
      <c r="AE31" s="46"/>
      <c r="AF31" s="46"/>
      <c r="AG31" s="46"/>
      <c r="AH31" s="46"/>
      <c r="AI31" s="46"/>
      <c r="AJ31" s="95" t="n">
        <f aca="false">A31</f>
        <v>37773</v>
      </c>
      <c r="AK31" s="96"/>
      <c r="AL31" s="97"/>
      <c r="AM31" s="96"/>
      <c r="AN31" s="97"/>
      <c r="AO31" s="96"/>
      <c r="AP31" s="97"/>
      <c r="AQ31" s="96"/>
      <c r="AR31" s="97"/>
      <c r="AS31" s="96"/>
      <c r="AT31" s="97"/>
      <c r="AU31" s="96"/>
      <c r="AV31" s="97"/>
      <c r="AW31" s="96"/>
      <c r="AX31" s="97"/>
      <c r="AY31" s="96"/>
      <c r="AZ31" s="97"/>
      <c r="BA31" s="96"/>
      <c r="BB31" s="97"/>
      <c r="BC31" s="96"/>
      <c r="BD31" s="97"/>
      <c r="BE31" s="96"/>
      <c r="BF31" s="97"/>
      <c r="BG31" s="96"/>
      <c r="BH31" s="97"/>
      <c r="BI31" s="96"/>
      <c r="BJ31" s="97"/>
      <c r="BK31" s="96"/>
      <c r="BL31" s="97"/>
      <c r="BM31" s="96"/>
      <c r="BN31" s="97"/>
      <c r="BO31" s="96"/>
      <c r="BP31" s="97"/>
      <c r="BQ31" s="96"/>
      <c r="BR31" s="97"/>
      <c r="BS31" s="96"/>
      <c r="BT31" s="97"/>
      <c r="BU31" s="96"/>
      <c r="BV31" s="97"/>
      <c r="BW31" s="96"/>
      <c r="BX31" s="97"/>
      <c r="BY31" s="100" t="n">
        <f aca="false">AK31+AM31+AO31+AQ31+AS31+AU31+AW31+AY31+BA31+BC31+BE31+BG31+BI31+BK31+BM31+BO31+BQ31+BS31+BU31+BW31</f>
        <v>0</v>
      </c>
      <c r="BZ31" s="101" t="n">
        <f aca="false">IF(AND(BY31=0,CC31=0),0,(ABS(AK31)*AL31+ABS(AM31)*AN31+ABS(AO31)*AP31+ABS(AQ31)*AR31+ABS(AS31)*AT31+ABS(AU31)*AV31+ABS(AW31)*AX31+ABS(AY31)*AZ31+ABS(BA31)*BB31+ABS(BC31)*BD31+ABS(BE31)*BF31+ABS(BG31)*BH31+ABS(BI31)*BJ31+ABS(BK31)*BL31+ABS(BM31)*BN31+ABS(BO31)*BP31+ABS(BQ31)*BR31+ABS(BS31)*BT31+ABS(BU31)*BV31+ABS(BW31)*BX31)/CC31)</f>
        <v>0</v>
      </c>
      <c r="CB31" s="103" t="n">
        <f aca="false">AJ31</f>
        <v>37773</v>
      </c>
      <c r="CC31" s="102" t="n">
        <f aca="false">ABS(AK31)+ABS(AM31)+ABS(AO31)+ABS(AQ31)+ABS(AS31)+ABS(AU31)+ABS(AW31)+ABS(AY31)+ABS(BA31)+ABS(BC31)+ABS(BE31)+ABS(BG31)+ABS(BI31)+ABS(BK31)+ABS(BM31)+ABS(BO31)+ABS(BQ31)+ABS(BS31)+ABS(BU31)+ABS(BW31)</f>
        <v>0</v>
      </c>
      <c r="CD31" s="104" t="n">
        <f aca="false">16*DK31</f>
        <v>400</v>
      </c>
      <c r="CE31" s="102" t="n">
        <f aca="false">16*DL31</f>
        <v>336</v>
      </c>
      <c r="CF31" s="105" t="n">
        <f aca="false">CD31-CE31</f>
        <v>64</v>
      </c>
      <c r="CG31" s="102" t="n">
        <f aca="false">VLOOKUP(A31,Interest!$X$8:$AC$367,6)</f>
        <v>0.951689565702353</v>
      </c>
      <c r="CH31" s="106" t="n">
        <f aca="false">E31-B31</f>
        <v>0</v>
      </c>
      <c r="CI31" s="106" t="n">
        <f aca="false">IF(YEAR($AJ31)=$CI$10,(($I31-$AL$48)*$AK$48+($I31-$AN$48)*$AM$48+($I31-$AP$48)*$AO$48+($I31-$AR$48)*$AQ$48+($I31-$AT$48)*$AS$48+($I31-$AV$48)*$AU$48+($I31-$AX$48)*$AW$48+($I31-$AZ$48)*$AY$48+($I31-$BB$48)*$BA$48+($I31-$BD$48)*$BC$48+($I31-$BF$48)*$BE$48+($I31-$BH$48)*$BG$48+($I31-$BJ$48)*$BI$48+($I31-$BL$48)*$BK$48+($I31-$BN$48)*$BM$48+($I31-$BP$48)*$BO$48+($I31-$BR$48)*$BQ$48+($I31-$BT$48)*$BS$48+($I31-$BV$48)*$BU$48+($I31-$BX$48)*$BW$48)*$CD31*$CG31,0)</f>
        <v>0</v>
      </c>
      <c r="CJ31" s="106" t="n">
        <f aca="false">IF(YEAR($AJ31)=$CJ$10,(($I31-$AL$49)*$AK$49+($I31-$AN$49)*$AM$49+($I31-$AP$49)*$AO$49+($I31-$AR$49)*$AQ$49+($I31-$AT$49)*$AS$49+($I31-$AV$49)*$AU$49+($I31-$AX$49)*$AW$49+($I31-$AZ$49)*$AY$49+($I31-$BB$49)*$BA$49+($I31-$BD$49)*$BC$49+($I31-$BF$49)*$BE$49+($I31-$BH$49)*$BG$49+($I31-$BJ$49)*$BI$49+($I31-$BL$49)*$BK$49+($I31-$BN$49)*$BM$49+($I31-$BP$49)*$BO$49+($I31-$BR$49)*$BQ$49+($I31-$BT$49)*$BS$49+($I31-$BV$49)*$BU$49+($I31-$BX$49)*$BW$49)*$CD31*$CG31,0)</f>
        <v>0</v>
      </c>
      <c r="CK31" s="106" t="n">
        <f aca="false">IF(YEAR($AJ31)=$CK$10,(($I31-$AL$50)*$AK$50+($I31-$AN$50)*$AM$50+($I31-$AP$50)*$AO$50+($I31-$AR$50)*$AQ$50+($I31-$AT$50)*$AS$50+($I31-$AV$50)*$AU$50+($I31-$AX$50)*$AW$50+($I31-$AZ$50)*$AY$50+($I31-$BB$50)*$BA$50+($I31-$BD$50)*$BC$50+($I31-$BF$50)*$BE$50+($I31-$BH$50)*$BG$50+($I31-$BJ$50)*$BI$50+($I31-$BL$50)*$BK$50+($I31-$BN$50)*$BM$50+($I31-$BP$50)*$BO$50+($I31-$BR$50)*$BQ$50+($I31-$BT$50)*$BS$50+($I31-$BV$50)*$BU$50+($I31-$BX$50)*$BW$50)*$CD31*$CG31,0)</f>
        <v>0</v>
      </c>
      <c r="CL31" s="1" t="n">
        <f aca="false">CC31*CD31</f>
        <v>0</v>
      </c>
      <c r="CM31" s="129"/>
      <c r="CN31" s="105"/>
      <c r="CO31" s="129"/>
      <c r="DI31" s="1" t="n">
        <f aca="false">DK31-DL31</f>
        <v>4</v>
      </c>
      <c r="DJ31" s="107" t="n">
        <f aca="false">[2]EnergyCurve!$D53</f>
        <v>37773</v>
      </c>
      <c r="DK31" s="2" t="n">
        <f aca="false">IF($L$6=0,VLOOKUP(DJ31,$DM$13:$DQ$252,2)+VLOOKUP(DJ31,$DU$13:$DY$252,3),VLOOKUP(DJ31,$DU$13:$DY$252,2)+VLOOKUP(DJ31,$DU$13:$DY$252,3))</f>
        <v>25</v>
      </c>
      <c r="DL31" s="2" t="n">
        <f aca="false">IF($L$6=0,VLOOKUP(DJ31,$DM$13:$DQ$252,2),VLOOKUP(DJ31,$DU$13:$DY$252,2))</f>
        <v>21</v>
      </c>
      <c r="DM31" s="130" t="n">
        <v>37438</v>
      </c>
      <c r="DN31" s="22" t="n">
        <v>22</v>
      </c>
      <c r="DO31" s="22" t="n">
        <v>4</v>
      </c>
      <c r="DP31" s="22" t="n">
        <v>4</v>
      </c>
      <c r="DQ31" s="22" t="n">
        <v>1</v>
      </c>
      <c r="DR31" s="22" t="n">
        <v>31</v>
      </c>
      <c r="DS31" s="111"/>
      <c r="DT31" s="111"/>
      <c r="DU31" s="130" t="n">
        <v>37438</v>
      </c>
      <c r="DV31" s="22" t="n">
        <v>22</v>
      </c>
      <c r="DW31" s="22" t="n">
        <v>4</v>
      </c>
      <c r="DX31" s="22" t="n">
        <v>4</v>
      </c>
      <c r="DY31" s="22" t="n">
        <v>1</v>
      </c>
      <c r="DZ31" s="22" t="n">
        <v>31</v>
      </c>
      <c r="EA31" s="111"/>
      <c r="EB31" s="111"/>
      <c r="EQ31" s="107"/>
      <c r="ER31" s="111"/>
      <c r="ES31" s="44"/>
      <c r="ET31" s="44"/>
    </row>
    <row r="32" customFormat="false" ht="18" hidden="false" customHeight="true" outlineLevel="0" collapsed="false">
      <c r="A32" s="75" t="n">
        <f aca="false">[2]EnergyCurve!$D54</f>
        <v>37803</v>
      </c>
      <c r="B32" s="76" t="n">
        <f aca="false">[2]EnergyCurve!$O54+[2]EnergyCurve!$Q54</f>
        <v>237937.58203125</v>
      </c>
      <c r="C32" s="77" t="n">
        <f aca="false">B32/(CG32*CD32)</f>
        <v>603.100799598327</v>
      </c>
      <c r="D32" s="78" t="n">
        <f aca="false">BY32+IF(YEAR(A32)=$T$20,$BY$48,0)+IF(YEAR(A32)=$T$21,$BY$49,0)+IF(YEAR(A32)=$T$22,$BY$50,0)</f>
        <v>0</v>
      </c>
      <c r="E32" s="77" t="n">
        <f aca="false">B32+(D32*CD32*CG32)</f>
        <v>237937.58203125</v>
      </c>
      <c r="F32" s="79" t="n">
        <f aca="false">C32+D32</f>
        <v>603.100799598327</v>
      </c>
      <c r="G32" s="80" t="n">
        <f aca="false">([2]EnergyCurve!$E54*CE32+[2]EnergyCurve!$W54*CF32)/CD32</f>
        <v>49.2604578458346</v>
      </c>
      <c r="H32" s="80" t="n">
        <f aca="false">I32-G32</f>
        <v>-1.45696289079716</v>
      </c>
      <c r="I32" s="81" t="n">
        <f aca="false">([2]EnergyCurve!$G54*CE32+[2]EnergyCurve!$Y54*CF32)/CD32</f>
        <v>47.8034949550374</v>
      </c>
      <c r="J32" s="76" t="n">
        <f aca="false">H32*B32</f>
        <v>-346666.227345536</v>
      </c>
      <c r="K32" s="82" t="n">
        <f aca="false">(((I32-AL32)*AK32+(I32-AN32)*AM32+(I32-AP32)*AO32+(I32-AR32)*AQ32+(I32-AT32)*AS32+(I32-AV32)*AU32+(I32-AX32)*AW32+(I32-AZ32)*AY32+(I32-BB32)*BA32+(I32-BD32)*BC32+(I32-BF32)*BE32+(I32-BH32)*BG32+(I32-BJ32)*BI32+(I32-BL32)*BK32+(I32-BN32)*BM32+(I32-BP32)*BO32+(I32-BR32)*BQ32+(I32-BT32)*BS32+(I32-BV32)*BU32+(I32-BX32)*BW32)*CD32*CG32)+CI32+CJ32+CK32</f>
        <v>0</v>
      </c>
      <c r="L32" s="82" t="n">
        <f aca="false">J32+K32</f>
        <v>-346666.227345536</v>
      </c>
      <c r="M32" s="131"/>
      <c r="N32" s="83" t="n">
        <f aca="false">A32</f>
        <v>37803</v>
      </c>
      <c r="O32" s="84" t="n">
        <v>24.5</v>
      </c>
      <c r="P32" s="84" t="n">
        <v>25</v>
      </c>
      <c r="Q32" s="85" t="n">
        <f aca="false">AVERAGE(O32:P32)-G32</f>
        <v>-24.5104578458346</v>
      </c>
      <c r="R32" s="132"/>
      <c r="S32" s="120" t="n">
        <f aca="false">I32</f>
        <v>47.8034949550374</v>
      </c>
      <c r="T32" s="88" t="n">
        <f aca="false">IF(U31=4,T31+1,T31)</f>
        <v>2003</v>
      </c>
      <c r="U32" s="89" t="n">
        <f aca="false">IF(U31=4,1,U31+1)</f>
        <v>2</v>
      </c>
      <c r="V32" s="152"/>
      <c r="W32" s="152"/>
      <c r="X32" s="152"/>
      <c r="Y32" s="9"/>
      <c r="Z32" s="149"/>
      <c r="AA32" s="150"/>
      <c r="AB32" s="151"/>
      <c r="AC32" s="151"/>
      <c r="AD32" s="151"/>
      <c r="AE32" s="46"/>
      <c r="AF32" s="46"/>
      <c r="AG32" s="46"/>
      <c r="AH32" s="46"/>
      <c r="AI32" s="46"/>
      <c r="AJ32" s="95" t="n">
        <f aca="false">A32</f>
        <v>37803</v>
      </c>
      <c r="AK32" s="96"/>
      <c r="AL32" s="97"/>
      <c r="AM32" s="96"/>
      <c r="AN32" s="97"/>
      <c r="AO32" s="96"/>
      <c r="AP32" s="97"/>
      <c r="AQ32" s="96"/>
      <c r="AR32" s="97"/>
      <c r="AS32" s="96"/>
      <c r="AT32" s="97"/>
      <c r="AU32" s="96"/>
      <c r="AV32" s="97"/>
      <c r="AW32" s="96"/>
      <c r="AX32" s="97"/>
      <c r="AY32" s="96"/>
      <c r="AZ32" s="97"/>
      <c r="BA32" s="96"/>
      <c r="BB32" s="97"/>
      <c r="BC32" s="96"/>
      <c r="BD32" s="97"/>
      <c r="BE32" s="96"/>
      <c r="BF32" s="97"/>
      <c r="BG32" s="96"/>
      <c r="BH32" s="97"/>
      <c r="BI32" s="96"/>
      <c r="BJ32" s="97"/>
      <c r="BK32" s="96"/>
      <c r="BL32" s="97"/>
      <c r="BM32" s="96"/>
      <c r="BN32" s="97"/>
      <c r="BO32" s="96"/>
      <c r="BP32" s="97"/>
      <c r="BQ32" s="96"/>
      <c r="BR32" s="97"/>
      <c r="BS32" s="96"/>
      <c r="BT32" s="97"/>
      <c r="BU32" s="96"/>
      <c r="BV32" s="97"/>
      <c r="BW32" s="96"/>
      <c r="BX32" s="97"/>
      <c r="BY32" s="100" t="n">
        <f aca="false">AK32+AM32+AO32+AQ32+AS32+AU32+AW32+AY32+BA32+BC32+BE32+BG32+BI32+BK32+BM32+BO32+BQ32+BS32+BU32+BW32</f>
        <v>0</v>
      </c>
      <c r="BZ32" s="101" t="n">
        <f aca="false">IF(AND(BY32=0,CC32=0),0,(ABS(AK32)*AL32+ABS(AM32)*AN32+ABS(AO32)*AP32+ABS(AQ32)*AR32+ABS(AS32)*AT32+ABS(AU32)*AV32+ABS(AW32)*AX32+ABS(AY32)*AZ32+ABS(BA32)*BB32+ABS(BC32)*BD32+ABS(BE32)*BF32+ABS(BG32)*BH32+ABS(BI32)*BJ32+ABS(BK32)*BL32+ABS(BM32)*BN32+ABS(BO32)*BP32+ABS(BQ32)*BR32+ABS(BS32)*BT32+ABS(BU32)*BV32+ABS(BW32)*BX32)/CC32)</f>
        <v>0</v>
      </c>
      <c r="CB32" s="103" t="n">
        <f aca="false">AJ32</f>
        <v>37803</v>
      </c>
      <c r="CC32" s="102" t="n">
        <f aca="false">ABS(AK32)+ABS(AM32)+ABS(AO32)+ABS(AQ32)+ABS(AS32)+ABS(AU32)+ABS(AW32)+ABS(AY32)+ABS(BA32)+ABS(BC32)+ABS(BE32)+ABS(BG32)+ABS(BI32)+ABS(BK32)+ABS(BM32)+ABS(BO32)+ABS(BQ32)+ABS(BS32)+ABS(BU32)+ABS(BW32)</f>
        <v>0</v>
      </c>
      <c r="CD32" s="104" t="n">
        <f aca="false">16*DK32</f>
        <v>416</v>
      </c>
      <c r="CE32" s="102" t="n">
        <f aca="false">16*DL32</f>
        <v>352</v>
      </c>
      <c r="CF32" s="105" t="n">
        <f aca="false">CD32-CE32</f>
        <v>64</v>
      </c>
      <c r="CG32" s="102" t="n">
        <f aca="false">VLOOKUP(A32,Interest!$X$8:$AC$367,6)</f>
        <v>0.948374370921429</v>
      </c>
      <c r="CH32" s="106" t="n">
        <f aca="false">E32-B32</f>
        <v>0</v>
      </c>
      <c r="CI32" s="106" t="n">
        <f aca="false">IF(YEAR($AJ32)=$CI$10,(($I32-$AL$48)*$AK$48+($I32-$AN$48)*$AM$48+($I32-$AP$48)*$AO$48+($I32-$AR$48)*$AQ$48+($I32-$AT$48)*$AS$48+($I32-$AV$48)*$AU$48+($I32-$AX$48)*$AW$48+($I32-$AZ$48)*$AY$48+($I32-$BB$48)*$BA$48+($I32-$BD$48)*$BC$48+($I32-$BF$48)*$BE$48+($I32-$BH$48)*$BG$48+($I32-$BJ$48)*$BI$48+($I32-$BL$48)*$BK$48+($I32-$BN$48)*$BM$48+($I32-$BP$48)*$BO$48+($I32-$BR$48)*$BQ$48+($I32-$BT$48)*$BS$48+($I32-$BV$48)*$BU$48+($I32-$BX$48)*$BW$48)*$CD32*$CG32,0)</f>
        <v>0</v>
      </c>
      <c r="CJ32" s="106" t="n">
        <f aca="false">IF(YEAR($AJ32)=$CJ$10,(($I32-$AL$49)*$AK$49+($I32-$AN$49)*$AM$49+($I32-$AP$49)*$AO$49+($I32-$AR$49)*$AQ$49+($I32-$AT$49)*$AS$49+($I32-$AV$49)*$AU$49+($I32-$AX$49)*$AW$49+($I32-$AZ$49)*$AY$49+($I32-$BB$49)*$BA$49+($I32-$BD$49)*$BC$49+($I32-$BF$49)*$BE$49+($I32-$BH$49)*$BG$49+($I32-$BJ$49)*$BI$49+($I32-$BL$49)*$BK$49+($I32-$BN$49)*$BM$49+($I32-$BP$49)*$BO$49+($I32-$BR$49)*$BQ$49+($I32-$BT$49)*$BS$49+($I32-$BV$49)*$BU$49+($I32-$BX$49)*$BW$49)*$CD32*$CG32,0)</f>
        <v>0</v>
      </c>
      <c r="CK32" s="106" t="n">
        <f aca="false">IF(YEAR($AJ32)=$CK$10,(($I32-$AL$50)*$AK$50+($I32-$AN$50)*$AM$50+($I32-$AP$50)*$AO$50+($I32-$AR$50)*$AQ$50+($I32-$AT$50)*$AS$50+($I32-$AV$50)*$AU$50+($I32-$AX$50)*$AW$50+($I32-$AZ$50)*$AY$50+($I32-$BB$50)*$BA$50+($I32-$BD$50)*$BC$50+($I32-$BF$50)*$BE$50+($I32-$BH$50)*$BG$50+($I32-$BJ$50)*$BI$50+($I32-$BL$50)*$BK$50+($I32-$BN$50)*$BM$50+($I32-$BP$50)*$BO$50+($I32-$BR$50)*$BQ$50+($I32-$BT$50)*$BS$50+($I32-$BV$50)*$BU$50+($I32-$BX$50)*$BW$50)*$CD32*$CG32,0)</f>
        <v>0</v>
      </c>
      <c r="CL32" s="1" t="n">
        <f aca="false">CC32*CD32</f>
        <v>0</v>
      </c>
      <c r="CM32" s="129"/>
      <c r="CN32" s="105"/>
      <c r="CO32" s="129"/>
      <c r="DI32" s="1" t="n">
        <f aca="false">DK32-DL32</f>
        <v>4</v>
      </c>
      <c r="DJ32" s="107" t="n">
        <f aca="false">[2]EnergyCurve!$D54</f>
        <v>37803</v>
      </c>
      <c r="DK32" s="2" t="n">
        <f aca="false">IF($L$6=0,VLOOKUP(DJ32,$DM$13:$DQ$252,2)+VLOOKUP(DJ32,$DU$13:$DY$252,3),VLOOKUP(DJ32,$DU$13:$DY$252,2)+VLOOKUP(DJ32,$DU$13:$DY$252,3))</f>
        <v>26</v>
      </c>
      <c r="DL32" s="2" t="n">
        <f aca="false">IF($L$6=0,VLOOKUP(DJ32,$DM$13:$DQ$252,2),VLOOKUP(DJ32,$DU$13:$DY$252,2))</f>
        <v>22</v>
      </c>
      <c r="DM32" s="130" t="n">
        <v>37469</v>
      </c>
      <c r="DN32" s="22" t="n">
        <v>21</v>
      </c>
      <c r="DO32" s="22" t="n">
        <v>5</v>
      </c>
      <c r="DP32" s="22" t="n">
        <v>4</v>
      </c>
      <c r="DQ32" s="22" t="n">
        <v>1</v>
      </c>
      <c r="DR32" s="22" t="n">
        <v>31</v>
      </c>
      <c r="DS32" s="111"/>
      <c r="DT32" s="111"/>
      <c r="DU32" s="130" t="n">
        <v>37469</v>
      </c>
      <c r="DV32" s="22" t="n">
        <v>22</v>
      </c>
      <c r="DW32" s="22" t="n">
        <v>5</v>
      </c>
      <c r="DX32" s="22" t="n">
        <v>4</v>
      </c>
      <c r="DY32" s="22" t="n">
        <v>0</v>
      </c>
      <c r="DZ32" s="22" t="n">
        <v>31</v>
      </c>
      <c r="EA32" s="111"/>
      <c r="EB32" s="111"/>
      <c r="EQ32" s="107"/>
      <c r="ER32" s="111"/>
      <c r="ES32" s="44"/>
      <c r="ET32" s="44"/>
    </row>
    <row r="33" customFormat="false" ht="18.75" hidden="false" customHeight="true" outlineLevel="0" collapsed="false">
      <c r="A33" s="154" t="n">
        <f aca="false">[2]EnergyCurve!$D55</f>
        <v>37834</v>
      </c>
      <c r="B33" s="155" t="n">
        <f aca="false">[2]EnergyCurve!$O55+[2]EnergyCurve!$Q55</f>
        <v>237134.0703125</v>
      </c>
      <c r="C33" s="156" t="n">
        <f aca="false">B33/(CG33*CD33)</f>
        <v>603.244207902425</v>
      </c>
      <c r="D33" s="156" t="n">
        <f aca="false">BY33+IF(YEAR(A33)=$T$20,$BY$48,0)+IF(YEAR(A33)=$T$21,$BY$49,0)+IF(YEAR(A33)=$T$22,$BY$50,0)</f>
        <v>0</v>
      </c>
      <c r="E33" s="157" t="n">
        <f aca="false">B33+(D33*CD33*CG33)</f>
        <v>237134.0703125</v>
      </c>
      <c r="F33" s="158" t="n">
        <f aca="false">C33+D33</f>
        <v>603.244207902425</v>
      </c>
      <c r="G33" s="159" t="n">
        <f aca="false">([2]EnergyCurve!$E55*CE33+[2]EnergyCurve!$W55*CF33)/CD33</f>
        <v>49.7136597266564</v>
      </c>
      <c r="H33" s="160" t="n">
        <f aca="false">I33-G33</f>
        <v>-1.45443084076505</v>
      </c>
      <c r="I33" s="161" t="n">
        <f aca="false">([2]EnergyCurve!$G55*CE33+[2]EnergyCurve!$Y55*CF33)/CD33</f>
        <v>48.2592288858914</v>
      </c>
      <c r="J33" s="157" t="n">
        <f aca="false">H33*B33</f>
        <v>-344895.105258648</v>
      </c>
      <c r="K33" s="162" t="n">
        <f aca="false">(((I33-AL33)*AK33+(I33-AN33)*AM33+(I33-AP33)*AO33+(I33-AR33)*AQ33+(I33-AT33)*AS33+(I33-AV33)*AU33+(I33-AX33)*AW33+(I33-AZ33)*AY33+(I33-BB33)*BA33+(I33-BD33)*BC33+(I33-BF33)*BE33+(I33-BH33)*BG33+(I33-BJ33)*BI33+(I33-BL33)*BK33+(I33-BN33)*BM33+(I33-BP33)*BO33+(I33-BR33)*BQ33+(I33-BT33)*BS33+(I33-BV33)*BU33+(I33-BX33)*BW33)*CD33*CG33)+CI33+CJ33+CK33</f>
        <v>0</v>
      </c>
      <c r="L33" s="162" t="n">
        <f aca="false">J33+K33</f>
        <v>-344895.105258648</v>
      </c>
      <c r="M33" s="131"/>
      <c r="N33" s="163" t="n">
        <f aca="false">A33</f>
        <v>37834</v>
      </c>
      <c r="O33" s="164" t="n">
        <v>28</v>
      </c>
      <c r="P33" s="164" t="n">
        <v>29</v>
      </c>
      <c r="Q33" s="165" t="n">
        <f aca="false">AVERAGE(O33:P33)-G33</f>
        <v>-21.2136597266564</v>
      </c>
      <c r="R33" s="166"/>
      <c r="S33" s="167" t="n">
        <f aca="false">I33</f>
        <v>48.2592288858914</v>
      </c>
      <c r="T33" s="88" t="n">
        <f aca="false">IF(U32=4,T32+1,T32)</f>
        <v>2003</v>
      </c>
      <c r="U33" s="89" t="n">
        <f aca="false">IF(U32=4,1,U32+1)</f>
        <v>3</v>
      </c>
      <c r="V33" s="152"/>
      <c r="W33" s="152"/>
      <c r="X33" s="152"/>
      <c r="Y33" s="9"/>
      <c r="Z33" s="149"/>
      <c r="AA33" s="153"/>
      <c r="AB33" s="152"/>
      <c r="AC33" s="152"/>
      <c r="AD33" s="152"/>
      <c r="AE33" s="46"/>
      <c r="AF33" s="46"/>
      <c r="AG33" s="46"/>
      <c r="AH33" s="46"/>
      <c r="AI33" s="46"/>
      <c r="AJ33" s="95" t="n">
        <f aca="false">A33</f>
        <v>37834</v>
      </c>
      <c r="AK33" s="96"/>
      <c r="AL33" s="97"/>
      <c r="AM33" s="96"/>
      <c r="AN33" s="97"/>
      <c r="AO33" s="96"/>
      <c r="AP33" s="97"/>
      <c r="AQ33" s="96"/>
      <c r="AR33" s="97"/>
      <c r="AS33" s="96"/>
      <c r="AT33" s="97"/>
      <c r="AU33" s="96"/>
      <c r="AV33" s="97"/>
      <c r="AW33" s="96"/>
      <c r="AX33" s="97"/>
      <c r="AY33" s="96"/>
      <c r="AZ33" s="97"/>
      <c r="BA33" s="96"/>
      <c r="BB33" s="97"/>
      <c r="BC33" s="96"/>
      <c r="BD33" s="97"/>
      <c r="BE33" s="96"/>
      <c r="BF33" s="97"/>
      <c r="BG33" s="96"/>
      <c r="BH33" s="97"/>
      <c r="BI33" s="96"/>
      <c r="BJ33" s="97"/>
      <c r="BK33" s="96"/>
      <c r="BL33" s="97"/>
      <c r="BM33" s="96"/>
      <c r="BN33" s="97"/>
      <c r="BO33" s="96"/>
      <c r="BP33" s="97"/>
      <c r="BQ33" s="96"/>
      <c r="BR33" s="97"/>
      <c r="BS33" s="96"/>
      <c r="BT33" s="97"/>
      <c r="BU33" s="96"/>
      <c r="BV33" s="97"/>
      <c r="BW33" s="96"/>
      <c r="BX33" s="97"/>
      <c r="BY33" s="100" t="n">
        <f aca="false">AK33+AM33+AO33+AQ33+AS33+AU33+AW33+AY33+BA33+BC33+BE33+BG33+BI33+BK33+BM33+BO33+BQ33+BS33+BU33+BW33</f>
        <v>0</v>
      </c>
      <c r="BZ33" s="101" t="n">
        <f aca="false">IF(AND(BY33=0,CC33=0),0,(ABS(AK33)*AL33+ABS(AM33)*AN33+ABS(AO33)*AP33+ABS(AQ33)*AR33+ABS(AS33)*AT33+ABS(AU33)*AV33+ABS(AW33)*AX33+ABS(AY33)*AZ33+ABS(BA33)*BB33+ABS(BC33)*BD33+ABS(BE33)*BF33+ABS(BG33)*BH33+ABS(BI33)*BJ33+ABS(BK33)*BL33+ABS(BM33)*BN33+ABS(BO33)*BP33+ABS(BQ33)*BR33+ABS(BS33)*BT33+ABS(BU33)*BV33+ABS(BW33)*BX33)/CC33)</f>
        <v>0</v>
      </c>
      <c r="CB33" s="103" t="n">
        <f aca="false">AJ33</f>
        <v>37834</v>
      </c>
      <c r="CC33" s="102" t="n">
        <f aca="false">ABS(AK33)+ABS(AM33)+ABS(AO33)+ABS(AQ33)+ABS(AS33)+ABS(AU33)+ABS(AW33)+ABS(AY33)+ABS(BA33)+ABS(BC33)+ABS(BE33)+ABS(BG33)+ABS(BI33)+ABS(BK33)+ABS(BM33)+ABS(BO33)+ABS(BQ33)+ABS(BS33)+ABS(BU33)+ABS(BW33)</f>
        <v>0</v>
      </c>
      <c r="CD33" s="104" t="n">
        <f aca="false">16*DK33</f>
        <v>416</v>
      </c>
      <c r="CE33" s="102" t="n">
        <f aca="false">16*DL33</f>
        <v>336</v>
      </c>
      <c r="CF33" s="105" t="n">
        <f aca="false">CD33-CE33</f>
        <v>80</v>
      </c>
      <c r="CG33" s="102" t="n">
        <f aca="false">VLOOKUP(A33,Interest!$X$8:$AC$367,6)</f>
        <v>0.944947030405288</v>
      </c>
      <c r="CH33" s="106" t="n">
        <f aca="false">E33-B33</f>
        <v>0</v>
      </c>
      <c r="CI33" s="106" t="n">
        <f aca="false">IF(YEAR($AJ33)=$CI$10,(($I33-$AL$48)*$AK$48+($I33-$AN$48)*$AM$48+($I33-$AP$48)*$AO$48+($I33-$AR$48)*$AQ$48+($I33-$AT$48)*$AS$48+($I33-$AV$48)*$AU$48+($I33-$AX$48)*$AW$48+($I33-$AZ$48)*$AY$48+($I33-$BB$48)*$BA$48+($I33-$BD$48)*$BC$48+($I33-$BF$48)*$BE$48+($I33-$BH$48)*$BG$48+($I33-$BJ$48)*$BI$48+($I33-$BL$48)*$BK$48+($I33-$BN$48)*$BM$48+($I33-$BP$48)*$BO$48+($I33-$BR$48)*$BQ$48+($I33-$BT$48)*$BS$48+($I33-$BV$48)*$BU$48+($I33-$BX$48)*$BW$48)*$CD33*$CG33,0)</f>
        <v>0</v>
      </c>
      <c r="CJ33" s="106" t="n">
        <f aca="false">IF(YEAR($AJ33)=$CJ$10,(($I33-$AL$49)*$AK$49+($I33-$AN$49)*$AM$49+($I33-$AP$49)*$AO$49+($I33-$AR$49)*$AQ$49+($I33-$AT$49)*$AS$49+($I33-$AV$49)*$AU$49+($I33-$AX$49)*$AW$49+($I33-$AZ$49)*$AY$49+($I33-$BB$49)*$BA$49+($I33-$BD$49)*$BC$49+($I33-$BF$49)*$BE$49+($I33-$BH$49)*$BG$49+($I33-$BJ$49)*$BI$49+($I33-$BL$49)*$BK$49+($I33-$BN$49)*$BM$49+($I33-$BP$49)*$BO$49+($I33-$BR$49)*$BQ$49+($I33-$BT$49)*$BS$49+($I33-$BV$49)*$BU$49+($I33-$BX$49)*$BW$49)*$CD33*$CG33,0)</f>
        <v>0</v>
      </c>
      <c r="CK33" s="106" t="n">
        <f aca="false">IF(YEAR($AJ33)=$CK$10,(($I33-$AL$50)*$AK$50+($I33-$AN$50)*$AM$50+($I33-$AP$50)*$AO$50+($I33-$AR$50)*$AQ$50+($I33-$AT$50)*$AS$50+($I33-$AV$50)*$AU$50+($I33-$AX$50)*$AW$50+($I33-$AZ$50)*$AY$50+($I33-$BB$50)*$BA$50+($I33-$BD$50)*$BC$50+($I33-$BF$50)*$BE$50+($I33-$BH$50)*$BG$50+($I33-$BJ$50)*$BI$50+($I33-$BL$50)*$BK$50+($I33-$BN$50)*$BM$50+($I33-$BP$50)*$BO$50+($I33-$BR$50)*$BQ$50+($I33-$BT$50)*$BS$50+($I33-$BV$50)*$BU$50+($I33-$BX$50)*$BW$50)*$CD33*$CG33,0)</f>
        <v>0</v>
      </c>
      <c r="CL33" s="1" t="n">
        <f aca="false">CC33*CD33</f>
        <v>0</v>
      </c>
      <c r="CM33" s="129"/>
      <c r="CN33" s="105"/>
      <c r="CO33" s="129"/>
      <c r="DI33" s="1" t="n">
        <f aca="false">DK33-DL33</f>
        <v>5</v>
      </c>
      <c r="DJ33" s="107" t="n">
        <f aca="false">[2]EnergyCurve!$D55</f>
        <v>37834</v>
      </c>
      <c r="DK33" s="2" t="n">
        <f aca="false">IF($L$6=0,VLOOKUP(DJ33,$DM$13:$DQ$252,2)+VLOOKUP(DJ33,$DU$13:$DY$252,3),VLOOKUP(DJ33,$DU$13:$DY$252,2)+VLOOKUP(DJ33,$DU$13:$DY$252,3))</f>
        <v>26</v>
      </c>
      <c r="DL33" s="2" t="n">
        <f aca="false">IF($L$6=0,VLOOKUP(DJ33,$DM$13:$DQ$252,2),VLOOKUP(DJ33,$DU$13:$DY$252,2))</f>
        <v>21</v>
      </c>
      <c r="DM33" s="130" t="n">
        <v>37500</v>
      </c>
      <c r="DN33" s="22" t="n">
        <v>20</v>
      </c>
      <c r="DO33" s="22" t="n">
        <v>4</v>
      </c>
      <c r="DP33" s="22" t="n">
        <v>5</v>
      </c>
      <c r="DQ33" s="22" t="n">
        <v>1</v>
      </c>
      <c r="DR33" s="22" t="n">
        <v>30</v>
      </c>
      <c r="DS33" s="111"/>
      <c r="DT33" s="111"/>
      <c r="DU33" s="130" t="n">
        <v>37500</v>
      </c>
      <c r="DV33" s="22" t="n">
        <v>20</v>
      </c>
      <c r="DW33" s="22" t="n">
        <v>4</v>
      </c>
      <c r="DX33" s="22" t="n">
        <v>5</v>
      </c>
      <c r="DY33" s="22" t="n">
        <v>1</v>
      </c>
      <c r="DZ33" s="22" t="n">
        <v>30</v>
      </c>
      <c r="EA33" s="111"/>
      <c r="EB33" s="111"/>
      <c r="EQ33" s="107"/>
      <c r="ER33" s="111"/>
      <c r="ES33" s="44"/>
      <c r="ET33" s="44"/>
    </row>
    <row r="34" customFormat="false" ht="18" hidden="false" customHeight="true" outlineLevel="0" collapsed="false">
      <c r="A34" s="168" t="n">
        <f aca="false">[2]EnergyCurve!$D56</f>
        <v>37865</v>
      </c>
      <c r="B34" s="169" t="n">
        <f aca="false">[2]EnergyCurve!$O56+[2]EnergyCurve!$Q56</f>
        <v>227422.33984375</v>
      </c>
      <c r="C34" s="170" t="n">
        <f aca="false">B34/(CG34*CD34)</f>
        <v>603.870914597362</v>
      </c>
      <c r="D34" s="170" t="n">
        <f aca="false">BY34+IF(YEAR(A34)=$T$20,$BY$48,0)+IF(YEAR(A34)=$T$21,$BY$49,0)+IF(YEAR(A34)=$T$22,$BY$50,0)</f>
        <v>0</v>
      </c>
      <c r="E34" s="169" t="n">
        <f aca="false">B34+(D34*CD34*CG34)</f>
        <v>227422.33984375</v>
      </c>
      <c r="F34" s="171" t="n">
        <f aca="false">C34+D34</f>
        <v>603.870914597362</v>
      </c>
      <c r="G34" s="172" t="n">
        <f aca="false">([2]EnergyCurve!$E56*CE34+[2]EnergyCurve!$W56*CF34)/CD34</f>
        <v>49.7512445068359</v>
      </c>
      <c r="H34" s="172" t="n">
        <f aca="false">[2]EnergyCurve!$F56</f>
        <v>-1.38201166700888</v>
      </c>
      <c r="I34" s="173" t="n">
        <f aca="false">([2]EnergyCurve!$G56*CE34+[2]EnergyCurve!$Y56*CF34)/CD34</f>
        <v>48.3744976171132</v>
      </c>
      <c r="J34" s="169" t="n">
        <f aca="false">H34*B34</f>
        <v>-314300.32700252</v>
      </c>
      <c r="K34" s="174" t="n">
        <f aca="false">(((I34-AL34)*AK34+(I34-AN34)*AM34+(I34-AP34)*AO34+(I34-AR34)*AQ34+(I34-AT34)*AS34+(I34-AV34)*AU34+(I34-AX34)*AW34+(I34-AZ34)*AY34+(I34-BB34)*BA34+(I34-BD34)*BC34+(I34-BF34)*BE34+(I34-BH34)*BG34+(I34-BJ34)*BI34+(I34-BL34)*BK34+(I34-BN34)*BM34+(I34-BP34)*BO34+(I34-BR34)*BQ34+(I34-BT34)*BS34+(I34-BV34)*BU34+(I34-BX34)*BW34)*CD34*CG34)+CI34+CJ34+CK34</f>
        <v>0</v>
      </c>
      <c r="L34" s="174" t="n">
        <f aca="false">J34+K34</f>
        <v>-314300.32700252</v>
      </c>
      <c r="M34" s="143"/>
      <c r="N34" s="9"/>
      <c r="O34" s="175"/>
      <c r="P34" s="175"/>
      <c r="Q34" s="9"/>
      <c r="R34" s="9"/>
      <c r="S34" s="89"/>
      <c r="T34" s="88" t="n">
        <f aca="false">IF(U33=4,T33+1,T33)</f>
        <v>2003</v>
      </c>
      <c r="U34" s="89" t="n">
        <f aca="false">IF(U33=4,1,U33+1)</f>
        <v>4</v>
      </c>
      <c r="V34" s="152"/>
      <c r="W34" s="152"/>
      <c r="X34" s="152"/>
      <c r="Y34" s="9"/>
      <c r="Z34" s="149"/>
      <c r="AA34" s="150"/>
      <c r="AB34" s="151"/>
      <c r="AC34" s="151"/>
      <c r="AD34" s="151"/>
      <c r="AE34" s="46"/>
      <c r="AF34" s="46"/>
      <c r="AG34" s="46"/>
      <c r="AH34" s="46"/>
      <c r="AI34" s="46"/>
      <c r="AJ34" s="95" t="n">
        <f aca="false">A34</f>
        <v>37865</v>
      </c>
      <c r="AK34" s="96"/>
      <c r="AL34" s="97"/>
      <c r="AM34" s="96"/>
      <c r="AN34" s="97"/>
      <c r="AO34" s="96"/>
      <c r="AP34" s="97"/>
      <c r="AQ34" s="96"/>
      <c r="AR34" s="97"/>
      <c r="AS34" s="96"/>
      <c r="AT34" s="97"/>
      <c r="AU34" s="96"/>
      <c r="AV34" s="97"/>
      <c r="AW34" s="96"/>
      <c r="AX34" s="97"/>
      <c r="AY34" s="96"/>
      <c r="AZ34" s="97"/>
      <c r="BA34" s="96"/>
      <c r="BB34" s="97"/>
      <c r="BC34" s="96"/>
      <c r="BD34" s="97"/>
      <c r="BE34" s="96"/>
      <c r="BF34" s="97"/>
      <c r="BG34" s="96"/>
      <c r="BH34" s="97"/>
      <c r="BI34" s="96"/>
      <c r="BJ34" s="97"/>
      <c r="BK34" s="96"/>
      <c r="BL34" s="97"/>
      <c r="BM34" s="96"/>
      <c r="BN34" s="97"/>
      <c r="BO34" s="96"/>
      <c r="BP34" s="97"/>
      <c r="BQ34" s="96"/>
      <c r="BR34" s="97"/>
      <c r="BS34" s="96"/>
      <c r="BT34" s="97"/>
      <c r="BU34" s="96"/>
      <c r="BV34" s="97"/>
      <c r="BW34" s="96"/>
      <c r="BX34" s="97"/>
      <c r="BY34" s="100" t="n">
        <f aca="false">AK34+AM34+AO34+AQ34+AS34+AU34+AW34+AY34+BA34+BC34+BE34+BG34+BI34+BK34+BM34+BO34+BQ34+BS34+BU34+BW34</f>
        <v>0</v>
      </c>
      <c r="BZ34" s="101" t="n">
        <f aca="false">IF(AND(BY34=0,CC34=0),0,(ABS(AK34)*AL34+ABS(AM34)*AN34+ABS(AO34)*AP34+ABS(AQ34)*AR34+ABS(AS34)*AT34+ABS(AU34)*AV34+ABS(AW34)*AX34+ABS(AY34)*AZ34+ABS(BA34)*BB34+ABS(BC34)*BD34+ABS(BE34)*BF34+ABS(BG34)*BH34+ABS(BI34)*BJ34+ABS(BK34)*BL34+ABS(BM34)*BN34+ABS(BO34)*BP34+ABS(BQ34)*BR34+ABS(BS34)*BT34+ABS(BU34)*BV34+ABS(BW34)*BX34)/CC34)</f>
        <v>0</v>
      </c>
      <c r="CA34" s="102"/>
      <c r="CB34" s="103" t="n">
        <f aca="false">AJ34</f>
        <v>37865</v>
      </c>
      <c r="CC34" s="102" t="n">
        <f aca="false">ABS(AK34)+ABS(AM34)+ABS(AO34)+ABS(AQ34)+ABS(AS34)+ABS(AU34)+ABS(AW34)+ABS(AY34)+ABS(BA34)+ABS(BC34)+ABS(BE34)+ABS(BG34)+ABS(BI34)+ABS(BK34)+ABS(BM34)+ABS(BO34)+ABS(BQ34)+ABS(BS34)+ABS(BU34)+ABS(BW34)</f>
        <v>0</v>
      </c>
      <c r="CD34" s="104" t="n">
        <f aca="false">16*DK34</f>
        <v>400</v>
      </c>
      <c r="CE34" s="102" t="n">
        <f aca="false">16*DL34</f>
        <v>336</v>
      </c>
      <c r="CF34" s="105" t="n">
        <f aca="false">CD34-CE34</f>
        <v>64</v>
      </c>
      <c r="CG34" s="102" t="n">
        <f aca="false">VLOOKUP(A34,Interest!$X$8:$AC$367,6)</f>
        <v>0.941518850909496</v>
      </c>
      <c r="CH34" s="106" t="n">
        <f aca="false">E34-B34</f>
        <v>0</v>
      </c>
      <c r="CI34" s="106" t="n">
        <f aca="false">IF(YEAR($AJ34)=$CI$10,(($I34-$AL$48)*$AK$48+($I34-$AN$48)*$AM$48+($I34-$AP$48)*$AO$48+($I34-$AR$48)*$AQ$48+($I34-$AT$48)*$AS$48+($I34-$AV$48)*$AU$48+($I34-$AX$48)*$AW$48+($I34-$AZ$48)*$AY$48+($I34-$BB$48)*$BA$48+($I34-$BD$48)*$BC$48+($I34-$BF$48)*$BE$48+($I34-$BH$48)*$BG$48+($I34-$BJ$48)*$BI$48+($I34-$BL$48)*$BK$48+($I34-$BN$48)*$BM$48+($I34-$BP$48)*$BO$48+($I34-$BR$48)*$BQ$48+($I34-$BT$48)*$BS$48+($I34-$BV$48)*$BU$48+($I34-$BX$48)*$BW$48)*$CD34*$CG34,0)</f>
        <v>0</v>
      </c>
      <c r="CJ34" s="106" t="n">
        <f aca="false">IF(YEAR($AJ34)=$CJ$10,(($I34-$AL$49)*$AK$49+($I34-$AN$49)*$AM$49+($I34-$AP$49)*$AO$49+($I34-$AR$49)*$AQ$49+($I34-$AT$49)*$AS$49+($I34-$AV$49)*$AU$49+($I34-$AX$49)*$AW$49+($I34-$AZ$49)*$AY$49+($I34-$BB$49)*$BA$49+($I34-$BD$49)*$BC$49+($I34-$BF$49)*$BE$49+($I34-$BH$49)*$BG$49+($I34-$BJ$49)*$BI$49+($I34-$BL$49)*$BK$49+($I34-$BN$49)*$BM$49+($I34-$BP$49)*$BO$49+($I34-$BR$49)*$BQ$49+($I34-$BT$49)*$BS$49+($I34-$BV$49)*$BU$49+($I34-$BX$49)*$BW$49)*$CD34*$CG34,0)</f>
        <v>0</v>
      </c>
      <c r="CK34" s="106" t="n">
        <f aca="false">IF(YEAR($AJ34)=$CK$10,(($I34-$AL$50)*$AK$50+($I34-$AN$50)*$AM$50+($I34-$AP$50)*$AO$50+($I34-$AR$50)*$AQ$50+($I34-$AT$50)*$AS$50+($I34-$AV$50)*$AU$50+($I34-$AX$50)*$AW$50+($I34-$AZ$50)*$AY$50+($I34-$BB$50)*$BA$50+($I34-$BD$50)*$BC$50+($I34-$BF$50)*$BE$50+($I34-$BH$50)*$BG$50+($I34-$BJ$50)*$BI$50+($I34-$BL$50)*$BK$50+($I34-$BN$50)*$BM$50+($I34-$BP$50)*$BO$50+($I34-$BR$50)*$BQ$50+($I34-$BT$50)*$BS$50+($I34-$BV$50)*$BU$50+($I34-$BX$50)*$BW$50)*$CD34*$CG34,0)</f>
        <v>0</v>
      </c>
      <c r="CL34" s="1" t="n">
        <f aca="false">CC34*CD34</f>
        <v>0</v>
      </c>
      <c r="CM34" s="129"/>
      <c r="CN34" s="105"/>
      <c r="CO34" s="129"/>
      <c r="DI34" s="1" t="n">
        <f aca="false">DK34-DL34</f>
        <v>4</v>
      </c>
      <c r="DJ34" s="107" t="n">
        <f aca="false">[2]EnergyCurve!$D56</f>
        <v>37865</v>
      </c>
      <c r="DK34" s="2" t="n">
        <f aca="false">IF($L$6=0,VLOOKUP(DJ34,$DM$13:$DQ$252,2)+VLOOKUP(DJ34,$DU$13:$DY$252,3),VLOOKUP(DJ34,$DU$13:$DY$252,2)+VLOOKUP(DJ34,$DU$13:$DY$252,3))</f>
        <v>25</v>
      </c>
      <c r="DL34" s="2" t="n">
        <f aca="false">IF($L$6=0,VLOOKUP(DJ34,$DM$13:$DQ$252,2),VLOOKUP(DJ34,$DU$13:$DY$252,2))</f>
        <v>21</v>
      </c>
      <c r="DM34" s="130" t="n">
        <v>37530</v>
      </c>
      <c r="DN34" s="22" t="n">
        <v>22</v>
      </c>
      <c r="DO34" s="22" t="n">
        <v>4</v>
      </c>
      <c r="DP34" s="22" t="n">
        <v>4</v>
      </c>
      <c r="DQ34" s="22" t="n">
        <v>1</v>
      </c>
      <c r="DR34" s="22" t="n">
        <v>31</v>
      </c>
      <c r="DS34" s="111"/>
      <c r="DT34" s="111"/>
      <c r="DU34" s="130" t="n">
        <v>37530</v>
      </c>
      <c r="DV34" s="22" t="n">
        <v>23</v>
      </c>
      <c r="DW34" s="22" t="n">
        <v>4</v>
      </c>
      <c r="DX34" s="22" t="n">
        <v>4</v>
      </c>
      <c r="DY34" s="22" t="n">
        <v>0</v>
      </c>
      <c r="DZ34" s="22" t="n">
        <v>31</v>
      </c>
      <c r="EA34" s="111"/>
      <c r="EB34" s="111"/>
      <c r="EQ34" s="107"/>
      <c r="ER34" s="111"/>
      <c r="ES34" s="44"/>
      <c r="ET34" s="44"/>
    </row>
    <row r="35" customFormat="false" ht="18" hidden="false" customHeight="true" outlineLevel="0" collapsed="false">
      <c r="A35" s="168" t="n">
        <f aca="false">[2]EnergyCurve!$D57</f>
        <v>37895</v>
      </c>
      <c r="B35" s="169" t="n">
        <f aca="false">[2]EnergyCurve!$O57+[2]EnergyCurve!$Q57</f>
        <v>244443.58984375</v>
      </c>
      <c r="C35" s="170" t="n">
        <f aca="false">B35/(CG35*CD35)</f>
        <v>603.263198427382</v>
      </c>
      <c r="D35" s="170" t="n">
        <f aca="false">BY35+IF(YEAR(A35)=$T$20,$BY$48,0)+IF(YEAR(A35)=$T$21,$BY$49,0)+IF(YEAR(A35)=$T$22,$BY$50,0)</f>
        <v>0</v>
      </c>
      <c r="E35" s="169" t="n">
        <f aca="false">B35+(D35*CD35*CG35)</f>
        <v>244443.58984375</v>
      </c>
      <c r="F35" s="171" t="n">
        <f aca="false">C35+D35</f>
        <v>603.263198427382</v>
      </c>
      <c r="G35" s="172" t="n">
        <f aca="false">([2]EnergyCurve!$E57*CE35+[2]EnergyCurve!$W57*CF35)/CD35</f>
        <v>49.9992315504286</v>
      </c>
      <c r="H35" s="172" t="n">
        <f aca="false">[2]EnergyCurve!$F57</f>
        <v>-1.30314503878709</v>
      </c>
      <c r="I35" s="173" t="n">
        <f aca="false">([2]EnergyCurve!$G57*CE35+[2]EnergyCurve!$Y57*CF35)/CD35</f>
        <v>48.7006831028045</v>
      </c>
      <c r="J35" s="169" t="n">
        <f aca="false">H35*B35</f>
        <v>-318545.451368188</v>
      </c>
      <c r="K35" s="174" t="n">
        <f aca="false">(((I35-AL35)*AK35+(I35-AN35)*AM35+(I35-AP35)*AO35+(I35-AR35)*AQ35+(I35-AT35)*AS35+(I35-AV35)*AU35+(I35-AX35)*AW35+(I35-AZ35)*AY35+(I35-BB35)*BA35+(I35-BD35)*BC35+(I35-BF35)*BE35+(I35-BH35)*BG35+(I35-BJ35)*BI35+(I35-BL35)*BK35+(I35-BN35)*BM35+(I35-BP35)*BO35+(I35-BR35)*BQ35+(I35-BT35)*BS35+(I35-BV35)*BU35+(I35-BX35)*BW35)*CD35*CG35)+CI35+CJ35+CK35</f>
        <v>0</v>
      </c>
      <c r="L35" s="174" t="n">
        <f aca="false">J35+K35</f>
        <v>-318545.451368188</v>
      </c>
      <c r="M35" s="143"/>
      <c r="N35" s="176"/>
      <c r="O35" s="142"/>
      <c r="P35" s="142"/>
      <c r="Q35" s="177"/>
      <c r="R35" s="9"/>
      <c r="S35" s="89"/>
      <c r="T35" s="88" t="n">
        <f aca="false">IF(MONTH(TradeSum!$B$2)&gt;8,YEAR(TradeSum!$B$2)+1,YEAR(TradeSum!$B$2))</f>
        <v>2002</v>
      </c>
      <c r="U35" s="89"/>
      <c r="V35" s="152"/>
      <c r="W35" s="152"/>
      <c r="X35" s="152"/>
      <c r="Y35" s="9"/>
      <c r="Z35" s="149"/>
      <c r="AA35" s="153"/>
      <c r="AB35" s="152"/>
      <c r="AC35" s="152"/>
      <c r="AD35" s="152"/>
      <c r="AE35" s="46"/>
      <c r="AF35" s="46"/>
      <c r="AG35" s="46"/>
      <c r="AH35" s="46"/>
      <c r="AI35" s="46"/>
      <c r="AJ35" s="95" t="n">
        <f aca="false">A35</f>
        <v>37895</v>
      </c>
      <c r="AK35" s="96"/>
      <c r="AL35" s="97"/>
      <c r="AM35" s="96"/>
      <c r="AN35" s="97"/>
      <c r="AO35" s="96"/>
      <c r="AP35" s="97"/>
      <c r="AQ35" s="96"/>
      <c r="AR35" s="97"/>
      <c r="AS35" s="96"/>
      <c r="AT35" s="97"/>
      <c r="AU35" s="96"/>
      <c r="AV35" s="97"/>
      <c r="AW35" s="96"/>
      <c r="AX35" s="97"/>
      <c r="AY35" s="96"/>
      <c r="AZ35" s="97"/>
      <c r="BA35" s="96"/>
      <c r="BB35" s="97"/>
      <c r="BC35" s="96"/>
      <c r="BD35" s="97"/>
      <c r="BE35" s="96"/>
      <c r="BF35" s="97"/>
      <c r="BG35" s="96"/>
      <c r="BH35" s="97"/>
      <c r="BI35" s="96"/>
      <c r="BJ35" s="97"/>
      <c r="BK35" s="96"/>
      <c r="BL35" s="97"/>
      <c r="BM35" s="96"/>
      <c r="BN35" s="97"/>
      <c r="BO35" s="96"/>
      <c r="BP35" s="97"/>
      <c r="BQ35" s="96"/>
      <c r="BR35" s="97"/>
      <c r="BS35" s="96"/>
      <c r="BT35" s="97"/>
      <c r="BU35" s="96"/>
      <c r="BV35" s="97"/>
      <c r="BW35" s="96"/>
      <c r="BX35" s="97"/>
      <c r="BY35" s="100" t="n">
        <f aca="false">AK35+AM35+AO35+AQ35+AS35+AU35+AW35+AY35+BA35+BC35+BE35+BG35+BI35+BK35+BM35+BO35+BQ35+BS35+BU35+BW35</f>
        <v>0</v>
      </c>
      <c r="BZ35" s="101" t="n">
        <f aca="false">IF(AND(BY35=0,CC35=0),0,(ABS(AK35)*AL35+ABS(AM35)*AN35+ABS(AO35)*AP35+ABS(AQ35)*AR35+ABS(AS35)*AT35+ABS(AU35)*AV35+ABS(AW35)*AX35+ABS(AY35)*AZ35+ABS(BA35)*BB35+ABS(BC35)*BD35+ABS(BE35)*BF35+ABS(BG35)*BH35+ABS(BI35)*BJ35+ABS(BK35)*BL35+ABS(BM35)*BN35+ABS(BO35)*BP35+ABS(BQ35)*BR35+ABS(BS35)*BT35+ABS(BU35)*BV35+ABS(BW35)*BX35)/CC35)</f>
        <v>0</v>
      </c>
      <c r="CA35" s="102"/>
      <c r="CB35" s="103" t="n">
        <f aca="false">AJ35</f>
        <v>37895</v>
      </c>
      <c r="CC35" s="102" t="n">
        <f aca="false">ABS(AK35)+ABS(AM35)+ABS(AO35)+ABS(AQ35)+ABS(AS35)+ABS(AU35)+ABS(AW35)+ABS(AY35)+ABS(BA35)+ABS(BC35)+ABS(BE35)+ABS(BG35)+ABS(BI35)+ABS(BK35)+ABS(BM35)+ABS(BO35)+ABS(BQ35)+ABS(BS35)+ABS(BU35)+ABS(BW35)</f>
        <v>0</v>
      </c>
      <c r="CD35" s="104" t="n">
        <f aca="false">16*DK35</f>
        <v>432</v>
      </c>
      <c r="CE35" s="102" t="n">
        <f aca="false">16*DL35</f>
        <v>368</v>
      </c>
      <c r="CF35" s="105" t="n">
        <f aca="false">CD35-CE35</f>
        <v>64</v>
      </c>
      <c r="CG35" s="102" t="n">
        <f aca="false">VLOOKUP(A35,Interest!$X$8:$AC$367,6)</f>
        <v>0.937968111815695</v>
      </c>
      <c r="CH35" s="106" t="n">
        <f aca="false">E35-B35</f>
        <v>0</v>
      </c>
      <c r="CI35" s="106" t="n">
        <f aca="false">IF(YEAR($AJ35)=$CI$10,(($I35-$AL$48)*$AK$48+($I35-$AN$48)*$AM$48+($I35-$AP$48)*$AO$48+($I35-$AR$48)*$AQ$48+($I35-$AT$48)*$AS$48+($I35-$AV$48)*$AU$48+($I35-$AX$48)*$AW$48+($I35-$AZ$48)*$AY$48+($I35-$BB$48)*$BA$48+($I35-$BD$48)*$BC$48+($I35-$BF$48)*$BE$48+($I35-$BH$48)*$BG$48+($I35-$BJ$48)*$BI$48+($I35-$BL$48)*$BK$48+($I35-$BN$48)*$BM$48+($I35-$BP$48)*$BO$48+($I35-$BR$48)*$BQ$48+($I35-$BT$48)*$BS$48+($I35-$BV$48)*$BU$48+($I35-$BX$48)*$BW$48)*$CD35*$CG35,0)</f>
        <v>0</v>
      </c>
      <c r="CJ35" s="106" t="n">
        <f aca="false">IF(YEAR($AJ35)=$CJ$10,(($I35-$AL$49)*$AK$49+($I35-$AN$49)*$AM$49+($I35-$AP$49)*$AO$49+($I35-$AR$49)*$AQ$49+($I35-$AT$49)*$AS$49+($I35-$AV$49)*$AU$49+($I35-$AX$49)*$AW$49+($I35-$AZ$49)*$AY$49+($I35-$BB$49)*$BA$49+($I35-$BD$49)*$BC$49+($I35-$BF$49)*$BE$49+($I35-$BH$49)*$BG$49+($I35-$BJ$49)*$BI$49+($I35-$BL$49)*$BK$49+($I35-$BN$49)*$BM$49+($I35-$BP$49)*$BO$49+($I35-$BR$49)*$BQ$49+($I35-$BT$49)*$BS$49+($I35-$BV$49)*$BU$49+($I35-$BX$49)*$BW$49)*$CD35*$CG35,0)</f>
        <v>0</v>
      </c>
      <c r="CK35" s="106" t="n">
        <f aca="false">IF(YEAR($AJ35)=$CK$10,(($I35-$AL$50)*$AK$50+($I35-$AN$50)*$AM$50+($I35-$AP$50)*$AO$50+($I35-$AR$50)*$AQ$50+($I35-$AT$50)*$AS$50+($I35-$AV$50)*$AU$50+($I35-$AX$50)*$AW$50+($I35-$AZ$50)*$AY$50+($I35-$BB$50)*$BA$50+($I35-$BD$50)*$BC$50+($I35-$BF$50)*$BE$50+($I35-$BH$50)*$BG$50+($I35-$BJ$50)*$BI$50+($I35-$BL$50)*$BK$50+($I35-$BN$50)*$BM$50+($I35-$BP$50)*$BO$50+($I35-$BR$50)*$BQ$50+($I35-$BT$50)*$BS$50+($I35-$BV$50)*$BU$50+($I35-$BX$50)*$BW$50)*$CD35*$CG35,0)</f>
        <v>0</v>
      </c>
      <c r="CL35" s="1" t="n">
        <f aca="false">CC35*CD35</f>
        <v>0</v>
      </c>
      <c r="CM35" s="129"/>
      <c r="CN35" s="105"/>
      <c r="CO35" s="129"/>
      <c r="DI35" s="1" t="n">
        <f aca="false">DK35-DL35</f>
        <v>4</v>
      </c>
      <c r="DJ35" s="107" t="n">
        <f aca="false">[2]EnergyCurve!$D57</f>
        <v>37895</v>
      </c>
      <c r="DK35" s="2" t="n">
        <f aca="false">IF($L$6=0,VLOOKUP(DJ35,$DM$13:$DQ$252,2)+VLOOKUP(DJ35,$DU$13:$DY$252,3),VLOOKUP(DJ35,$DU$13:$DY$252,2)+VLOOKUP(DJ35,$DU$13:$DY$252,3))</f>
        <v>27</v>
      </c>
      <c r="DL35" s="2" t="n">
        <f aca="false">IF($L$6=0,VLOOKUP(DJ35,$DM$13:$DQ$252,2),VLOOKUP(DJ35,$DU$13:$DY$252,2))</f>
        <v>23</v>
      </c>
      <c r="DM35" s="130" t="n">
        <v>37561</v>
      </c>
      <c r="DN35" s="22" t="n">
        <v>20</v>
      </c>
      <c r="DO35" s="22" t="n">
        <v>5</v>
      </c>
      <c r="DP35" s="22" t="n">
        <v>4</v>
      </c>
      <c r="DQ35" s="22" t="n">
        <v>1</v>
      </c>
      <c r="DR35" s="22" t="n">
        <v>30</v>
      </c>
      <c r="DS35" s="111"/>
      <c r="DT35" s="111"/>
      <c r="DU35" s="130" t="n">
        <v>37561</v>
      </c>
      <c r="DV35" s="22" t="n">
        <v>20</v>
      </c>
      <c r="DW35" s="22" t="n">
        <v>5</v>
      </c>
      <c r="DX35" s="22" t="n">
        <v>4</v>
      </c>
      <c r="DY35" s="22" t="n">
        <v>1</v>
      </c>
      <c r="DZ35" s="22" t="n">
        <v>30</v>
      </c>
      <c r="EA35" s="111"/>
      <c r="EB35" s="111"/>
      <c r="EQ35" s="107"/>
      <c r="ER35" s="111"/>
      <c r="ES35" s="44"/>
      <c r="ET35" s="44"/>
    </row>
    <row r="36" customFormat="false" ht="18" hidden="false" customHeight="true" outlineLevel="0" collapsed="false">
      <c r="A36" s="168" t="n">
        <f aca="false">[2]EnergyCurve!$D58</f>
        <v>37926</v>
      </c>
      <c r="B36" s="169" t="n">
        <f aca="false">[2]EnergyCurve!$O58+[2]EnergyCurve!$Q58</f>
        <v>216987.4453125</v>
      </c>
      <c r="C36" s="170" t="n">
        <f aca="false">B36/(CG36*CD36)</f>
        <v>604.716158769466</v>
      </c>
      <c r="D36" s="170" t="n">
        <f aca="false">BY36+IF(YEAR(A36)=$T$20,$BY$48,0)+IF(YEAR(A36)=$T$21,$BY$49,0)+IF(YEAR(A36)=$T$22,$BY$50,0)</f>
        <v>0</v>
      </c>
      <c r="E36" s="169" t="n">
        <f aca="false">B36+(D36*CD36*CG36)</f>
        <v>216987.4453125</v>
      </c>
      <c r="F36" s="171" t="n">
        <f aca="false">C36+D36</f>
        <v>604.716158769466</v>
      </c>
      <c r="G36" s="172" t="n">
        <f aca="false">([2]EnergyCurve!$E58*CE36+[2]EnergyCurve!$W58*CF36)/CD36</f>
        <v>52.7775704065959</v>
      </c>
      <c r="H36" s="172" t="n">
        <f aca="false">[2]EnergyCurve!$F58</f>
        <v>-1.1423632256098</v>
      </c>
      <c r="I36" s="173" t="n">
        <f aca="false">([2]EnergyCurve!$G58*CE36+[2]EnergyCurve!$Y58*CF36)/CD36</f>
        <v>51.6408731921874</v>
      </c>
      <c r="J36" s="169" t="n">
        <f aca="false">H36*B36</f>
        <v>-247878.477944017</v>
      </c>
      <c r="K36" s="174" t="n">
        <f aca="false">(((I36-AL36)*AK36+(I36-AN36)*AM36+(I36-AP36)*AO36+(I36-AR36)*AQ36+(I36-AT36)*AS36+(I36-AV36)*AU36+(I36-AX36)*AW36+(I36-AZ36)*AY36+(I36-BB36)*BA36+(I36-BD36)*BC36+(I36-BF36)*BE36+(I36-BH36)*BG36+(I36-BJ36)*BI36+(I36-BL36)*BK36+(I36-BN36)*BM36+(I36-BP36)*BO36+(I36-BR36)*BQ36+(I36-BT36)*BS36+(I36-BV36)*BU36+(I36-BX36)*BW36)*CD36*CG36)+CI36+CJ36+CK36</f>
        <v>0</v>
      </c>
      <c r="L36" s="174" t="n">
        <f aca="false">J36+K36</f>
        <v>-247878.477944017</v>
      </c>
      <c r="M36" s="9"/>
      <c r="N36" s="176"/>
      <c r="O36" s="177"/>
      <c r="P36" s="142"/>
      <c r="Q36" s="177"/>
      <c r="R36" s="9"/>
      <c r="S36" s="89"/>
      <c r="T36" s="88" t="n">
        <f aca="false">T35+1</f>
        <v>2003</v>
      </c>
      <c r="U36" s="89"/>
      <c r="V36" s="178"/>
      <c r="W36" s="152"/>
      <c r="X36" s="152"/>
      <c r="Y36" s="9"/>
      <c r="Z36" s="149"/>
      <c r="AA36" s="150"/>
      <c r="AB36" s="151"/>
      <c r="AC36" s="151"/>
      <c r="AD36" s="151"/>
      <c r="AE36" s="46"/>
      <c r="AF36" s="46"/>
      <c r="AG36" s="46"/>
      <c r="AH36" s="46"/>
      <c r="AI36" s="46"/>
      <c r="AJ36" s="95" t="n">
        <f aca="false">A36</f>
        <v>37926</v>
      </c>
      <c r="AK36" s="96"/>
      <c r="AL36" s="97"/>
      <c r="AM36" s="96"/>
      <c r="AN36" s="97"/>
      <c r="AO36" s="96"/>
      <c r="AP36" s="97"/>
      <c r="AQ36" s="96"/>
      <c r="AR36" s="97"/>
      <c r="AS36" s="96"/>
      <c r="AT36" s="97"/>
      <c r="AU36" s="96"/>
      <c r="AV36" s="97"/>
      <c r="AW36" s="96"/>
      <c r="AX36" s="97"/>
      <c r="AY36" s="96"/>
      <c r="AZ36" s="97"/>
      <c r="BA36" s="96"/>
      <c r="BB36" s="97"/>
      <c r="BC36" s="96"/>
      <c r="BD36" s="97"/>
      <c r="BE36" s="96"/>
      <c r="BF36" s="97"/>
      <c r="BG36" s="96"/>
      <c r="BH36" s="97"/>
      <c r="BI36" s="96"/>
      <c r="BJ36" s="97"/>
      <c r="BK36" s="96"/>
      <c r="BL36" s="97"/>
      <c r="BM36" s="96"/>
      <c r="BN36" s="97"/>
      <c r="BO36" s="96"/>
      <c r="BP36" s="97"/>
      <c r="BQ36" s="96"/>
      <c r="BR36" s="97"/>
      <c r="BS36" s="96"/>
      <c r="BT36" s="97"/>
      <c r="BU36" s="96"/>
      <c r="BV36" s="97"/>
      <c r="BW36" s="96"/>
      <c r="BX36" s="97"/>
      <c r="BY36" s="100" t="n">
        <f aca="false">AK36+AM36+AO36+AQ36+AS36+AU36+AW36+AY36+BA36+BC36+BE36+BG36+BI36+BK36+BM36+BO36+BQ36+BS36+BU36+BW36</f>
        <v>0</v>
      </c>
      <c r="BZ36" s="101" t="n">
        <f aca="false">IF(AND(BY36=0,CC36=0),0,(ABS(AK36)*AL36+ABS(AM36)*AN36+ABS(AO36)*AP36+ABS(AQ36)*AR36+ABS(AS36)*AT36+ABS(AU36)*AV36+ABS(AW36)*AX36+ABS(AY36)*AZ36+ABS(BA36)*BB36+ABS(BC36)*BD36+ABS(BE36)*BF36+ABS(BG36)*BH36+ABS(BI36)*BJ36+ABS(BK36)*BL36+ABS(BM36)*BN36+ABS(BO36)*BP36+ABS(BQ36)*BR36+ABS(BS36)*BT36+ABS(BU36)*BV36+ABS(BW36)*BX36)/CC36)</f>
        <v>0</v>
      </c>
      <c r="CA36" s="102"/>
      <c r="CB36" s="103" t="n">
        <f aca="false">AJ36</f>
        <v>37926</v>
      </c>
      <c r="CC36" s="102" t="n">
        <f aca="false">ABS(AK36)+ABS(AM36)+ABS(AO36)+ABS(AQ36)+ABS(AS36)+ABS(AU36)+ABS(AW36)+ABS(AY36)+ABS(BA36)+ABS(BC36)+ABS(BE36)+ABS(BG36)+ABS(BI36)+ABS(BK36)+ABS(BM36)+ABS(BO36)+ABS(BQ36)+ABS(BS36)+ABS(BU36)+ABS(BW36)</f>
        <v>0</v>
      </c>
      <c r="CD36" s="104" t="n">
        <f aca="false">16*DK36</f>
        <v>384</v>
      </c>
      <c r="CE36" s="102" t="n">
        <f aca="false">16*DL36</f>
        <v>304</v>
      </c>
      <c r="CF36" s="105" t="n">
        <f aca="false">CD36-CE36</f>
        <v>80</v>
      </c>
      <c r="CG36" s="102" t="n">
        <f aca="false">VLOOKUP(A36,Interest!$X$8:$AC$367,6)</f>
        <v>0.934440834717945</v>
      </c>
      <c r="CH36" s="106" t="n">
        <f aca="false">E36-B36</f>
        <v>0</v>
      </c>
      <c r="CI36" s="106" t="n">
        <f aca="false">IF(YEAR($AJ36)=$CI$10,(($I36-$AL$48)*$AK$48+($I36-$AN$48)*$AM$48+($I36-$AP$48)*$AO$48+($I36-$AR$48)*$AQ$48+($I36-$AT$48)*$AS$48+($I36-$AV$48)*$AU$48+($I36-$AX$48)*$AW$48+($I36-$AZ$48)*$AY$48+($I36-$BB$48)*$BA$48+($I36-$BD$48)*$BC$48+($I36-$BF$48)*$BE$48+($I36-$BH$48)*$BG$48+($I36-$BJ$48)*$BI$48+($I36-$BL$48)*$BK$48+($I36-$BN$48)*$BM$48+($I36-$BP$48)*$BO$48+($I36-$BR$48)*$BQ$48+($I36-$BT$48)*$BS$48+($I36-$BV$48)*$BU$48+($I36-$BX$48)*$BW$48)*$CD36*$CG36,0)</f>
        <v>0</v>
      </c>
      <c r="CJ36" s="106" t="n">
        <f aca="false">IF(YEAR($AJ36)=$CJ$10,(($I36-$AL$49)*$AK$49+($I36-$AN$49)*$AM$49+($I36-$AP$49)*$AO$49+($I36-$AR$49)*$AQ$49+($I36-$AT$49)*$AS$49+($I36-$AV$49)*$AU$49+($I36-$AX$49)*$AW$49+($I36-$AZ$49)*$AY$49+($I36-$BB$49)*$BA$49+($I36-$BD$49)*$BC$49+($I36-$BF$49)*$BE$49+($I36-$BH$49)*$BG$49+($I36-$BJ$49)*$BI$49+($I36-$BL$49)*$BK$49+($I36-$BN$49)*$BM$49+($I36-$BP$49)*$BO$49+($I36-$BR$49)*$BQ$49+($I36-$BT$49)*$BS$49+($I36-$BV$49)*$BU$49+($I36-$BX$49)*$BW$49)*$CD36*$CG36,0)</f>
        <v>0</v>
      </c>
      <c r="CK36" s="106" t="n">
        <f aca="false">IF(YEAR($AJ36)=$CK$10,(($I36-$AL$50)*$AK$50+($I36-$AN$50)*$AM$50+($I36-$AP$50)*$AO$50+($I36-$AR$50)*$AQ$50+($I36-$AT$50)*$AS$50+($I36-$AV$50)*$AU$50+($I36-$AX$50)*$AW$50+($I36-$AZ$50)*$AY$50+($I36-$BB$50)*$BA$50+($I36-$BD$50)*$BC$50+($I36-$BF$50)*$BE$50+($I36-$BH$50)*$BG$50+($I36-$BJ$50)*$BI$50+($I36-$BL$50)*$BK$50+($I36-$BN$50)*$BM$50+($I36-$BP$50)*$BO$50+($I36-$BR$50)*$BQ$50+($I36-$BT$50)*$BS$50+($I36-$BV$50)*$BU$50+($I36-$BX$50)*$BW$50)*$CD36*$CG36,0)</f>
        <v>0</v>
      </c>
      <c r="CL36" s="1" t="n">
        <f aca="false">CC36*CD36</f>
        <v>0</v>
      </c>
      <c r="CM36" s="129"/>
      <c r="CN36" s="105"/>
      <c r="CO36" s="129"/>
      <c r="DI36" s="1" t="n">
        <f aca="false">DK36-DL36</f>
        <v>5</v>
      </c>
      <c r="DJ36" s="107" t="n">
        <f aca="false">[2]EnergyCurve!$D58</f>
        <v>37926</v>
      </c>
      <c r="DK36" s="2" t="n">
        <f aca="false">IF($L$6=0,VLOOKUP(DJ36,$DM$13:$DQ$252,2)+VLOOKUP(DJ36,$DU$13:$DY$252,3),VLOOKUP(DJ36,$DU$13:$DY$252,2)+VLOOKUP(DJ36,$DU$13:$DY$252,3))</f>
        <v>24</v>
      </c>
      <c r="DL36" s="2" t="n">
        <f aca="false">IF($L$6=0,VLOOKUP(DJ36,$DM$13:$DQ$252,2),VLOOKUP(DJ36,$DU$13:$DY$252,2))</f>
        <v>19</v>
      </c>
      <c r="DM36" s="130" t="n">
        <v>37591</v>
      </c>
      <c r="DN36" s="22" t="n">
        <v>20</v>
      </c>
      <c r="DO36" s="22" t="n">
        <v>4</v>
      </c>
      <c r="DP36" s="22" t="n">
        <v>5</v>
      </c>
      <c r="DQ36" s="22" t="n">
        <v>2</v>
      </c>
      <c r="DR36" s="22" t="n">
        <v>31</v>
      </c>
      <c r="DS36" s="111"/>
      <c r="DT36" s="111"/>
      <c r="DU36" s="130" t="n">
        <v>37591</v>
      </c>
      <c r="DV36" s="22" t="n">
        <v>21</v>
      </c>
      <c r="DW36" s="22" t="n">
        <v>4</v>
      </c>
      <c r="DX36" s="22" t="n">
        <v>5</v>
      </c>
      <c r="DY36" s="22" t="n">
        <v>1</v>
      </c>
      <c r="DZ36" s="22" t="n">
        <v>31</v>
      </c>
      <c r="EA36" s="111"/>
      <c r="EB36" s="111"/>
      <c r="EQ36" s="107"/>
      <c r="ER36" s="111"/>
      <c r="ES36" s="44"/>
      <c r="ET36" s="44"/>
    </row>
    <row r="37" customFormat="false" ht="18" hidden="false" customHeight="true" outlineLevel="0" collapsed="false">
      <c r="A37" s="168" t="n">
        <f aca="false">[2]EnergyCurve!$D59</f>
        <v>37956</v>
      </c>
      <c r="B37" s="169" t="n">
        <f aca="false">[2]EnergyCurve!$O59+[2]EnergyCurve!$Q59</f>
        <v>234211.484375</v>
      </c>
      <c r="C37" s="170" t="n">
        <f aca="false">B37/(CG37*CD37)</f>
        <v>604.766090095306</v>
      </c>
      <c r="D37" s="170" t="n">
        <f aca="false">BY37+IF(YEAR(A37)=$T$20,$BY$48,0)+IF(YEAR(A37)=$T$21,$BY$49,0)+IF(YEAR(A37)=$T$22,$BY$50,0)</f>
        <v>0</v>
      </c>
      <c r="E37" s="169" t="n">
        <f aca="false">B37+(D37*CD37*CG37)</f>
        <v>234211.484375</v>
      </c>
      <c r="F37" s="171" t="n">
        <f aca="false">C37+D37</f>
        <v>604.766090095306</v>
      </c>
      <c r="G37" s="172" t="n">
        <f aca="false">([2]EnergyCurve!$E59*CE37+[2]EnergyCurve!$W59*CF37)/CD37</f>
        <v>55.1290459266076</v>
      </c>
      <c r="H37" s="172" t="n">
        <f aca="false">[2]EnergyCurve!$F59</f>
        <v>-1.0581692536935</v>
      </c>
      <c r="I37" s="173" t="n">
        <f aca="false">([2]EnergyCurve!$G59*CE37+[2]EnergyCurve!$Y59*CF37)/CD37</f>
        <v>54.0747525830874</v>
      </c>
      <c r="J37" s="169" t="n">
        <f aca="false">H37*B37</f>
        <v>-247835.39162754</v>
      </c>
      <c r="K37" s="174" t="n">
        <f aca="false">(((I37-AL37)*AK37+(I37-AN37)*AM37+(I37-AP37)*AO37+(I37-AR37)*AQ37+(I37-AT37)*AS37+(I37-AV37)*AU37+(I37-AX37)*AW37+(I37-AZ37)*AY37+(I37-BB37)*BA37+(I37-BD37)*BC37+(I37-BF37)*BE37+(I37-BH37)*BG37+(I37-BJ37)*BI37+(I37-BL37)*BK37+(I37-BN37)*BM37+(I37-BP37)*BO37+(I37-BR37)*BQ37+(I37-BT37)*BS37+(I37-BV37)*BU37+(I37-BX37)*BW37)*CD37*CG37)+CI37+CJ37+CK37</f>
        <v>0</v>
      </c>
      <c r="L37" s="174" t="n">
        <f aca="false">J37+K37</f>
        <v>-247835.39162754</v>
      </c>
      <c r="M37" s="9"/>
      <c r="N37" s="179"/>
      <c r="O37" s="142"/>
      <c r="P37" s="142"/>
      <c r="Q37" s="177"/>
      <c r="R37" s="9"/>
      <c r="S37" s="89"/>
      <c r="T37" s="88" t="n">
        <f aca="false">T36+1</f>
        <v>2004</v>
      </c>
      <c r="U37" s="89"/>
      <c r="V37" s="178"/>
      <c r="W37" s="152"/>
      <c r="X37" s="152"/>
      <c r="Y37" s="9"/>
      <c r="Z37" s="149"/>
      <c r="AA37" s="153"/>
      <c r="AB37" s="152"/>
      <c r="AC37" s="152"/>
      <c r="AD37" s="152"/>
      <c r="AE37" s="46"/>
      <c r="AF37" s="46"/>
      <c r="AG37" s="46"/>
      <c r="AH37" s="46"/>
      <c r="AI37" s="46"/>
      <c r="AJ37" s="95" t="n">
        <f aca="false">A37</f>
        <v>37956</v>
      </c>
      <c r="AK37" s="96"/>
      <c r="AL37" s="97"/>
      <c r="AM37" s="96"/>
      <c r="AN37" s="97"/>
      <c r="AO37" s="96"/>
      <c r="AP37" s="97"/>
      <c r="AQ37" s="96"/>
      <c r="AR37" s="97"/>
      <c r="AS37" s="96"/>
      <c r="AT37" s="97"/>
      <c r="AU37" s="96"/>
      <c r="AV37" s="97"/>
      <c r="AW37" s="96"/>
      <c r="AX37" s="97"/>
      <c r="AY37" s="96"/>
      <c r="AZ37" s="97"/>
      <c r="BA37" s="96"/>
      <c r="BB37" s="97"/>
      <c r="BC37" s="96"/>
      <c r="BD37" s="97"/>
      <c r="BE37" s="96"/>
      <c r="BF37" s="97"/>
      <c r="BG37" s="96"/>
      <c r="BH37" s="97"/>
      <c r="BI37" s="96"/>
      <c r="BJ37" s="97"/>
      <c r="BK37" s="96"/>
      <c r="BL37" s="97"/>
      <c r="BM37" s="96"/>
      <c r="BN37" s="97"/>
      <c r="BO37" s="96"/>
      <c r="BP37" s="97"/>
      <c r="BQ37" s="96"/>
      <c r="BR37" s="97"/>
      <c r="BS37" s="96"/>
      <c r="BT37" s="97"/>
      <c r="BU37" s="96"/>
      <c r="BV37" s="97"/>
      <c r="BW37" s="96"/>
      <c r="BX37" s="97"/>
      <c r="BY37" s="100" t="n">
        <f aca="false">AK37+AM37+AO37+AQ37+AS37+AU37+AW37+AY37+BA37+BC37+BE37+BG37+BI37+BK37+BM37+BO37+BQ37+BS37+BU37+BW37</f>
        <v>0</v>
      </c>
      <c r="BZ37" s="101" t="n">
        <f aca="false">IF(AND(BY37=0,CC37=0),0,(ABS(AK37)*AL37+ABS(AM37)*AN37+ABS(AO37)*AP37+ABS(AQ37)*AR37+ABS(AS37)*AT37+ABS(AU37)*AV37+ABS(AW37)*AX37+ABS(AY37)*AZ37+ABS(BA37)*BB37+ABS(BC37)*BD37+ABS(BE37)*BF37+ABS(BG37)*BH37+ABS(BI37)*BJ37+ABS(BK37)*BL37+ABS(BM37)*BN37+ABS(BO37)*BP37+ABS(BQ37)*BR37+ABS(BS37)*BT37+ABS(BU37)*BV37+ABS(BW37)*BX37)/CC37)</f>
        <v>0</v>
      </c>
      <c r="CA37" s="102"/>
      <c r="CB37" s="103" t="n">
        <f aca="false">AJ37</f>
        <v>37956</v>
      </c>
      <c r="CC37" s="102" t="n">
        <f aca="false">ABS(AK37)+ABS(AM37)+ABS(AO37)+ABS(AQ37)+ABS(AS37)+ABS(AU37)+ABS(AW37)+ABS(AY37)+ABS(BA37)+ABS(BC37)+ABS(BE37)+ABS(BG37)+ABS(BI37)+ABS(BK37)+ABS(BM37)+ABS(BO37)+ABS(BQ37)+ABS(BS37)+ABS(BU37)+ABS(BW37)</f>
        <v>0</v>
      </c>
      <c r="CD37" s="104" t="n">
        <f aca="false">16*DK37</f>
        <v>416</v>
      </c>
      <c r="CE37" s="102" t="n">
        <f aca="false">16*DL37</f>
        <v>352</v>
      </c>
      <c r="CF37" s="105" t="n">
        <f aca="false">CD37-CE37</f>
        <v>64</v>
      </c>
      <c r="CG37" s="102" t="n">
        <f aca="false">VLOOKUP(A37,Interest!$X$8:$AC$367,6)</f>
        <v>0.930952289029164</v>
      </c>
      <c r="CH37" s="106" t="n">
        <f aca="false">E37-B37</f>
        <v>0</v>
      </c>
      <c r="CI37" s="106" t="n">
        <f aca="false">IF(YEAR($AJ37)=$CI$10,(($I37-$AL$48)*$AK$48+($I37-$AN$48)*$AM$48+($I37-$AP$48)*$AO$48+($I37-$AR$48)*$AQ$48+($I37-$AT$48)*$AS$48+($I37-$AV$48)*$AU$48+($I37-$AX$48)*$AW$48+($I37-$AZ$48)*$AY$48+($I37-$BB$48)*$BA$48+($I37-$BD$48)*$BC$48+($I37-$BF$48)*$BE$48+($I37-$BH$48)*$BG$48+($I37-$BJ$48)*$BI$48+($I37-$BL$48)*$BK$48+($I37-$BN$48)*$BM$48+($I37-$BP$48)*$BO$48+($I37-$BR$48)*$BQ$48+($I37-$BT$48)*$BS$48+($I37-$BV$48)*$BU$48+($I37-$BX$48)*$BW$48)*$CD37*$CG37,0)</f>
        <v>0</v>
      </c>
      <c r="CJ37" s="106" t="n">
        <f aca="false">IF(YEAR($AJ37)=$CJ$10,(($I37-$AL$49)*$AK$49+($I37-$AN$49)*$AM$49+($I37-$AP$49)*$AO$49+($I37-$AR$49)*$AQ$49+($I37-$AT$49)*$AS$49+($I37-$AV$49)*$AU$49+($I37-$AX$49)*$AW$49+($I37-$AZ$49)*$AY$49+($I37-$BB$49)*$BA$49+($I37-$BD$49)*$BC$49+($I37-$BF$49)*$BE$49+($I37-$BH$49)*$BG$49+($I37-$BJ$49)*$BI$49+($I37-$BL$49)*$BK$49+($I37-$BN$49)*$BM$49+($I37-$BP$49)*$BO$49+($I37-$BR$49)*$BQ$49+($I37-$BT$49)*$BS$49+($I37-$BV$49)*$BU$49+($I37-$BX$49)*$BW$49)*$CD37*$CG37,0)</f>
        <v>0</v>
      </c>
      <c r="CK37" s="106" t="n">
        <f aca="false">IF(YEAR($AJ37)=$CK$10,(($I37-$AL$50)*$AK$50+($I37-$AN$50)*$AM$50+($I37-$AP$50)*$AO$50+($I37-$AR$50)*$AQ$50+($I37-$AT$50)*$AS$50+($I37-$AV$50)*$AU$50+($I37-$AX$50)*$AW$50+($I37-$AZ$50)*$AY$50+($I37-$BB$50)*$BA$50+($I37-$BD$50)*$BC$50+($I37-$BF$50)*$BE$50+($I37-$BH$50)*$BG$50+($I37-$BJ$50)*$BI$50+($I37-$BL$50)*$BK$50+($I37-$BN$50)*$BM$50+($I37-$BP$50)*$BO$50+($I37-$BR$50)*$BQ$50+($I37-$BT$50)*$BS$50+($I37-$BV$50)*$BU$50+($I37-$BX$50)*$BW$50)*$CD37*$CG37,0)</f>
        <v>0</v>
      </c>
      <c r="CL37" s="1" t="n">
        <f aca="false">CC37*CD37</f>
        <v>0</v>
      </c>
      <c r="CM37" s="129"/>
      <c r="CN37" s="105"/>
      <c r="CO37" s="129"/>
      <c r="DI37" s="1" t="n">
        <f aca="false">DK37-DL37</f>
        <v>4</v>
      </c>
      <c r="DJ37" s="107" t="n">
        <f aca="false">[2]EnergyCurve!$D59</f>
        <v>37956</v>
      </c>
      <c r="DK37" s="2" t="n">
        <f aca="false">IF($L$6=0,VLOOKUP(DJ37,$DM$13:$DQ$252,2)+VLOOKUP(DJ37,$DU$13:$DY$252,3),VLOOKUP(DJ37,$DU$13:$DY$252,2)+VLOOKUP(DJ37,$DU$13:$DY$252,3))</f>
        <v>26</v>
      </c>
      <c r="DL37" s="2" t="n">
        <f aca="false">IF($L$6=0,VLOOKUP(DJ37,$DM$13:$DQ$252,2),VLOOKUP(DJ37,$DU$13:$DY$252,2))</f>
        <v>22</v>
      </c>
      <c r="DM37" s="130" t="n">
        <v>37622</v>
      </c>
      <c r="DN37" s="22" t="n">
        <v>22</v>
      </c>
      <c r="DO37" s="22" t="n">
        <v>4</v>
      </c>
      <c r="DP37" s="22" t="n">
        <v>4</v>
      </c>
      <c r="DQ37" s="22" t="n">
        <v>1</v>
      </c>
      <c r="DR37" s="22" t="n">
        <v>31</v>
      </c>
      <c r="DS37" s="111"/>
      <c r="DT37" s="111"/>
      <c r="DU37" s="130" t="n">
        <v>37622</v>
      </c>
      <c r="DV37" s="22" t="n">
        <v>22</v>
      </c>
      <c r="DW37" s="22" t="n">
        <v>4</v>
      </c>
      <c r="DX37" s="22" t="n">
        <v>4</v>
      </c>
      <c r="DY37" s="22" t="n">
        <v>1</v>
      </c>
      <c r="DZ37" s="22" t="n">
        <v>31</v>
      </c>
      <c r="EA37" s="111"/>
      <c r="EB37" s="111"/>
      <c r="EQ37" s="107"/>
      <c r="ER37" s="111"/>
      <c r="ES37" s="44"/>
      <c r="ET37" s="44"/>
    </row>
    <row r="38" customFormat="false" ht="18" hidden="false" customHeight="true" outlineLevel="0" collapsed="false">
      <c r="A38" s="168" t="n">
        <f aca="false">[2]EnergyCurve!$D60</f>
        <v>37987</v>
      </c>
      <c r="B38" s="169" t="n">
        <f aca="false">[2]EnergyCurve!$O60+[2]EnergyCurve!$Q60</f>
        <v>157475.115234375</v>
      </c>
      <c r="C38" s="170" t="n">
        <f aca="false">B38/(CG38*CD38)</f>
        <v>408.192237018297</v>
      </c>
      <c r="D38" s="170" t="n">
        <f aca="false">BY38+IF(YEAR(A38)=$T$20,$BY$48,0)+IF(YEAR(A38)=$T$21,$BY$49,0)+IF(YEAR(A38)=$T$22,$BY$50,0)</f>
        <v>0</v>
      </c>
      <c r="E38" s="169" t="n">
        <f aca="false">B38+(D38*CD38*CG38)</f>
        <v>157475.115234375</v>
      </c>
      <c r="F38" s="171" t="n">
        <f aca="false">C38+D38</f>
        <v>408.192237018297</v>
      </c>
      <c r="G38" s="172" t="n">
        <f aca="false">([2]EnergyCurve!$E60*CE38+[2]EnergyCurve!$W60*CF38)/CD38</f>
        <v>51.43706541795</v>
      </c>
      <c r="H38" s="172" t="n">
        <f aca="false">[2]EnergyCurve!$F60</f>
        <v>-0.832974970259706</v>
      </c>
      <c r="I38" s="173" t="n">
        <f aca="false">([2]EnergyCurve!$G60*CE38+[2]EnergyCurve!$Y60*CF38)/CD38</f>
        <v>50.6123050028853</v>
      </c>
      <c r="J38" s="169" t="n">
        <f aca="false">H38*B38</f>
        <v>-131172.829428997</v>
      </c>
      <c r="K38" s="174" t="n">
        <f aca="false">(((I38-AL38)*AK38+(I38-AN38)*AM38+(I38-AP38)*AO38+(I38-AR38)*AQ38+(I38-AT38)*AS38+(I38-AV38)*AU38+(I38-AX38)*AW38+(I38-AZ38)*AY38+(I38-BB38)*BA38+(I38-BD38)*BC38+(I38-BF38)*BE38+(I38-BH38)*BG38+(I38-BJ38)*BI38+(I38-BL38)*BK38+(I38-BN38)*BM38+(I38-BP38)*BO38+(I38-BR38)*BQ38+(I38-BT38)*BS38+(I38-BV38)*BU38+(I38-BX38)*BW38)*CD38*CG38)+CI38+CJ38+CK38</f>
        <v>0</v>
      </c>
      <c r="L38" s="174" t="n">
        <f aca="false">J38+K38</f>
        <v>-131172.829428997</v>
      </c>
      <c r="M38" s="9"/>
      <c r="N38" s="179"/>
      <c r="O38" s="177"/>
      <c r="P38" s="142"/>
      <c r="Q38" s="177"/>
      <c r="R38" s="9"/>
      <c r="S38" s="46"/>
      <c r="T38" s="46"/>
      <c r="U38" s="46"/>
      <c r="V38" s="180"/>
      <c r="W38" s="181"/>
      <c r="X38" s="181"/>
      <c r="Y38" s="9"/>
      <c r="Z38" s="149"/>
      <c r="AA38" s="150"/>
      <c r="AB38" s="151"/>
      <c r="AC38" s="151"/>
      <c r="AD38" s="151"/>
      <c r="AE38" s="46"/>
      <c r="AF38" s="46"/>
      <c r="AG38" s="46"/>
      <c r="AH38" s="46"/>
      <c r="AI38" s="46"/>
      <c r="AJ38" s="95" t="n">
        <f aca="false">A38</f>
        <v>37987</v>
      </c>
      <c r="AK38" s="96"/>
      <c r="AL38" s="97"/>
      <c r="AM38" s="96"/>
      <c r="AN38" s="97"/>
      <c r="AO38" s="96"/>
      <c r="AP38" s="97"/>
      <c r="AQ38" s="96"/>
      <c r="AR38" s="97"/>
      <c r="AS38" s="96"/>
      <c r="AT38" s="97"/>
      <c r="AU38" s="96"/>
      <c r="AV38" s="97"/>
      <c r="AW38" s="96"/>
      <c r="AX38" s="97"/>
      <c r="AY38" s="96"/>
      <c r="AZ38" s="97"/>
      <c r="BA38" s="96"/>
      <c r="BB38" s="97"/>
      <c r="BC38" s="96"/>
      <c r="BD38" s="97"/>
      <c r="BE38" s="96"/>
      <c r="BF38" s="97"/>
      <c r="BG38" s="96"/>
      <c r="BH38" s="97"/>
      <c r="BI38" s="96"/>
      <c r="BJ38" s="97"/>
      <c r="BK38" s="96"/>
      <c r="BL38" s="97"/>
      <c r="BM38" s="96"/>
      <c r="BN38" s="97"/>
      <c r="BO38" s="96"/>
      <c r="BP38" s="97"/>
      <c r="BQ38" s="96"/>
      <c r="BR38" s="97"/>
      <c r="BS38" s="96"/>
      <c r="BT38" s="97"/>
      <c r="BU38" s="96"/>
      <c r="BV38" s="97"/>
      <c r="BW38" s="96"/>
      <c r="BX38" s="97"/>
      <c r="BY38" s="100" t="n">
        <f aca="false">AK38+AM38+AO38+AQ38+AS38+AU38+AW38+AY38+BA38+BC38+BE38+BG38+BI38+BK38+BM38+BO38+BQ38+BS38+BU38+BW38</f>
        <v>0</v>
      </c>
      <c r="BZ38" s="101" t="n">
        <f aca="false">IF(AND(BY38=0,CC38=0),0,(ABS(AK38)*AL38+ABS(AM38)*AN38+ABS(AO38)*AP38+ABS(AQ38)*AR38+ABS(AS38)*AT38+ABS(AU38)*AV38+ABS(AW38)*AX38+ABS(AY38)*AZ38+ABS(BA38)*BB38+ABS(BC38)*BD38+ABS(BE38)*BF38+ABS(BG38)*BH38+ABS(BI38)*BJ38+ABS(BK38)*BL38+ABS(BM38)*BN38+ABS(BO38)*BP38+ABS(BQ38)*BR38+ABS(BS38)*BT38+ABS(BU38)*BV38+ABS(BW38)*BX38)/CC38)</f>
        <v>0</v>
      </c>
      <c r="CB38" s="103" t="n">
        <f aca="false">AJ38</f>
        <v>37987</v>
      </c>
      <c r="CC38" s="102" t="n">
        <f aca="false">ABS(AK38)+ABS(AM38)+ABS(AO38)+ABS(AQ38)+ABS(AS38)+ABS(AU38)+ABS(AW38)+ABS(AY38)+ABS(BA38)+ABS(BC38)+ABS(BE38)+ABS(BG38)+ABS(BI38)+ABS(BK38)+ABS(BM38)+ABS(BO38)+ABS(BQ38)+ABS(BS38)+ABS(BU38)+ABS(BW38)</f>
        <v>0</v>
      </c>
      <c r="CD38" s="104" t="n">
        <f aca="false">16*DK38</f>
        <v>416</v>
      </c>
      <c r="CE38" s="102" t="n">
        <f aca="false">16*DL38</f>
        <v>336</v>
      </c>
      <c r="CF38" s="105" t="n">
        <f aca="false">CD38-CE38</f>
        <v>80</v>
      </c>
      <c r="CG38" s="102" t="n">
        <f aca="false">VLOOKUP(A38,Interest!$X$8:$AC$367,6)</f>
        <v>0.927371752211114</v>
      </c>
      <c r="CH38" s="106" t="n">
        <f aca="false">E38-B38</f>
        <v>0</v>
      </c>
      <c r="CI38" s="106" t="n">
        <f aca="false">IF(YEAR($AJ38)=$CI$10,(($I38-$AL$48)*$AK$48+($I38-$AN$48)*$AM$48+($I38-$AP$48)*$AO$48+($I38-$AR$48)*$AQ$48+($I38-$AT$48)*$AS$48+($I38-$AV$48)*$AU$48+($I38-$AX$48)*$AW$48+($I38-$AZ$48)*$AY$48+($I38-$BB$48)*$BA$48+($I38-$BD$48)*$BC$48+($I38-$BF$48)*$BE$48+($I38-$BH$48)*$BG$48+($I38-$BJ$48)*$BI$48+($I38-$BL$48)*$BK$48+($I38-$BN$48)*$BM$48+($I38-$BP$48)*$BO$48+($I38-$BR$48)*$BQ$48+($I38-$BT$48)*$BS$48+($I38-$BV$48)*$BU$48+($I38-$BX$48)*$BW$48)*$CD38*$CG38,0)</f>
        <v>0</v>
      </c>
      <c r="CJ38" s="106" t="n">
        <f aca="false">IF(YEAR($AJ38)=$CJ$10,(($I38-$AL$49)*$AK$49+($I38-$AN$49)*$AM$49+($I38-$AP$49)*$AO$49+($I38-$AR$49)*$AQ$49+($I38-$AT$49)*$AS$49+($I38-$AV$49)*$AU$49+($I38-$AX$49)*$AW$49+($I38-$AZ$49)*$AY$49+($I38-$BB$49)*$BA$49+($I38-$BD$49)*$BC$49+($I38-$BF$49)*$BE$49+($I38-$BH$49)*$BG$49+($I38-$BJ$49)*$BI$49+($I38-$BL$49)*$BK$49+($I38-$BN$49)*$BM$49+($I38-$BP$49)*$BO$49+($I38-$BR$49)*$BQ$49+($I38-$BT$49)*$BS$49+($I38-$BV$49)*$BU$49+($I38-$BX$49)*$BW$49)*$CD38*$CG38,0)</f>
        <v>0</v>
      </c>
      <c r="CK38" s="106" t="n">
        <f aca="false">IF(YEAR($AJ38)=$CK$10,(($I38-$AL$50)*$AK$50+($I38-$AN$50)*$AM$50+($I38-$AP$50)*$AO$50+($I38-$AR$50)*$AQ$50+($I38-$AT$50)*$AS$50+($I38-$AV$50)*$AU$50+($I38-$AX$50)*$AW$50+($I38-$AZ$50)*$AY$50+($I38-$BB$50)*$BA$50+($I38-$BD$50)*$BC$50+($I38-$BF$50)*$BE$50+($I38-$BH$50)*$BG$50+($I38-$BJ$50)*$BI$50+($I38-$BL$50)*$BK$50+($I38-$BN$50)*$BM$50+($I38-$BP$50)*$BO$50+($I38-$BR$50)*$BQ$50+($I38-$BT$50)*$BS$50+($I38-$BV$50)*$BU$50+($I38-$BX$50)*$BW$50)*$CD38*$CG38,0)</f>
        <v>0</v>
      </c>
      <c r="CL38" s="1" t="n">
        <f aca="false">CC38*CD38</f>
        <v>0</v>
      </c>
      <c r="CM38" s="129"/>
      <c r="CN38" s="105"/>
      <c r="CO38" s="129"/>
      <c r="DI38" s="1" t="n">
        <f aca="false">DK38-DL38</f>
        <v>5</v>
      </c>
      <c r="DJ38" s="107" t="n">
        <f aca="false">[2]EnergyCurve!$D60</f>
        <v>37987</v>
      </c>
      <c r="DK38" s="2" t="n">
        <f aca="false">IF($L$6=0,VLOOKUP(DJ38,$DM$13:$DQ$252,2)+VLOOKUP(DJ38,$DU$13:$DY$252,3),VLOOKUP(DJ38,$DU$13:$DY$252,2)+VLOOKUP(DJ38,$DU$13:$DY$252,3))</f>
        <v>26</v>
      </c>
      <c r="DL38" s="2" t="n">
        <f aca="false">IF($L$6=0,VLOOKUP(DJ38,$DM$13:$DQ$252,2),VLOOKUP(DJ38,$DU$13:$DY$252,2))</f>
        <v>21</v>
      </c>
      <c r="DM38" s="130" t="n">
        <v>37653</v>
      </c>
      <c r="DN38" s="22" t="n">
        <v>19</v>
      </c>
      <c r="DO38" s="22" t="n">
        <v>4</v>
      </c>
      <c r="DP38" s="22" t="n">
        <v>4</v>
      </c>
      <c r="DQ38" s="22" t="n">
        <v>1</v>
      </c>
      <c r="DR38" s="22" t="n">
        <v>28</v>
      </c>
      <c r="DS38" s="111"/>
      <c r="DT38" s="111"/>
      <c r="DU38" s="130" t="n">
        <v>37653</v>
      </c>
      <c r="DV38" s="22" t="n">
        <v>20</v>
      </c>
      <c r="DW38" s="22" t="n">
        <v>4</v>
      </c>
      <c r="DX38" s="22" t="n">
        <v>4</v>
      </c>
      <c r="DY38" s="22" t="n">
        <v>0</v>
      </c>
      <c r="DZ38" s="22" t="n">
        <v>28</v>
      </c>
      <c r="EA38" s="111"/>
      <c r="EB38" s="111"/>
      <c r="EQ38" s="107"/>
      <c r="ER38" s="111"/>
      <c r="ES38" s="44"/>
      <c r="ET38" s="44"/>
    </row>
    <row r="39" customFormat="false" ht="17.25" hidden="false" customHeight="true" outlineLevel="0" collapsed="false">
      <c r="A39" s="168" t="n">
        <f aca="false">[2]EnergyCurve!$D61</f>
        <v>38018</v>
      </c>
      <c r="B39" s="169" t="n">
        <f aca="false">[2]EnergyCurve!$O61+[2]EnergyCurve!$Q61</f>
        <v>144689.158203125</v>
      </c>
      <c r="C39" s="170" t="n">
        <f aca="false">B39/(CG39*CD39)</f>
        <v>407.830553193725</v>
      </c>
      <c r="D39" s="170" t="n">
        <f aca="false">BY39+IF(YEAR(A39)=$T$20,$BY$48,0)+IF(YEAR(A39)=$T$21,$BY$49,0)+IF(YEAR(A39)=$T$22,$BY$50,0)</f>
        <v>0</v>
      </c>
      <c r="E39" s="169" t="n">
        <f aca="false">B39+(D39*CD39*CG39)</f>
        <v>144689.158203125</v>
      </c>
      <c r="F39" s="171" t="n">
        <f aca="false">C39+D39</f>
        <v>407.830553193725</v>
      </c>
      <c r="G39" s="172" t="n">
        <f aca="false">([2]EnergyCurve!$E61*CE39+[2]EnergyCurve!$W61*CF39)/CD39</f>
        <v>50.2394854227702</v>
      </c>
      <c r="H39" s="172" t="n">
        <f aca="false">[2]EnergyCurve!$F61</f>
        <v>-0.84558348184207</v>
      </c>
      <c r="I39" s="173" t="n">
        <f aca="false">([2]EnergyCurve!$G61*CE39+[2]EnergyCurve!$Y61*CF39)/CD39</f>
        <v>49.4011292479874</v>
      </c>
      <c r="J39" s="169" t="n">
        <f aca="false">H39*B39</f>
        <v>-122346.762178197</v>
      </c>
      <c r="K39" s="174" t="n">
        <f aca="false">(((I39-AL39)*AK39+(I39-AN39)*AM39+(I39-AP39)*AO39+(I39-AR39)*AQ39+(I39-AT39)*AS39+(I39-AV39)*AU39+(I39-AX39)*AW39+(I39-AZ39)*AY39+(I39-BB39)*BA39+(I39-BD39)*BC39+(I39-BF39)*BE39+(I39-BH39)*BG39+(I39-BJ39)*BI39+(I39-BL39)*BK39+(I39-BN39)*BM39+(I39-BP39)*BO39+(I39-BR39)*BQ39+(I39-BT39)*BS39+(I39-BV39)*BU39+(I39-BX39)*BW39)*CD39*CG39)+CI39+CJ39+CK39</f>
        <v>0</v>
      </c>
      <c r="L39" s="174" t="n">
        <f aca="false">J39+K39</f>
        <v>-122346.762178197</v>
      </c>
      <c r="M39" s="9"/>
      <c r="N39" s="176"/>
      <c r="O39" s="142"/>
      <c r="P39" s="142"/>
      <c r="Q39" s="177"/>
      <c r="R39" s="9"/>
      <c r="S39" s="46"/>
      <c r="T39" s="46"/>
      <c r="U39" s="46"/>
      <c r="V39" s="9"/>
      <c r="W39" s="9"/>
      <c r="X39" s="9"/>
      <c r="Y39" s="9"/>
      <c r="Z39" s="9"/>
      <c r="AA39" s="9"/>
      <c r="AB39" s="9"/>
      <c r="AC39" s="9"/>
      <c r="AD39" s="182"/>
      <c r="AE39" s="46"/>
      <c r="AF39" s="46"/>
      <c r="AG39" s="46"/>
      <c r="AH39" s="46"/>
      <c r="AI39" s="46"/>
      <c r="AJ39" s="95" t="n">
        <f aca="false">A39</f>
        <v>38018</v>
      </c>
      <c r="AK39" s="96"/>
      <c r="AL39" s="97"/>
      <c r="AM39" s="96"/>
      <c r="AN39" s="97"/>
      <c r="AO39" s="96"/>
      <c r="AP39" s="97"/>
      <c r="AQ39" s="96"/>
      <c r="AR39" s="97"/>
      <c r="AS39" s="96"/>
      <c r="AT39" s="97"/>
      <c r="AU39" s="96"/>
      <c r="AV39" s="97"/>
      <c r="AW39" s="96"/>
      <c r="AX39" s="97"/>
      <c r="AY39" s="96"/>
      <c r="AZ39" s="97"/>
      <c r="BA39" s="96"/>
      <c r="BB39" s="97"/>
      <c r="BC39" s="96"/>
      <c r="BD39" s="97"/>
      <c r="BE39" s="96"/>
      <c r="BF39" s="97"/>
      <c r="BG39" s="96"/>
      <c r="BH39" s="97"/>
      <c r="BI39" s="96"/>
      <c r="BJ39" s="97"/>
      <c r="BK39" s="96"/>
      <c r="BL39" s="97"/>
      <c r="BM39" s="96"/>
      <c r="BN39" s="97"/>
      <c r="BO39" s="96"/>
      <c r="BP39" s="97"/>
      <c r="BQ39" s="96"/>
      <c r="BR39" s="97"/>
      <c r="BS39" s="96"/>
      <c r="BT39" s="97"/>
      <c r="BU39" s="96"/>
      <c r="BV39" s="97"/>
      <c r="BW39" s="96"/>
      <c r="BX39" s="97"/>
      <c r="BY39" s="100" t="n">
        <f aca="false">AK39+AM39+AO39+AQ39+AS39+AU39+AW39+AY39+BA39+BC39+BE39+BG39+BI39+BK39+BM39+BO39+BQ39+BS39+BU39+BW39</f>
        <v>0</v>
      </c>
      <c r="BZ39" s="101" t="n">
        <f aca="false">IF(AND(BY39=0,CC39=0),0,(ABS(AK39)*AL39+ABS(AM39)*AN39+ABS(AO39)*AP39+ABS(AQ39)*AR39+ABS(AS39)*AT39+ABS(AU39)*AV39+ABS(AW39)*AX39+ABS(AY39)*AZ39+ABS(BA39)*BB39+ABS(BC39)*BD39+ABS(BE39)*BF39+ABS(BG39)*BH39+ABS(BI39)*BJ39+ABS(BK39)*BL39+ABS(BM39)*BN39+ABS(BO39)*BP39+ABS(BQ39)*BR39+ABS(BS39)*BT39+ABS(BU39)*BV39+ABS(BW39)*BX39)/CC39)</f>
        <v>0</v>
      </c>
      <c r="CB39" s="103" t="n">
        <f aca="false">AJ39</f>
        <v>38018</v>
      </c>
      <c r="CC39" s="102" t="n">
        <f aca="false">ABS(AK39)+ABS(AM39)+ABS(AO39)+ABS(AQ39)+ABS(AS39)+ABS(AU39)+ABS(AW39)+ABS(AY39)+ABS(BA39)+ABS(BC39)+ABS(BE39)+ABS(BG39)+ABS(BI39)+ABS(BK39)+ABS(BM39)+ABS(BO39)+ABS(BQ39)+ABS(BS39)+ABS(BU39)+ABS(BW39)</f>
        <v>0</v>
      </c>
      <c r="CD39" s="104" t="n">
        <f aca="false">16*DK39</f>
        <v>384</v>
      </c>
      <c r="CE39" s="102" t="n">
        <f aca="false">16*DL39</f>
        <v>320</v>
      </c>
      <c r="CF39" s="105" t="n">
        <f aca="false">CD39-CE39</f>
        <v>64</v>
      </c>
      <c r="CG39" s="102" t="n">
        <f aca="false">VLOOKUP(A39,Interest!$X$8:$AC$367,6)</f>
        <v>0.923900085145548</v>
      </c>
      <c r="CH39" s="106" t="n">
        <f aca="false">E39-B39</f>
        <v>0</v>
      </c>
      <c r="CI39" s="106" t="n">
        <f aca="false">IF(YEAR($AJ39)=$CI$10,(($I39-$AL$48)*$AK$48+($I39-$AN$48)*$AM$48+($I39-$AP$48)*$AO$48+($I39-$AR$48)*$AQ$48+($I39-$AT$48)*$AS$48+($I39-$AV$48)*$AU$48+($I39-$AX$48)*$AW$48+($I39-$AZ$48)*$AY$48+($I39-$BB$48)*$BA$48+($I39-$BD$48)*$BC$48+($I39-$BF$48)*$BE$48+($I39-$BH$48)*$BG$48+($I39-$BJ$48)*$BI$48+($I39-$BL$48)*$BK$48+($I39-$BN$48)*$BM$48+($I39-$BP$48)*$BO$48+($I39-$BR$48)*$BQ$48+($I39-$BT$48)*$BS$48+($I39-$BV$48)*$BU$48+($I39-$BX$48)*$BW$48)*$CD39*$CG39,0)</f>
        <v>0</v>
      </c>
      <c r="CJ39" s="106" t="n">
        <f aca="false">IF(YEAR($AJ39)=$CJ$10,(($I39-$AL$49)*$AK$49+($I39-$AN$49)*$AM$49+($I39-$AP$49)*$AO$49+($I39-$AR$49)*$AQ$49+($I39-$AT$49)*$AS$49+($I39-$AV$49)*$AU$49+($I39-$AX$49)*$AW$49+($I39-$AZ$49)*$AY$49+($I39-$BB$49)*$BA$49+($I39-$BD$49)*$BC$49+($I39-$BF$49)*$BE$49+($I39-$BH$49)*$BG$49+($I39-$BJ$49)*$BI$49+($I39-$BL$49)*$BK$49+($I39-$BN$49)*$BM$49+($I39-$BP$49)*$BO$49+($I39-$BR$49)*$BQ$49+($I39-$BT$49)*$BS$49+($I39-$BV$49)*$BU$49+($I39-$BX$49)*$BW$49)*$CD39*$CG39,0)</f>
        <v>0</v>
      </c>
      <c r="CK39" s="106" t="n">
        <f aca="false">IF(YEAR($AJ39)=$CK$10,(($I39-$AL$50)*$AK$50+($I39-$AN$50)*$AM$50+($I39-$AP$50)*$AO$50+($I39-$AR$50)*$AQ$50+($I39-$AT$50)*$AS$50+($I39-$AV$50)*$AU$50+($I39-$AX$50)*$AW$50+($I39-$AZ$50)*$AY$50+($I39-$BB$50)*$BA$50+($I39-$BD$50)*$BC$50+($I39-$BF$50)*$BE$50+($I39-$BH$50)*$BG$50+($I39-$BJ$50)*$BI$50+($I39-$BL$50)*$BK$50+($I39-$BN$50)*$BM$50+($I39-$BP$50)*$BO$50+($I39-$BR$50)*$BQ$50+($I39-$BT$50)*$BS$50+($I39-$BV$50)*$BU$50+($I39-$BX$50)*$BW$50)*$CD39*$CG39,0)</f>
        <v>0</v>
      </c>
      <c r="CL39" s="1" t="n">
        <f aca="false">CC39*CD39</f>
        <v>0</v>
      </c>
      <c r="CM39" s="129"/>
      <c r="CN39" s="105"/>
      <c r="CO39" s="129"/>
      <c r="DI39" s="1" t="n">
        <f aca="false">DK39-DL39</f>
        <v>4</v>
      </c>
      <c r="DJ39" s="107" t="n">
        <f aca="false">[2]EnergyCurve!$D61</f>
        <v>38018</v>
      </c>
      <c r="DK39" s="2" t="n">
        <f aca="false">IF($L$6=0,VLOOKUP(DJ39,$DM$13:$DQ$252,2)+VLOOKUP(DJ39,$DU$13:$DY$252,3),VLOOKUP(DJ39,$DU$13:$DY$252,2)+VLOOKUP(DJ39,$DU$13:$DY$252,3))</f>
        <v>24</v>
      </c>
      <c r="DL39" s="2" t="n">
        <f aca="false">IF($L$6=0,VLOOKUP(DJ39,$DM$13:$DQ$252,2),VLOOKUP(DJ39,$DU$13:$DY$252,2))</f>
        <v>20</v>
      </c>
      <c r="DM39" s="130" t="n">
        <v>37681</v>
      </c>
      <c r="DN39" s="22" t="n">
        <v>21</v>
      </c>
      <c r="DO39" s="22" t="n">
        <v>5</v>
      </c>
      <c r="DP39" s="22" t="n">
        <v>5</v>
      </c>
      <c r="DQ39" s="22" t="n">
        <v>0</v>
      </c>
      <c r="DR39" s="22" t="n">
        <v>31</v>
      </c>
      <c r="DS39" s="111"/>
      <c r="DT39" s="111"/>
      <c r="DU39" s="130" t="n">
        <v>37681</v>
      </c>
      <c r="DV39" s="22" t="n">
        <v>21</v>
      </c>
      <c r="DW39" s="22" t="n">
        <v>5</v>
      </c>
      <c r="DX39" s="22" t="n">
        <v>5</v>
      </c>
      <c r="DY39" s="22" t="n">
        <v>0</v>
      </c>
      <c r="DZ39" s="22" t="n">
        <v>31</v>
      </c>
      <c r="EA39" s="111"/>
      <c r="EB39" s="111"/>
    </row>
    <row r="40" customFormat="false" ht="18" hidden="false" customHeight="true" outlineLevel="0" collapsed="false">
      <c r="A40" s="168" t="n">
        <f aca="false">[2]EnergyCurve!$D62</f>
        <v>38047</v>
      </c>
      <c r="B40" s="169" t="n">
        <f aca="false">[2]EnergyCurve!$O62+[2]EnergyCurve!$Q62</f>
        <v>162228.8515625</v>
      </c>
      <c r="C40" s="170" t="n">
        <f aca="false">B40/(CG40*CD40)</f>
        <v>408.06485907062</v>
      </c>
      <c r="D40" s="170" t="n">
        <f aca="false">BY40+IF(YEAR(A40)=$T$20,$BY$48,0)+IF(YEAR(A40)=$T$21,$BY$49,0)+IF(YEAR(A40)=$T$22,$BY$50,0)</f>
        <v>0</v>
      </c>
      <c r="E40" s="169" t="n">
        <f aca="false">B40+(D40*CD40*CG40)</f>
        <v>162228.8515625</v>
      </c>
      <c r="F40" s="171" t="n">
        <f aca="false">C40+D40</f>
        <v>408.06485907062</v>
      </c>
      <c r="G40" s="172" t="n">
        <f aca="false">([2]EnergyCurve!$E62*CE40+[2]EnergyCurve!$W62*CF40)/CD40</f>
        <v>48.2710472389504</v>
      </c>
      <c r="H40" s="172" t="n">
        <f aca="false">[2]EnergyCurve!$F62</f>
        <v>-0.844771269182765</v>
      </c>
      <c r="I40" s="173" t="n">
        <f aca="false">([2]EnergyCurve!$G62*CE40+[2]EnergyCurve!$Y62*CF40)/CD40</f>
        <v>47.4326944777945</v>
      </c>
      <c r="J40" s="169" t="n">
        <f aca="false">H40*B40</f>
        <v>-137046.272832515</v>
      </c>
      <c r="K40" s="174" t="n">
        <f aca="false">(((I40-AL40)*AK40+(I40-AN40)*AM40+(I40-AP40)*AO40+(I40-AR40)*AQ40+(I40-AT40)*AS40+(I40-AV40)*AU40+(I40-AX40)*AW40+(I40-AZ40)*AY40+(I40-BB40)*BA40+(I40-BD40)*BC40+(I40-BF40)*BE40+(I40-BH40)*BG40+(I40-BJ40)*BI40+(I40-BL40)*BK40+(I40-BN40)*BM40+(I40-BP40)*BO40+(I40-BR40)*BQ40+(I40-BT40)*BS40+(I40-BV40)*BU40+(I40-BX40)*BW40)*CD40*CG40)+CI40+CJ40+CK40</f>
        <v>0</v>
      </c>
      <c r="L40" s="174" t="n">
        <f aca="false">J40+K40</f>
        <v>-137046.272832515</v>
      </c>
      <c r="M40" s="9"/>
      <c r="N40" s="176"/>
      <c r="O40" s="142"/>
      <c r="P40" s="142"/>
      <c r="Q40" s="177"/>
      <c r="R40" s="9"/>
      <c r="S40" s="46"/>
      <c r="T40" s="46"/>
      <c r="U40" s="46"/>
      <c r="V40" s="9"/>
      <c r="W40" s="9"/>
      <c r="X40" s="9"/>
      <c r="Y40" s="9"/>
      <c r="Z40" s="9"/>
      <c r="AA40" s="9"/>
      <c r="AB40" s="9"/>
      <c r="AC40" s="9"/>
      <c r="AD40" s="9"/>
      <c r="AE40" s="46"/>
      <c r="AF40" s="46"/>
      <c r="AG40" s="46"/>
      <c r="AH40" s="46"/>
      <c r="AI40" s="46"/>
      <c r="AJ40" s="95" t="n">
        <f aca="false">A40</f>
        <v>38047</v>
      </c>
      <c r="AK40" s="96"/>
      <c r="AL40" s="97"/>
      <c r="AM40" s="96"/>
      <c r="AN40" s="97"/>
      <c r="AO40" s="96"/>
      <c r="AP40" s="97"/>
      <c r="AQ40" s="96"/>
      <c r="AR40" s="97"/>
      <c r="AS40" s="96"/>
      <c r="AT40" s="97"/>
      <c r="AU40" s="96"/>
      <c r="AV40" s="97"/>
      <c r="AW40" s="96"/>
      <c r="AX40" s="97"/>
      <c r="AY40" s="96"/>
      <c r="AZ40" s="97"/>
      <c r="BA40" s="96"/>
      <c r="BB40" s="97"/>
      <c r="BC40" s="96"/>
      <c r="BD40" s="97"/>
      <c r="BE40" s="96"/>
      <c r="BF40" s="97"/>
      <c r="BG40" s="96"/>
      <c r="BH40" s="97"/>
      <c r="BI40" s="96"/>
      <c r="BJ40" s="97"/>
      <c r="BK40" s="96"/>
      <c r="BL40" s="97"/>
      <c r="BM40" s="96"/>
      <c r="BN40" s="97"/>
      <c r="BO40" s="96"/>
      <c r="BP40" s="97"/>
      <c r="BQ40" s="96"/>
      <c r="BR40" s="97"/>
      <c r="BS40" s="96"/>
      <c r="BT40" s="97"/>
      <c r="BU40" s="96"/>
      <c r="BV40" s="97"/>
      <c r="BW40" s="96"/>
      <c r="BX40" s="97"/>
      <c r="BY40" s="100" t="n">
        <f aca="false">AK40+AM40+AO40+AQ40+AS40+AU40+AW40+AY40+BA40+BC40+BE40+BG40+BI40+BK40+BM40+BO40+BQ40+BS40+BU40+BW40</f>
        <v>0</v>
      </c>
      <c r="BZ40" s="101" t="n">
        <f aca="false">IF(AND(BY40=0,CC40=0),0,(ABS(AK40)*AL40+ABS(AM40)*AN40+ABS(AO40)*AP40+ABS(AQ40)*AR40+ABS(AS40)*AT40+ABS(AU40)*AV40+ABS(AW40)*AX40+ABS(AY40)*AZ40+ABS(BA40)*BB40+ABS(BC40)*BD40+ABS(BE40)*BF40+ABS(BG40)*BH40+ABS(BI40)*BJ40+ABS(BK40)*BL40+ABS(BM40)*BN40+ABS(BO40)*BP40+ABS(BQ40)*BR40+ABS(BS40)*BT40+ABS(BU40)*BV40+ABS(BW40)*BX40)/CC40)</f>
        <v>0</v>
      </c>
      <c r="CB40" s="103" t="n">
        <f aca="false">AJ40</f>
        <v>38047</v>
      </c>
      <c r="CC40" s="102" t="n">
        <f aca="false">ABS(AK40)+ABS(AM40)+ABS(AO40)+ABS(AQ40)+ABS(AS40)+ABS(AU40)+ABS(AW40)+ABS(AY40)+ABS(BA40)+ABS(BC40)+ABS(BE40)+ABS(BG40)+ABS(BI40)+ABS(BK40)+ABS(BM40)+ABS(BO40)+ABS(BQ40)+ABS(BS40)+ABS(BU40)+ABS(BW40)</f>
        <v>0</v>
      </c>
      <c r="CD40" s="104" t="n">
        <f aca="false">16*DK40</f>
        <v>432</v>
      </c>
      <c r="CE40" s="102" t="n">
        <f aca="false">16*DL40</f>
        <v>368</v>
      </c>
      <c r="CF40" s="105" t="n">
        <f aca="false">CD40-CE40</f>
        <v>64</v>
      </c>
      <c r="CG40" s="102" t="n">
        <f aca="false">VLOOKUP(A40,Interest!$X$8:$AC$367,6)</f>
        <v>0.920269757710941</v>
      </c>
      <c r="CH40" s="106" t="n">
        <f aca="false">E40-B40</f>
        <v>0</v>
      </c>
      <c r="CI40" s="106" t="n">
        <f aca="false">IF(YEAR($AJ40)=$CI$10,(($I40-$AL$48)*$AK$48+($I40-$AN$48)*$AM$48+($I40-$AP$48)*$AO$48+($I40-$AR$48)*$AQ$48+($I40-$AT$48)*$AS$48+($I40-$AV$48)*$AU$48+($I40-$AX$48)*$AW$48+($I40-$AZ$48)*$AY$48+($I40-$BB$48)*$BA$48+($I40-$BD$48)*$BC$48+($I40-$BF$48)*$BE$48+($I40-$BH$48)*$BG$48+($I40-$BJ$48)*$BI$48+($I40-$BL$48)*$BK$48+($I40-$BN$48)*$BM$48+($I40-$BP$48)*$BO$48+($I40-$BR$48)*$BQ$48+($I40-$BT$48)*$BS$48+($I40-$BV$48)*$BU$48+($I40-$BX$48)*$BW$48)*$CD40*$CG40,0)</f>
        <v>0</v>
      </c>
      <c r="CJ40" s="106" t="n">
        <f aca="false">IF(YEAR($AJ40)=$CJ$10,(($I40-$AL$49)*$AK$49+($I40-$AN$49)*$AM$49+($I40-$AP$49)*$AO$49+($I40-$AR$49)*$AQ$49+($I40-$AT$49)*$AS$49+($I40-$AV$49)*$AU$49+($I40-$AX$49)*$AW$49+($I40-$AZ$49)*$AY$49+($I40-$BB$49)*$BA$49+($I40-$BD$49)*$BC$49+($I40-$BF$49)*$BE$49+($I40-$BH$49)*$BG$49+($I40-$BJ$49)*$BI$49+($I40-$BL$49)*$BK$49+($I40-$BN$49)*$BM$49+($I40-$BP$49)*$BO$49+($I40-$BR$49)*$BQ$49+($I40-$BT$49)*$BS$49+($I40-$BV$49)*$BU$49+($I40-$BX$49)*$BW$49)*$CD40*$CG40,0)</f>
        <v>0</v>
      </c>
      <c r="CK40" s="106" t="n">
        <f aca="false">IF(YEAR($AJ40)=$CK$10,(($I40-$AL$50)*$AK$50+($I40-$AN$50)*$AM$50+($I40-$AP$50)*$AO$50+($I40-$AR$50)*$AQ$50+($I40-$AT$50)*$AS$50+($I40-$AV$50)*$AU$50+($I40-$AX$50)*$AW$50+($I40-$AZ$50)*$AY$50+($I40-$BB$50)*$BA$50+($I40-$BD$50)*$BC$50+($I40-$BF$50)*$BE$50+($I40-$BH$50)*$BG$50+($I40-$BJ$50)*$BI$50+($I40-$BL$50)*$BK$50+($I40-$BN$50)*$BM$50+($I40-$BP$50)*$BO$50+($I40-$BR$50)*$BQ$50+($I40-$BT$50)*$BS$50+($I40-$BV$50)*$BU$50+($I40-$BX$50)*$BW$50)*$CD40*$CG40,0)</f>
        <v>0</v>
      </c>
      <c r="CL40" s="1" t="n">
        <f aca="false">CC40*CD40</f>
        <v>0</v>
      </c>
      <c r="CM40" s="129"/>
      <c r="CN40" s="105"/>
      <c r="CO40" s="129"/>
      <c r="DI40" s="1" t="n">
        <f aca="false">DK40-DL40</f>
        <v>4</v>
      </c>
      <c r="DJ40" s="107" t="n">
        <f aca="false">[2]EnergyCurve!$D62</f>
        <v>38047</v>
      </c>
      <c r="DK40" s="2" t="n">
        <f aca="false">IF($L$6=0,VLOOKUP(DJ40,$DM$13:$DQ$252,2)+VLOOKUP(DJ40,$DU$13:$DY$252,3),VLOOKUP(DJ40,$DU$13:$DY$252,2)+VLOOKUP(DJ40,$DU$13:$DY$252,3))</f>
        <v>27</v>
      </c>
      <c r="DL40" s="2" t="n">
        <f aca="false">IF($L$6=0,VLOOKUP(DJ40,$DM$13:$DQ$252,2),VLOOKUP(DJ40,$DU$13:$DY$252,2))</f>
        <v>23</v>
      </c>
      <c r="DM40" s="130" t="n">
        <v>37712</v>
      </c>
      <c r="DN40" s="22" t="n">
        <v>21</v>
      </c>
      <c r="DO40" s="22" t="n">
        <v>4</v>
      </c>
      <c r="DP40" s="22" t="n">
        <v>4</v>
      </c>
      <c r="DQ40" s="22" t="n">
        <v>1</v>
      </c>
      <c r="DR40" s="22" t="n">
        <v>30</v>
      </c>
      <c r="DS40" s="111"/>
      <c r="DT40" s="111"/>
      <c r="DU40" s="130" t="n">
        <v>37712</v>
      </c>
      <c r="DV40" s="22" t="n">
        <v>22</v>
      </c>
      <c r="DW40" s="22" t="n">
        <v>4</v>
      </c>
      <c r="DX40" s="22" t="n">
        <v>4</v>
      </c>
      <c r="DY40" s="22" t="n">
        <v>0</v>
      </c>
      <c r="DZ40" s="22" t="n">
        <v>30</v>
      </c>
      <c r="EA40" s="111"/>
      <c r="EB40" s="111"/>
    </row>
    <row r="41" customFormat="false" ht="15.75" hidden="false" customHeight="true" outlineLevel="0" collapsed="false">
      <c r="A41" s="168" t="n">
        <f aca="false">[2]EnergyCurve!$D63</f>
        <v>38078</v>
      </c>
      <c r="B41" s="169" t="n">
        <f aca="false">[2]EnergyCurve!$O63+[2]EnergyCurve!$Q63</f>
        <v>156026.548828125</v>
      </c>
      <c r="C41" s="170" t="n">
        <f aca="false">B41/(CG41*CD41)</f>
        <v>409.190426440178</v>
      </c>
      <c r="D41" s="170" t="n">
        <f aca="false">BY41+IF(YEAR(A41)=$T$20,$BY$48,0)+IF(YEAR(A41)=$T$21,$BY$49,0)+IF(YEAR(A41)=$T$22,$BY$50,0)</f>
        <v>0</v>
      </c>
      <c r="E41" s="169" t="n">
        <f aca="false">B41+(D41*CD41*CG41)</f>
        <v>156026.548828125</v>
      </c>
      <c r="F41" s="171" t="n">
        <f aca="false">C41+D41</f>
        <v>409.190426440178</v>
      </c>
      <c r="G41" s="172" t="n">
        <f aca="false">([2]EnergyCurve!$E63*CE41+[2]EnergyCurve!$W63*CF41)/CD41</f>
        <v>45.5231722318209</v>
      </c>
      <c r="H41" s="172" t="n">
        <f aca="false">[2]EnergyCurve!$F63</f>
        <v>-0.84500486828216</v>
      </c>
      <c r="I41" s="173" t="n">
        <f aca="false">([2]EnergyCurve!$G63*CE41+[2]EnergyCurve!$Y63*CF41)/CD41</f>
        <v>44.6848337826998</v>
      </c>
      <c r="J41" s="169" t="n">
        <f aca="false">H41*B41</f>
        <v>-131843.19334103</v>
      </c>
      <c r="K41" s="174" t="n">
        <f aca="false">(((I41-AL41)*AK41+(I41-AN41)*AM41+(I41-AP41)*AO41+(I41-AR41)*AQ41+(I41-AT41)*AS41+(I41-AV41)*AU41+(I41-AX41)*AW41+(I41-AZ41)*AY41+(I41-BB41)*BA41+(I41-BD41)*BC41+(I41-BF41)*BE41+(I41-BH41)*BG41+(I41-BJ41)*BI41+(I41-BL41)*BK41+(I41-BN41)*BM41+(I41-BP41)*BO41+(I41-BR41)*BQ41+(I41-BT41)*BS41+(I41-BV41)*BU41+(I41-BX41)*BW41)*CD41*CG41)+CI41+CJ41+CK41</f>
        <v>0</v>
      </c>
      <c r="L41" s="174" t="n">
        <f aca="false">J41+K41</f>
        <v>-131843.19334103</v>
      </c>
      <c r="M41" s="9"/>
      <c r="N41" s="176"/>
      <c r="O41" s="142"/>
      <c r="P41" s="142"/>
      <c r="Q41" s="177"/>
      <c r="R41" s="9"/>
      <c r="S41" s="46"/>
      <c r="T41" s="46"/>
      <c r="U41" s="46"/>
      <c r="V41" s="9"/>
      <c r="W41" s="9"/>
      <c r="X41" s="9"/>
      <c r="Y41" s="9"/>
      <c r="Z41" s="9"/>
      <c r="AA41" s="9"/>
      <c r="AB41" s="9"/>
      <c r="AC41" s="9"/>
      <c r="AD41" s="9"/>
      <c r="AE41" s="46"/>
      <c r="AF41" s="46"/>
      <c r="AG41" s="46"/>
      <c r="AH41" s="46"/>
      <c r="AI41" s="46"/>
      <c r="AJ41" s="95" t="n">
        <f aca="false">A41</f>
        <v>38078</v>
      </c>
      <c r="AK41" s="96"/>
      <c r="AL41" s="97"/>
      <c r="AM41" s="96"/>
      <c r="AN41" s="97"/>
      <c r="AO41" s="96"/>
      <c r="AP41" s="97"/>
      <c r="AQ41" s="96"/>
      <c r="AR41" s="97"/>
      <c r="AS41" s="96"/>
      <c r="AT41" s="97"/>
      <c r="AU41" s="96"/>
      <c r="AV41" s="97"/>
      <c r="AW41" s="96"/>
      <c r="AX41" s="97"/>
      <c r="AY41" s="96"/>
      <c r="AZ41" s="97"/>
      <c r="BA41" s="96"/>
      <c r="BB41" s="97"/>
      <c r="BC41" s="96"/>
      <c r="BD41" s="97"/>
      <c r="BE41" s="96"/>
      <c r="BF41" s="97"/>
      <c r="BG41" s="96"/>
      <c r="BH41" s="97"/>
      <c r="BI41" s="96"/>
      <c r="BJ41" s="97"/>
      <c r="BK41" s="96"/>
      <c r="BL41" s="97"/>
      <c r="BM41" s="96"/>
      <c r="BN41" s="97"/>
      <c r="BO41" s="96"/>
      <c r="BP41" s="97"/>
      <c r="BQ41" s="96"/>
      <c r="BR41" s="97"/>
      <c r="BS41" s="96"/>
      <c r="BT41" s="97"/>
      <c r="BU41" s="96"/>
      <c r="BV41" s="97"/>
      <c r="BW41" s="96"/>
      <c r="BX41" s="97"/>
      <c r="BY41" s="100" t="n">
        <f aca="false">AK41+AM41+AO41+AQ41+AS41+AU41+AW41+AY41+BA41+BC41+BE41+BG41+BI41+BK41+BM41+BO41+BQ41+BS41+BU41+BW41</f>
        <v>0</v>
      </c>
      <c r="BZ41" s="101" t="n">
        <f aca="false">IF(AND(BY41=0,CC41=0),0,(ABS(AK41)*AL41+ABS(AM41)*AN41+ABS(AO41)*AP41+ABS(AQ41)*AR41+ABS(AS41)*AT41+ABS(AU41)*AV41+ABS(AW41)*AX41+ABS(AY41)*AZ41+ABS(BA41)*BB41+ABS(BC41)*BD41+ABS(BE41)*BF41+ABS(BG41)*BH41+ABS(BI41)*BJ41+ABS(BK41)*BL41+ABS(BM41)*BN41+ABS(BO41)*BP41+ABS(BQ41)*BR41+ABS(BS41)*BT41+ABS(BU41)*BV41+ABS(BW41)*BX41)/CC41)</f>
        <v>0</v>
      </c>
      <c r="CB41" s="103" t="n">
        <f aca="false">AJ41</f>
        <v>38078</v>
      </c>
      <c r="CC41" s="102" t="n">
        <f aca="false">ABS(AK41)+ABS(AM41)+ABS(AO41)+ABS(AQ41)+ABS(AS41)+ABS(AU41)+ABS(AW41)+ABS(AY41)+ABS(BA41)+ABS(BC41)+ABS(BE41)+ABS(BG41)+ABS(BI41)+ABS(BK41)+ABS(BM41)+ABS(BO41)+ABS(BQ41)+ABS(BS41)+ABS(BU41)+ABS(BW41)</f>
        <v>0</v>
      </c>
      <c r="CD41" s="104" t="n">
        <f aca="false">16*DK41</f>
        <v>416</v>
      </c>
      <c r="CE41" s="102" t="n">
        <f aca="false">16*DL41</f>
        <v>352</v>
      </c>
      <c r="CF41" s="105" t="n">
        <f aca="false">CD41-CE41</f>
        <v>64</v>
      </c>
      <c r="CG41" s="102" t="n">
        <f aca="false">VLOOKUP(A41,Interest!$X$8:$AC$367,6)</f>
        <v>0.916599693109414</v>
      </c>
      <c r="CH41" s="106" t="n">
        <f aca="false">E41-B41</f>
        <v>0</v>
      </c>
      <c r="CI41" s="106" t="n">
        <f aca="false">IF(YEAR($AJ41)=$CI$10,(($I41-$AL$48)*$AK$48+($I41-$AN$48)*$AM$48+($I41-$AP$48)*$AO$48+($I41-$AR$48)*$AQ$48+($I41-$AT$48)*$AS$48+($I41-$AV$48)*$AU$48+($I41-$AX$48)*$AW$48+($I41-$AZ$48)*$AY$48+($I41-$BB$48)*$BA$48+($I41-$BD$48)*$BC$48+($I41-$BF$48)*$BE$48+($I41-$BH$48)*$BG$48+($I41-$BJ$48)*$BI$48+($I41-$BL$48)*$BK$48+($I41-$BN$48)*$BM$48+($I41-$BP$48)*$BO$48+($I41-$BR$48)*$BQ$48+($I41-$BT$48)*$BS$48+($I41-$BV$48)*$BU$48+($I41-$BX$48)*$BW$48)*$CD41*$CG41,0)</f>
        <v>0</v>
      </c>
      <c r="CJ41" s="106" t="n">
        <f aca="false">IF(YEAR($AJ41)=$CJ$10,(($I41-$AL$49)*$AK$49+($I41-$AN$49)*$AM$49+($I41-$AP$49)*$AO$49+($I41-$AR$49)*$AQ$49+($I41-$AT$49)*$AS$49+($I41-$AV$49)*$AU$49+($I41-$AX$49)*$AW$49+($I41-$AZ$49)*$AY$49+($I41-$BB$49)*$BA$49+($I41-$BD$49)*$BC$49+($I41-$BF$49)*$BE$49+($I41-$BH$49)*$BG$49+($I41-$BJ$49)*$BI$49+($I41-$BL$49)*$BK$49+($I41-$BN$49)*$BM$49+($I41-$BP$49)*$BO$49+($I41-$BR$49)*$BQ$49+($I41-$BT$49)*$BS$49+($I41-$BV$49)*$BU$49+($I41-$BX$49)*$BW$49)*$CD41*$CG41,0)</f>
        <v>0</v>
      </c>
      <c r="CK41" s="106" t="n">
        <f aca="false">IF(YEAR($AJ41)=$CK$10,(($I41-$AL$50)*$AK$50+($I41-$AN$50)*$AM$50+($I41-$AP$50)*$AO$50+($I41-$AR$50)*$AQ$50+($I41-$AT$50)*$AS$50+($I41-$AV$50)*$AU$50+($I41-$AX$50)*$AW$50+($I41-$AZ$50)*$AY$50+($I41-$BB$50)*$BA$50+($I41-$BD$50)*$BC$50+($I41-$BF$50)*$BE$50+($I41-$BH$50)*$BG$50+($I41-$BJ$50)*$BI$50+($I41-$BL$50)*$BK$50+($I41-$BN$50)*$BM$50+($I41-$BP$50)*$BO$50+($I41-$BR$50)*$BQ$50+($I41-$BT$50)*$BS$50+($I41-$BV$50)*$BU$50+($I41-$BX$50)*$BW$50)*$CD41*$CG41,0)</f>
        <v>0</v>
      </c>
      <c r="CL41" s="1" t="n">
        <f aca="false">CC41*CD41</f>
        <v>0</v>
      </c>
      <c r="CM41" s="129"/>
      <c r="CN41" s="105"/>
      <c r="CO41" s="129"/>
      <c r="DI41" s="1" t="n">
        <f aca="false">DK41-DL41</f>
        <v>4</v>
      </c>
      <c r="DJ41" s="107" t="n">
        <f aca="false">[2]EnergyCurve!$D63</f>
        <v>38078</v>
      </c>
      <c r="DK41" s="2" t="n">
        <f aca="false">IF($L$6=0,VLOOKUP(DJ41,$DM$13:$DQ$252,2)+VLOOKUP(DJ41,$DU$13:$DY$252,3),VLOOKUP(DJ41,$DU$13:$DY$252,2)+VLOOKUP(DJ41,$DU$13:$DY$252,3))</f>
        <v>26</v>
      </c>
      <c r="DL41" s="2" t="n">
        <f aca="false">IF($L$6=0,VLOOKUP(DJ41,$DM$13:$DQ$252,2),VLOOKUP(DJ41,$DU$13:$DY$252,2))</f>
        <v>22</v>
      </c>
      <c r="DM41" s="130" t="n">
        <v>37742</v>
      </c>
      <c r="DN41" s="22" t="n">
        <v>21</v>
      </c>
      <c r="DO41" s="22" t="n">
        <v>5</v>
      </c>
      <c r="DP41" s="22" t="n">
        <v>4</v>
      </c>
      <c r="DQ41" s="22" t="n">
        <v>1</v>
      </c>
      <c r="DR41" s="22" t="n">
        <v>31</v>
      </c>
      <c r="DS41" s="111"/>
      <c r="DT41" s="111"/>
      <c r="DU41" s="130" t="n">
        <v>37742</v>
      </c>
      <c r="DV41" s="22" t="n">
        <v>21</v>
      </c>
      <c r="DW41" s="22" t="n">
        <v>5</v>
      </c>
      <c r="DX41" s="22" t="n">
        <v>4</v>
      </c>
      <c r="DY41" s="22" t="n">
        <v>1</v>
      </c>
      <c r="DZ41" s="22" t="n">
        <v>31</v>
      </c>
      <c r="EA41" s="111"/>
      <c r="EB41" s="111"/>
    </row>
    <row r="42" customFormat="false" ht="18" hidden="false" customHeight="true" outlineLevel="0" collapsed="false">
      <c r="A42" s="168" t="n">
        <f aca="false">[2]EnergyCurve!$D64</f>
        <v>38108</v>
      </c>
      <c r="B42" s="169" t="n">
        <f aca="false">[2]EnergyCurve!$O64+[2]EnergyCurve!$Q64</f>
        <v>149467.173828125</v>
      </c>
      <c r="C42" s="170" t="n">
        <f aca="false">B42/(CG42*CD42)</f>
        <v>409.354484550704</v>
      </c>
      <c r="D42" s="170" t="n">
        <f aca="false">BY42+IF(YEAR(A42)=$T$20,$BY$48,0)+IF(YEAR(A42)=$T$21,$BY$49,0)+IF(YEAR(A42)=$T$22,$BY$50,0)</f>
        <v>0</v>
      </c>
      <c r="E42" s="169" t="n">
        <f aca="false">B42+(D42*CD42*CG42)</f>
        <v>149467.173828125</v>
      </c>
      <c r="F42" s="171" t="n">
        <f aca="false">C42+D42</f>
        <v>409.354484550704</v>
      </c>
      <c r="G42" s="172" t="n">
        <f aca="false">([2]EnergyCurve!$E64*CE42+[2]EnergyCurve!$W64*CF42)/CD42</f>
        <v>45.4814109802246</v>
      </c>
      <c r="H42" s="172" t="n">
        <f aca="false">[2]EnergyCurve!$F64</f>
        <v>-0.84214630137857</v>
      </c>
      <c r="I42" s="173" t="n">
        <f aca="false">([2]EnergyCurve!$G64*CE42+[2]EnergyCurve!$Y64*CF42)/CD42</f>
        <v>44.6479017833706</v>
      </c>
      <c r="J42" s="169" t="n">
        <f aca="false">H42*B42</f>
        <v>-125873.227616863</v>
      </c>
      <c r="K42" s="174" t="n">
        <f aca="false">(((I42-AL42)*AK42+(I42-AN42)*AM42+(I42-AP42)*AO42+(I42-AR42)*AQ42+(I42-AT42)*AS42+(I42-AV42)*AU42+(I42-AX42)*AW42+(I42-AZ42)*AY42+(I42-BB42)*BA42+(I42-BD42)*BC42+(I42-BF42)*BE42+(I42-BH42)*BG42+(I42-BJ42)*BI42+(I42-BL42)*BK42+(I42-BN42)*BM42+(I42-BP42)*BO42+(I42-BR42)*BQ42+(I42-BT42)*BS42+(I42-BV42)*BU42+(I42-BX42)*BW42)*CD42*CG42)+CI42+CJ42+CK42</f>
        <v>0</v>
      </c>
      <c r="L42" s="174" t="n">
        <f aca="false">J42+K42</f>
        <v>-125873.227616863</v>
      </c>
      <c r="M42" s="9"/>
      <c r="N42" s="176"/>
      <c r="O42" s="142"/>
      <c r="P42" s="142"/>
      <c r="Q42" s="177"/>
      <c r="R42" s="9"/>
      <c r="S42" s="46"/>
      <c r="T42" s="46"/>
      <c r="U42" s="46"/>
      <c r="V42" s="46"/>
      <c r="W42" s="46"/>
      <c r="X42" s="46"/>
      <c r="Y42" s="46"/>
      <c r="Z42" s="46"/>
      <c r="AA42" s="46"/>
      <c r="AB42" s="46"/>
      <c r="AC42" s="46"/>
      <c r="AD42" s="46"/>
      <c r="AE42" s="46"/>
      <c r="AF42" s="46"/>
      <c r="AG42" s="46"/>
      <c r="AH42" s="46"/>
      <c r="AI42" s="46"/>
      <c r="AJ42" s="95" t="n">
        <f aca="false">A42</f>
        <v>38108</v>
      </c>
      <c r="AK42" s="96"/>
      <c r="AL42" s="97"/>
      <c r="AM42" s="96"/>
      <c r="AN42" s="97"/>
      <c r="AO42" s="96"/>
      <c r="AP42" s="97"/>
      <c r="AQ42" s="96"/>
      <c r="AR42" s="97"/>
      <c r="AS42" s="96"/>
      <c r="AT42" s="97"/>
      <c r="AU42" s="96"/>
      <c r="AV42" s="97"/>
      <c r="AW42" s="96"/>
      <c r="AX42" s="97"/>
      <c r="AY42" s="96"/>
      <c r="AZ42" s="97"/>
      <c r="BA42" s="96"/>
      <c r="BB42" s="97"/>
      <c r="BC42" s="96"/>
      <c r="BD42" s="97"/>
      <c r="BE42" s="96"/>
      <c r="BF42" s="97"/>
      <c r="BG42" s="96"/>
      <c r="BH42" s="97"/>
      <c r="BI42" s="96"/>
      <c r="BJ42" s="97"/>
      <c r="BK42" s="96"/>
      <c r="BL42" s="97"/>
      <c r="BM42" s="96"/>
      <c r="BN42" s="97"/>
      <c r="BO42" s="96"/>
      <c r="BP42" s="97"/>
      <c r="BQ42" s="96"/>
      <c r="BR42" s="97"/>
      <c r="BS42" s="96"/>
      <c r="BT42" s="97"/>
      <c r="BU42" s="96"/>
      <c r="BV42" s="97"/>
      <c r="BW42" s="96"/>
      <c r="BX42" s="97"/>
      <c r="BY42" s="100" t="n">
        <f aca="false">AK42+AM42+AO42+AQ42+AS42+AU42+AW42+AY42+BA42+BC42+BE42+BG42+BI42+BK42+BM42+BO42+BQ42+BS42+BU42+BW42</f>
        <v>0</v>
      </c>
      <c r="BZ42" s="101" t="n">
        <f aca="false">IF(AND(BY42=0,CC42=0),0,(ABS(AK42)*AL42+ABS(AM42)*AN42+ABS(AO42)*AP42+ABS(AQ42)*AR42+ABS(AS42)*AT42+ABS(AU42)*AV42+ABS(AW42)*AX42+ABS(AY42)*AZ42+ABS(BA42)*BB42+ABS(BC42)*BD42+ABS(BE42)*BF42+ABS(BG42)*BH42+ABS(BI42)*BJ42+ABS(BK42)*BL42+ABS(BM42)*BN42+ABS(BO42)*BP42+ABS(BQ42)*BR42+ABS(BS42)*BT42+ABS(BU42)*BV42+ABS(BW42)*BX42)/CC42)</f>
        <v>0</v>
      </c>
      <c r="CB42" s="103" t="n">
        <f aca="false">AJ42</f>
        <v>38108</v>
      </c>
      <c r="CC42" s="102" t="n">
        <f aca="false">ABS(AK42)+ABS(AM42)+ABS(AO42)+ABS(AQ42)+ABS(AS42)+ABS(AU42)+ABS(AW42)+ABS(AY42)+ABS(BA42)+ABS(BC42)+ABS(BE42)+ABS(BG42)+ABS(BI42)+ABS(BK42)+ABS(BM42)+ABS(BO42)+ABS(BQ42)+ABS(BS42)+ABS(BU42)+ABS(BW42)</f>
        <v>0</v>
      </c>
      <c r="CD42" s="104" t="n">
        <f aca="false">16*DK42</f>
        <v>400</v>
      </c>
      <c r="CE42" s="102" t="n">
        <f aca="false">16*DL42</f>
        <v>320</v>
      </c>
      <c r="CF42" s="105" t="n">
        <f aca="false">CD42-CE42</f>
        <v>80</v>
      </c>
      <c r="CG42" s="102" t="n">
        <f aca="false">VLOOKUP(A42,Interest!$X$8:$AC$367,6)</f>
        <v>0.912822379313713</v>
      </c>
      <c r="CH42" s="106" t="n">
        <f aca="false">E42-B42</f>
        <v>0</v>
      </c>
      <c r="CI42" s="106" t="n">
        <f aca="false">IF(YEAR($AJ42)=$CI$10,(($I42-$AL$48)*$AK$48+($I42-$AN$48)*$AM$48+($I42-$AP$48)*$AO$48+($I42-$AR$48)*$AQ$48+($I42-$AT$48)*$AS$48+($I42-$AV$48)*$AU$48+($I42-$AX$48)*$AW$48+($I42-$AZ$48)*$AY$48+($I42-$BB$48)*$BA$48+($I42-$BD$48)*$BC$48+($I42-$BF$48)*$BE$48+($I42-$BH$48)*$BG$48+($I42-$BJ$48)*$BI$48+($I42-$BL$48)*$BK$48+($I42-$BN$48)*$BM$48+($I42-$BP$48)*$BO$48+($I42-$BR$48)*$BQ$48+($I42-$BT$48)*$BS$48+($I42-$BV$48)*$BU$48+($I42-$BX$48)*$BW$48)*$CD42*$CG42,0)</f>
        <v>0</v>
      </c>
      <c r="CJ42" s="106" t="n">
        <f aca="false">IF(YEAR($AJ42)=$CJ$10,(($I42-$AL$49)*$AK$49+($I42-$AN$49)*$AM$49+($I42-$AP$49)*$AO$49+($I42-$AR$49)*$AQ$49+($I42-$AT$49)*$AS$49+($I42-$AV$49)*$AU$49+($I42-$AX$49)*$AW$49+($I42-$AZ$49)*$AY$49+($I42-$BB$49)*$BA$49+($I42-$BD$49)*$BC$49+($I42-$BF$49)*$BE$49+($I42-$BH$49)*$BG$49+($I42-$BJ$49)*$BI$49+($I42-$BL$49)*$BK$49+($I42-$BN$49)*$BM$49+($I42-$BP$49)*$BO$49+($I42-$BR$49)*$BQ$49+($I42-$BT$49)*$BS$49+($I42-$BV$49)*$BU$49+($I42-$BX$49)*$BW$49)*$CD42*$CG42,0)</f>
        <v>0</v>
      </c>
      <c r="CK42" s="106" t="n">
        <f aca="false">IF(YEAR($AJ42)=$CK$10,(($I42-$AL$50)*$AK$50+($I42-$AN$50)*$AM$50+($I42-$AP$50)*$AO$50+($I42-$AR$50)*$AQ$50+($I42-$AT$50)*$AS$50+($I42-$AV$50)*$AU$50+($I42-$AX$50)*$AW$50+($I42-$AZ$50)*$AY$50+($I42-$BB$50)*$BA$50+($I42-$BD$50)*$BC$50+($I42-$BF$50)*$BE$50+($I42-$BH$50)*$BG$50+($I42-$BJ$50)*$BI$50+($I42-$BL$50)*$BK$50+($I42-$BN$50)*$BM$50+($I42-$BP$50)*$BO$50+($I42-$BR$50)*$BQ$50+($I42-$BT$50)*$BS$50+($I42-$BV$50)*$BU$50+($I42-$BX$50)*$BW$50)*$CD42*$CG42,0)</f>
        <v>0</v>
      </c>
      <c r="CL42" s="1" t="n">
        <f aca="false">CC42*CD42</f>
        <v>0</v>
      </c>
      <c r="CM42" s="129"/>
      <c r="CN42" s="105"/>
      <c r="CO42" s="129"/>
      <c r="DI42" s="1" t="n">
        <f aca="false">DK42-DL42</f>
        <v>5</v>
      </c>
      <c r="DJ42" s="107" t="n">
        <f aca="false">[2]EnergyCurve!$D64</f>
        <v>38108</v>
      </c>
      <c r="DK42" s="2" t="n">
        <f aca="false">IF($L$6=0,VLOOKUP(DJ42,$DM$13:$DQ$252,2)+VLOOKUP(DJ42,$DU$13:$DY$252,3),VLOOKUP(DJ42,$DU$13:$DY$252,2)+VLOOKUP(DJ42,$DU$13:$DY$252,3))</f>
        <v>25</v>
      </c>
      <c r="DL42" s="2" t="n">
        <f aca="false">IF($L$6=0,VLOOKUP(DJ42,$DM$13:$DQ$252,2),VLOOKUP(DJ42,$DU$13:$DY$252,2))</f>
        <v>20</v>
      </c>
      <c r="DM42" s="130" t="n">
        <v>37773</v>
      </c>
      <c r="DN42" s="22" t="n">
        <v>21</v>
      </c>
      <c r="DO42" s="22" t="n">
        <v>4</v>
      </c>
      <c r="DP42" s="22" t="n">
        <v>5</v>
      </c>
      <c r="DQ42" s="22" t="n">
        <v>0</v>
      </c>
      <c r="DR42" s="22" t="n">
        <v>30</v>
      </c>
      <c r="DS42" s="111"/>
      <c r="DT42" s="111"/>
      <c r="DU42" s="130" t="n">
        <v>37773</v>
      </c>
      <c r="DV42" s="22" t="n">
        <v>21</v>
      </c>
      <c r="DW42" s="22" t="n">
        <v>4</v>
      </c>
      <c r="DX42" s="22" t="n">
        <v>5</v>
      </c>
      <c r="DY42" s="22" t="n">
        <v>0</v>
      </c>
      <c r="DZ42" s="22" t="n">
        <v>30</v>
      </c>
      <c r="EA42" s="111"/>
      <c r="EB42" s="111"/>
    </row>
    <row r="43" customFormat="false" ht="18" hidden="false" customHeight="true" outlineLevel="0" collapsed="false">
      <c r="A43" s="168" t="n">
        <f aca="false">[2]EnergyCurve!$D65</f>
        <v>38139</v>
      </c>
      <c r="B43" s="169" t="n">
        <f aca="false">[2]EnergyCurve!$O65+[2]EnergyCurve!$Q65</f>
        <v>154917.5859375</v>
      </c>
      <c r="C43" s="170" t="n">
        <f aca="false">B43/(CG43*CD43)</f>
        <v>409.66072282086</v>
      </c>
      <c r="D43" s="170" t="n">
        <f aca="false">BY43+IF(YEAR(A43)=$T$20,$BY$48,0)+IF(YEAR(A43)=$T$21,$BY$49,0)+IF(YEAR(A43)=$T$22,$BY$50,0)</f>
        <v>0</v>
      </c>
      <c r="E43" s="169" t="n">
        <f aca="false">B43+(D43*CD43*CG43)</f>
        <v>154917.5859375</v>
      </c>
      <c r="F43" s="171" t="n">
        <f aca="false">C43+D43</f>
        <v>409.66072282086</v>
      </c>
      <c r="G43" s="172" t="n">
        <f aca="false">([2]EnergyCurve!$E65*CE43+[2]EnergyCurve!$W65*CF43)/CD43</f>
        <v>46.1322508591872</v>
      </c>
      <c r="H43" s="172" t="n">
        <f aca="false">[2]EnergyCurve!$F65</f>
        <v>-0.838440073575271</v>
      </c>
      <c r="I43" s="173" t="n">
        <f aca="false">([2]EnergyCurve!$G65*CE43+[2]EnergyCurve!$Y65*CF43)/CD43</f>
        <v>45.3004253362802</v>
      </c>
      <c r="J43" s="169" t="n">
        <f aca="false">H43*B43</f>
        <v>-129889.112151541</v>
      </c>
      <c r="K43" s="174" t="n">
        <f aca="false">(((I43-AL43)*AK43+(I43-AN43)*AM43+(I43-AP43)*AO43+(I43-AR43)*AQ43+(I43-AT43)*AS43+(I43-AV43)*AU43+(I43-AX43)*AW43+(I43-AZ43)*AY43+(I43-BB43)*BA43+(I43-BD43)*BC43+(I43-BF43)*BE43+(I43-BH43)*BG43+(I43-BJ43)*BI43+(I43-BL43)*BK43+(I43-BN43)*BM43+(I43-BP43)*BO43+(I43-BR43)*BQ43+(I43-BT43)*BS43+(I43-BV43)*BU43+(I43-BX43)*BW43)*CD43*CG43)+CI43+CJ43+CK43</f>
        <v>0</v>
      </c>
      <c r="L43" s="174" t="n">
        <f aca="false">J43+K43</f>
        <v>-129889.112151541</v>
      </c>
      <c r="M43" s="9"/>
      <c r="N43" s="176"/>
      <c r="O43" s="142"/>
      <c r="P43" s="142"/>
      <c r="Q43" s="177"/>
      <c r="R43" s="9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95" t="n">
        <f aca="false">A43</f>
        <v>38139</v>
      </c>
      <c r="AK43" s="96"/>
      <c r="AL43" s="97"/>
      <c r="AM43" s="96"/>
      <c r="AN43" s="97"/>
      <c r="AO43" s="96"/>
      <c r="AP43" s="97"/>
      <c r="AQ43" s="96"/>
      <c r="AR43" s="97"/>
      <c r="AS43" s="96"/>
      <c r="AT43" s="97"/>
      <c r="AU43" s="96"/>
      <c r="AV43" s="97"/>
      <c r="AW43" s="96"/>
      <c r="AX43" s="97"/>
      <c r="AY43" s="96"/>
      <c r="AZ43" s="97"/>
      <c r="BA43" s="96"/>
      <c r="BB43" s="97"/>
      <c r="BC43" s="96"/>
      <c r="BD43" s="97"/>
      <c r="BE43" s="96"/>
      <c r="BF43" s="97"/>
      <c r="BG43" s="96"/>
      <c r="BH43" s="97"/>
      <c r="BI43" s="96"/>
      <c r="BJ43" s="97"/>
      <c r="BK43" s="96"/>
      <c r="BL43" s="97"/>
      <c r="BM43" s="96"/>
      <c r="BN43" s="97"/>
      <c r="BO43" s="96"/>
      <c r="BP43" s="97"/>
      <c r="BQ43" s="96"/>
      <c r="BR43" s="97"/>
      <c r="BS43" s="96"/>
      <c r="BT43" s="97"/>
      <c r="BU43" s="96"/>
      <c r="BV43" s="97"/>
      <c r="BW43" s="96"/>
      <c r="BX43" s="97"/>
      <c r="BY43" s="100" t="n">
        <f aca="false">AK43+AM43+AO43+AQ43+AS43+AU43+AW43+AY43+BA43+BC43+BE43+BG43+BI43+BK43+BM43+BO43+BQ43+BS43+BU43+BW43</f>
        <v>0</v>
      </c>
      <c r="BZ43" s="101" t="n">
        <f aca="false">IF(AND(BY43=0,CC43=0),0,(ABS(AK43)*AL43+ABS(AM43)*AN43+ABS(AO43)*AP43+ABS(AQ43)*AR43+ABS(AS43)*AT43+ABS(AU43)*AV43+ABS(AW43)*AX43+ABS(AY43)*AZ43+ABS(BA43)*BB43+ABS(BC43)*BD43+ABS(BE43)*BF43+ABS(BG43)*BH43+ABS(BI43)*BJ43+ABS(BK43)*BL43+ABS(BM43)*BN43+ABS(BO43)*BP43+ABS(BQ43)*BR43+ABS(BS43)*BT43+ABS(BU43)*BV43+ABS(BW43)*BX43)/CC43)</f>
        <v>0</v>
      </c>
      <c r="CB43" s="103" t="n">
        <f aca="false">AJ43</f>
        <v>38139</v>
      </c>
      <c r="CC43" s="102" t="n">
        <f aca="false">ABS(AK43)+ABS(AM43)+ABS(AO43)+ABS(AQ43)+ABS(AS43)+ABS(AU43)+ABS(AW43)+ABS(AY43)+ABS(BA43)+ABS(BC43)+ABS(BE43)+ABS(BG43)+ABS(BI43)+ABS(BK43)+ABS(BM43)+ABS(BO43)+ABS(BQ43)+ABS(BS43)+ABS(BU43)+ABS(BW43)</f>
        <v>0</v>
      </c>
      <c r="CD43" s="104" t="n">
        <f aca="false">16*DK43</f>
        <v>416</v>
      </c>
      <c r="CE43" s="102" t="n">
        <f aca="false">16*DL43</f>
        <v>352</v>
      </c>
      <c r="CF43" s="105" t="n">
        <f aca="false">CD43-CE43</f>
        <v>64</v>
      </c>
      <c r="CG43" s="102" t="n">
        <f aca="false">VLOOKUP(A43,Interest!$X$8:$AC$367,6)</f>
        <v>0.909040145598326</v>
      </c>
      <c r="CH43" s="106" t="n">
        <f aca="false">E43-B43</f>
        <v>0</v>
      </c>
      <c r="CI43" s="106" t="n">
        <f aca="false">IF(YEAR($AJ43)=$CI$10,(($I43-$AL$48)*$AK$48+($I43-$AN$48)*$AM$48+($I43-$AP$48)*$AO$48+($I43-$AR$48)*$AQ$48+($I43-$AT$48)*$AS$48+($I43-$AV$48)*$AU$48+($I43-$AX$48)*$AW$48+($I43-$AZ$48)*$AY$48+($I43-$BB$48)*$BA$48+($I43-$BD$48)*$BC$48+($I43-$BF$48)*$BE$48+($I43-$BH$48)*$BG$48+($I43-$BJ$48)*$BI$48+($I43-$BL$48)*$BK$48+($I43-$BN$48)*$BM$48+($I43-$BP$48)*$BO$48+($I43-$BR$48)*$BQ$48+($I43-$BT$48)*$BS$48+($I43-$BV$48)*$BU$48+($I43-$BX$48)*$BW$48)*$CD43*$CG43,0)</f>
        <v>0</v>
      </c>
      <c r="CJ43" s="106" t="n">
        <f aca="false">IF(YEAR($AJ43)=$CJ$10,(($I43-$AL$49)*$AK$49+($I43-$AN$49)*$AM$49+($I43-$AP$49)*$AO$49+($I43-$AR$49)*$AQ$49+($I43-$AT$49)*$AS$49+($I43-$AV$49)*$AU$49+($I43-$AX$49)*$AW$49+($I43-$AZ$49)*$AY$49+($I43-$BB$49)*$BA$49+($I43-$BD$49)*$BC$49+($I43-$BF$49)*$BE$49+($I43-$BH$49)*$BG$49+($I43-$BJ$49)*$BI$49+($I43-$BL$49)*$BK$49+($I43-$BN$49)*$BM$49+($I43-$BP$49)*$BO$49+($I43-$BR$49)*$BQ$49+($I43-$BT$49)*$BS$49+($I43-$BV$49)*$BU$49+($I43-$BX$49)*$BW$49)*$CD43*$CG43,0)</f>
        <v>0</v>
      </c>
      <c r="CK43" s="106" t="n">
        <f aca="false">IF(YEAR($AJ43)=$CK$10,(($I43-$AL$50)*$AK$50+($I43-$AN$50)*$AM$50+($I43-$AP$50)*$AO$50+($I43-$AR$50)*$AQ$50+($I43-$AT$50)*$AS$50+($I43-$AV$50)*$AU$50+($I43-$AX$50)*$AW$50+($I43-$AZ$50)*$AY$50+($I43-$BB$50)*$BA$50+($I43-$BD$50)*$BC$50+($I43-$BF$50)*$BE$50+($I43-$BH$50)*$BG$50+($I43-$BJ$50)*$BI$50+($I43-$BL$50)*$BK$50+($I43-$BN$50)*$BM$50+($I43-$BP$50)*$BO$50+($I43-$BR$50)*$BQ$50+($I43-$BT$50)*$BS$50+($I43-$BV$50)*$BU$50+($I43-$BX$50)*$BW$50)*$CD43*$CG43,0)</f>
        <v>0</v>
      </c>
      <c r="CL43" s="1" t="n">
        <f aca="false">CC43*CD43</f>
        <v>0</v>
      </c>
      <c r="CM43" s="129"/>
      <c r="CN43" s="105"/>
      <c r="CO43" s="129"/>
      <c r="DI43" s="1" t="n">
        <f aca="false">DK43-DL43</f>
        <v>4</v>
      </c>
      <c r="DJ43" s="107" t="n">
        <f aca="false">[2]EnergyCurve!$D65</f>
        <v>38139</v>
      </c>
      <c r="DK43" s="2" t="n">
        <f aca="false">IF($L$6=0,VLOOKUP(DJ43,$DM$13:$DQ$252,2)+VLOOKUP(DJ43,$DU$13:$DY$252,3),VLOOKUP(DJ43,$DU$13:$DY$252,2)+VLOOKUP(DJ43,$DU$13:$DY$252,3))</f>
        <v>26</v>
      </c>
      <c r="DL43" s="2" t="n">
        <f aca="false">IF($L$6=0,VLOOKUP(DJ43,$DM$13:$DQ$252,2),VLOOKUP(DJ43,$DU$13:$DY$252,2))</f>
        <v>22</v>
      </c>
      <c r="DM43" s="130" t="n">
        <v>37803</v>
      </c>
      <c r="DN43" s="22" t="n">
        <v>22</v>
      </c>
      <c r="DO43" s="22" t="n">
        <v>4</v>
      </c>
      <c r="DP43" s="22" t="n">
        <v>4</v>
      </c>
      <c r="DQ43" s="22" t="n">
        <v>1</v>
      </c>
      <c r="DR43" s="22" t="n">
        <v>31</v>
      </c>
      <c r="DS43" s="111"/>
      <c r="DT43" s="111"/>
      <c r="DU43" s="130" t="n">
        <v>37803</v>
      </c>
      <c r="DV43" s="22" t="n">
        <v>22</v>
      </c>
      <c r="DW43" s="22" t="n">
        <v>4</v>
      </c>
      <c r="DX43" s="22" t="n">
        <v>4</v>
      </c>
      <c r="DY43" s="22" t="n">
        <v>1</v>
      </c>
      <c r="DZ43" s="22" t="n">
        <v>31</v>
      </c>
      <c r="EA43" s="111"/>
      <c r="EB43" s="111"/>
    </row>
    <row r="44" customFormat="false" ht="18" hidden="false" customHeight="true" outlineLevel="0" collapsed="false">
      <c r="A44" s="168" t="n">
        <f aca="false">[2]EnergyCurve!$D66</f>
        <v>38169</v>
      </c>
      <c r="B44" s="169" t="n">
        <f aca="false">[2]EnergyCurve!$O66+[2]EnergyCurve!$Q66</f>
        <v>154457.75390625</v>
      </c>
      <c r="C44" s="170" t="n">
        <f aca="false">B44/(CG44*CD44)</f>
        <v>410.19891484017</v>
      </c>
      <c r="D44" s="170" t="n">
        <f aca="false">BY44+IF(YEAR(A44)=$T$20,$BY$48,0)+IF(YEAR(A44)=$T$21,$BY$49,0)+IF(YEAR(A44)=$T$22,$BY$50,0)</f>
        <v>0</v>
      </c>
      <c r="E44" s="169" t="n">
        <f aca="false">B44+(D44*CD44*CG44)</f>
        <v>154457.75390625</v>
      </c>
      <c r="F44" s="171" t="n">
        <f aca="false">C44+D44</f>
        <v>410.19891484017</v>
      </c>
      <c r="G44" s="172" t="n">
        <f aca="false">([2]EnergyCurve!$E66*CE44+[2]EnergyCurve!$W66*CF44)/CD44</f>
        <v>46.6841991131122</v>
      </c>
      <c r="H44" s="172" t="n">
        <f aca="false">[2]EnergyCurve!$F66</f>
        <v>-0.834703335823264</v>
      </c>
      <c r="I44" s="173" t="n">
        <f aca="false">([2]EnergyCurve!$G66*CE44+[2]EnergyCurve!$Y66*CF44)/CD44</f>
        <v>45.8577277537121</v>
      </c>
      <c r="J44" s="169" t="n">
        <f aca="false">H44*B44</f>
        <v>-128926.402429316</v>
      </c>
      <c r="K44" s="174" t="n">
        <f aca="false">(((I44-AL44)*AK44+(I44-AN44)*AM44+(I44-AP44)*AO44+(I44-AR44)*AQ44+(I44-AT44)*AS44+(I44-AV44)*AU44+(I44-AX44)*AW44+(I44-AZ44)*AY44+(I44-BB44)*BA44+(I44-BD44)*BC44+(I44-BF44)*BE44+(I44-BH44)*BG44+(I44-BJ44)*BI44+(I44-BL44)*BK44+(I44-BN44)*BM44+(I44-BP44)*BO44+(I44-BR44)*BQ44+(I44-BT44)*BS44+(I44-BV44)*BU44+(I44-BX44)*BW44)*CD44*CG44)+CI44+CJ44+CK44</f>
        <v>0</v>
      </c>
      <c r="L44" s="174" t="n">
        <f aca="false">J44+K44</f>
        <v>-128926.402429316</v>
      </c>
      <c r="M44" s="9"/>
      <c r="N44" s="176"/>
      <c r="O44" s="142"/>
      <c r="P44" s="142"/>
      <c r="Q44" s="177"/>
      <c r="R44" s="9"/>
      <c r="S44" s="46"/>
      <c r="T44" s="46"/>
      <c r="U44" s="46"/>
      <c r="V44" s="46"/>
      <c r="W44" s="46"/>
      <c r="X44" s="46"/>
      <c r="Y44" s="46"/>
      <c r="Z44" s="46"/>
      <c r="AA44" s="46"/>
      <c r="AB44" s="46"/>
      <c r="AC44" s="46"/>
      <c r="AD44" s="46"/>
      <c r="AE44" s="46"/>
      <c r="AF44" s="46"/>
      <c r="AG44" s="46"/>
      <c r="AH44" s="46"/>
      <c r="AI44" s="46"/>
      <c r="AJ44" s="95" t="n">
        <f aca="false">A44</f>
        <v>38169</v>
      </c>
      <c r="AK44" s="96"/>
      <c r="AL44" s="97"/>
      <c r="AM44" s="96"/>
      <c r="AN44" s="97"/>
      <c r="AO44" s="96"/>
      <c r="AP44" s="97"/>
      <c r="AQ44" s="96"/>
      <c r="AR44" s="97"/>
      <c r="AS44" s="96"/>
      <c r="AT44" s="97"/>
      <c r="AU44" s="96"/>
      <c r="AV44" s="97"/>
      <c r="AW44" s="96"/>
      <c r="AX44" s="97"/>
      <c r="AY44" s="96"/>
      <c r="AZ44" s="97"/>
      <c r="BA44" s="96"/>
      <c r="BB44" s="97"/>
      <c r="BC44" s="96"/>
      <c r="BD44" s="97"/>
      <c r="BE44" s="96"/>
      <c r="BF44" s="97"/>
      <c r="BG44" s="96"/>
      <c r="BH44" s="97"/>
      <c r="BI44" s="96"/>
      <c r="BJ44" s="97"/>
      <c r="BK44" s="96"/>
      <c r="BL44" s="97"/>
      <c r="BM44" s="96"/>
      <c r="BN44" s="97"/>
      <c r="BO44" s="96"/>
      <c r="BP44" s="97"/>
      <c r="BQ44" s="96"/>
      <c r="BR44" s="97"/>
      <c r="BS44" s="96"/>
      <c r="BT44" s="97"/>
      <c r="BU44" s="96"/>
      <c r="BV44" s="97"/>
      <c r="BW44" s="96"/>
      <c r="BX44" s="97"/>
      <c r="BY44" s="100" t="n">
        <f aca="false">AK44+AM44+AO44+AQ44+AS44+AU44+AW44+AY44+BA44+BC44+BE44+BG44+BI44+BK44+BM44+BO44+BQ44+BS44+BU44+BW44</f>
        <v>0</v>
      </c>
      <c r="BZ44" s="101" t="n">
        <f aca="false">IF(AND(BY44=0,CC44=0),0,(ABS(AK44)*AL44+ABS(AM44)*AN44+ABS(AO44)*AP44+ABS(AQ44)*AR44+ABS(AS44)*AT44+ABS(AU44)*AV44+ABS(AW44)*AX44+ABS(AY44)*AZ44+ABS(BA44)*BB44+ABS(BC44)*BD44+ABS(BE44)*BF44+ABS(BG44)*BH44+ABS(BI44)*BJ44+ABS(BK44)*BL44+ABS(BM44)*BN44+ABS(BO44)*BP44+ABS(BQ44)*BR44+ABS(BS44)*BT44+ABS(BU44)*BV44+ABS(BW44)*BX44)/CC44)</f>
        <v>0</v>
      </c>
      <c r="CB44" s="103" t="n">
        <f aca="false">AJ44</f>
        <v>38169</v>
      </c>
      <c r="CC44" s="102" t="n">
        <f aca="false">ABS(AK44)+ABS(AM44)+ABS(AO44)+ABS(AQ44)+ABS(AS44)+ABS(AU44)+ABS(AW44)+ABS(AY44)+ABS(BA44)+ABS(BC44)+ABS(BE44)+ABS(BG44)+ABS(BI44)+ABS(BK44)+ABS(BM44)+ABS(BO44)+ABS(BQ44)+ABS(BS44)+ABS(BU44)+ABS(BW44)</f>
        <v>0</v>
      </c>
      <c r="CD44" s="104" t="n">
        <f aca="false">16*DK44</f>
        <v>416</v>
      </c>
      <c r="CE44" s="102" t="n">
        <f aca="false">16*DL44</f>
        <v>336</v>
      </c>
      <c r="CF44" s="105" t="n">
        <f aca="false">CD44-CE44</f>
        <v>80</v>
      </c>
      <c r="CG44" s="102" t="n">
        <f aca="false">VLOOKUP(A44,Interest!$X$8:$AC$367,6)</f>
        <v>0.905152754496986</v>
      </c>
      <c r="CH44" s="106" t="n">
        <f aca="false">E44-B44</f>
        <v>0</v>
      </c>
      <c r="CI44" s="106" t="n">
        <f aca="false">IF(YEAR($AJ44)=$CI$10,(($I44-$AL$48)*$AK$48+($I44-$AN$48)*$AM$48+($I44-$AP$48)*$AO$48+($I44-$AR$48)*$AQ$48+($I44-$AT$48)*$AS$48+($I44-$AV$48)*$AU$48+($I44-$AX$48)*$AW$48+($I44-$AZ$48)*$AY$48+($I44-$BB$48)*$BA$48+($I44-$BD$48)*$BC$48+($I44-$BF$48)*$BE$48+($I44-$BH$48)*$BG$48+($I44-$BJ$48)*$BI$48+($I44-$BL$48)*$BK$48+($I44-$BN$48)*$BM$48+($I44-$BP$48)*$BO$48+($I44-$BR$48)*$BQ$48+($I44-$BT$48)*$BS$48+($I44-$BV$48)*$BU$48+($I44-$BX$48)*$BW$48)*$CD44*$CG44,0)</f>
        <v>0</v>
      </c>
      <c r="CJ44" s="106" t="n">
        <f aca="false">IF(YEAR($AJ44)=$CJ$10,(($I44-$AL$49)*$AK$49+($I44-$AN$49)*$AM$49+($I44-$AP$49)*$AO$49+($I44-$AR$49)*$AQ$49+($I44-$AT$49)*$AS$49+($I44-$AV$49)*$AU$49+($I44-$AX$49)*$AW$49+($I44-$AZ$49)*$AY$49+($I44-$BB$49)*$BA$49+($I44-$BD$49)*$BC$49+($I44-$BF$49)*$BE$49+($I44-$BH$49)*$BG$49+($I44-$BJ$49)*$BI$49+($I44-$BL$49)*$BK$49+($I44-$BN$49)*$BM$49+($I44-$BP$49)*$BO$49+($I44-$BR$49)*$BQ$49+($I44-$BT$49)*$BS$49+($I44-$BV$49)*$BU$49+($I44-$BX$49)*$BW$49)*$CD44*$CG44,0)</f>
        <v>0</v>
      </c>
      <c r="CK44" s="106" t="n">
        <f aca="false">IF(YEAR($AJ44)=$CK$10,(($I44-$AL$50)*$AK$50+($I44-$AN$50)*$AM$50+($I44-$AP$50)*$AO$50+($I44-$AR$50)*$AQ$50+($I44-$AT$50)*$AS$50+($I44-$AV$50)*$AU$50+($I44-$AX$50)*$AW$50+($I44-$AZ$50)*$AY$50+($I44-$BB$50)*$BA$50+($I44-$BD$50)*$BC$50+($I44-$BF$50)*$BE$50+($I44-$BH$50)*$BG$50+($I44-$BJ$50)*$BI$50+($I44-$BL$50)*$BK$50+($I44-$BN$50)*$BM$50+($I44-$BP$50)*$BO$50+($I44-$BR$50)*$BQ$50+($I44-$BT$50)*$BS$50+($I44-$BV$50)*$BU$50+($I44-$BX$50)*$BW$50)*$CD44*$CG44,0)</f>
        <v>0</v>
      </c>
      <c r="CL44" s="1" t="n">
        <f aca="false">CC44*CD44</f>
        <v>0</v>
      </c>
      <c r="CM44" s="129"/>
      <c r="CN44" s="105"/>
      <c r="CO44" s="129"/>
      <c r="DI44" s="1" t="n">
        <f aca="false">DK44-DL44</f>
        <v>5</v>
      </c>
      <c r="DJ44" s="107" t="n">
        <f aca="false">[2]EnergyCurve!$D66</f>
        <v>38169</v>
      </c>
      <c r="DK44" s="2" t="n">
        <f aca="false">IF($L$6=0,VLOOKUP(DJ44,$DM$13:$DQ$252,2)+VLOOKUP(DJ44,$DU$13:$DY$252,3),VLOOKUP(DJ44,$DU$13:$DY$252,2)+VLOOKUP(DJ44,$DU$13:$DY$252,3))</f>
        <v>26</v>
      </c>
      <c r="DL44" s="2" t="n">
        <f aca="false">IF($L$6=0,VLOOKUP(DJ44,$DM$13:$DQ$252,2),VLOOKUP(DJ44,$DU$13:$DY$252,2))</f>
        <v>21</v>
      </c>
      <c r="DM44" s="130" t="n">
        <v>37834</v>
      </c>
      <c r="DN44" s="22" t="n">
        <v>20</v>
      </c>
      <c r="DO44" s="22" t="n">
        <v>5</v>
      </c>
      <c r="DP44" s="22" t="n">
        <v>5</v>
      </c>
      <c r="DQ44" s="22" t="n">
        <v>1</v>
      </c>
      <c r="DR44" s="22" t="n">
        <v>31</v>
      </c>
      <c r="DS44" s="111"/>
      <c r="DT44" s="111"/>
      <c r="DU44" s="130" t="n">
        <v>37834</v>
      </c>
      <c r="DV44" s="22" t="n">
        <v>21</v>
      </c>
      <c r="DW44" s="22" t="n">
        <v>5</v>
      </c>
      <c r="DX44" s="22" t="n">
        <v>5</v>
      </c>
      <c r="DY44" s="22" t="n">
        <v>0</v>
      </c>
      <c r="DZ44" s="22" t="n">
        <v>31</v>
      </c>
      <c r="EA44" s="111"/>
      <c r="EB44" s="111"/>
    </row>
    <row r="45" customFormat="false" ht="18" hidden="false" customHeight="true" outlineLevel="0" collapsed="false">
      <c r="A45" s="168" t="n">
        <f aca="false">[2]EnergyCurve!$D67</f>
        <v>38200</v>
      </c>
      <c r="B45" s="169" t="n">
        <f aca="false">[2]EnergyCurve!$O67+[2]EnergyCurve!$Q67</f>
        <v>153906.947265625</v>
      </c>
      <c r="C45" s="170" t="n">
        <f aca="false">B45/(CG45*CD45)</f>
        <v>410.541591716486</v>
      </c>
      <c r="D45" s="170" t="n">
        <f aca="false">BY45+IF(YEAR(A45)=$T$20,$BY$48,0)+IF(YEAR(A45)=$T$21,$BY$49,0)+IF(YEAR(A45)=$T$22,$BY$50,0)</f>
        <v>0</v>
      </c>
      <c r="E45" s="169" t="n">
        <f aca="false">B45+(D45*CD45*CG45)</f>
        <v>153906.947265625</v>
      </c>
      <c r="F45" s="171" t="n">
        <f aca="false">C45+D45</f>
        <v>410.541591716486</v>
      </c>
      <c r="G45" s="172" t="n">
        <f aca="false">([2]EnergyCurve!$E67*CE45+[2]EnergyCurve!$W67*CF45)/CD45</f>
        <v>47.3234572777381</v>
      </c>
      <c r="H45" s="172" t="n">
        <f aca="false">[2]EnergyCurve!$F67</f>
        <v>-0.831056520553624</v>
      </c>
      <c r="I45" s="173" t="n">
        <f aca="false">([2]EnergyCurve!$G67*CE45+[2]EnergyCurve!$Y67*CF45)/CD45</f>
        <v>46.4989575967012</v>
      </c>
      <c r="J45" s="169" t="n">
        <f aca="false">H45*B45</f>
        <v>-127905.3720836</v>
      </c>
      <c r="K45" s="174" t="n">
        <f aca="false">(((I45-AL45)*AK45+(I45-AN45)*AM45+(I45-AP45)*AO45+(I45-AR45)*AQ45+(I45-AT45)*AS45+(I45-AV45)*AU45+(I45-AX45)*AW45+(I45-AZ45)*AY45+(I45-BB45)*BA45+(I45-BD45)*BC45+(I45-BF45)*BE45+(I45-BH45)*BG45+(I45-BJ45)*BI45+(I45-BL45)*BK45+(I45-BN45)*BM45+(I45-BP45)*BO45+(I45-BR45)*BQ45+(I45-BT45)*BS45+(I45-BV45)*BU45+(I45-BX45)*BW45)*CD45*CG45)+CI45+CJ45+CK45</f>
        <v>0</v>
      </c>
      <c r="L45" s="174" t="n">
        <f aca="false">J45+K45</f>
        <v>-127905.3720836</v>
      </c>
      <c r="M45" s="9"/>
      <c r="N45" s="176"/>
      <c r="O45" s="142"/>
      <c r="P45" s="142"/>
      <c r="Q45" s="177"/>
      <c r="R45" s="9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95" t="n">
        <f aca="false">A45</f>
        <v>38200</v>
      </c>
      <c r="AK45" s="96"/>
      <c r="AL45" s="97"/>
      <c r="AM45" s="96"/>
      <c r="AN45" s="97"/>
      <c r="AO45" s="96"/>
      <c r="AP45" s="97"/>
      <c r="AQ45" s="96"/>
      <c r="AR45" s="97"/>
      <c r="AS45" s="96"/>
      <c r="AT45" s="97"/>
      <c r="AU45" s="96"/>
      <c r="AV45" s="97"/>
      <c r="AW45" s="96"/>
      <c r="AX45" s="97"/>
      <c r="AY45" s="96"/>
      <c r="AZ45" s="97"/>
      <c r="BA45" s="96"/>
      <c r="BB45" s="97"/>
      <c r="BC45" s="96"/>
      <c r="BD45" s="97"/>
      <c r="BE45" s="96"/>
      <c r="BF45" s="97"/>
      <c r="BG45" s="96"/>
      <c r="BH45" s="97"/>
      <c r="BI45" s="96"/>
      <c r="BJ45" s="97"/>
      <c r="BK45" s="96"/>
      <c r="BL45" s="97"/>
      <c r="BM45" s="96"/>
      <c r="BN45" s="97"/>
      <c r="BO45" s="96"/>
      <c r="BP45" s="97"/>
      <c r="BQ45" s="96"/>
      <c r="BR45" s="97"/>
      <c r="BS45" s="96"/>
      <c r="BT45" s="97"/>
      <c r="BU45" s="96"/>
      <c r="BV45" s="97"/>
      <c r="BW45" s="96"/>
      <c r="BX45" s="97"/>
      <c r="BY45" s="100" t="n">
        <f aca="false">AK45+AM45+AO45+AQ45+AS45+AU45+AW45+AY45+BA45+BC45+BE45+BG45+BI45+BK45+BM45+BO45+BQ45+BS45+BU45+BW45</f>
        <v>0</v>
      </c>
      <c r="BZ45" s="101" t="n">
        <f aca="false">IF(AND(BY45=0,CC45=0),0,(ABS(AK45)*AL45+ABS(AM45)*AN45+ABS(AO45)*AP45+ABS(AQ45)*AR45+ABS(AS45)*AT45+ABS(AU45)*AV45+ABS(AW45)*AX45+ABS(AY45)*AZ45+ABS(BA45)*BB45+ABS(BC45)*BD45+ABS(BE45)*BF45+ABS(BG45)*BH45+ABS(BI45)*BJ45+ABS(BK45)*BL45+ABS(BM45)*BN45+ABS(BO45)*BP45+ABS(BQ45)*BR45+ABS(BS45)*BT45+ABS(BU45)*BV45+ABS(BW45)*BX45)/CC45)</f>
        <v>0</v>
      </c>
      <c r="CB45" s="103" t="n">
        <f aca="false">AJ45</f>
        <v>38200</v>
      </c>
      <c r="CC45" s="102" t="n">
        <f aca="false">ABS(AK45)+ABS(AM45)+ABS(AO45)+ABS(AQ45)+ABS(AS45)+ABS(AU45)+ABS(AW45)+ABS(AY45)+ABS(BA45)+ABS(BC45)+ABS(BE45)+ABS(BG45)+ABS(BI45)+ABS(BK45)+ABS(BM45)+ABS(BO45)+ABS(BQ45)+ABS(BS45)+ABS(BU45)+ABS(BW45)</f>
        <v>0</v>
      </c>
      <c r="CD45" s="104" t="n">
        <f aca="false">16*DK45</f>
        <v>416</v>
      </c>
      <c r="CE45" s="102" t="n">
        <f aca="false">16*DL45</f>
        <v>352</v>
      </c>
      <c r="CF45" s="105" t="n">
        <f aca="false">CD45-CE45</f>
        <v>64</v>
      </c>
      <c r="CG45" s="102" t="n">
        <f aca="false">VLOOKUP(A45,Interest!$X$8:$AC$367,6)</f>
        <v>0.901172087553484</v>
      </c>
      <c r="CH45" s="106" t="n">
        <f aca="false">E45-B45</f>
        <v>0</v>
      </c>
      <c r="CI45" s="106" t="n">
        <f aca="false">IF(YEAR($AJ45)=$CI$10,(($I45-$AL$48)*$AK$48+($I45-$AN$48)*$AM$48+($I45-$AP$48)*$AO$48+($I45-$AR$48)*$AQ$48+($I45-$AT$48)*$AS$48+($I45-$AV$48)*$AU$48+($I45-$AX$48)*$AW$48+($I45-$AZ$48)*$AY$48+($I45-$BB$48)*$BA$48+($I45-$BD$48)*$BC$48+($I45-$BF$48)*$BE$48+($I45-$BH$48)*$BG$48+($I45-$BJ$48)*$BI$48+($I45-$BL$48)*$BK$48+($I45-$BN$48)*$BM$48+($I45-$BP$48)*$BO$48+($I45-$BR$48)*$BQ$48+($I45-$BT$48)*$BS$48+($I45-$BV$48)*$BU$48+($I45-$BX$48)*$BW$48)*$CD45*$CG45,0)</f>
        <v>0</v>
      </c>
      <c r="CJ45" s="106" t="n">
        <f aca="false">IF(YEAR($AJ45)=$CJ$10,(($I45-$AL$49)*$AK$49+($I45-$AN$49)*$AM$49+($I45-$AP$49)*$AO$49+($I45-$AR$49)*$AQ$49+($I45-$AT$49)*$AS$49+($I45-$AV$49)*$AU$49+($I45-$AX$49)*$AW$49+($I45-$AZ$49)*$AY$49+($I45-$BB$49)*$BA$49+($I45-$BD$49)*$BC$49+($I45-$BF$49)*$BE$49+($I45-$BH$49)*$BG$49+($I45-$BJ$49)*$BI$49+($I45-$BL$49)*$BK$49+($I45-$BN$49)*$BM$49+($I45-$BP$49)*$BO$49+($I45-$BR$49)*$BQ$49+($I45-$BT$49)*$BS$49+($I45-$BV$49)*$BU$49+($I45-$BX$49)*$BW$49)*$CD45*$CG45,0)</f>
        <v>0</v>
      </c>
      <c r="CK45" s="106" t="n">
        <f aca="false">IF(YEAR($AJ45)=$CK$10,(($I45-$AL$50)*$AK$50+($I45-$AN$50)*$AM$50+($I45-$AP$50)*$AO$50+($I45-$AR$50)*$AQ$50+($I45-$AT$50)*$AS$50+($I45-$AV$50)*$AU$50+($I45-$AX$50)*$AW$50+($I45-$AZ$50)*$AY$50+($I45-$BB$50)*$BA$50+($I45-$BD$50)*$BC$50+($I45-$BF$50)*$BE$50+($I45-$BH$50)*$BG$50+($I45-$BJ$50)*$BI$50+($I45-$BL$50)*$BK$50+($I45-$BN$50)*$BM$50+($I45-$BP$50)*$BO$50+($I45-$BR$50)*$BQ$50+($I45-$BT$50)*$BS$50+($I45-$BV$50)*$BU$50+($I45-$BX$50)*$BW$50)*$CD45*$CG45,0)</f>
        <v>0</v>
      </c>
      <c r="CL45" s="1" t="n">
        <f aca="false">CC45*CD45</f>
        <v>0</v>
      </c>
      <c r="CM45" s="129"/>
      <c r="CN45" s="105"/>
      <c r="CO45" s="129"/>
      <c r="DI45" s="1" t="n">
        <f aca="false">DK45-DL45</f>
        <v>4</v>
      </c>
      <c r="DJ45" s="107" t="n">
        <f aca="false">[2]EnergyCurve!$D67</f>
        <v>38200</v>
      </c>
      <c r="DK45" s="2" t="n">
        <f aca="false">IF($L$6=0,VLOOKUP(DJ45,$DM$13:$DQ$252,2)+VLOOKUP(DJ45,$DU$13:$DY$252,3),VLOOKUP(DJ45,$DU$13:$DY$252,2)+VLOOKUP(DJ45,$DU$13:$DY$252,3))</f>
        <v>26</v>
      </c>
      <c r="DL45" s="2" t="n">
        <f aca="false">IF($L$6=0,VLOOKUP(DJ45,$DM$13:$DQ$252,2),VLOOKUP(DJ45,$DU$13:$DY$252,2))</f>
        <v>22</v>
      </c>
      <c r="DM45" s="130" t="n">
        <v>37865</v>
      </c>
      <c r="DN45" s="22" t="n">
        <v>21</v>
      </c>
      <c r="DO45" s="22" t="n">
        <v>4</v>
      </c>
      <c r="DP45" s="22" t="n">
        <v>4</v>
      </c>
      <c r="DQ45" s="22" t="n">
        <v>1</v>
      </c>
      <c r="DR45" s="22" t="n">
        <v>30</v>
      </c>
      <c r="DS45" s="111"/>
      <c r="DT45" s="111"/>
      <c r="DU45" s="130" t="n">
        <v>37865</v>
      </c>
      <c r="DV45" s="22" t="n">
        <v>21</v>
      </c>
      <c r="DW45" s="22" t="n">
        <v>4</v>
      </c>
      <c r="DX45" s="22" t="n">
        <v>4</v>
      </c>
      <c r="DY45" s="22" t="n">
        <v>1</v>
      </c>
      <c r="DZ45" s="22" t="n">
        <v>30</v>
      </c>
      <c r="EA45" s="111"/>
      <c r="EB45" s="111"/>
    </row>
    <row r="46" customFormat="false" ht="18" hidden="false" customHeight="true" outlineLevel="0" collapsed="false">
      <c r="A46" s="168" t="n">
        <f aca="false">[2]EnergyCurve!$D68</f>
        <v>38231</v>
      </c>
      <c r="B46" s="169" t="n">
        <f aca="false">[2]EnergyCurve!$O68+[2]EnergyCurve!$Q68</f>
        <v>147341.408203125</v>
      </c>
      <c r="C46" s="170" t="n">
        <f aca="false">B46/(CG46*CD46)</f>
        <v>410.546575194335</v>
      </c>
      <c r="D46" s="170" t="n">
        <f aca="false">BY46+IF(YEAR(A46)=$T$20,$BY$48,0)+IF(YEAR(A46)=$T$21,$BY$49,0)+IF(YEAR(A46)=$T$22,$BY$50,0)</f>
        <v>0</v>
      </c>
      <c r="E46" s="169" t="n">
        <f aca="false">B46+(D46*CD46*CG46)</f>
        <v>147341.408203125</v>
      </c>
      <c r="F46" s="171" t="n">
        <f aca="false">C46+D46</f>
        <v>410.546575194335</v>
      </c>
      <c r="G46" s="172" t="n">
        <f aca="false">([2]EnergyCurve!$E68*CE46+[2]EnergyCurve!$W68*CF46)/CD46</f>
        <v>47.2205842590332</v>
      </c>
      <c r="H46" s="172" t="n">
        <f aca="false">[2]EnergyCurve!$F68</f>
        <v>-0.828254842594376</v>
      </c>
      <c r="I46" s="173" t="n">
        <f aca="false">([2]EnergyCurve!$G68*CE46+[2]EnergyCurve!$Y68*CF46)/CD46</f>
        <v>46.3991251501583</v>
      </c>
      <c r="J46" s="169" t="n">
        <f aca="false">H46*B46</f>
        <v>-122036.234858913</v>
      </c>
      <c r="K46" s="174" t="n">
        <f aca="false">(((I46-AL46)*AK46+(I46-AN46)*AM46+(I46-AP46)*AO46+(I46-AR46)*AQ46+(I46-AT46)*AS46+(I46-AV46)*AU46+(I46-AX46)*AW46+(I46-AZ46)*AY46+(I46-BB46)*BA46+(I46-BD46)*BC46+(I46-BF46)*BE46+(I46-BH46)*BG46+(I46-BJ46)*BI46+(I46-BL46)*BK46+(I46-BN46)*BM46+(I46-BP46)*BO46+(I46-BR46)*BQ46+(I46-BT46)*BS46+(I46-BV46)*BU46+(I46-BX46)*BW46)*CD46*CG46)+CI46+CJ46+CK46</f>
        <v>0</v>
      </c>
      <c r="L46" s="174" t="n">
        <f aca="false">J46+K46</f>
        <v>-122036.234858913</v>
      </c>
      <c r="M46" s="9"/>
      <c r="N46" s="9"/>
      <c r="O46" s="9"/>
      <c r="P46" s="9"/>
      <c r="Q46" s="9"/>
      <c r="R46" s="9"/>
      <c r="S46" s="46"/>
      <c r="T46" s="46"/>
      <c r="U46" s="46"/>
      <c r="V46" s="46"/>
      <c r="W46" s="46"/>
      <c r="X46" s="46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95" t="n">
        <f aca="false">A46</f>
        <v>38231</v>
      </c>
      <c r="AK46" s="96"/>
      <c r="AL46" s="97"/>
      <c r="AM46" s="96"/>
      <c r="AN46" s="97"/>
      <c r="AO46" s="96"/>
      <c r="AP46" s="97"/>
      <c r="AQ46" s="96"/>
      <c r="AR46" s="97"/>
      <c r="AS46" s="96"/>
      <c r="AT46" s="97"/>
      <c r="AU46" s="96"/>
      <c r="AV46" s="97"/>
      <c r="AW46" s="96"/>
      <c r="AX46" s="97"/>
      <c r="AY46" s="96"/>
      <c r="AZ46" s="97"/>
      <c r="BA46" s="96"/>
      <c r="BB46" s="97"/>
      <c r="BC46" s="96"/>
      <c r="BD46" s="97"/>
      <c r="BE46" s="96"/>
      <c r="BF46" s="97"/>
      <c r="BG46" s="96"/>
      <c r="BH46" s="97"/>
      <c r="BI46" s="96"/>
      <c r="BJ46" s="97"/>
      <c r="BK46" s="96"/>
      <c r="BL46" s="97"/>
      <c r="BM46" s="96"/>
      <c r="BN46" s="97"/>
      <c r="BO46" s="96"/>
      <c r="BP46" s="97"/>
      <c r="BQ46" s="96"/>
      <c r="BR46" s="97"/>
      <c r="BS46" s="96"/>
      <c r="BT46" s="97"/>
      <c r="BU46" s="96"/>
      <c r="BV46" s="97"/>
      <c r="BW46" s="96"/>
      <c r="BX46" s="97"/>
      <c r="BY46" s="100" t="n">
        <f aca="false">AK46+AM46+AO46+AQ46+AS46+AU46+AW46+AY46+BA46+BC46+BE46+BG46+BI46+BK46+BM46+BO46+BQ46+BS46+BU46+BW46</f>
        <v>0</v>
      </c>
      <c r="BZ46" s="101" t="n">
        <f aca="false">IF(AND(BY46=0,CC46=0),0,(ABS(AK46)*AL46+ABS(AM46)*AN46+ABS(AO46)*AP46+ABS(AQ46)*AR46+ABS(AS46)*AT46+ABS(AU46)*AV46+ABS(AW46)*AX46+ABS(AY46)*AZ46+ABS(BA46)*BB46+ABS(BC46)*BD46+ABS(BE46)*BF46+ABS(BG46)*BH46+ABS(BI46)*BJ46+ABS(BK46)*BL46+ABS(BM46)*BN46+ABS(BO46)*BP46+ABS(BQ46)*BR46+ABS(BS46)*BT46+ABS(BU46)*BV46+ABS(BW46)*BX46)/CC46)</f>
        <v>0</v>
      </c>
      <c r="CB46" s="103" t="n">
        <f aca="false">AJ46</f>
        <v>38231</v>
      </c>
      <c r="CC46" s="102" t="n">
        <f aca="false">ABS(AK46)+ABS(AM46)+ABS(AO46)+ABS(AQ46)+ABS(AS46)+ABS(AU46)+ABS(AW46)+ABS(AY46)+ABS(BA46)+ABS(BC46)+ABS(BE46)+ABS(BG46)+ABS(BI46)+ABS(BK46)+ABS(BM46)+ABS(BO46)+ABS(BQ46)+ABS(BS46)+ABS(BU46)+ABS(BW46)</f>
        <v>0</v>
      </c>
      <c r="CD46" s="104" t="n">
        <f aca="false">16*DK46</f>
        <v>400</v>
      </c>
      <c r="CE46" s="102" t="n">
        <f aca="false">16*DL46</f>
        <v>336</v>
      </c>
      <c r="CF46" s="105" t="n">
        <f aca="false">CD46-CE46</f>
        <v>64</v>
      </c>
      <c r="CG46" s="102" t="n">
        <f aca="false">VLOOKUP(A46,Interest!$X$8:$AC$367,6)</f>
        <v>0.897227118100911</v>
      </c>
      <c r="CH46" s="106" t="n">
        <f aca="false">E46-B46</f>
        <v>0</v>
      </c>
      <c r="CI46" s="106" t="n">
        <f aca="false">IF(YEAR($AJ46)=$CI$10,(($I46-$AL$48)*$AK$48+($I46-$AN$48)*$AM$48+($I46-$AP$48)*$AO$48+($I46-$AR$48)*$AQ$48+($I46-$AT$48)*$AS$48+($I46-$AV$48)*$AU$48+($I46-$AX$48)*$AW$48+($I46-$AZ$48)*$AY$48+($I46-$BB$48)*$BA$48+($I46-$BD$48)*$BC$48+($I46-$BF$48)*$BE$48+($I46-$BH$48)*$BG$48+($I46-$BJ$48)*$BI$48+($I46-$BL$48)*$BK$48+($I46-$BN$48)*$BM$48+($I46-$BP$48)*$BO$48+($I46-$BR$48)*$BQ$48+($I46-$BT$48)*$BS$48+($I46-$BV$48)*$BU$48+($I46-$BX$48)*$BW$48)*$CD46*$CG46,0)</f>
        <v>0</v>
      </c>
      <c r="CJ46" s="106" t="n">
        <f aca="false">IF(YEAR($AJ46)=$CJ$10,(($I46-$AL$49)*$AK$49+($I46-$AN$49)*$AM$49+($I46-$AP$49)*$AO$49+($I46-$AR$49)*$AQ$49+($I46-$AT$49)*$AS$49+($I46-$AV$49)*$AU$49+($I46-$AX$49)*$AW$49+($I46-$AZ$49)*$AY$49+($I46-$BB$49)*$BA$49+($I46-$BD$49)*$BC$49+($I46-$BF$49)*$BE$49+($I46-$BH$49)*$BG$49+($I46-$BJ$49)*$BI$49+($I46-$BL$49)*$BK$49+($I46-$BN$49)*$BM$49+($I46-$BP$49)*$BO$49+($I46-$BR$49)*$BQ$49+($I46-$BT$49)*$BS$49+($I46-$BV$49)*$BU$49+($I46-$BX$49)*$BW$49)*$CD46*$CG46,0)</f>
        <v>0</v>
      </c>
      <c r="CK46" s="106" t="n">
        <f aca="false">IF(YEAR($AJ46)=$CK$10,(($I46-$AL$50)*$AK$50+($I46-$AN$50)*$AM$50+($I46-$AP$50)*$AO$50+($I46-$AR$50)*$AQ$50+($I46-$AT$50)*$AS$50+($I46-$AV$50)*$AU$50+($I46-$AX$50)*$AW$50+($I46-$AZ$50)*$AY$50+($I46-$BB$50)*$BA$50+($I46-$BD$50)*$BC$50+($I46-$BF$50)*$BE$50+($I46-$BH$50)*$BG$50+($I46-$BJ$50)*$BI$50+($I46-$BL$50)*$BK$50+($I46-$BN$50)*$BM$50+($I46-$BP$50)*$BO$50+($I46-$BR$50)*$BQ$50+($I46-$BT$50)*$BS$50+($I46-$BV$50)*$BU$50+($I46-$BX$50)*$BW$50)*$CD46*$CG46,0)</f>
        <v>0</v>
      </c>
      <c r="CL46" s="1" t="n">
        <f aca="false">CC46*CD46</f>
        <v>0</v>
      </c>
      <c r="CM46" s="129"/>
      <c r="CN46" s="105"/>
      <c r="CO46" s="129"/>
      <c r="CP46" s="4" t="s">
        <v>31</v>
      </c>
      <c r="CQ46" s="6" t="s">
        <v>32</v>
      </c>
      <c r="CR46" s="6" t="s">
        <v>33</v>
      </c>
      <c r="DI46" s="1" t="n">
        <f aca="false">DK46-DL46</f>
        <v>4</v>
      </c>
      <c r="DJ46" s="107" t="n">
        <f aca="false">[2]EnergyCurve!$D68</f>
        <v>38231</v>
      </c>
      <c r="DK46" s="2" t="n">
        <f aca="false">IF($L$6=0,VLOOKUP(DJ46,$DM$13:$DQ$252,2)+VLOOKUP(DJ46,$DU$13:$DY$252,3),VLOOKUP(DJ46,$DU$13:$DY$252,2)+VLOOKUP(DJ46,$DU$13:$DY$252,3))</f>
        <v>25</v>
      </c>
      <c r="DL46" s="2" t="n">
        <f aca="false">IF($L$6=0,VLOOKUP(DJ46,$DM$13:$DQ$252,2),VLOOKUP(DJ46,$DU$13:$DY$252,2))</f>
        <v>21</v>
      </c>
      <c r="DM46" s="130" t="n">
        <v>37895</v>
      </c>
      <c r="DN46" s="22" t="n">
        <v>22</v>
      </c>
      <c r="DO46" s="22" t="n">
        <v>4</v>
      </c>
      <c r="DP46" s="22" t="n">
        <v>4</v>
      </c>
      <c r="DQ46" s="22" t="n">
        <v>1</v>
      </c>
      <c r="DR46" s="22" t="n">
        <v>31</v>
      </c>
      <c r="DS46" s="111"/>
      <c r="DT46" s="111"/>
      <c r="DU46" s="130" t="n">
        <v>37895</v>
      </c>
      <c r="DV46" s="22" t="n">
        <v>23</v>
      </c>
      <c r="DW46" s="22" t="n">
        <v>4</v>
      </c>
      <c r="DX46" s="22" t="n">
        <v>4</v>
      </c>
      <c r="DY46" s="22" t="n">
        <v>0</v>
      </c>
      <c r="DZ46" s="22" t="n">
        <v>31</v>
      </c>
      <c r="EA46" s="111"/>
      <c r="EB46" s="111"/>
    </row>
    <row r="47" customFormat="false" ht="18" hidden="false" customHeight="true" outlineLevel="0" collapsed="false">
      <c r="A47" s="168" t="n">
        <f aca="false">[2]EnergyCurve!$D69</f>
        <v>38261</v>
      </c>
      <c r="B47" s="169" t="n">
        <f aca="false">[2]EnergyCurve!$O69+[2]EnergyCurve!$Q69</f>
        <v>152704.443359375</v>
      </c>
      <c r="C47" s="170" t="n">
        <f aca="false">B47/(CG47*CD47)</f>
        <v>410.978630016628</v>
      </c>
      <c r="D47" s="170" t="n">
        <f aca="false">BY47+IF(YEAR(A47)=$T$20,$BY$48,0)+IF(YEAR(A47)=$T$21,$BY$49,0)+IF(YEAR(A47)=$T$22,$BY$50,0)</f>
        <v>0</v>
      </c>
      <c r="E47" s="169" t="n">
        <f aca="false">B47+(D47*CD47*CG47)</f>
        <v>152704.443359375</v>
      </c>
      <c r="F47" s="171" t="n">
        <f aca="false">C47+D47</f>
        <v>410.978630016628</v>
      </c>
      <c r="G47" s="172" t="n">
        <f aca="false">([2]EnergyCurve!$E69*CE47+[2]EnergyCurve!$W69*CF47)/CD47</f>
        <v>47.1429176330566</v>
      </c>
      <c r="H47" s="172" t="n">
        <f aca="false">[2]EnergyCurve!$F69</f>
        <v>-0.825517705058935</v>
      </c>
      <c r="I47" s="173" t="n">
        <f aca="false">([2]EnergyCurve!$G69*CE47+[2]EnergyCurve!$Y69*CF47)/CD47</f>
        <v>46.3255412411057</v>
      </c>
      <c r="J47" s="169" t="n">
        <f aca="false">H47*B47</f>
        <v>-126060.221634333</v>
      </c>
      <c r="K47" s="174" t="n">
        <f aca="false">(((I47-AL47)*AK47+(I47-AN47)*AM47+(I47-AP47)*AO47+(I47-AR47)*AQ47+(I47-AT47)*AS47+(I47-AV47)*AU47+(I47-AX47)*AW47+(I47-AZ47)*AY47+(I47-BB47)*BA47+(I47-BD47)*BC47+(I47-BF47)*BE47+(I47-BH47)*BG47+(I47-BJ47)*BI47+(I47-BL47)*BK47+(I47-BN47)*BM47+(I47-BP47)*BO47+(I47-BR47)*BQ47+(I47-BT47)*BS47+(I47-BV47)*BU47+(I47-BX47)*BW47)*CD47*CG47)+CI47+CJ47+CK47</f>
        <v>0</v>
      </c>
      <c r="L47" s="174" t="n">
        <f aca="false">J47+K47</f>
        <v>-126060.221634333</v>
      </c>
      <c r="M47" s="9"/>
      <c r="N47" s="183"/>
      <c r="O47" s="142"/>
      <c r="P47" s="142"/>
      <c r="Q47" s="9"/>
      <c r="R47" s="9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95" t="n">
        <f aca="false">A47</f>
        <v>38261</v>
      </c>
      <c r="AK47" s="96"/>
      <c r="AL47" s="97"/>
      <c r="AM47" s="96"/>
      <c r="AN47" s="97"/>
      <c r="AO47" s="96"/>
      <c r="AP47" s="97"/>
      <c r="AQ47" s="96"/>
      <c r="AR47" s="97"/>
      <c r="AS47" s="96"/>
      <c r="AT47" s="97"/>
      <c r="AU47" s="96"/>
      <c r="AV47" s="97"/>
      <c r="AW47" s="96"/>
      <c r="AX47" s="97"/>
      <c r="AY47" s="96"/>
      <c r="AZ47" s="97"/>
      <c r="BA47" s="96"/>
      <c r="BB47" s="97"/>
      <c r="BC47" s="96"/>
      <c r="BD47" s="97"/>
      <c r="BE47" s="96"/>
      <c r="BF47" s="97"/>
      <c r="BG47" s="96"/>
      <c r="BH47" s="97"/>
      <c r="BI47" s="96"/>
      <c r="BJ47" s="97"/>
      <c r="BK47" s="96"/>
      <c r="BL47" s="97"/>
      <c r="BM47" s="96"/>
      <c r="BN47" s="97"/>
      <c r="BO47" s="96"/>
      <c r="BP47" s="97"/>
      <c r="BQ47" s="96"/>
      <c r="BR47" s="97"/>
      <c r="BS47" s="96"/>
      <c r="BT47" s="97"/>
      <c r="BU47" s="96"/>
      <c r="BV47" s="97"/>
      <c r="BW47" s="96"/>
      <c r="BX47" s="97"/>
      <c r="BY47" s="100" t="n">
        <f aca="false">AK47+AM47+AO47+AQ47+AS47+AU47+AW47+AY47+BA47+BC47+BE47+BG47+BI47+BK47+BM47+BO47+BQ47+BS47+BU47+BW47</f>
        <v>0</v>
      </c>
      <c r="BZ47" s="101" t="n">
        <f aca="false">IF(AND(BY47=0,CC47=0),0,(ABS(AK47)*AL47+ABS(AM47)*AN47+ABS(AO47)*AP47+ABS(AQ47)*AR47+ABS(AS47)*AT47+ABS(AU47)*AV47+ABS(AW47)*AX47+ABS(AY47)*AZ47+ABS(BA47)*BB47+ABS(BC47)*BD47+ABS(BE47)*BF47+ABS(BG47)*BH47+ABS(BI47)*BJ47+ABS(BK47)*BL47+ABS(BM47)*BN47+ABS(BO47)*BP47+ABS(BQ47)*BR47+ABS(BS47)*BT47+ABS(BU47)*BV47+ABS(BW47)*BX47)/CC47)</f>
        <v>0</v>
      </c>
      <c r="CB47" s="103" t="n">
        <f aca="false">AJ47</f>
        <v>38261</v>
      </c>
      <c r="CC47" s="102" t="n">
        <f aca="false">ABS(AK47)+ABS(AM47)+ABS(AO47)+ABS(AQ47)+ABS(AS47)+ABS(AU47)+ABS(AW47)+ABS(AY47)+ABS(BA47)+ABS(BC47)+ABS(BE47)+ABS(BG47)+ABS(BI47)+ABS(BK47)+ABS(BM47)+ABS(BO47)+ABS(BQ47)+ABS(BS47)+ABS(BU47)+ABS(BW47)</f>
        <v>0</v>
      </c>
      <c r="CD47" s="104" t="n">
        <f aca="false">16*DK47</f>
        <v>416</v>
      </c>
      <c r="CE47" s="102" t="n">
        <f aca="false">16*DL47</f>
        <v>336</v>
      </c>
      <c r="CF47" s="105" t="n">
        <f aca="false">CD47-CE47</f>
        <v>80</v>
      </c>
      <c r="CG47" s="102" t="n">
        <f aca="false">VLOOKUP(A47,Interest!$X$8:$AC$367,6)</f>
        <v>0.893180233799017</v>
      </c>
      <c r="CH47" s="106" t="n">
        <f aca="false">E47-B47</f>
        <v>0</v>
      </c>
      <c r="CI47" s="106" t="n">
        <f aca="false">IF(YEAR($AJ47)=$CI$10,(($I47-$AL$48)*$AK$48+($I47-$AN$48)*$AM$48+($I47-$AP$48)*$AO$48+($I47-$AR$48)*$AQ$48+($I47-$AT$48)*$AS$48+($I47-$AV$48)*$AU$48+($I47-$AX$48)*$AW$48+($I47-$AZ$48)*$AY$48+($I47-$BB$48)*$BA$48+($I47-$BD$48)*$BC$48+($I47-$BF$48)*$BE$48+($I47-$BH$48)*$BG$48+($I47-$BJ$48)*$BI$48+($I47-$BL$48)*$BK$48+($I47-$BN$48)*$BM$48+($I47-$BP$48)*$BO$48+($I47-$BR$48)*$BQ$48+($I47-$BT$48)*$BS$48+($I47-$BV$48)*$BU$48+($I47-$BX$48)*$BW$48)*$CD47*$CG47,0)</f>
        <v>0</v>
      </c>
      <c r="CJ47" s="106" t="n">
        <f aca="false">IF(YEAR($AJ47)=$CJ$10,(($I47-$AL$49)*$AK$49+($I47-$AN$49)*$AM$49+($I47-$AP$49)*$AO$49+($I47-$AR$49)*$AQ$49+($I47-$AT$49)*$AS$49+($I47-$AV$49)*$AU$49+($I47-$AX$49)*$AW$49+($I47-$AZ$49)*$AY$49+($I47-$BB$49)*$BA$49+($I47-$BD$49)*$BC$49+($I47-$BF$49)*$BE$49+($I47-$BH$49)*$BG$49+($I47-$BJ$49)*$BI$49+($I47-$BL$49)*$BK$49+($I47-$BN$49)*$BM$49+($I47-$BP$49)*$BO$49+($I47-$BR$49)*$BQ$49+($I47-$BT$49)*$BS$49+($I47-$BV$49)*$BU$49+($I47-$BX$49)*$BW$49)*$CD47*$CG47,0)</f>
        <v>0</v>
      </c>
      <c r="CK47" s="106" t="n">
        <f aca="false">IF(YEAR($AJ47)=$CK$10,(($I47-$AL$50)*$AK$50+($I47-$AN$50)*$AM$50+($I47-$AP$50)*$AO$50+($I47-$AR$50)*$AQ$50+($I47-$AT$50)*$AS$50+($I47-$AV$50)*$AU$50+($I47-$AX$50)*$AW$50+($I47-$AZ$50)*$AY$50+($I47-$BB$50)*$BA$50+($I47-$BD$50)*$BC$50+($I47-$BF$50)*$BE$50+($I47-$BH$50)*$BG$50+($I47-$BJ$50)*$BI$50+($I47-$BL$50)*$BK$50+($I47-$BN$50)*$BM$50+($I47-$BP$50)*$BO$50+($I47-$BR$50)*$BQ$50+($I47-$BT$50)*$BS$50+($I47-$BV$50)*$BU$50+($I47-$BX$50)*$BW$50)*$CD47*$CG47,0)</f>
        <v>0</v>
      </c>
      <c r="CL47" s="1" t="n">
        <f aca="false">CC47*CD47</f>
        <v>0</v>
      </c>
      <c r="CM47" s="21"/>
      <c r="CO47" s="102" t="s">
        <v>64</v>
      </c>
      <c r="CP47" s="4" t="s">
        <v>53</v>
      </c>
      <c r="CQ47" s="6" t="s">
        <v>53</v>
      </c>
      <c r="CR47" s="6" t="s">
        <v>53</v>
      </c>
      <c r="DI47" s="1" t="n">
        <f aca="false">DK47-DL47</f>
        <v>5</v>
      </c>
      <c r="DJ47" s="107" t="n">
        <f aca="false">[2]EnergyCurve!$D69</f>
        <v>38261</v>
      </c>
      <c r="DK47" s="2" t="n">
        <f aca="false">IF($L$6=0,VLOOKUP(DJ47,$DM$13:$DQ$252,2)+VLOOKUP(DJ47,$DU$13:$DY$252,3),VLOOKUP(DJ47,$DU$13:$DY$252,2)+VLOOKUP(DJ47,$DU$13:$DY$252,3))</f>
        <v>26</v>
      </c>
      <c r="DL47" s="2" t="n">
        <f aca="false">IF($L$6=0,VLOOKUP(DJ47,$DM$13:$DQ$252,2),VLOOKUP(DJ47,$DU$13:$DY$252,2))</f>
        <v>21</v>
      </c>
      <c r="DM47" s="130" t="n">
        <v>37926</v>
      </c>
      <c r="DN47" s="22" t="n">
        <v>19</v>
      </c>
      <c r="DO47" s="22" t="n">
        <v>5</v>
      </c>
      <c r="DP47" s="22" t="n">
        <v>5</v>
      </c>
      <c r="DQ47" s="22" t="n">
        <v>1</v>
      </c>
      <c r="DR47" s="22" t="n">
        <v>30</v>
      </c>
      <c r="DS47" s="111"/>
      <c r="DT47" s="111"/>
      <c r="DU47" s="130" t="n">
        <v>37926</v>
      </c>
      <c r="DV47" s="22" t="n">
        <v>19</v>
      </c>
      <c r="DW47" s="22" t="n">
        <v>5</v>
      </c>
      <c r="DX47" s="22" t="n">
        <v>5</v>
      </c>
      <c r="DY47" s="22" t="n">
        <v>1</v>
      </c>
      <c r="DZ47" s="22" t="n">
        <v>30</v>
      </c>
      <c r="EA47" s="111"/>
      <c r="EB47" s="111"/>
    </row>
    <row r="48" customFormat="false" ht="18" hidden="false" customHeight="true" outlineLevel="0" collapsed="false">
      <c r="A48" s="168" t="n">
        <f aca="false">[2]EnergyCurve!$D70</f>
        <v>38292</v>
      </c>
      <c r="B48" s="169" t="n">
        <f aca="false">[2]EnergyCurve!$O70+[2]EnergyCurve!$Q70</f>
        <v>146425.515625</v>
      </c>
      <c r="C48" s="170" t="n">
        <f aca="false">B48/(CO48*CP48)</f>
        <v>411.671342469411</v>
      </c>
      <c r="D48" s="170" t="n">
        <f aca="false">IF(YEAR(A48)=$T$20,$BY$48,0)+IF(YEAR(A48)=$T$21,$BY$49,0)+IF(YEAR(A48)=$T$22,$BY$50,0)</f>
        <v>0</v>
      </c>
      <c r="E48" s="169" t="n">
        <f aca="false">B48+(D48*CO48*CP48)</f>
        <v>146425.515625</v>
      </c>
      <c r="F48" s="171" t="n">
        <f aca="false">C48+D48</f>
        <v>411.671342469411</v>
      </c>
      <c r="G48" s="172" t="n">
        <f aca="false">([2]EnergyCurve!$E70*CQ48+[2]EnergyCurve!$W70*CR48)/CP48</f>
        <v>49.9297611999512</v>
      </c>
      <c r="H48" s="172" t="n">
        <f aca="false">[2]EnergyCurve!$F70</f>
        <v>-0.80401571892282</v>
      </c>
      <c r="I48" s="173" t="n">
        <f aca="false">([2]EnergyCurve!$G70*CQ48+[2]EnergyCurve!$Y70*CR48)/CP48</f>
        <v>49.1323426113313</v>
      </c>
      <c r="J48" s="169" t="n">
        <f aca="false">H48*B48</f>
        <v>-117728.416213879</v>
      </c>
      <c r="K48" s="174" t="n">
        <f aca="false">CI48+CJ48+CK48</f>
        <v>0</v>
      </c>
      <c r="L48" s="174" t="n">
        <f aca="false">J48+K48</f>
        <v>-117728.416213879</v>
      </c>
      <c r="M48" s="9"/>
      <c r="N48" s="183"/>
      <c r="O48" s="142"/>
      <c r="P48" s="142"/>
      <c r="Q48" s="9"/>
      <c r="R48" s="9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184" t="str">
        <f aca="false">V20</f>
        <v>Bal 2002</v>
      </c>
      <c r="AK48" s="96"/>
      <c r="AL48" s="97"/>
      <c r="AM48" s="96"/>
      <c r="AN48" s="97"/>
      <c r="AO48" s="96"/>
      <c r="AP48" s="97"/>
      <c r="AQ48" s="96"/>
      <c r="AR48" s="97"/>
      <c r="AS48" s="96"/>
      <c r="AT48" s="97"/>
      <c r="AU48" s="96"/>
      <c r="AV48" s="97"/>
      <c r="AW48" s="96"/>
      <c r="AX48" s="97"/>
      <c r="AY48" s="96"/>
      <c r="AZ48" s="97"/>
      <c r="BA48" s="96"/>
      <c r="BB48" s="97"/>
      <c r="BC48" s="96"/>
      <c r="BD48" s="97"/>
      <c r="BE48" s="96"/>
      <c r="BF48" s="97"/>
      <c r="BG48" s="96"/>
      <c r="BH48" s="97"/>
      <c r="BI48" s="96"/>
      <c r="BJ48" s="97"/>
      <c r="BK48" s="96"/>
      <c r="BL48" s="97"/>
      <c r="BM48" s="96"/>
      <c r="BN48" s="97"/>
      <c r="BO48" s="96"/>
      <c r="BP48" s="97"/>
      <c r="BQ48" s="96"/>
      <c r="BR48" s="97"/>
      <c r="BS48" s="96"/>
      <c r="BT48" s="97"/>
      <c r="BU48" s="96"/>
      <c r="BV48" s="97"/>
      <c r="BW48" s="96"/>
      <c r="BX48" s="97"/>
      <c r="BY48" s="100" t="n">
        <f aca="false">AK48+AM48+AO48+AQ48+AS48+AU48+AW48+AY48+BA48+BC48+BE48+BG48+BI48+BK48+BM48+BO48+BQ48+BS48+BU48+BW48</f>
        <v>0</v>
      </c>
      <c r="BZ48" s="101" t="n">
        <f aca="false">IF(AND(BY48=0,CC48=0),0,(ABS(AK48)*AL48+ABS(AM48)*AN48+ABS(AO48)*AP48+ABS(AQ48)*AR48+ABS(AS48)*AT48+ABS(AU48)*AV48+ABS(AW48)*AX48+ABS(AY48)*AZ48+ABS(BA48)*BB48+ABS(BC48)*BD48+ABS(BE48)*BF48+ABS(BG48)*BH48+ABS(BI48)*BJ48+ABS(BK48)*BL48+ABS(BM48)*BN48+ABS(BO48)*BP48+ABS(BQ48)*BR48+ABS(BS48)*BT48+ABS(BU48)*BV48+ABS(BW48)*BX48)/CC48)</f>
        <v>0</v>
      </c>
      <c r="CA48" s="102"/>
      <c r="CB48" s="103" t="str">
        <f aca="false">AJ48</f>
        <v>Bal 2002</v>
      </c>
      <c r="CC48" s="102" t="n">
        <f aca="false">ABS(AK48)+ABS(AM48)+ABS(AO48)+ABS(AQ48)+ABS(AS48)+ABS(AU48)+ABS(AW48)+ABS(AY48)+ABS(BA48)+ABS(BC48)+ABS(BE48)+ABS(BG48)+ABS(BI48)+ABS(BK48)+ABS(BM48)+ABS(BO48)+ABS(BQ48)+ABS(BS48)+ABS(BU48)+ABS(BW48)</f>
        <v>0</v>
      </c>
      <c r="CD48" s="105" t="n">
        <f aca="false" t="array" ref="CD48:CD48">SUM(IF(YEAR($CB$12:$CB$47)=$T20,$CN$12:$CN$47))</f>
        <v>0</v>
      </c>
      <c r="CG48" s="102"/>
      <c r="CH48" s="106"/>
      <c r="CI48" s="106"/>
      <c r="CJ48" s="106"/>
      <c r="CK48" s="106"/>
      <c r="CN48" s="107" t="n">
        <f aca="false">DJ48</f>
        <v>38292</v>
      </c>
      <c r="CO48" s="102" t="n">
        <f aca="false">VLOOKUP(CN48,Interest!$X$8:$AC$367,6)</f>
        <v>0.889213679209891</v>
      </c>
      <c r="CP48" s="1" t="n">
        <f aca="false">16*DK48</f>
        <v>400</v>
      </c>
      <c r="CQ48" s="1" t="n">
        <f aca="false">DL48*16</f>
        <v>336</v>
      </c>
      <c r="CR48" s="1" t="n">
        <f aca="false">CP48-CQ48</f>
        <v>64</v>
      </c>
      <c r="DI48" s="1" t="n">
        <f aca="false">DK48-DL48</f>
        <v>4</v>
      </c>
      <c r="DJ48" s="107" t="n">
        <f aca="false">[2]EnergyCurve!$D70</f>
        <v>38292</v>
      </c>
      <c r="DK48" s="2" t="n">
        <f aca="false">IF($L$6=0,VLOOKUP(DJ48,$DM$13:$DQ$252,2)+VLOOKUP(DJ48,$DU$13:$DY$252,3),VLOOKUP(DJ48,$DU$13:$DY$252,2)+VLOOKUP(DJ48,$DU$13:$DY$252,3))</f>
        <v>25</v>
      </c>
      <c r="DL48" s="2" t="n">
        <f aca="false">IF($L$6=0,VLOOKUP(DJ48,$DM$13:$DQ$252,2),VLOOKUP(DJ48,$DU$13:$DY$252,2))</f>
        <v>21</v>
      </c>
      <c r="DM48" s="130" t="n">
        <v>37956</v>
      </c>
      <c r="DN48" s="22" t="n">
        <v>21</v>
      </c>
      <c r="DO48" s="22" t="n">
        <v>4</v>
      </c>
      <c r="DP48" s="22" t="n">
        <v>4</v>
      </c>
      <c r="DQ48" s="22" t="n">
        <v>2</v>
      </c>
      <c r="DR48" s="22" t="n">
        <v>31</v>
      </c>
      <c r="DS48" s="111"/>
      <c r="DT48" s="111"/>
      <c r="DU48" s="130" t="n">
        <v>37956</v>
      </c>
      <c r="DV48" s="22" t="n">
        <v>22</v>
      </c>
      <c r="DW48" s="22" t="n">
        <v>4</v>
      </c>
      <c r="DX48" s="22" t="n">
        <v>4</v>
      </c>
      <c r="DY48" s="22" t="n">
        <v>1</v>
      </c>
      <c r="DZ48" s="22" t="n">
        <v>31</v>
      </c>
      <c r="EA48" s="111"/>
      <c r="EB48" s="111"/>
    </row>
    <row r="49" customFormat="false" ht="18" hidden="false" customHeight="true" outlineLevel="0" collapsed="false">
      <c r="A49" s="168" t="n">
        <f aca="false">[2]EnergyCurve!$D71</f>
        <v>38322</v>
      </c>
      <c r="B49" s="169" t="n">
        <f aca="false">[2]EnergyCurve!$O71+[2]EnergyCurve!$Q71</f>
        <v>151648.408203125</v>
      </c>
      <c r="C49" s="170" t="n">
        <f aca="false">B49/(CO49*CP49)</f>
        <v>411.71060761154</v>
      </c>
      <c r="D49" s="170" t="n">
        <f aca="false">IF(YEAR(A49)=$T$20,$BY$48,0)+IF(YEAR(A49)=$T$21,$BY$49,0)+IF(YEAR(A49)=$T$22,$BY$50,0)</f>
        <v>0</v>
      </c>
      <c r="E49" s="169" t="n">
        <f aca="false">B49+(D49*CO49*CP49)</f>
        <v>151648.408203125</v>
      </c>
      <c r="F49" s="171" t="n">
        <f aca="false">C49+D49</f>
        <v>411.71060761154</v>
      </c>
      <c r="G49" s="172" t="n">
        <f aca="false">([2]EnergyCurve!$E71*CQ49+[2]EnergyCurve!$W71*CR49)/CP49</f>
        <v>52.2234290196345</v>
      </c>
      <c r="H49" s="172" t="n">
        <f aca="false">[2]EnergyCurve!$F71</f>
        <v>-0.798895970568601</v>
      </c>
      <c r="I49" s="173" t="n">
        <f aca="false">([2]EnergyCurve!$G71*CQ49+[2]EnergyCurve!$Y71*CR49)/CP49</f>
        <v>51.4292601651555</v>
      </c>
      <c r="J49" s="169" t="n">
        <f aca="false">H49*B49</f>
        <v>-121151.302256619</v>
      </c>
      <c r="K49" s="174" t="n">
        <f aca="false">CI49+CJ49+CK49</f>
        <v>0</v>
      </c>
      <c r="L49" s="174" t="n">
        <f aca="false">J49+K49</f>
        <v>-121151.302256619</v>
      </c>
      <c r="M49" s="9"/>
      <c r="N49" s="9"/>
      <c r="O49" s="9"/>
      <c r="P49" s="9"/>
      <c r="Q49" s="9"/>
      <c r="R49" s="9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185" t="n">
        <f aca="false">V21</f>
        <v>2003</v>
      </c>
      <c r="AK49" s="96"/>
      <c r="AL49" s="97"/>
      <c r="AM49" s="96"/>
      <c r="AN49" s="97"/>
      <c r="AO49" s="96"/>
      <c r="AP49" s="97"/>
      <c r="AQ49" s="96"/>
      <c r="AR49" s="97"/>
      <c r="AS49" s="96"/>
      <c r="AT49" s="97"/>
      <c r="AU49" s="96"/>
      <c r="AV49" s="97"/>
      <c r="AW49" s="96"/>
      <c r="AX49" s="97"/>
      <c r="AY49" s="96"/>
      <c r="AZ49" s="97"/>
      <c r="BA49" s="96"/>
      <c r="BB49" s="97"/>
      <c r="BC49" s="96"/>
      <c r="BD49" s="97"/>
      <c r="BE49" s="96"/>
      <c r="BF49" s="97"/>
      <c r="BG49" s="96"/>
      <c r="BH49" s="97"/>
      <c r="BI49" s="96"/>
      <c r="BJ49" s="97"/>
      <c r="BK49" s="96"/>
      <c r="BL49" s="97"/>
      <c r="BM49" s="96"/>
      <c r="BN49" s="97"/>
      <c r="BO49" s="96"/>
      <c r="BP49" s="97"/>
      <c r="BQ49" s="96"/>
      <c r="BR49" s="97"/>
      <c r="BS49" s="96"/>
      <c r="BT49" s="97"/>
      <c r="BU49" s="96"/>
      <c r="BV49" s="97"/>
      <c r="BW49" s="96"/>
      <c r="BX49" s="97"/>
      <c r="BY49" s="100" t="n">
        <f aca="false">AK49+AM49+AO49+AQ49+AS49+AU49+AW49+AY49+BA49+BC49+BE49+BG49+BI49+BK49+BM49+BO49+BQ49+BS49+BU49+BW49</f>
        <v>0</v>
      </c>
      <c r="BZ49" s="101" t="n">
        <f aca="false">IF(AND(BY49=0,CC49=0),0,(ABS(AK49)*AL49+ABS(AM49)*AN49+ABS(AO49)*AP49+ABS(AQ49)*AR49+ABS(AS49)*AT49+ABS(AU49)*AV49+ABS(AW49)*AX49+ABS(AY49)*AZ49+ABS(BA49)*BB49+ABS(BC49)*BD49+ABS(BE49)*BF49+ABS(BG49)*BH49+ABS(BI49)*BJ49+ABS(BK49)*BL49+ABS(BM49)*BN49+ABS(BO49)*BP49+ABS(BQ49)*BR49+ABS(BS49)*BT49+ABS(BU49)*BV49+ABS(BW49)*BX49)/CC49)</f>
        <v>0</v>
      </c>
      <c r="CA49" s="102"/>
      <c r="CB49" s="186" t="n">
        <f aca="false">AJ49</f>
        <v>2003</v>
      </c>
      <c r="CC49" s="102" t="n">
        <f aca="false">ABS(AK49)+ABS(AM49)+ABS(AO49)+ABS(AQ49)+ABS(AS49)+ABS(AU49)+ABS(AW49)+ABS(AY49)+ABS(BA49)+ABS(BC49)+ABS(BE49)+ABS(BG49)+ABS(BI49)+ABS(BK49)+ABS(BM49)+ABS(BO49)+ABS(BQ49)+ABS(BS49)+ABS(BU49)+ABS(BW49)</f>
        <v>0</v>
      </c>
      <c r="CD49" s="105" t="n">
        <f aca="false" t="array" ref="CD49:CD49">SUM(IF(YEAR($CB$12:$CB$47)=$T21,$CN$12:$CN$47))</f>
        <v>0</v>
      </c>
      <c r="CG49" s="102"/>
      <c r="CH49" s="106"/>
      <c r="CI49" s="106"/>
      <c r="CJ49" s="106"/>
      <c r="CK49" s="106"/>
      <c r="CN49" s="107" t="n">
        <f aca="false">DJ49</f>
        <v>38322</v>
      </c>
      <c r="CO49" s="102" t="n">
        <f aca="false">VLOOKUP(CN49,Interest!$X$8:$AC$367,6)</f>
        <v>0.885426404023882</v>
      </c>
      <c r="CP49" s="1" t="n">
        <f aca="false">16*DK49</f>
        <v>416</v>
      </c>
      <c r="CQ49" s="1" t="n">
        <f aca="false">DL49*16</f>
        <v>368</v>
      </c>
      <c r="CR49" s="1" t="n">
        <f aca="false">CP49-CQ49</f>
        <v>48</v>
      </c>
      <c r="DI49" s="1" t="n">
        <f aca="false">DK49-DL49</f>
        <v>3</v>
      </c>
      <c r="DJ49" s="107" t="n">
        <f aca="false">[2]EnergyCurve!$D71</f>
        <v>38322</v>
      </c>
      <c r="DK49" s="2" t="n">
        <f aca="false">IF($L$6=0,VLOOKUP(DJ49,$DM$13:$DQ$252,2)+VLOOKUP(DJ49,$DU$13:$DY$252,3),VLOOKUP(DJ49,$DU$13:$DY$252,2)+VLOOKUP(DJ49,$DU$13:$DY$252,3))</f>
        <v>26</v>
      </c>
      <c r="DL49" s="2" t="n">
        <f aca="false">IF($L$6=0,VLOOKUP(DJ49,$DM$13:$DQ$252,2),VLOOKUP(DJ49,$DU$13:$DY$252,2))</f>
        <v>23</v>
      </c>
      <c r="DM49" s="130" t="n">
        <v>37987</v>
      </c>
      <c r="DN49" s="22" t="n">
        <v>21</v>
      </c>
      <c r="DO49" s="22" t="n">
        <v>5</v>
      </c>
      <c r="DP49" s="22" t="n">
        <v>4</v>
      </c>
      <c r="DQ49" s="22" t="n">
        <v>1</v>
      </c>
      <c r="DR49" s="22" t="n">
        <v>31</v>
      </c>
      <c r="DS49" s="111"/>
      <c r="DT49" s="111"/>
      <c r="DU49" s="130" t="n">
        <v>37987</v>
      </c>
      <c r="DV49" s="22" t="n">
        <v>21</v>
      </c>
      <c r="DW49" s="22" t="n">
        <v>5</v>
      </c>
      <c r="DX49" s="22" t="n">
        <v>4</v>
      </c>
      <c r="DY49" s="22" t="n">
        <v>1</v>
      </c>
      <c r="DZ49" s="22" t="n">
        <v>31</v>
      </c>
      <c r="EA49" s="111"/>
      <c r="EB49" s="111"/>
    </row>
    <row r="50" customFormat="false" ht="18.75" hidden="false" customHeight="true" outlineLevel="0" collapsed="false">
      <c r="A50" s="168" t="n">
        <f aca="false">[2]EnergyCurve!$D72</f>
        <v>38353</v>
      </c>
      <c r="B50" s="169" t="n">
        <f aca="false">[2]EnergyCurve!$O72+[2]EnergyCurve!$Q72</f>
        <v>147326.58984375</v>
      </c>
      <c r="C50" s="170" t="n">
        <f aca="false">B50/(CO50*CP50)</f>
        <v>417.794490158151</v>
      </c>
      <c r="D50" s="170" t="n">
        <f aca="false">IF(YEAR(A50)=$T$20,$BY$48,0)+IF(YEAR(A50)=$T$21,$BY$49,0)+IF(YEAR(A50)=$T$22,$BY$50,0)</f>
        <v>0</v>
      </c>
      <c r="E50" s="169" t="n">
        <f aca="false">B50+(D50*CO50*CP50)</f>
        <v>147326.58984375</v>
      </c>
      <c r="F50" s="171" t="n">
        <f aca="false">C50+D50</f>
        <v>417.794490158151</v>
      </c>
      <c r="G50" s="172" t="n">
        <f aca="false">([2]EnergyCurve!$E72*CQ50+[2]EnergyCurve!$W72*CR50)/CP50</f>
        <v>51.2935862731934</v>
      </c>
      <c r="H50" s="172" t="n">
        <f aca="false">[2]EnergyCurve!$F72</f>
        <v>-0.704839547722187</v>
      </c>
      <c r="I50" s="173" t="n">
        <f aca="false">([2]EnergyCurve!$G72*CQ50+[2]EnergyCurve!$Y72*CR50)/CP50</f>
        <v>50.5976505240294</v>
      </c>
      <c r="J50" s="169" t="n">
        <f aca="false">H50*B50</f>
        <v>-103841.606952921</v>
      </c>
      <c r="K50" s="174" t="n">
        <f aca="false">CI50+CJ50+CK50</f>
        <v>0</v>
      </c>
      <c r="L50" s="174" t="n">
        <f aca="false">J50+K50</f>
        <v>-103841.606952921</v>
      </c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187" t="n">
        <f aca="false">V22</f>
        <v>2004</v>
      </c>
      <c r="AK50" s="188"/>
      <c r="AL50" s="189"/>
      <c r="AM50" s="188"/>
      <c r="AN50" s="189"/>
      <c r="AO50" s="188"/>
      <c r="AP50" s="189"/>
      <c r="AQ50" s="188"/>
      <c r="AR50" s="189"/>
      <c r="AS50" s="188"/>
      <c r="AT50" s="189"/>
      <c r="AU50" s="188"/>
      <c r="AV50" s="189"/>
      <c r="AW50" s="188"/>
      <c r="AX50" s="189"/>
      <c r="AY50" s="188"/>
      <c r="AZ50" s="189"/>
      <c r="BA50" s="188"/>
      <c r="BB50" s="189"/>
      <c r="BC50" s="188"/>
      <c r="BD50" s="189"/>
      <c r="BE50" s="188"/>
      <c r="BF50" s="189"/>
      <c r="BG50" s="188"/>
      <c r="BH50" s="189"/>
      <c r="BI50" s="188"/>
      <c r="BJ50" s="189"/>
      <c r="BK50" s="188"/>
      <c r="BL50" s="189"/>
      <c r="BM50" s="188"/>
      <c r="BN50" s="189"/>
      <c r="BO50" s="188"/>
      <c r="BP50" s="189"/>
      <c r="BQ50" s="188"/>
      <c r="BR50" s="189"/>
      <c r="BS50" s="188"/>
      <c r="BT50" s="189"/>
      <c r="BU50" s="188"/>
      <c r="BV50" s="189"/>
      <c r="BW50" s="188"/>
      <c r="BX50" s="189"/>
      <c r="BY50" s="190" t="n">
        <f aca="false">AK50+AM50+AO50+AQ50+AS50+AU50+AW50+AY50+BA50+BC50+BE50+BG50+BI50+BK50+BM50+BO50+BQ50+BS50+BU50+BW50</f>
        <v>0</v>
      </c>
      <c r="BZ50" s="191" t="n">
        <f aca="false">IF(AND(BY50=0,CC50=0),0,(ABS(AK50)*AL50+ABS(AM50)*AN50+ABS(AO50)*AP50+ABS(AQ50)*AR50+ABS(AS50)*AT50+ABS(AU50)*AV50+ABS(AW50)*AX50+ABS(AY50)*AZ50+ABS(BA50)*BB50+ABS(BC50)*BD50+ABS(BE50)*BF50+ABS(BG50)*BH50+ABS(BI50)*BJ50+ABS(BK50)*BL50+ABS(BM50)*BN50+ABS(BO50)*BP50+ABS(BQ50)*BR50+ABS(BS50)*BT50+ABS(BU50)*BV50+ABS(BW50)*BX50)/CC50)</f>
        <v>0</v>
      </c>
      <c r="CB50" s="186" t="n">
        <f aca="false">AJ50</f>
        <v>2004</v>
      </c>
      <c r="CC50" s="102" t="n">
        <f aca="false">ABS(AK50)+ABS(AM50)+ABS(AO50)+ABS(AQ50)+ABS(AS50)+ABS(AU50)+ABS(AW50)+ABS(AY50)+ABS(BA50)+ABS(BC50)+ABS(BE50)+ABS(BG50)+ABS(BI50)+ABS(BK50)+ABS(BM50)+ABS(BO50)+ABS(BQ50)+ABS(BS50)+ABS(BU50)+ABS(BW50)</f>
        <v>0</v>
      </c>
      <c r="CD50" s="105" t="n">
        <f aca="false" t="array" ref="CD50:CD50">SUM(IF(YEAR($CB$12:$CB$47)=$T22,$CN$12:$CN$47))</f>
        <v>0</v>
      </c>
      <c r="CG50" s="102"/>
      <c r="CH50" s="106"/>
      <c r="CI50" s="106"/>
      <c r="CJ50" s="106"/>
      <c r="CK50" s="106"/>
      <c r="CL50" s="192"/>
      <c r="CN50" s="107" t="n">
        <f aca="false">DJ50</f>
        <v>38353</v>
      </c>
      <c r="CO50" s="102" t="n">
        <f aca="false">VLOOKUP(CN50,Interest!$X$8:$AC$367,6)</f>
        <v>0.881573317230568</v>
      </c>
      <c r="CP50" s="1" t="n">
        <f aca="false">16*DK50</f>
        <v>400</v>
      </c>
      <c r="CQ50" s="1" t="n">
        <f aca="false">DL50*16</f>
        <v>336</v>
      </c>
      <c r="CR50" s="1" t="n">
        <f aca="false">CP50-CQ50</f>
        <v>64</v>
      </c>
      <c r="DI50" s="1" t="n">
        <f aca="false">DK50-DL50</f>
        <v>4</v>
      </c>
      <c r="DJ50" s="107" t="n">
        <f aca="false">[2]EnergyCurve!$D72</f>
        <v>38353</v>
      </c>
      <c r="DK50" s="2" t="n">
        <f aca="false">IF($L$6=0,VLOOKUP(DJ50,$DM$13:$DQ$252,2)+VLOOKUP(DJ50,$DU$13:$DY$252,3),VLOOKUP(DJ50,$DU$13:$DY$252,2)+VLOOKUP(DJ50,$DU$13:$DY$252,3))</f>
        <v>25</v>
      </c>
      <c r="DL50" s="2" t="n">
        <f aca="false">IF($L$6=0,VLOOKUP(DJ50,$DM$13:$DQ$252,2),VLOOKUP(DJ50,$DU$13:$DY$252,2))</f>
        <v>21</v>
      </c>
      <c r="DM50" s="130" t="n">
        <v>38018</v>
      </c>
      <c r="DN50" s="22" t="n">
        <v>19</v>
      </c>
      <c r="DO50" s="22" t="n">
        <v>4</v>
      </c>
      <c r="DP50" s="22" t="n">
        <v>5</v>
      </c>
      <c r="DQ50" s="22" t="n">
        <v>1</v>
      </c>
      <c r="DR50" s="22" t="n">
        <v>29</v>
      </c>
      <c r="DS50" s="111"/>
      <c r="DT50" s="111"/>
      <c r="DU50" s="130" t="n">
        <v>38018</v>
      </c>
      <c r="DV50" s="22" t="n">
        <v>20</v>
      </c>
      <c r="DW50" s="22" t="n">
        <v>4</v>
      </c>
      <c r="DX50" s="22" t="n">
        <v>5</v>
      </c>
      <c r="DY50" s="22" t="n">
        <v>0</v>
      </c>
      <c r="DZ50" s="22" t="n">
        <v>29</v>
      </c>
      <c r="EA50" s="111"/>
      <c r="EB50" s="111"/>
    </row>
    <row r="51" customFormat="false" ht="31.5" hidden="false" customHeight="true" outlineLevel="0" collapsed="false">
      <c r="A51" s="193" t="s">
        <v>65</v>
      </c>
      <c r="B51" s="193"/>
      <c r="C51" s="193"/>
      <c r="D51" s="193"/>
      <c r="E51" s="193"/>
      <c r="F51" s="193"/>
      <c r="G51" s="193"/>
      <c r="H51" s="193"/>
      <c r="I51" s="193"/>
      <c r="J51" s="193"/>
      <c r="K51" s="193"/>
      <c r="L51" s="193"/>
      <c r="M51" s="193"/>
      <c r="N51" s="193"/>
      <c r="O51" s="193"/>
      <c r="P51" s="193"/>
      <c r="Q51" s="193"/>
      <c r="R51" s="193"/>
      <c r="S51" s="193"/>
      <c r="T51" s="193"/>
      <c r="U51" s="193"/>
      <c r="V51" s="193"/>
      <c r="W51" s="193"/>
      <c r="X51" s="193"/>
      <c r="Y51" s="193"/>
      <c r="Z51" s="193"/>
      <c r="AA51" s="193"/>
      <c r="AB51" s="193"/>
      <c r="AC51" s="193"/>
      <c r="AD51" s="193"/>
      <c r="AE51" s="193"/>
      <c r="AF51" s="193"/>
      <c r="AG51" s="193"/>
      <c r="AH51" s="193"/>
      <c r="AI51" s="193"/>
      <c r="AJ51" s="193"/>
      <c r="AK51" s="193"/>
      <c r="AL51" s="193"/>
      <c r="AM51" s="193"/>
      <c r="AN51" s="193"/>
      <c r="AO51" s="193"/>
      <c r="AP51" s="193"/>
      <c r="AQ51" s="193"/>
      <c r="AR51" s="193"/>
      <c r="AS51" s="193"/>
      <c r="AT51" s="193"/>
      <c r="AU51" s="193"/>
      <c r="AV51" s="193"/>
      <c r="AW51" s="193"/>
      <c r="AX51" s="193"/>
      <c r="AY51" s="193"/>
      <c r="AZ51" s="193"/>
      <c r="BA51" s="193"/>
      <c r="BB51" s="193"/>
      <c r="BC51" s="193"/>
      <c r="BD51" s="193"/>
      <c r="BE51" s="193"/>
      <c r="BF51" s="193"/>
      <c r="BG51" s="193"/>
      <c r="BH51" s="193"/>
      <c r="BI51" s="193"/>
      <c r="BJ51" s="193"/>
      <c r="BK51" s="193"/>
      <c r="BL51" s="193"/>
      <c r="BM51" s="193"/>
      <c r="BN51" s="193"/>
      <c r="BO51" s="193"/>
      <c r="BP51" s="193"/>
      <c r="BQ51" s="193"/>
      <c r="BR51" s="193"/>
      <c r="BS51" s="193"/>
      <c r="BT51" s="193"/>
      <c r="BU51" s="193"/>
      <c r="BV51" s="193"/>
      <c r="BW51" s="193"/>
      <c r="BX51" s="193"/>
      <c r="BY51" s="193"/>
      <c r="BZ51" s="193"/>
      <c r="CA51" s="193"/>
      <c r="CB51" s="193"/>
      <c r="CC51" s="193"/>
      <c r="CD51" s="193"/>
      <c r="CE51" s="193"/>
      <c r="CF51" s="193"/>
      <c r="CG51" s="193"/>
      <c r="CH51" s="193"/>
      <c r="CI51" s="193"/>
      <c r="CJ51" s="193"/>
      <c r="CK51" s="194" t="s">
        <v>66</v>
      </c>
      <c r="CL51" s="195" t="n">
        <f aca="false">SUM(CL12:CL50)</f>
        <v>110400</v>
      </c>
      <c r="CM51" s="193"/>
      <c r="CN51" s="193"/>
      <c r="CO51" s="193"/>
      <c r="CP51" s="193"/>
      <c r="CQ51" s="193"/>
      <c r="CR51" s="193"/>
      <c r="CS51" s="193"/>
      <c r="CT51" s="193"/>
      <c r="CU51" s="193"/>
      <c r="CV51" s="193"/>
      <c r="CW51" s="193"/>
      <c r="CX51" s="193"/>
      <c r="CY51" s="193"/>
      <c r="CZ51" s="193"/>
      <c r="DA51" s="193"/>
      <c r="DB51" s="193"/>
      <c r="DC51" s="193"/>
      <c r="DD51" s="193"/>
      <c r="DE51" s="193"/>
      <c r="DF51" s="193"/>
      <c r="DG51" s="193"/>
      <c r="DH51" s="193"/>
      <c r="DI51" s="1" t="n">
        <f aca="false">DK51-DL51</f>
        <v>4</v>
      </c>
      <c r="DJ51" s="107" t="n">
        <f aca="false">[2]EnergyCurve!$D73</f>
        <v>38384</v>
      </c>
      <c r="DK51" s="2" t="n">
        <f aca="false">IF($L$6=0,VLOOKUP(DJ51,$DM$13:$DQ$252,2)+VLOOKUP(DJ51,$DU$13:$DY$252,3),VLOOKUP(DJ51,$DU$13:$DY$252,2)+VLOOKUP(DJ51,$DU$13:$DY$252,3))</f>
        <v>24</v>
      </c>
      <c r="DL51" s="2" t="n">
        <f aca="false">IF($L$6=0,VLOOKUP(DJ51,$DM$13:$DQ$252,2),VLOOKUP(DJ51,$DU$13:$DY$252,2))</f>
        <v>20</v>
      </c>
      <c r="DM51" s="130" t="n">
        <v>38047</v>
      </c>
      <c r="DN51" s="22" t="n">
        <v>23</v>
      </c>
      <c r="DO51" s="22" t="n">
        <v>4</v>
      </c>
      <c r="DP51" s="22" t="n">
        <v>4</v>
      </c>
      <c r="DQ51" s="22" t="n">
        <v>0</v>
      </c>
      <c r="DR51" s="22" t="n">
        <v>31</v>
      </c>
      <c r="DS51" s="111"/>
      <c r="DT51" s="196"/>
      <c r="DU51" s="130" t="n">
        <v>38047</v>
      </c>
      <c r="DV51" s="22" t="n">
        <v>23</v>
      </c>
      <c r="DW51" s="22" t="n">
        <v>4</v>
      </c>
      <c r="DX51" s="22" t="n">
        <v>4</v>
      </c>
      <c r="DY51" s="22" t="n">
        <v>0</v>
      </c>
      <c r="DZ51" s="22" t="n">
        <v>31</v>
      </c>
      <c r="EA51" s="111"/>
      <c r="EB51" s="111"/>
      <c r="EC51" s="193"/>
      <c r="ED51" s="193"/>
      <c r="EE51" s="193"/>
      <c r="EF51" s="193"/>
      <c r="EG51" s="193"/>
      <c r="EH51" s="193"/>
      <c r="EI51" s="193"/>
      <c r="EJ51" s="193"/>
      <c r="EK51" s="193"/>
      <c r="EL51" s="193"/>
      <c r="EM51" s="193"/>
      <c r="EN51" s="193"/>
      <c r="EO51" s="193"/>
      <c r="EP51" s="193"/>
      <c r="EQ51" s="193"/>
      <c r="ER51" s="193"/>
      <c r="ES51" s="193"/>
      <c r="ET51" s="193"/>
      <c r="EU51" s="193"/>
      <c r="EV51" s="193"/>
      <c r="EW51" s="193"/>
      <c r="EX51" s="193"/>
      <c r="EY51" s="193"/>
      <c r="EZ51" s="193"/>
      <c r="FA51" s="193"/>
      <c r="FB51" s="193"/>
      <c r="FC51" s="193"/>
      <c r="FD51" s="193"/>
      <c r="FE51" s="193"/>
      <c r="FF51" s="193"/>
      <c r="FG51" s="193"/>
      <c r="FH51" s="193"/>
      <c r="FI51" s="193"/>
      <c r="FJ51" s="193"/>
      <c r="FK51" s="193"/>
      <c r="FL51" s="193"/>
      <c r="FM51" s="193"/>
      <c r="FN51" s="193"/>
      <c r="FO51" s="193"/>
      <c r="FP51" s="193"/>
      <c r="FQ51" s="193"/>
      <c r="FR51" s="193"/>
      <c r="FS51" s="193"/>
      <c r="FT51" s="193"/>
      <c r="FU51" s="193"/>
      <c r="FV51" s="193"/>
      <c r="FW51" s="193"/>
      <c r="FX51" s="193"/>
      <c r="FY51" s="193"/>
      <c r="FZ51" s="193"/>
      <c r="GA51" s="193"/>
      <c r="GB51" s="193"/>
      <c r="GC51" s="193"/>
      <c r="GD51" s="193"/>
      <c r="GE51" s="193"/>
      <c r="GF51" s="193"/>
      <c r="GG51" s="193"/>
      <c r="GH51" s="193"/>
      <c r="GI51" s="193"/>
      <c r="GJ51" s="193"/>
      <c r="GK51" s="193"/>
      <c r="GL51" s="193"/>
      <c r="GM51" s="193"/>
      <c r="GN51" s="193"/>
      <c r="GO51" s="193"/>
      <c r="GP51" s="193"/>
      <c r="GQ51" s="193"/>
      <c r="GR51" s="193"/>
      <c r="GS51" s="193"/>
      <c r="GT51" s="193"/>
      <c r="GU51" s="193"/>
      <c r="GV51" s="193"/>
      <c r="GW51" s="193"/>
      <c r="GX51" s="193"/>
      <c r="GY51" s="193"/>
      <c r="GZ51" s="193"/>
      <c r="HA51" s="193"/>
      <c r="HB51" s="193"/>
      <c r="HC51" s="193"/>
      <c r="HD51" s="193"/>
      <c r="HE51" s="193"/>
      <c r="HF51" s="193"/>
      <c r="HG51" s="193"/>
      <c r="HH51" s="193"/>
      <c r="HI51" s="193"/>
      <c r="HJ51" s="193"/>
      <c r="HK51" s="193"/>
      <c r="HL51" s="193"/>
      <c r="HM51" s="193"/>
      <c r="HN51" s="193"/>
      <c r="HO51" s="193"/>
      <c r="HP51" s="193"/>
      <c r="HQ51" s="193"/>
      <c r="HR51" s="193"/>
      <c r="HS51" s="193"/>
      <c r="HT51" s="193"/>
      <c r="HU51" s="193"/>
      <c r="HV51" s="193"/>
      <c r="HW51" s="193"/>
      <c r="HX51" s="193"/>
      <c r="HY51" s="193"/>
      <c r="HZ51" s="193"/>
      <c r="IA51" s="193"/>
      <c r="IB51" s="193"/>
      <c r="IC51" s="193"/>
      <c r="ID51" s="193"/>
      <c r="IE51" s="193"/>
      <c r="IF51" s="193"/>
      <c r="IG51" s="193"/>
      <c r="IH51" s="193"/>
      <c r="II51" s="193"/>
      <c r="IJ51" s="193"/>
      <c r="IK51" s="193"/>
      <c r="IL51" s="193"/>
      <c r="IM51" s="193"/>
      <c r="IN51" s="193"/>
      <c r="IO51" s="193"/>
      <c r="IP51" s="193"/>
      <c r="IQ51" s="193"/>
      <c r="IR51" s="193"/>
      <c r="IS51" s="193"/>
      <c r="IT51" s="193"/>
      <c r="IU51" s="193"/>
      <c r="IV51" s="193"/>
      <c r="IW51" s="193"/>
    </row>
    <row r="52" customFormat="false" ht="33.75" hidden="false" customHeight="true" outlineLevel="0" collapsed="false">
      <c r="A52" s="197" t="s">
        <v>67</v>
      </c>
      <c r="B52" s="47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2"/>
      <c r="S52" s="198"/>
      <c r="T52" s="46"/>
      <c r="U52" s="46"/>
      <c r="V52" s="44"/>
      <c r="W52" s="46"/>
      <c r="X52" s="46"/>
      <c r="Y52" s="46"/>
      <c r="Z52" s="46"/>
      <c r="AA52" s="46"/>
      <c r="AB52" s="46"/>
      <c r="AC52" s="46"/>
      <c r="AD52" s="46"/>
      <c r="AE52" s="46"/>
      <c r="AF52" s="46"/>
      <c r="AG52" s="46"/>
      <c r="AH52" s="46"/>
      <c r="AI52" s="46"/>
      <c r="DI52" s="1" t="n">
        <f aca="false">DK52-DL52</f>
        <v>4</v>
      </c>
      <c r="DJ52" s="107" t="n">
        <f aca="false">[2]EnergyCurve!$D74</f>
        <v>38412</v>
      </c>
      <c r="DK52" s="2" t="n">
        <f aca="false">IF($L$6=0,VLOOKUP(DJ52,$DM$13:$DQ$252,2)+VLOOKUP(DJ52,$DU$13:$DY$252,3),VLOOKUP(DJ52,$DU$13:$DY$252,2)+VLOOKUP(DJ52,$DU$13:$DY$252,3))</f>
        <v>27</v>
      </c>
      <c r="DL52" s="2" t="n">
        <f aca="false">IF($L$6=0,VLOOKUP(DJ52,$DM$13:$DQ$252,2),VLOOKUP(DJ52,$DU$13:$DY$252,2))</f>
        <v>23</v>
      </c>
      <c r="DM52" s="130" t="n">
        <v>38078</v>
      </c>
      <c r="DN52" s="22" t="n">
        <v>21</v>
      </c>
      <c r="DO52" s="22" t="n">
        <v>4</v>
      </c>
      <c r="DP52" s="22" t="n">
        <v>4</v>
      </c>
      <c r="DQ52" s="22" t="n">
        <v>1</v>
      </c>
      <c r="DR52" s="22" t="n">
        <v>30</v>
      </c>
      <c r="DS52" s="111"/>
      <c r="DT52" s="111"/>
      <c r="DU52" s="130" t="n">
        <v>38078</v>
      </c>
      <c r="DV52" s="22" t="n">
        <v>22</v>
      </c>
      <c r="DW52" s="22" t="n">
        <v>4</v>
      </c>
      <c r="DX52" s="22" t="n">
        <v>4</v>
      </c>
      <c r="DY52" s="22" t="n">
        <v>0</v>
      </c>
      <c r="DZ52" s="22" t="n">
        <v>30</v>
      </c>
      <c r="EA52" s="111"/>
      <c r="EB52" s="111"/>
    </row>
    <row r="53" customFormat="false" ht="22.5" hidden="false" customHeight="true" outlineLevel="0" collapsed="false">
      <c r="A53" s="46"/>
      <c r="B53" s="47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8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CI53" s="4" t="s">
        <v>14</v>
      </c>
      <c r="CJ53" s="4" t="s">
        <v>14</v>
      </c>
      <c r="CK53" s="4" t="s">
        <v>14</v>
      </c>
      <c r="DI53" s="1" t="n">
        <f aca="false">DK53-DL53</f>
        <v>5</v>
      </c>
      <c r="DJ53" s="107" t="n">
        <f aca="false">[2]EnergyCurve!$D75</f>
        <v>38443</v>
      </c>
      <c r="DK53" s="2" t="n">
        <f aca="false">IF($L$6=0,VLOOKUP(DJ53,$DM$13:$DQ$252,2)+VLOOKUP(DJ53,$DU$13:$DY$252,3),VLOOKUP(DJ53,$DU$13:$DY$252,2)+VLOOKUP(DJ53,$DU$13:$DY$252,3))</f>
        <v>26</v>
      </c>
      <c r="DL53" s="2" t="n">
        <f aca="false">IF($L$6=0,VLOOKUP(DJ53,$DM$13:$DQ$252,2),VLOOKUP(DJ53,$DU$13:$DY$252,2))</f>
        <v>21</v>
      </c>
      <c r="DM53" s="130" t="n">
        <v>38108</v>
      </c>
      <c r="DN53" s="22" t="n">
        <v>20</v>
      </c>
      <c r="DO53" s="22" t="n">
        <v>5</v>
      </c>
      <c r="DP53" s="22" t="n">
        <v>5</v>
      </c>
      <c r="DQ53" s="22" t="n">
        <v>1</v>
      </c>
      <c r="DR53" s="22" t="n">
        <v>31</v>
      </c>
      <c r="DS53" s="111"/>
      <c r="DT53" s="111"/>
      <c r="DU53" s="130" t="n">
        <v>38108</v>
      </c>
      <c r="DV53" s="22" t="n">
        <v>20</v>
      </c>
      <c r="DW53" s="22" t="n">
        <v>5</v>
      </c>
      <c r="DX53" s="22" t="n">
        <v>5</v>
      </c>
      <c r="DY53" s="22" t="n">
        <v>1</v>
      </c>
      <c r="DZ53" s="22" t="n">
        <v>31</v>
      </c>
      <c r="EA53" s="111"/>
      <c r="EB53" s="111"/>
    </row>
    <row r="54" customFormat="false" ht="13.5" hidden="false" customHeight="true" outlineLevel="0" collapsed="false">
      <c r="A54" s="49"/>
      <c r="B54" s="49" t="s">
        <v>15</v>
      </c>
      <c r="C54" s="49" t="s">
        <v>15</v>
      </c>
      <c r="D54" s="49" t="s">
        <v>16</v>
      </c>
      <c r="E54" s="49" t="s">
        <v>17</v>
      </c>
      <c r="F54" s="49" t="s">
        <v>17</v>
      </c>
      <c r="G54" s="49" t="s">
        <v>18</v>
      </c>
      <c r="H54" s="49" t="s">
        <v>16</v>
      </c>
      <c r="I54" s="49" t="s">
        <v>19</v>
      </c>
      <c r="J54" s="49" t="s">
        <v>20</v>
      </c>
      <c r="K54" s="50" t="s">
        <v>21</v>
      </c>
      <c r="L54" s="50"/>
      <c r="M54" s="46"/>
      <c r="N54" s="9"/>
      <c r="O54" s="9"/>
      <c r="P54" s="9"/>
      <c r="Q54" s="49" t="s">
        <v>22</v>
      </c>
      <c r="R54" s="51"/>
      <c r="S54" s="52" t="s">
        <v>24</v>
      </c>
      <c r="T54" s="46"/>
      <c r="U54" s="46"/>
      <c r="V54" s="53" t="s">
        <v>25</v>
      </c>
      <c r="W54" s="50" t="s">
        <v>26</v>
      </c>
      <c r="X54" s="50" t="s">
        <v>27</v>
      </c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5"/>
      <c r="AK54" s="49" t="n">
        <v>1</v>
      </c>
      <c r="AL54" s="49"/>
      <c r="AM54" s="49" t="n">
        <v>2</v>
      </c>
      <c r="AN54" s="49"/>
      <c r="AO54" s="49" t="n">
        <v>3</v>
      </c>
      <c r="AP54" s="49"/>
      <c r="AQ54" s="49" t="n">
        <v>4</v>
      </c>
      <c r="AR54" s="49"/>
      <c r="AS54" s="49" t="n">
        <v>5</v>
      </c>
      <c r="AT54" s="49"/>
      <c r="AU54" s="49" t="n">
        <v>6</v>
      </c>
      <c r="AV54" s="49"/>
      <c r="AW54" s="49" t="n">
        <v>7</v>
      </c>
      <c r="AX54" s="49"/>
      <c r="AY54" s="49" t="n">
        <v>8</v>
      </c>
      <c r="AZ54" s="49"/>
      <c r="BA54" s="49" t="n">
        <v>9</v>
      </c>
      <c r="BB54" s="49"/>
      <c r="BC54" s="49" t="n">
        <v>10</v>
      </c>
      <c r="BD54" s="49"/>
      <c r="BE54" s="49" t="n">
        <v>11</v>
      </c>
      <c r="BF54" s="49"/>
      <c r="BG54" s="49" t="n">
        <v>12</v>
      </c>
      <c r="BH54" s="49"/>
      <c r="BI54" s="49" t="n">
        <v>13</v>
      </c>
      <c r="BJ54" s="49"/>
      <c r="BK54" s="49" t="n">
        <v>14</v>
      </c>
      <c r="BL54" s="49"/>
      <c r="BM54" s="49" t="n">
        <v>15</v>
      </c>
      <c r="BN54" s="49"/>
      <c r="BO54" s="49" t="n">
        <v>16</v>
      </c>
      <c r="BP54" s="49"/>
      <c r="BQ54" s="49" t="n">
        <v>17</v>
      </c>
      <c r="BR54" s="49"/>
      <c r="BS54" s="49" t="n">
        <v>18</v>
      </c>
      <c r="BT54" s="49"/>
      <c r="BU54" s="49" t="n">
        <v>19</v>
      </c>
      <c r="BV54" s="49"/>
      <c r="BW54" s="49" t="n">
        <v>20</v>
      </c>
      <c r="BX54" s="49"/>
      <c r="BY54" s="56" t="s">
        <v>28</v>
      </c>
      <c r="BZ54" s="57" t="s">
        <v>29</v>
      </c>
      <c r="CA54" s="4"/>
      <c r="CB54" s="4"/>
      <c r="CC54" s="4" t="s">
        <v>30</v>
      </c>
      <c r="CD54" s="4" t="s">
        <v>68</v>
      </c>
      <c r="CE54" s="6" t="s">
        <v>69</v>
      </c>
      <c r="CF54" s="6" t="s">
        <v>70</v>
      </c>
      <c r="CG54" s="4" t="s">
        <v>34</v>
      </c>
      <c r="CH54" s="4" t="s">
        <v>35</v>
      </c>
      <c r="CI54" s="58" t="n">
        <f aca="false">T64</f>
        <v>2002</v>
      </c>
      <c r="CJ54" s="58" t="n">
        <f aca="false">T65</f>
        <v>2003</v>
      </c>
      <c r="CK54" s="58" t="n">
        <f aca="false">T66</f>
        <v>2004</v>
      </c>
      <c r="CL54" s="4" t="s">
        <v>36</v>
      </c>
      <c r="DI54" s="1" t="n">
        <f aca="false">DK54-DL54</f>
        <v>4</v>
      </c>
      <c r="DJ54" s="107" t="n">
        <f aca="false">[2]EnergyCurve!$D76</f>
        <v>38473</v>
      </c>
      <c r="DK54" s="2" t="n">
        <f aca="false">IF($L$6=0,VLOOKUP(DJ54,$DM$13:$DQ$252,2)+VLOOKUP(DJ54,$DU$13:$DY$252,3),VLOOKUP(DJ54,$DU$13:$DY$252,2)+VLOOKUP(DJ54,$DU$13:$DY$252,3))</f>
        <v>25</v>
      </c>
      <c r="DL54" s="2" t="n">
        <f aca="false">IF($L$6=0,VLOOKUP(DJ54,$DM$13:$DQ$252,2),VLOOKUP(DJ54,$DU$13:$DY$252,2))</f>
        <v>21</v>
      </c>
      <c r="DM54" s="130" t="n">
        <v>38139</v>
      </c>
      <c r="DN54" s="22" t="n">
        <v>22</v>
      </c>
      <c r="DO54" s="22" t="n">
        <v>4</v>
      </c>
      <c r="DP54" s="22" t="n">
        <v>4</v>
      </c>
      <c r="DQ54" s="22" t="n">
        <v>0</v>
      </c>
      <c r="DR54" s="22" t="n">
        <v>30</v>
      </c>
      <c r="DS54" s="111"/>
      <c r="DT54" s="111"/>
      <c r="DU54" s="130" t="n">
        <v>38139</v>
      </c>
      <c r="DV54" s="22" t="n">
        <v>22</v>
      </c>
      <c r="DW54" s="22" t="n">
        <v>4</v>
      </c>
      <c r="DX54" s="22" t="n">
        <v>4</v>
      </c>
      <c r="DY54" s="22" t="n">
        <v>0</v>
      </c>
      <c r="DZ54" s="22" t="n">
        <v>30</v>
      </c>
      <c r="EA54" s="111"/>
      <c r="EB54" s="111"/>
      <c r="EV54" s="44"/>
      <c r="EW54" s="44"/>
    </row>
    <row r="55" customFormat="false" ht="13.5" hidden="false" customHeight="true" outlineLevel="0" collapsed="false">
      <c r="A55" s="61" t="s">
        <v>39</v>
      </c>
      <c r="B55" s="61" t="s">
        <v>40</v>
      </c>
      <c r="C55" s="61" t="s">
        <v>41</v>
      </c>
      <c r="D55" s="61" t="s">
        <v>42</v>
      </c>
      <c r="E55" s="61" t="s">
        <v>40</v>
      </c>
      <c r="F55" s="61" t="s">
        <v>41</v>
      </c>
      <c r="G55" s="61" t="s">
        <v>43</v>
      </c>
      <c r="H55" s="61" t="s">
        <v>44</v>
      </c>
      <c r="I55" s="61" t="s">
        <v>43</v>
      </c>
      <c r="J55" s="61" t="s">
        <v>45</v>
      </c>
      <c r="K55" s="62" t="s">
        <v>46</v>
      </c>
      <c r="L55" s="62" t="s">
        <v>47</v>
      </c>
      <c r="M55" s="46"/>
      <c r="N55" s="63" t="s">
        <v>39</v>
      </c>
      <c r="O55" s="63" t="s">
        <v>48</v>
      </c>
      <c r="P55" s="63" t="s">
        <v>49</v>
      </c>
      <c r="Q55" s="61" t="s">
        <v>23</v>
      </c>
      <c r="R55" s="61"/>
      <c r="S55" s="199"/>
      <c r="T55" s="65"/>
      <c r="U55" s="65"/>
      <c r="V55" s="66" t="s">
        <v>50</v>
      </c>
      <c r="W55" s="62" t="s">
        <v>43</v>
      </c>
      <c r="X55" s="62" t="s">
        <v>43</v>
      </c>
      <c r="Y55" s="67" t="str">
        <f aca="false">V56</f>
        <v>Q1 2002</v>
      </c>
      <c r="Z55" s="67" t="str">
        <f aca="false">V57</f>
        <v>Q2 2002</v>
      </c>
      <c r="AA55" s="67" t="str">
        <f aca="false">V58</f>
        <v>Q3 2002</v>
      </c>
      <c r="AB55" s="67" t="str">
        <f aca="false">V59</f>
        <v>Q4 2002</v>
      </c>
      <c r="AC55" s="67" t="str">
        <f aca="false">V60</f>
        <v>Q1 2003</v>
      </c>
      <c r="AD55" s="67" t="str">
        <f aca="false">V61</f>
        <v>Q2 2003</v>
      </c>
      <c r="AE55" s="67" t="str">
        <f aca="false">V62</f>
        <v>Q3 2003</v>
      </c>
      <c r="AF55" s="67" t="str">
        <f aca="false">V63</f>
        <v>Q4 2003</v>
      </c>
      <c r="AG55" s="68" t="str">
        <f aca="false">V64</f>
        <v>Bal 2002</v>
      </c>
      <c r="AH55" s="68" t="n">
        <f aca="false">V65</f>
        <v>2003</v>
      </c>
      <c r="AI55" s="68" t="n">
        <f aca="false">V66</f>
        <v>2004</v>
      </c>
      <c r="AJ55" s="61" t="s">
        <v>39</v>
      </c>
      <c r="AK55" s="69" t="s">
        <v>51</v>
      </c>
      <c r="AL55" s="62" t="s">
        <v>43</v>
      </c>
      <c r="AM55" s="69" t="s">
        <v>51</v>
      </c>
      <c r="AN55" s="62" t="s">
        <v>43</v>
      </c>
      <c r="AO55" s="69" t="s">
        <v>51</v>
      </c>
      <c r="AP55" s="62" t="s">
        <v>43</v>
      </c>
      <c r="AQ55" s="69" t="s">
        <v>51</v>
      </c>
      <c r="AR55" s="62" t="s">
        <v>43</v>
      </c>
      <c r="AS55" s="69" t="s">
        <v>51</v>
      </c>
      <c r="AT55" s="62" t="s">
        <v>43</v>
      </c>
      <c r="AU55" s="69" t="s">
        <v>51</v>
      </c>
      <c r="AV55" s="62" t="s">
        <v>43</v>
      </c>
      <c r="AW55" s="69" t="s">
        <v>51</v>
      </c>
      <c r="AX55" s="62" t="s">
        <v>43</v>
      </c>
      <c r="AY55" s="69" t="s">
        <v>51</v>
      </c>
      <c r="AZ55" s="62" t="s">
        <v>43</v>
      </c>
      <c r="BA55" s="69" t="s">
        <v>51</v>
      </c>
      <c r="BB55" s="62" t="s">
        <v>43</v>
      </c>
      <c r="BC55" s="69" t="s">
        <v>51</v>
      </c>
      <c r="BD55" s="62" t="s">
        <v>43</v>
      </c>
      <c r="BE55" s="69" t="s">
        <v>51</v>
      </c>
      <c r="BF55" s="62" t="s">
        <v>43</v>
      </c>
      <c r="BG55" s="69" t="s">
        <v>51</v>
      </c>
      <c r="BH55" s="62" t="s">
        <v>43</v>
      </c>
      <c r="BI55" s="69" t="s">
        <v>51</v>
      </c>
      <c r="BJ55" s="62" t="s">
        <v>43</v>
      </c>
      <c r="BK55" s="69" t="s">
        <v>51</v>
      </c>
      <c r="BL55" s="62" t="s">
        <v>43</v>
      </c>
      <c r="BM55" s="69" t="s">
        <v>51</v>
      </c>
      <c r="BN55" s="62" t="s">
        <v>43</v>
      </c>
      <c r="BO55" s="69" t="s">
        <v>51</v>
      </c>
      <c r="BP55" s="62" t="s">
        <v>43</v>
      </c>
      <c r="BQ55" s="69" t="s">
        <v>51</v>
      </c>
      <c r="BR55" s="62" t="s">
        <v>43</v>
      </c>
      <c r="BS55" s="69" t="s">
        <v>51</v>
      </c>
      <c r="BT55" s="62" t="s">
        <v>43</v>
      </c>
      <c r="BU55" s="69" t="s">
        <v>51</v>
      </c>
      <c r="BV55" s="62" t="s">
        <v>43</v>
      </c>
      <c r="BW55" s="69" t="s">
        <v>51</v>
      </c>
      <c r="BX55" s="62" t="s">
        <v>43</v>
      </c>
      <c r="BY55" s="70" t="s">
        <v>51</v>
      </c>
      <c r="BZ55" s="71" t="s">
        <v>43</v>
      </c>
      <c r="CA55" s="4"/>
      <c r="CB55" s="4"/>
      <c r="CC55" s="4" t="s">
        <v>52</v>
      </c>
      <c r="CD55" s="4" t="s">
        <v>53</v>
      </c>
      <c r="CE55" s="6" t="s">
        <v>53</v>
      </c>
      <c r="CF55" s="6" t="s">
        <v>53</v>
      </c>
      <c r="CG55" s="4"/>
      <c r="CH55" s="4" t="s">
        <v>40</v>
      </c>
      <c r="CI55" s="14" t="s">
        <v>54</v>
      </c>
      <c r="CJ55" s="14" t="s">
        <v>54</v>
      </c>
      <c r="CK55" s="14" t="s">
        <v>54</v>
      </c>
      <c r="CL55" s="4" t="s">
        <v>55</v>
      </c>
      <c r="CN55" s="200" t="s">
        <v>71</v>
      </c>
      <c r="DI55" s="1" t="n">
        <f aca="false">DK55-DL55</f>
        <v>4</v>
      </c>
      <c r="DJ55" s="107" t="n">
        <f aca="false">[2]EnergyCurve!$D77</f>
        <v>38504</v>
      </c>
      <c r="DK55" s="2" t="n">
        <f aca="false">IF($L$6=0,VLOOKUP(DJ55,$DM$13:$DQ$252,2)+VLOOKUP(DJ55,$DU$13:$DY$252,3),VLOOKUP(DJ55,$DU$13:$DY$252,2)+VLOOKUP(DJ55,$DU$13:$DY$252,3))</f>
        <v>26</v>
      </c>
      <c r="DL55" s="2" t="n">
        <f aca="false">IF($L$6=0,VLOOKUP(DJ55,$DM$13:$DQ$252,2),VLOOKUP(DJ55,$DU$13:$DY$252,2))</f>
        <v>22</v>
      </c>
      <c r="DM55" s="130" t="n">
        <v>38169</v>
      </c>
      <c r="DN55" s="22" t="n">
        <v>21</v>
      </c>
      <c r="DO55" s="22" t="n">
        <v>5</v>
      </c>
      <c r="DP55" s="22" t="n">
        <v>4</v>
      </c>
      <c r="DQ55" s="22" t="n">
        <v>1</v>
      </c>
      <c r="DR55" s="22" t="n">
        <v>31</v>
      </c>
      <c r="DS55" s="111"/>
      <c r="DT55" s="111"/>
      <c r="DU55" s="130" t="n">
        <v>38169</v>
      </c>
      <c r="DV55" s="22" t="n">
        <v>21</v>
      </c>
      <c r="DW55" s="22" t="n">
        <v>5</v>
      </c>
      <c r="DX55" s="22" t="n">
        <v>4</v>
      </c>
      <c r="DY55" s="22" t="n">
        <v>1</v>
      </c>
      <c r="DZ55" s="22" t="n">
        <v>31</v>
      </c>
      <c r="EA55" s="111"/>
      <c r="EB55" s="111"/>
      <c r="ER55" s="0"/>
    </row>
    <row r="56" customFormat="false" ht="18.75" hidden="false" customHeight="true" outlineLevel="0" collapsed="false">
      <c r="A56" s="75" t="n">
        <f aca="false">A12</f>
        <v>37225</v>
      </c>
      <c r="B56" s="76" t="n">
        <f aca="false" t="array" ref="B56:B56">SUM(IF(MONTH([2]EnergyCurve!$D$3:$D$40)&amp;YEAR([2]EnergyCurve!$D$3:$D$40)=MONTH($A56)&amp;YEAR($A56),[2]EnergyCurve!$P$3:$P$40))+SUM(IF(MONTH([2]EnergyCurve!$D$3:$D$40)&amp;YEAR([2]EnergyCurve!$D$3:$D$40)=MONTH($A56)&amp;YEAR($A56),[2]EnergyCurve!$R$3:$R$40))+B12</f>
        <v>196207.984985352</v>
      </c>
      <c r="C56" s="77" t="n">
        <f aca="false">B56/(CG56*CD56)</f>
        <v>273.362330558229</v>
      </c>
      <c r="D56" s="78" t="n">
        <f aca="false">BY56+IF(YEAR(A56)=$T$20,$BY$92,0)+IF(YEAR(A56)=$T$21,$BY$93,0)+IF(YEAR(A56)=$T$22,$BY$94,0)</f>
        <v>0</v>
      </c>
      <c r="E56" s="77" t="n">
        <f aca="false">B56+(D56*(CE56+CF56)*CG56)+(D12*CD12*CG12)</f>
        <v>196207.984985352</v>
      </c>
      <c r="F56" s="79" t="n">
        <f aca="false">C56+D56</f>
        <v>273.362330558229</v>
      </c>
      <c r="G56" s="80" t="n">
        <f aca="false">([2]EnergyCurve!$J34*CE56+[2]EnergyCurve!$AB34*CF56+G12*CD12)/CD56</f>
        <v>46.2876391092936</v>
      </c>
      <c r="H56" s="80" t="n">
        <f aca="false">I56-G56</f>
        <v>-1.28134449148566</v>
      </c>
      <c r="I56" s="81" t="n">
        <f aca="false">([2]EnergyCurve!$L34*CE56+[2]EnergyCurve!$AD34*CF56+I12*CD12)/CD56</f>
        <v>45.006294617808</v>
      </c>
      <c r="J56" s="76" t="n">
        <f aca="false" t="array" ref="J56:J56">SUM(IF(MONTH([2]EnergyCurve!$D$3:$D$40)&amp;YEAR([2]EnergyCurve!$D$3:$D$40)=MONTH($A56)&amp;YEAR($A56),[2]EnergyCurve!$T$3:$T$40))</f>
        <v>-256509.312233825</v>
      </c>
      <c r="K56" s="82" t="n">
        <f aca="false">(((CN56-AL56)*AK56+(CN56-AN56)*AM56+(CN56-AP56)*AO56+(CN56-AR56)*AQ56+(CN56-AT56)*AS56+(CN56-AV56)*AU56+(CN56-AX56)*AW56+(CN56-AZ56)*AY56+(CN56-BB56)*BA56+(CN56-BD56)*BC56+(CN56-BF56)*BE56+(CN56-BH56)*BG56+(CN56-BJ56)*BI56+(CN56-BL56)*BK56+(CN56-BN56)*BM56+(CN56-BP56)*BO56+(CN56-BR56)*BQ56+(CN56-BT56)*BS56+(CN56-BV56)*BU56+(CN56-BX56)*BW56)*(CE56+CF56)*CG56)+CI56+CJ56+CK56</f>
        <v>0</v>
      </c>
      <c r="L56" s="82" t="n">
        <f aca="false">J56+K56</f>
        <v>-256509.312233825</v>
      </c>
      <c r="M56" s="46"/>
      <c r="N56" s="83" t="n">
        <f aca="false">A56</f>
        <v>37225</v>
      </c>
      <c r="O56" s="84" t="n">
        <v>79</v>
      </c>
      <c r="P56" s="84" t="n">
        <v>79</v>
      </c>
      <c r="Q56" s="85" t="n">
        <f aca="false">AVERAGE(O56:P56)-G56</f>
        <v>32.7123608907064</v>
      </c>
      <c r="R56" s="201"/>
      <c r="S56" s="202" t="n">
        <f aca="false">I56</f>
        <v>45.006294617808</v>
      </c>
      <c r="T56" s="88" t="n">
        <f aca="false">IF(MONTH(TradeSum!$B$2)&gt;=10,YEAR(TradeSum!$B$2)+1,YEAR(TradeSum!$B$2))</f>
        <v>2002</v>
      </c>
      <c r="U56" s="89" t="n">
        <f aca="false">IF(INT((MONTH(TradeSum!$B$2)-1)/3)+2=5,1,INT((MONTH(TradeSum!$B$2)-1)/3)+2)</f>
        <v>1</v>
      </c>
      <c r="V56" s="90" t="str">
        <f aca="false">"Q"&amp;U56&amp;" "&amp;T56</f>
        <v>Q1 2002</v>
      </c>
      <c r="W56" s="91" t="n">
        <f aca="false" t="array" ref="W56:W56">SUM(IF((INT((MONTH($A$56:$A$91)-1)/3)=U56-1)*(YEAR($A$56:$A$91)=T56),$I$56:$I$91*$DK$12:$DK$47))/SUM(IF((INT((MONTH($A$56:$A$91)-1)/3)=U56-1)*(YEAR($A$56:$A$91)=T56),$DK$12:$DK$47))</f>
        <v>47.5828026118987</v>
      </c>
      <c r="X56" s="122" t="n">
        <f aca="false" t="array" ref="X56:X56">AVERAGE(IF((INT((MONTH($A$56:$A$91)-1)/3)=U56-1)*(YEAR($A$56:$A$91)=T56),$I$56:$I$91))</f>
        <v>47.5960848253549</v>
      </c>
      <c r="Y56" s="93" t="n">
        <v>0</v>
      </c>
      <c r="Z56" s="94"/>
      <c r="AA56" s="94"/>
      <c r="AB56" s="94"/>
      <c r="AC56" s="94"/>
      <c r="AD56" s="94"/>
      <c r="AE56" s="94"/>
      <c r="AF56" s="94"/>
      <c r="AG56" s="94"/>
      <c r="AH56" s="94"/>
      <c r="AI56" s="94"/>
      <c r="AJ56" s="95" t="n">
        <f aca="false">A56</f>
        <v>37225</v>
      </c>
      <c r="AK56" s="96"/>
      <c r="AL56" s="97"/>
      <c r="AM56" s="96"/>
      <c r="AN56" s="97"/>
      <c r="AO56" s="96"/>
      <c r="AP56" s="97"/>
      <c r="AQ56" s="96"/>
      <c r="AR56" s="97"/>
      <c r="AS56" s="96"/>
      <c r="AT56" s="97"/>
      <c r="AU56" s="96"/>
      <c r="AV56" s="97"/>
      <c r="AW56" s="96"/>
      <c r="AX56" s="97"/>
      <c r="AY56" s="96"/>
      <c r="AZ56" s="97"/>
      <c r="BA56" s="96"/>
      <c r="BB56" s="97"/>
      <c r="BC56" s="96"/>
      <c r="BD56" s="97"/>
      <c r="BE56" s="96"/>
      <c r="BF56" s="97"/>
      <c r="BG56" s="96"/>
      <c r="BH56" s="97"/>
      <c r="BI56" s="96"/>
      <c r="BJ56" s="97"/>
      <c r="BK56" s="96"/>
      <c r="BL56" s="97"/>
      <c r="BM56" s="96"/>
      <c r="BN56" s="97"/>
      <c r="BO56" s="96"/>
      <c r="BP56" s="97"/>
      <c r="BQ56" s="96"/>
      <c r="BR56" s="97"/>
      <c r="BS56" s="96"/>
      <c r="BT56" s="97"/>
      <c r="BU56" s="98"/>
      <c r="BV56" s="99"/>
      <c r="BW56" s="98"/>
      <c r="BX56" s="99"/>
      <c r="BY56" s="100" t="n">
        <f aca="false">AK56+AM56+AO56+AQ56+AS56+AU56+AW56+AY56+BA56+BC56+BE56+BG56+BI56+BK56+BM56+BO56+BQ56+BS56+BU56+BW56</f>
        <v>0</v>
      </c>
      <c r="BZ56" s="101" t="n">
        <f aca="false">IF(AND(BY56=0,CC56=0),0,(ABS(AK56)*AL56+ABS(AM56)*AN56+ABS(AO56)*AP56+ABS(AQ56)*AR56+ABS(AS56)*AT56+ABS(AU56)*AV56+ABS(AW56)*AX56+ABS(AY56)*AZ56+ABS(BA56)*BB56+ABS(BC56)*BD56+ABS(BE56)*BF56+ABS(BG56)*BH56+ABS(BI56)*BJ56+ABS(BK56)*BL56+ABS(BM56)*BN56+ABS(BO56)*BP56+ABS(BQ56)*BR56+ABS(BS56)*BT56+ABS(BU56)*BV56+ABS(BW56)*BX56)/CC56)</f>
        <v>0</v>
      </c>
      <c r="CA56" s="102"/>
      <c r="CB56" s="103" t="n">
        <f aca="false">AJ56</f>
        <v>37225</v>
      </c>
      <c r="CC56" s="102" t="n">
        <f aca="false">ABS(AK56)+ABS(AM56)+ABS(AO56)+ABS(AQ56)+ABS(AS56)+ABS(AU56)+ABS(AW56)+ABS(AY56)+ABS(BA56)+ABS(BC56)+ABS(BE56)+ABS(BG56)+ABS(BI56)+ABS(BK56)+ABS(BM56)+ABS(BO56)+ABS(BQ56)+ABS(BS56)+ABS(BU56)+ABS(BW56)</f>
        <v>0</v>
      </c>
      <c r="CD56" s="104" t="n">
        <f aca="false">DK80*24</f>
        <v>720</v>
      </c>
      <c r="CE56" s="102" t="n">
        <f aca="false">DK80*8</f>
        <v>240</v>
      </c>
      <c r="CF56" s="102" t="n">
        <f aca="false">DL80*16</f>
        <v>80</v>
      </c>
      <c r="CG56" s="102" t="n">
        <f aca="false">CG12</f>
        <v>0.99688603656891</v>
      </c>
      <c r="CH56" s="106" t="n">
        <f aca="false">D56*(CE56+CF56)</f>
        <v>0</v>
      </c>
      <c r="CI56" s="106" t="n">
        <f aca="false">IF(YEAR($AJ56)=$CI$10,(($CN56-$AL$92)*$AK$92+($CN56-$AN$92)*$AM$92+($CN56-$AP$92)*$AO$92+($CN56-$AR$92)*$AQ$92+($CN56-$AT$92)*$AS$92+($CN56-$AV$92)*$AU$92+($CN56-$AX$92)*$AW$92+($CN56-$AZ$92)*$AY$92+($CN56-$BB$92)*$BA$92+($CN56-$BD$92)*$BC$92+($CN56-$BF$92)*$BE$92+($CN56-$BH$92)*$BG$92+($CN56-$BJ$92)*$BI$92+($CN56-$BL$92)*$BK$92+($CN56-$BN$92)*$BM$92+($CN56-$BP$92)*$BO$92+($CN56-$BR$92)*$BQ$92+($CN56-$BT$92)*$BS$92+($CN56-$BV$92)*$BU$92+($CN56-$BX$92)*$BW$92)*($CE56+$CF56)*$CG56,0)</f>
        <v>0</v>
      </c>
      <c r="CJ56" s="106" t="n">
        <f aca="false">IF(YEAR($AJ56)=$CJ$10,(($CN56-$AL$93)*$AK$93+($CN56-$AN$93)*$AM$93+($CN56-$AP$93)*$AO$93+($CN56-$AR$93)*$AQ$93+($CN56-$AT$93)*$AS$93+($CN56-$AV$93)*$AU$93+($CN56-$AX$93)*$AW$93+($CN56-$AZ$93)*$AY$93+($CN56-$BB$93)*$BA$93+($CN56-$BD$93)*$BC$93+($CN56-$BF$93)*$BE$93+($CN56-$BH$93)*$BG$93+($CN56-$BJ$93)*$BI$93+($CN56-$BL$93)*$BK$93+($CN56-$BN$93)*$BM$93+($CN56-$BP$93)*$BO$93+($CN56-$BR$93)*$BQ$93+($CN56-$BT$93)*$BS$93+($CN56-$BV$93)*$BU$93+($CN56-$BX$93)*$BW$93)*($CE56+$CF56)*$CG56,0)</f>
        <v>0</v>
      </c>
      <c r="CK56" s="106" t="n">
        <f aca="false">IF(YEAR($AJ56)=$CK$10,(($CN56-$AL$94)*$AK$94+($CN56-$AN$94)*$AM$94+($CN56-$AP$94)*$AO$94+($CN56-$AR$94)*$AQ$94+($CN56-$AT$94)*$AS$94+($CN56-$AV$94)*$AU$94+($CN56-$AX$94)*$AW$94+($CN56-$AZ$94)*$AY$94+($CN56-$BB$94)*$BA$94+($CN56-$BD$94)*$BC$94+($CN56-$BF$94)*$BE$94+($CN56-$BH$94)*$BG$94+($CN56-$BJ$94)*$BI$94+($CN56-$BL$94)*$BK$94+($CN56-$BN$94)*$BM$94+($CN56-$BP$94)*$BO$94+($CN56-$BR$94)*$BQ$94+($CN56-$BT$94)*$BS$94+($CN56-$BV$94)*$BU$94+($CN56-$BX$94)*$BW$94)*($CE56+$CF56)*$CG56,0)</f>
        <v>0</v>
      </c>
      <c r="CL56" s="1" t="n">
        <f aca="false">CC56*CD56</f>
        <v>0</v>
      </c>
      <c r="CN56" s="21" t="n">
        <f aca="false">([2]EnergyCurve!$L34*CE56+[2]EnergyCurve!$AD34*CF56)/(CE56+CF56)</f>
        <v>35.5414899875</v>
      </c>
      <c r="DI56" s="1" t="n">
        <f aca="false">DK56-DL56</f>
        <v>5</v>
      </c>
      <c r="DJ56" s="107" t="n">
        <f aca="false">[2]EnergyCurve!$D78</f>
        <v>38534</v>
      </c>
      <c r="DK56" s="2" t="n">
        <f aca="false">IF($L$6=0,VLOOKUP(DJ56,$DM$13:$DQ$252,2)+VLOOKUP(DJ56,$DU$13:$DY$252,3),VLOOKUP(DJ56,$DU$13:$DY$252,2)+VLOOKUP(DJ56,$DU$13:$DY$252,3))</f>
        <v>25</v>
      </c>
      <c r="DL56" s="2" t="n">
        <f aca="false">IF($L$6=0,VLOOKUP(DJ56,$DM$13:$DQ$252,2),VLOOKUP(DJ56,$DU$13:$DY$252,2))</f>
        <v>20</v>
      </c>
      <c r="DM56" s="130" t="n">
        <v>38200</v>
      </c>
      <c r="DN56" s="22" t="n">
        <v>21</v>
      </c>
      <c r="DO56" s="22" t="n">
        <v>4</v>
      </c>
      <c r="DP56" s="22" t="n">
        <v>5</v>
      </c>
      <c r="DQ56" s="22" t="n">
        <v>1</v>
      </c>
      <c r="DR56" s="22" t="n">
        <v>31</v>
      </c>
      <c r="DS56" s="111"/>
      <c r="DT56" s="111"/>
      <c r="DU56" s="130" t="n">
        <v>38200</v>
      </c>
      <c r="DV56" s="22" t="n">
        <v>22</v>
      </c>
      <c r="DW56" s="22" t="n">
        <v>4</v>
      </c>
      <c r="DX56" s="22" t="n">
        <v>5</v>
      </c>
      <c r="DY56" s="22" t="n">
        <v>0</v>
      </c>
      <c r="DZ56" s="22" t="n">
        <v>31</v>
      </c>
      <c r="EA56" s="111"/>
      <c r="EB56" s="111"/>
      <c r="EQ56" s="107"/>
      <c r="ER56" s="111"/>
      <c r="ES56" s="44"/>
      <c r="ET56" s="44"/>
    </row>
    <row r="57" customFormat="false" ht="18.75" hidden="false" customHeight="true" outlineLevel="0" collapsed="false">
      <c r="A57" s="112" t="n">
        <f aca="false">A13</f>
        <v>37226</v>
      </c>
      <c r="B57" s="113" t="n">
        <f aca="false">[2]EnergyCurve!$P35+[2]EnergyCurve!$R35+B13</f>
        <v>-107239.572265625</v>
      </c>
      <c r="C57" s="114" t="n">
        <f aca="false">B57/(CG57*CD57)</f>
        <v>-144.926913308684</v>
      </c>
      <c r="D57" s="114" t="n">
        <f aca="false">BY57+IF(YEAR(A57)=$T$20,$BY$92,0)+IF(YEAR(A57)=$T$21,$BY$93,0)+IF(YEAR(A57)=$T$22,$BY$94,0)</f>
        <v>0</v>
      </c>
      <c r="E57" s="115" t="n">
        <f aca="false">B57+(D57*(CE57+CF57)*CG57)+(D13*CD13*CG13)</f>
        <v>-107239.572265625</v>
      </c>
      <c r="F57" s="116" t="n">
        <f aca="false">C57+D57</f>
        <v>-144.926913308684</v>
      </c>
      <c r="G57" s="117" t="n">
        <f aca="false">([2]EnergyCurve!$J35*CE57+[2]EnergyCurve!$AB35*CF57+G13*CD13)/CD57</f>
        <v>51.220893326626</v>
      </c>
      <c r="H57" s="117" t="n">
        <f aca="false">I57-G57</f>
        <v>-1.94875353552811</v>
      </c>
      <c r="I57" s="118" t="n">
        <f aca="false">([2]EnergyCurve!$L35*CE57+[2]EnergyCurve!$AD35*CF57+I13*CD13)/CD57</f>
        <v>49.2721397910979</v>
      </c>
      <c r="J57" s="115" t="n">
        <f aca="false">[2]EnergyCurve!$T35</f>
        <v>199777.60686943</v>
      </c>
      <c r="K57" s="119" t="n">
        <f aca="false">(((CN57-AL57)*AK57+(CN57-AN57)*AM57+(CN57-AP57)*AO57+(CN57-AR57)*AQ57+(CN57-AT57)*AS57+(CN57-AV57)*AU57+(CN57-AX57)*AW57+(CN57-AZ57)*AY57+(CN57-BB57)*BA57+(CN57-BD57)*BC57+(CN57-BF57)*BE57+(CN57-BH57)*BG57+(CN57-BJ57)*BI57+(CN57-BL57)*BK57+(CN57-BN57)*BM57+(CN57-BP57)*BO57+(CN57-BR57)*BQ57+(CN57-BT57)*BS57+(CN57-BV57)*BU57+(CN57-BX57)*BW57)*(CE57+CF57)*CG57)+CI57+CJ57+CK57</f>
        <v>0</v>
      </c>
      <c r="L57" s="119" t="n">
        <f aca="false">J57+K57</f>
        <v>199777.60686943</v>
      </c>
      <c r="M57" s="46"/>
      <c r="N57" s="83" t="n">
        <f aca="false">A57</f>
        <v>37226</v>
      </c>
      <c r="O57" s="84" t="n">
        <v>33.5</v>
      </c>
      <c r="P57" s="84" t="n">
        <v>33.5</v>
      </c>
      <c r="Q57" s="85" t="n">
        <f aca="false">AVERAGE(O57:P57)-G57</f>
        <v>-17.720893326626</v>
      </c>
      <c r="R57" s="201"/>
      <c r="S57" s="202" t="n">
        <f aca="false">I57</f>
        <v>49.2721397910979</v>
      </c>
      <c r="T57" s="88" t="n">
        <f aca="false">IF(U56=4,T56+1,T56)</f>
        <v>2002</v>
      </c>
      <c r="U57" s="89" t="n">
        <f aca="false">IF(U56=4,1,U56+1)</f>
        <v>2</v>
      </c>
      <c r="V57" s="121" t="str">
        <f aca="false">"Q"&amp;U57&amp;" "&amp;T57</f>
        <v>Q2 2002</v>
      </c>
      <c r="W57" s="91" t="n">
        <f aca="false" t="array" ref="W57:W57">SUM(IF((INT((MONTH($A$56:$A$91)-1)/3)=U57-1)*(YEAR($A$56:$A$91)=T57),$I$56:$I$91*$DK$12:$DK$47))/SUM(IF((INT((MONTH($A$56:$A$91)-1)/3)=U57-1)*(YEAR($A$56:$A$91)=T57),$DK$12:$DK$47))</f>
        <v>44.5809007111819</v>
      </c>
      <c r="X57" s="122" t="n">
        <f aca="false" t="array" ref="X57:X57">AVERAGE(IF((INT((MONTH($A$56:$A$91)-1)/3)=U57-1)*(YEAR($A$56:$A$91)=T57),$I$56:$I$91))</f>
        <v>44.5845014184622</v>
      </c>
      <c r="Y57" s="123" t="n">
        <f aca="false">W57-$W$12</f>
        <v>-17.4912994630604</v>
      </c>
      <c r="Z57" s="124" t="n">
        <v>0</v>
      </c>
      <c r="AA57" s="94"/>
      <c r="AB57" s="94"/>
      <c r="AC57" s="94"/>
      <c r="AD57" s="94"/>
      <c r="AE57" s="94"/>
      <c r="AF57" s="94"/>
      <c r="AG57" s="94"/>
      <c r="AH57" s="94"/>
      <c r="AI57" s="94"/>
      <c r="AJ57" s="95" t="n">
        <f aca="false">A57</f>
        <v>37226</v>
      </c>
      <c r="AK57" s="96"/>
      <c r="AL57" s="97"/>
      <c r="AM57" s="96"/>
      <c r="AN57" s="97"/>
      <c r="AO57" s="96"/>
      <c r="AP57" s="97"/>
      <c r="AQ57" s="96"/>
      <c r="AR57" s="97"/>
      <c r="AS57" s="96"/>
      <c r="AT57" s="97"/>
      <c r="AU57" s="96"/>
      <c r="AV57" s="97"/>
      <c r="AW57" s="96"/>
      <c r="AX57" s="97"/>
      <c r="AY57" s="96"/>
      <c r="AZ57" s="97"/>
      <c r="BA57" s="96"/>
      <c r="BB57" s="97"/>
      <c r="BC57" s="96"/>
      <c r="BD57" s="97"/>
      <c r="BE57" s="96"/>
      <c r="BF57" s="97"/>
      <c r="BG57" s="96"/>
      <c r="BH57" s="97"/>
      <c r="BI57" s="96"/>
      <c r="BJ57" s="97"/>
      <c r="BK57" s="96"/>
      <c r="BL57" s="97"/>
      <c r="BM57" s="96"/>
      <c r="BN57" s="97"/>
      <c r="BO57" s="96"/>
      <c r="BP57" s="97"/>
      <c r="BQ57" s="96"/>
      <c r="BR57" s="97"/>
      <c r="BS57" s="96"/>
      <c r="BT57" s="97"/>
      <c r="BU57" s="96"/>
      <c r="BV57" s="97"/>
      <c r="BW57" s="96"/>
      <c r="BX57" s="97"/>
      <c r="BY57" s="100" t="n">
        <f aca="false">AK57+AM57+AO57+AQ57+AS57+AU57+AW57+AY57+BA57+BC57+BE57+BG57+BI57+BK57+BM57+BO57+BQ57+BS57+BU57+BW57</f>
        <v>0</v>
      </c>
      <c r="BZ57" s="101" t="n">
        <f aca="false">IF(AND(BY57=0,CC57=0),0,(ABS(AK57)*AL57+ABS(AM57)*AN57+ABS(AO57)*AP57+ABS(AQ57)*AR57+ABS(AS57)*AT57+ABS(AU57)*AV57+ABS(AW57)*AX57+ABS(AY57)*AZ57+ABS(BA57)*BB57+ABS(BC57)*BD57+ABS(BE57)*BF57+ABS(BG57)*BH57+ABS(BI57)*BJ57+ABS(BK57)*BL57+ABS(BM57)*BN57+ABS(BO57)*BP57+ABS(BQ57)*BR57+ABS(BS57)*BT57+ABS(BU57)*BV57+ABS(BW57)*BX57)/CC57)</f>
        <v>0</v>
      </c>
      <c r="CA57" s="102"/>
      <c r="CB57" s="103" t="n">
        <f aca="false">AJ57</f>
        <v>37226</v>
      </c>
      <c r="CC57" s="102" t="n">
        <f aca="false">ABS(AK57)+ABS(AM57)+ABS(AO57)+ABS(AQ57)+ABS(AS57)+ABS(AU57)+ABS(AW57)+ABS(AY57)+ABS(BA57)+ABS(BC57)+ABS(BE57)+ABS(BG57)+ABS(BI57)+ABS(BK57)+ABS(BM57)+ABS(BO57)+ABS(BQ57)+ABS(BS57)+ABS(BU57)+ABS(BW57)</f>
        <v>0</v>
      </c>
      <c r="CD57" s="104" t="n">
        <f aca="false">DK81*24</f>
        <v>744</v>
      </c>
      <c r="CE57" s="102" t="n">
        <f aca="false">DK81*8</f>
        <v>248</v>
      </c>
      <c r="CF57" s="102" t="n">
        <f aca="false">DL81*16</f>
        <v>96</v>
      </c>
      <c r="CG57" s="102" t="n">
        <f aca="false">CG13</f>
        <v>0.99456482404642</v>
      </c>
      <c r="CH57" s="106" t="n">
        <f aca="false">D57*(CE57+CF57)</f>
        <v>0</v>
      </c>
      <c r="CI57" s="106" t="n">
        <f aca="false">IF(YEAR($AJ57)=$CI$10,(($CN57-$AL$92)*$AK$92+($CN57-$AN$92)*$AM$92+($CN57-$AP$92)*$AO$92+($CN57-$AR$92)*$AQ$92+($CN57-$AT$92)*$AS$92+($CN57-$AV$92)*$AU$92+($CN57-$AX$92)*$AW$92+($CN57-$AZ$92)*$AY$92+($CN57-$BB$92)*$BA$92+($CN57-$BD$92)*$BC$92+($CN57-$BF$92)*$BE$92+($CN57-$BH$92)*$BG$92+($CN57-$BJ$92)*$BI$92+($CN57-$BL$92)*$BK$92+($CN57-$BN$92)*$BM$92+($CN57-$BP$92)*$BO$92+($CN57-$BR$92)*$BQ$92+($CN57-$BT$92)*$BS$92+($CN57-$BV$92)*$BU$92+($CN57-$BX$92)*$BW$92)*($CE57+$CF57)*$CG57,0)</f>
        <v>0</v>
      </c>
      <c r="CJ57" s="106" t="n">
        <f aca="false">IF(YEAR($AJ57)=$CJ$10,(($CN57-$AL$93)*$AK$93+($CN57-$AN$93)*$AM$93+($CN57-$AP$93)*$AO$93+($CN57-$AR$93)*$AQ$93+($CN57-$AT$93)*$AS$93+($CN57-$AV$93)*$AU$93+($CN57-$AX$93)*$AW$93+($CN57-$AZ$93)*$AY$93+($CN57-$BB$93)*$BA$93+($CN57-$BD$93)*$BC$93+($CN57-$BF$93)*$BE$93+($CN57-$BH$93)*$BG$93+($CN57-$BJ$93)*$BI$93+($CN57-$BL$93)*$BK$93+($CN57-$BN$93)*$BM$93+($CN57-$BP$93)*$BO$93+($CN57-$BR$93)*$BQ$93+($CN57-$BT$93)*$BS$93+($CN57-$BV$93)*$BU$93+($CN57-$BX$93)*$BW$93)*($CE57+$CF57)*$CG57,0)</f>
        <v>0</v>
      </c>
      <c r="CK57" s="106" t="n">
        <f aca="false">IF(YEAR($AJ57)=$CK$10,(($CN57-$AL$94)*$AK$94+($CN57-$AN$94)*$AM$94+($CN57-$AP$94)*$AO$94+($CN57-$AR$94)*$AQ$94+($CN57-$AT$94)*$AS$94+($CN57-$AV$94)*$AU$94+($CN57-$AX$94)*$AW$94+($CN57-$AZ$94)*$AY$94+($CN57-$BB$94)*$BA$94+($CN57-$BD$94)*$BC$94+($CN57-$BF$94)*$BE$94+($CN57-$BH$94)*$BG$94+($CN57-$BJ$94)*$BI$94+($CN57-$BL$94)*$BK$94+($CN57-$BN$94)*$BM$94+($CN57-$BP$94)*$BO$94+($CN57-$BR$94)*$BQ$94+($CN57-$BT$94)*$BS$94+($CN57-$BV$94)*$BU$94+($CN57-$BX$94)*$BW$94)*($CE57+$CF57)*$CG57,0)</f>
        <v>0</v>
      </c>
      <c r="CL57" s="1" t="n">
        <f aca="false">CC57*CD57</f>
        <v>0</v>
      </c>
      <c r="CN57" s="21" t="n">
        <f aca="false">([2]EnergyCurve!$L35*CE57+[2]EnergyCurve!$AD35*CF57)/(CE57+CF57)</f>
        <v>39.7442239012239</v>
      </c>
      <c r="DI57" s="1" t="n">
        <f aca="false">DK57-DL57</f>
        <v>4</v>
      </c>
      <c r="DJ57" s="107" t="n">
        <f aca="false">[2]EnergyCurve!$D79</f>
        <v>38565</v>
      </c>
      <c r="DK57" s="2" t="n">
        <f aca="false">IF($L$6=0,VLOOKUP(DJ57,$DM$13:$DQ$252,2)+VLOOKUP(DJ57,$DU$13:$DY$252,3),VLOOKUP(DJ57,$DU$13:$DY$252,2)+VLOOKUP(DJ57,$DU$13:$DY$252,3))</f>
        <v>27</v>
      </c>
      <c r="DL57" s="2" t="n">
        <f aca="false">IF($L$6=0,VLOOKUP(DJ57,$DM$13:$DQ$252,2),VLOOKUP(DJ57,$DU$13:$DY$252,2))</f>
        <v>23</v>
      </c>
      <c r="DM57" s="130" t="n">
        <v>38231</v>
      </c>
      <c r="DN57" s="22" t="n">
        <v>21</v>
      </c>
      <c r="DO57" s="22" t="n">
        <v>4</v>
      </c>
      <c r="DP57" s="22" t="n">
        <v>4</v>
      </c>
      <c r="DQ57" s="22" t="n">
        <v>1</v>
      </c>
      <c r="DR57" s="22" t="n">
        <v>30</v>
      </c>
      <c r="DS57" s="111"/>
      <c r="DT57" s="111"/>
      <c r="DU57" s="130" t="n">
        <v>38231</v>
      </c>
      <c r="DV57" s="22" t="n">
        <v>21</v>
      </c>
      <c r="DW57" s="22" t="n">
        <v>4</v>
      </c>
      <c r="DX57" s="22" t="n">
        <v>4</v>
      </c>
      <c r="DY57" s="22" t="n">
        <v>1</v>
      </c>
      <c r="DZ57" s="22" t="n">
        <v>30</v>
      </c>
      <c r="EA57" s="111"/>
      <c r="EB57" s="111"/>
      <c r="EQ57" s="107"/>
      <c r="ER57" s="111"/>
      <c r="ES57" s="44"/>
      <c r="ET57" s="44"/>
    </row>
    <row r="58" customFormat="false" ht="18.75" hidden="false" customHeight="true" outlineLevel="0" collapsed="false">
      <c r="A58" s="75" t="n">
        <f aca="false">A14</f>
        <v>37257</v>
      </c>
      <c r="B58" s="76" t="n">
        <f aca="false">[2]EnergyCurve!$P36+[2]EnergyCurve!$R36+B14</f>
        <v>132361.648193359</v>
      </c>
      <c r="C58" s="77" t="n">
        <f aca="false">B58/(CG58*CD58)</f>
        <v>179.253348783441</v>
      </c>
      <c r="D58" s="78" t="n">
        <f aca="false">BY58+IF(YEAR(A58)=$T$20,$BY$92,0)+IF(YEAR(A58)=$T$21,$BY$93,0)+IF(YEAR(A58)=$T$22,$BY$94,0)</f>
        <v>-20</v>
      </c>
      <c r="E58" s="77" t="n">
        <f aca="false">B58+(D58*(CE58+CF58)*CG58)+(D14*CD14*CG14)</f>
        <v>113464.820759362</v>
      </c>
      <c r="F58" s="79" t="n">
        <f aca="false">C58+D58</f>
        <v>159.253348783441</v>
      </c>
      <c r="G58" s="80" t="n">
        <f aca="false">([2]EnergyCurve!$J36*CE58+[2]EnergyCurve!$AB36*CF58+G14*CD14)/CD58</f>
        <v>49.9132623159757</v>
      </c>
      <c r="H58" s="80" t="n">
        <f aca="false">I58-G58</f>
        <v>-1.47929229302517</v>
      </c>
      <c r="I58" s="81" t="n">
        <f aca="false">([2]EnergyCurve!$L36*CE58+[2]EnergyCurve!$AD36*CF58+I14*CD14)/CD58</f>
        <v>48.4339700229506</v>
      </c>
      <c r="J58" s="76" t="n">
        <f aca="false">[2]EnergyCurve!$T36</f>
        <v>-140853.37944384</v>
      </c>
      <c r="K58" s="82" t="n">
        <f aca="false">(((CN58-AL58)*AK58+(CN58-AN58)*AM58+(CN58-AP58)*AO58+(CN58-AR58)*AQ58+(CN58-AT58)*AS58+(CN58-AV58)*AU58+(CN58-AX58)*AW58+(CN58-AZ58)*AY58+(CN58-BB58)*BA58+(CN58-BD58)*BC58+(CN58-BF58)*BE58+(CN58-BH58)*BG58+(CN58-BJ58)*BI58+(CN58-BL58)*BK58+(CN58-BN58)*BM58+(CN58-BP58)*BO58+(CN58-BR58)*BQ58+(CN58-BT58)*BS58+(CN58-BV58)*BU58+(CN58-BX58)*BW58)*(CE58+CF58)*CG58)+CI58+CJ58+CK58</f>
        <v>114627.415013336</v>
      </c>
      <c r="L58" s="82" t="n">
        <f aca="false">J58+K58</f>
        <v>-26225.9644305035</v>
      </c>
      <c r="M58" s="46"/>
      <c r="N58" s="83" t="n">
        <f aca="false">A58</f>
        <v>37257</v>
      </c>
      <c r="O58" s="84" t="n">
        <v>25.25</v>
      </c>
      <c r="P58" s="84" t="n">
        <v>25.25</v>
      </c>
      <c r="Q58" s="85" t="n">
        <f aca="false">AVERAGE(O58:P58)-G58</f>
        <v>-24.6632623159757</v>
      </c>
      <c r="R58" s="201"/>
      <c r="S58" s="202" t="n">
        <f aca="false">I58</f>
        <v>48.4339700229506</v>
      </c>
      <c r="T58" s="88" t="n">
        <f aca="false">IF(U57=4,T57+1,T57)</f>
        <v>2002</v>
      </c>
      <c r="U58" s="89" t="n">
        <f aca="false">IF(U57=4,1,U57+1)</f>
        <v>3</v>
      </c>
      <c r="V58" s="127" t="str">
        <f aca="false">"Q"&amp;U58&amp;" "&amp;T58</f>
        <v>Q3 2002</v>
      </c>
      <c r="W58" s="91" t="n">
        <f aca="false" t="array" ref="W58:W58">SUM(IF((INT((MONTH($A$56:$A$91)-1)/3)=U58-1)*(YEAR($A$56:$A$91)=T58),$I$56:$I$91*$DK$12:$DK$47))/SUM(IF((INT((MONTH($A$56:$A$91)-1)/3)=U58-1)*(YEAR($A$56:$A$91)=T58),$DK$12:$DK$47))</f>
        <v>41.1328016301441</v>
      </c>
      <c r="X58" s="122" t="n">
        <f aca="false" t="array" ref="X58:X58">AVERAGE(IF((INT((MONTH($A$56:$A$91)-1)/3)=U58-1)*(YEAR($A$56:$A$91)=T58),$I$56:$I$91))</f>
        <v>41.1242431741107</v>
      </c>
      <c r="Y58" s="128" t="n">
        <f aca="false">W58-$W$12</f>
        <v>-20.9393985440981</v>
      </c>
      <c r="Z58" s="128" t="n">
        <f aca="false">W58-$W$13</f>
        <v>-16.4719846607662</v>
      </c>
      <c r="AA58" s="93" t="n">
        <v>0</v>
      </c>
      <c r="AB58" s="94"/>
      <c r="AC58" s="94"/>
      <c r="AD58" s="94"/>
      <c r="AE58" s="94"/>
      <c r="AF58" s="94"/>
      <c r="AG58" s="94"/>
      <c r="AH58" s="94"/>
      <c r="AI58" s="94"/>
      <c r="AJ58" s="95" t="n">
        <f aca="false">A58</f>
        <v>37257</v>
      </c>
      <c r="AK58" s="96" t="n">
        <v>-5</v>
      </c>
      <c r="AL58" s="97" t="n">
        <v>47.5</v>
      </c>
      <c r="AM58" s="96" t="n">
        <v>-15</v>
      </c>
      <c r="AN58" s="97" t="n">
        <v>47</v>
      </c>
      <c r="AO58" s="96"/>
      <c r="AP58" s="97"/>
      <c r="AQ58" s="96"/>
      <c r="AR58" s="97"/>
      <c r="AS58" s="96"/>
      <c r="AT58" s="97"/>
      <c r="AU58" s="96"/>
      <c r="AV58" s="97"/>
      <c r="AW58" s="96"/>
      <c r="AX58" s="97"/>
      <c r="AY58" s="96"/>
      <c r="AZ58" s="97"/>
      <c r="BA58" s="96"/>
      <c r="BB58" s="97"/>
      <c r="BC58" s="96"/>
      <c r="BD58" s="97"/>
      <c r="BE58" s="96"/>
      <c r="BF58" s="97"/>
      <c r="BG58" s="96"/>
      <c r="BH58" s="97"/>
      <c r="BI58" s="96"/>
      <c r="BJ58" s="97"/>
      <c r="BK58" s="96"/>
      <c r="BL58" s="97"/>
      <c r="BM58" s="96"/>
      <c r="BN58" s="97"/>
      <c r="BO58" s="96"/>
      <c r="BP58" s="97"/>
      <c r="BQ58" s="96"/>
      <c r="BR58" s="97"/>
      <c r="BS58" s="96"/>
      <c r="BT58" s="97"/>
      <c r="BU58" s="96"/>
      <c r="BV58" s="97"/>
      <c r="BW58" s="96"/>
      <c r="BX58" s="97"/>
      <c r="BY58" s="100" t="n">
        <f aca="false">AK58+AM58+AO58+AQ58+AS58+AU58+AW58+AY58+BA58+BC58+BE58+BG58+BI58+BK58+BM58+BO58+BQ58+BS58+BU58+BW58</f>
        <v>-20</v>
      </c>
      <c r="BZ58" s="101" t="n">
        <f aca="false">IF(AND(BY58=0,CC58=0),0,(ABS(AK58)*AL58+ABS(AM58)*AN58+ABS(AO58)*AP58+ABS(AQ58)*AR58+ABS(AS58)*AT58+ABS(AU58)*AV58+ABS(AW58)*AX58+ABS(AY58)*AZ58+ABS(BA58)*BB58+ABS(BC58)*BD58+ABS(BE58)*BF58+ABS(BG58)*BH58+ABS(BI58)*BJ58+ABS(BK58)*BL58+ABS(BM58)*BN58+ABS(BO58)*BP58+ABS(BQ58)*BR58+ABS(BS58)*BT58+ABS(BU58)*BV58+ABS(BW58)*BX58)/CC58)</f>
        <v>47.125</v>
      </c>
      <c r="CA58" s="102"/>
      <c r="CB58" s="103" t="n">
        <f aca="false">AJ58</f>
        <v>37257</v>
      </c>
      <c r="CC58" s="102" t="n">
        <f aca="false">ABS(AK58)+ABS(AM58)+ABS(AO58)+ABS(AQ58)+ABS(AS58)+ABS(AU58)+ABS(AW58)+ABS(AY58)+ABS(BA58)+ABS(BC58)+ABS(BE58)+ABS(BG58)+ABS(BI58)+ABS(BK58)+ABS(BM58)+ABS(BO58)+ABS(BQ58)+ABS(BS58)+ABS(BU58)+ABS(BW58)</f>
        <v>20</v>
      </c>
      <c r="CD58" s="104" t="n">
        <f aca="false">DK82*24</f>
        <v>744</v>
      </c>
      <c r="CE58" s="102" t="n">
        <f aca="false">DK82*8</f>
        <v>248</v>
      </c>
      <c r="CF58" s="102" t="n">
        <f aca="false">DL82*16</f>
        <v>80</v>
      </c>
      <c r="CG58" s="102" t="n">
        <f aca="false">CG14</f>
        <v>0.992480432457845</v>
      </c>
      <c r="CH58" s="106" t="n">
        <f aca="false">D58*(CE58+CF58)</f>
        <v>-6560</v>
      </c>
      <c r="CI58" s="106" t="n">
        <f aca="false">IF(YEAR($AJ58)=$CI$10,(($CN58-$AL$92)*$AK$92+($CN58-$AN$92)*$AM$92+($CN58-$AP$92)*$AO$92+($CN58-$AR$92)*$AQ$92+($CN58-$AT$92)*$AS$92+($CN58-$AV$92)*$AU$92+($CN58-$AX$92)*$AW$92+($CN58-$AZ$92)*$AY$92+($CN58-$BB$92)*$BA$92+($CN58-$BD$92)*$BC$92+($CN58-$BF$92)*$BE$92+($CN58-$BH$92)*$BG$92+($CN58-$BJ$92)*$BI$92+($CN58-$BL$92)*$BK$92+($CN58-$BN$92)*$BM$92+($CN58-$BP$92)*$BO$92+($CN58-$BR$92)*$BQ$92+($CN58-$BT$92)*$BS$92+($CN58-$BV$92)*$BU$92+($CN58-$BX$92)*$BW$92)*($CE58+$CF58)*$CG58,0)</f>
        <v>0</v>
      </c>
      <c r="CJ58" s="106" t="n">
        <f aca="false">IF(YEAR($AJ58)=$CJ$10,(($CN58-$AL$93)*$AK$93+($CN58-$AN$93)*$AM$93+($CN58-$AP$93)*$AO$93+($CN58-$AR$93)*$AQ$93+($CN58-$AT$93)*$AS$93+($CN58-$AV$93)*$AU$93+($CN58-$AX$93)*$AW$93+($CN58-$AZ$93)*$AY$93+($CN58-$BB$93)*$BA$93+($CN58-$BD$93)*$BC$93+($CN58-$BF$93)*$BE$93+($CN58-$BH$93)*$BG$93+($CN58-$BJ$93)*$BI$93+($CN58-$BL$93)*$BK$93+($CN58-$BN$93)*$BM$93+($CN58-$BP$93)*$BO$93+($CN58-$BR$93)*$BQ$93+($CN58-$BT$93)*$BS$93+($CN58-$BV$93)*$BU$93+($CN58-$BX$93)*$BW$93)*($CE58+$CF58)*$CG58,0)</f>
        <v>0</v>
      </c>
      <c r="CK58" s="106" t="n">
        <f aca="false">IF(YEAR($AJ58)=$CK$10,(($CN58-$AL$94)*$AK$94+($CN58-$AN$94)*$AM$94+($CN58-$AP$94)*$AO$94+($CN58-$AR$94)*$AQ$94+($CN58-$AT$94)*$AS$94+($CN58-$AV$94)*$AU$94+($CN58-$AX$94)*$AW$94+($CN58-$AZ$94)*$AY$94+($CN58-$BB$94)*$BA$94+($CN58-$BD$94)*$BC$94+($CN58-$BF$94)*$BE$94+($CN58-$BH$94)*$BG$94+($CN58-$BJ$94)*$BI$94+($CN58-$BL$94)*$BK$94+($CN58-$BN$94)*$BM$94+($CN58-$BP$94)*$BO$94+($CN58-$BR$94)*$BQ$94+($CN58-$BT$94)*$BS$94+($CN58-$BV$94)*$BU$94+($CN58-$BX$94)*$BW$94)*($CE58+$CF58)*$CG58,0)</f>
        <v>0</v>
      </c>
      <c r="CL58" s="1" t="n">
        <f aca="false">CC58*CD58</f>
        <v>14880</v>
      </c>
      <c r="CN58" s="21" t="n">
        <f aca="false">([2]EnergyCurve!$L36*CE58+[2]EnergyCurve!$AD36*CF58)/(CE58+CF58)</f>
        <v>29.5189185685147</v>
      </c>
      <c r="DI58" s="1" t="n">
        <f aca="false">DK58-DL58</f>
        <v>4</v>
      </c>
      <c r="DJ58" s="107" t="n">
        <f aca="false">[2]EnergyCurve!$D80</f>
        <v>38596</v>
      </c>
      <c r="DK58" s="2" t="n">
        <f aca="false">IF($L$6=0,VLOOKUP(DJ58,$DM$13:$DQ$252,2)+VLOOKUP(DJ58,$DU$13:$DY$252,3),VLOOKUP(DJ58,$DU$13:$DY$252,2)+VLOOKUP(DJ58,$DU$13:$DY$252,3))</f>
        <v>25</v>
      </c>
      <c r="DL58" s="2" t="n">
        <f aca="false">IF($L$6=0,VLOOKUP(DJ58,$DM$13:$DQ$252,2),VLOOKUP(DJ58,$DU$13:$DY$252,2))</f>
        <v>21</v>
      </c>
      <c r="DM58" s="130" t="n">
        <v>38261</v>
      </c>
      <c r="DN58" s="22" t="n">
        <v>20</v>
      </c>
      <c r="DO58" s="22" t="n">
        <v>5</v>
      </c>
      <c r="DP58" s="22" t="n">
        <v>5</v>
      </c>
      <c r="DQ58" s="22" t="n">
        <v>1</v>
      </c>
      <c r="DR58" s="22" t="n">
        <v>31</v>
      </c>
      <c r="DS58" s="111"/>
      <c r="DT58" s="111"/>
      <c r="DU58" s="130" t="n">
        <v>38261</v>
      </c>
      <c r="DV58" s="22" t="n">
        <v>21</v>
      </c>
      <c r="DW58" s="22" t="n">
        <v>5</v>
      </c>
      <c r="DX58" s="22" t="n">
        <v>5</v>
      </c>
      <c r="DY58" s="22" t="n">
        <v>0</v>
      </c>
      <c r="DZ58" s="22" t="n">
        <v>31</v>
      </c>
      <c r="EA58" s="111"/>
      <c r="EB58" s="111"/>
      <c r="EQ58" s="107"/>
      <c r="ER58" s="111"/>
      <c r="ES58" s="44"/>
      <c r="ET58" s="44"/>
    </row>
    <row r="59" customFormat="false" ht="18.75" hidden="false" customHeight="true" outlineLevel="0" collapsed="false">
      <c r="A59" s="112" t="n">
        <f aca="false">A15</f>
        <v>37288</v>
      </c>
      <c r="B59" s="113" t="n">
        <f aca="false">[2]EnergyCurve!$P37+[2]EnergyCurve!$R37+B15</f>
        <v>116679.959472656</v>
      </c>
      <c r="C59" s="114" t="n">
        <f aca="false">B59/(CG59*CD59)</f>
        <v>175.262724685191</v>
      </c>
      <c r="D59" s="114" t="n">
        <f aca="false">BY59+IF(YEAR(A59)=$T$20,$BY$92,0)+IF(YEAR(A59)=$T$21,$BY$93,0)+IF(YEAR(A59)=$T$22,$BY$94,0)</f>
        <v>-20</v>
      </c>
      <c r="E59" s="115" t="n">
        <f aca="false">B59+(D59*(CE59+CF59)*CG59)+(D15*CD15*CG15)</f>
        <v>99560.8497452433</v>
      </c>
      <c r="F59" s="116" t="n">
        <f aca="false">C59+D59</f>
        <v>155.262724685191</v>
      </c>
      <c r="G59" s="117" t="n">
        <f aca="false">([2]EnergyCurve!$J37*CE59+[2]EnergyCurve!$AB37*CF59+G15*CD15)/CD59</f>
        <v>49.7875391642253</v>
      </c>
      <c r="H59" s="117" t="n">
        <f aca="false">I59-G59</f>
        <v>-1.68673022753553</v>
      </c>
      <c r="I59" s="118" t="n">
        <f aca="false">([2]EnergyCurve!$L37*CE59+[2]EnergyCurve!$AD37*CF59+I15*CD15)/CD59</f>
        <v>48.1008089366897</v>
      </c>
      <c r="J59" s="115" t="n">
        <f aca="false">[2]EnergyCurve!$T37</f>
        <v>-141176.547491991</v>
      </c>
      <c r="K59" s="119" t="n">
        <f aca="false">(((CN59-AL59)*AK59+(CN59-AN59)*AM59+(CN59-AP59)*AO59+(CN59-AR59)*AQ59+(CN59-AT59)*AS59+(CN59-AV59)*AU59+(CN59-AX59)*AW59+(CN59-AZ59)*AY59+(CN59-BB59)*BA59+(CN59-BD59)*BC59+(CN59-BF59)*BE59+(CN59-BH59)*BG59+(CN59-BJ59)*BI59+(CN59-BL59)*BK59+(CN59-BN59)*BM59+(CN59-BP59)*BO59+(CN59-BR59)*BQ59+(CN59-BT59)*BS59+(CN59-BV59)*BU59+(CN59-BX59)*BW59)*(CE59+CF59)*CG59)+CI59+CJ59+CK59</f>
        <v>104043.843436332</v>
      </c>
      <c r="L59" s="119" t="n">
        <f aca="false">J59+K59</f>
        <v>-37132.7040556596</v>
      </c>
      <c r="M59" s="46"/>
      <c r="N59" s="83" t="n">
        <f aca="false">A59</f>
        <v>37288</v>
      </c>
      <c r="O59" s="84" t="n">
        <v>25.25</v>
      </c>
      <c r="P59" s="84" t="n">
        <v>25.25</v>
      </c>
      <c r="Q59" s="85" t="n">
        <f aca="false">AVERAGE(O59:P59)-G59</f>
        <v>-24.5375391642253</v>
      </c>
      <c r="R59" s="201"/>
      <c r="S59" s="202" t="n">
        <f aca="false">I59</f>
        <v>48.1008089366897</v>
      </c>
      <c r="T59" s="88" t="n">
        <f aca="false">IF(U58=4,T58+1,T58)</f>
        <v>2002</v>
      </c>
      <c r="U59" s="89" t="n">
        <f aca="false">IF(U58=4,1,U58+1)</f>
        <v>4</v>
      </c>
      <c r="V59" s="121" t="str">
        <f aca="false">"Q"&amp;U59&amp;" "&amp;T59</f>
        <v>Q4 2002</v>
      </c>
      <c r="W59" s="91" t="n">
        <f aca="false" t="array" ref="W59:W59">SUM(IF((INT((MONTH($A$56:$A$91)-1)/3)=U59-1)*(YEAR($A$56:$A$91)=T59),$I$56:$I$91*$DK$12:$DK$47))/SUM(IF((INT((MONTH($A$56:$A$91)-1)/3)=U59-1)*(YEAR($A$56:$A$91)=T59),$DK$12:$DK$47))</f>
        <v>47.21667748207</v>
      </c>
      <c r="X59" s="122" t="n">
        <f aca="false" t="array" ref="X59:X59">AVERAGE(IF((INT((MONTH($A$56:$A$91)-1)/3)=U59-1)*(YEAR($A$56:$A$91)=T59),$I$56:$I$91))</f>
        <v>47.2971390781848</v>
      </c>
      <c r="Y59" s="123" t="n">
        <f aca="false">W59-$W$12</f>
        <v>-14.8555226921722</v>
      </c>
      <c r="Z59" s="123" t="n">
        <f aca="false">W59-$W$13</f>
        <v>-10.3881088088403</v>
      </c>
      <c r="AA59" s="123" t="n">
        <f aca="false">W59-$W$14</f>
        <v>-3.6215431117803</v>
      </c>
      <c r="AB59" s="124" t="n">
        <v>0</v>
      </c>
      <c r="AC59" s="94"/>
      <c r="AD59" s="94"/>
      <c r="AE59" s="94"/>
      <c r="AF59" s="94"/>
      <c r="AG59" s="94"/>
      <c r="AH59" s="94"/>
      <c r="AI59" s="94"/>
      <c r="AJ59" s="95" t="n">
        <f aca="false">A59</f>
        <v>37288</v>
      </c>
      <c r="AK59" s="96" t="n">
        <v>-5</v>
      </c>
      <c r="AL59" s="97" t="n">
        <v>47.5</v>
      </c>
      <c r="AM59" s="96" t="n">
        <v>-15</v>
      </c>
      <c r="AN59" s="97" t="n">
        <v>47</v>
      </c>
      <c r="AO59" s="96"/>
      <c r="AP59" s="97"/>
      <c r="AQ59" s="96"/>
      <c r="AR59" s="97"/>
      <c r="AS59" s="96"/>
      <c r="AT59" s="97"/>
      <c r="AU59" s="96"/>
      <c r="AV59" s="97"/>
      <c r="AW59" s="96"/>
      <c r="AX59" s="97"/>
      <c r="AY59" s="96"/>
      <c r="AZ59" s="97"/>
      <c r="BA59" s="96"/>
      <c r="BB59" s="97"/>
      <c r="BC59" s="96"/>
      <c r="BD59" s="97"/>
      <c r="BE59" s="96"/>
      <c r="BF59" s="97"/>
      <c r="BG59" s="96"/>
      <c r="BH59" s="97"/>
      <c r="BI59" s="96"/>
      <c r="BJ59" s="97"/>
      <c r="BK59" s="96"/>
      <c r="BL59" s="97"/>
      <c r="BM59" s="96"/>
      <c r="BN59" s="97"/>
      <c r="BO59" s="96"/>
      <c r="BP59" s="97"/>
      <c r="BQ59" s="96"/>
      <c r="BR59" s="97"/>
      <c r="BS59" s="96"/>
      <c r="BT59" s="97"/>
      <c r="BU59" s="96"/>
      <c r="BV59" s="97"/>
      <c r="BW59" s="96"/>
      <c r="BX59" s="97"/>
      <c r="BY59" s="100" t="n">
        <f aca="false">AK59+AM59+AO59+AQ59+AS59+AU59+AW59+AY59+BA59+BC59+BE59+BG59+BI59+BK59+BM59+BO59+BQ59+BS59+BU59+BW59</f>
        <v>-20</v>
      </c>
      <c r="BZ59" s="101" t="n">
        <f aca="false">IF(AND(BY59=0,CC59=0),0,(ABS(AK59)*AL59+ABS(AM59)*AN59+ABS(AO59)*AP59+ABS(AQ59)*AR59+ABS(AS59)*AT59+ABS(AU59)*AV59+ABS(AW59)*AX59+ABS(AY59)*AZ59+ABS(BA59)*BB59+ABS(BC59)*BD59+ABS(BE59)*BF59+ABS(BG59)*BH59+ABS(BI59)*BJ59+ABS(BK59)*BL59+ABS(BM59)*BN59+ABS(BO59)*BP59+ABS(BQ59)*BR59+ABS(BS59)*BT59+ABS(BU59)*BV59+ABS(BW59)*BX59)/CC59)</f>
        <v>47.125</v>
      </c>
      <c r="CA59" s="102"/>
      <c r="CB59" s="103" t="n">
        <f aca="false">AJ59</f>
        <v>37288</v>
      </c>
      <c r="CC59" s="102" t="n">
        <f aca="false">ABS(AK59)+ABS(AM59)+ABS(AO59)+ABS(AQ59)+ABS(AS59)+ABS(AU59)+ABS(AW59)+ABS(AY59)+ABS(BA59)+ABS(BC59)+ABS(BE59)+ABS(BG59)+ABS(BI59)+ABS(BK59)+ABS(BM59)+ABS(BO59)+ABS(BQ59)+ABS(BS59)+ABS(BU59)+ABS(BW59)</f>
        <v>20</v>
      </c>
      <c r="CD59" s="104" t="n">
        <f aca="false">DK83*24</f>
        <v>672</v>
      </c>
      <c r="CE59" s="102" t="n">
        <f aca="false">DK83*8</f>
        <v>224</v>
      </c>
      <c r="CF59" s="102" t="n">
        <f aca="false">DL83*16</f>
        <v>64</v>
      </c>
      <c r="CG59" s="102" t="n">
        <f aca="false">CG15</f>
        <v>0.990689220336398</v>
      </c>
      <c r="CH59" s="106" t="n">
        <f aca="false">D59*(CE59+CF59)</f>
        <v>-5760</v>
      </c>
      <c r="CI59" s="106" t="n">
        <f aca="false">IF(YEAR($AJ59)=$CI$10,(($CN59-$AL$92)*$AK$92+($CN59-$AN$92)*$AM$92+($CN59-$AP$92)*$AO$92+($CN59-$AR$92)*$AQ$92+($CN59-$AT$92)*$AS$92+($CN59-$AV$92)*$AU$92+($CN59-$AX$92)*$AW$92+($CN59-$AZ$92)*$AY$92+($CN59-$BB$92)*$BA$92+($CN59-$BD$92)*$BC$92+($CN59-$BF$92)*$BE$92+($CN59-$BH$92)*$BG$92+($CN59-$BJ$92)*$BI$92+($CN59-$BL$92)*$BK$92+($CN59-$BN$92)*$BM$92+($CN59-$BP$92)*$BO$92+($CN59-$BR$92)*$BQ$92+($CN59-$BT$92)*$BS$92+($CN59-$BV$92)*$BU$92+($CN59-$BX$92)*$BW$92)*($CE59+$CF59)*$CG59,0)</f>
        <v>0</v>
      </c>
      <c r="CJ59" s="106" t="n">
        <f aca="false">IF(YEAR($AJ59)=$CJ$10,(($CN59-$AL$93)*$AK$93+($CN59-$AN$93)*$AM$93+($CN59-$AP$93)*$AO$93+($CN59-$AR$93)*$AQ$93+($CN59-$AT$93)*$AS$93+($CN59-$AV$93)*$AU$93+($CN59-$AX$93)*$AW$93+($CN59-$AZ$93)*$AY$93+($CN59-$BB$93)*$BA$93+($CN59-$BD$93)*$BC$93+($CN59-$BF$93)*$BE$93+($CN59-$BH$93)*$BG$93+($CN59-$BJ$93)*$BI$93+($CN59-$BL$93)*$BK$93+($CN59-$BN$93)*$BM$93+($CN59-$BP$93)*$BO$93+($CN59-$BR$93)*$BQ$93+($CN59-$BT$93)*$BS$93+($CN59-$BV$93)*$BU$93+($CN59-$BX$93)*$BW$93)*($CE59+$CF59)*$CG59,0)</f>
        <v>0</v>
      </c>
      <c r="CK59" s="106" t="n">
        <f aca="false">IF(YEAR($AJ59)=$CK$10,(($CN59-$AL$94)*$AK$94+($CN59-$AN$94)*$AM$94+($CN59-$AP$94)*$AO$94+($CN59-$AR$94)*$AQ$94+($CN59-$AT$94)*$AS$94+($CN59-$AV$94)*$AU$94+($CN59-$AX$94)*$AW$94+($CN59-$AZ$94)*$AY$94+($CN59-$BB$94)*$BA$94+($CN59-$BD$94)*$BC$94+($CN59-$BF$94)*$BE$94+($CN59-$BH$94)*$BG$94+($CN59-$BJ$94)*$BI$94+($CN59-$BL$94)*$BK$94+($CN59-$BN$94)*$BM$94+($CN59-$BP$94)*$BO$94+($CN59-$BR$94)*$BQ$94+($CN59-$BT$94)*$BS$94+($CN59-$BV$94)*$BU$94+($CN59-$BX$94)*$BW$94)*($CE59+$CF59)*$CG59,0)</f>
        <v>0</v>
      </c>
      <c r="CL59" s="1" t="n">
        <f aca="false">CC59*CD59</f>
        <v>13440</v>
      </c>
      <c r="CN59" s="21" t="n">
        <f aca="false">([2]EnergyCurve!$L37*CE59+[2]EnergyCurve!$AD37*CF59)/(CE59+CF59)</f>
        <v>28.8920699423595</v>
      </c>
      <c r="DI59" s="1" t="n">
        <f aca="false">DK59-DL59</f>
        <v>5</v>
      </c>
      <c r="DJ59" s="107" t="n">
        <f aca="false">[2]EnergyCurve!$D81</f>
        <v>38626</v>
      </c>
      <c r="DK59" s="2" t="n">
        <f aca="false">IF($L$6=0,VLOOKUP(DJ59,$DM$13:$DQ$252,2)+VLOOKUP(DJ59,$DU$13:$DY$252,3),VLOOKUP(DJ59,$DU$13:$DY$252,2)+VLOOKUP(DJ59,$DU$13:$DY$252,3))</f>
        <v>26</v>
      </c>
      <c r="DL59" s="2" t="n">
        <f aca="false">IF($L$6=0,VLOOKUP(DJ59,$DM$13:$DQ$252,2),VLOOKUP(DJ59,$DU$13:$DY$252,2))</f>
        <v>21</v>
      </c>
      <c r="DM59" s="130" t="n">
        <v>38292</v>
      </c>
      <c r="DN59" s="22" t="n">
        <v>21</v>
      </c>
      <c r="DO59" s="22" t="n">
        <v>4</v>
      </c>
      <c r="DP59" s="22" t="n">
        <v>4</v>
      </c>
      <c r="DQ59" s="22" t="n">
        <v>1</v>
      </c>
      <c r="DR59" s="22" t="n">
        <v>30</v>
      </c>
      <c r="DS59" s="111"/>
      <c r="DT59" s="111"/>
      <c r="DU59" s="130" t="n">
        <v>38292</v>
      </c>
      <c r="DV59" s="22" t="n">
        <v>21</v>
      </c>
      <c r="DW59" s="22" t="n">
        <v>4</v>
      </c>
      <c r="DX59" s="22" t="n">
        <v>4</v>
      </c>
      <c r="DY59" s="22" t="n">
        <v>1</v>
      </c>
      <c r="DZ59" s="22" t="n">
        <v>30</v>
      </c>
      <c r="EA59" s="111"/>
      <c r="EB59" s="111"/>
      <c r="EQ59" s="107"/>
      <c r="ER59" s="111"/>
      <c r="ES59" s="44"/>
      <c r="ET59" s="44"/>
    </row>
    <row r="60" customFormat="false" ht="18.75" hidden="false" customHeight="true" outlineLevel="0" collapsed="false">
      <c r="A60" s="75" t="n">
        <f aca="false">A16</f>
        <v>37316</v>
      </c>
      <c r="B60" s="76" t="n">
        <f aca="false">[2]EnergyCurve!$P38+[2]EnergyCurve!$R38+B16</f>
        <v>131147.277587891</v>
      </c>
      <c r="C60" s="77" t="n">
        <f aca="false">B60/(CG60*CD60)</f>
        <v>178.263533181106</v>
      </c>
      <c r="D60" s="78" t="n">
        <f aca="false">BY60+IF(YEAR(A60)=$T$20,$BY$92,0)+IF(YEAR(A60)=$T$21,$BY$93,0)+IF(YEAR(A60)=$T$22,$BY$94,0)</f>
        <v>-20</v>
      </c>
      <c r="E60" s="77" t="n">
        <f aca="false">B60+(D60*(CE60+CF60)*CG60)+(D16*CD16*CG16)</f>
        <v>112319.859002981</v>
      </c>
      <c r="F60" s="79" t="n">
        <f aca="false">C60+D60</f>
        <v>158.263533181106</v>
      </c>
      <c r="G60" s="80" t="n">
        <f aca="false">([2]EnergyCurve!$J38*CE60+[2]EnergyCurve!$AB38*CF60+G16*CD16)/CD60</f>
        <v>48.0577411856703</v>
      </c>
      <c r="H60" s="80" t="n">
        <f aca="false">I60-G60</f>
        <v>-1.80426566924587</v>
      </c>
      <c r="I60" s="81" t="n">
        <f aca="false">([2]EnergyCurve!$L38*CE60+[2]EnergyCurve!$AD38*CF60+I16*CD16)/CD60</f>
        <v>46.2534755164244</v>
      </c>
      <c r="J60" s="76" t="n">
        <f aca="false">[2]EnergyCurve!$T38</f>
        <v>-170896.851477047</v>
      </c>
      <c r="K60" s="82" t="n">
        <f aca="false">(((CN60-AL60)*AK60+(CN60-AN60)*AM60+(CN60-AP60)*AO60+(CN60-AR60)*AQ60+(CN60-AT60)*AS60+(CN60-AV60)*AU60+(CN60-AX60)*AW60+(CN60-AZ60)*AY60+(CN60-BB60)*BA60+(CN60-BD60)*BC60+(CN60-BF60)*BE60+(CN60-BH60)*BG60+(CN60-BJ60)*BI60+(CN60-BL60)*BK60+(CN60-BN60)*BM60+(CN60-BP60)*BO60+(CN60-BR60)*BQ60+(CN60-BT60)*BS60+(CN60-BV60)*BU60+(CN60-BX60)*BW60)*(CE60+CF60)*CG60)+CI60+CJ60+CK60</f>
        <v>121996.802595791</v>
      </c>
      <c r="L60" s="82" t="n">
        <f aca="false">J60+K60</f>
        <v>-48900.0488812566</v>
      </c>
      <c r="M60" s="46"/>
      <c r="N60" s="83" t="n">
        <f aca="false">A60</f>
        <v>37316</v>
      </c>
      <c r="O60" s="84" t="n">
        <v>25.25</v>
      </c>
      <c r="P60" s="84" t="n">
        <v>25.25</v>
      </c>
      <c r="Q60" s="85" t="n">
        <f aca="false">AVERAGE(O60:P60)-G60</f>
        <v>-22.8077411856703</v>
      </c>
      <c r="R60" s="201"/>
      <c r="S60" s="202" t="n">
        <f aca="false">I60</f>
        <v>46.2534755164244</v>
      </c>
      <c r="T60" s="88" t="n">
        <f aca="false">IF(U59=4,T59+1,T59)</f>
        <v>2003</v>
      </c>
      <c r="U60" s="89" t="n">
        <f aca="false">IF(U59=4,1,U59+1)</f>
        <v>1</v>
      </c>
      <c r="V60" s="127" t="str">
        <f aca="false">"Q"&amp;U60&amp;" "&amp;T60</f>
        <v>Q1 2003</v>
      </c>
      <c r="W60" s="91" t="n">
        <f aca="false" t="array" ref="W60:W60">SUM(IF((INT((MONTH($A$56:$A$91)-1)/3)=U60-1)*(YEAR($A$56:$A$91)=T60),$I$56:$I$91*$DK$12:$DK$47))/SUM(IF((INT((MONTH($A$56:$A$91)-1)/3)=U60-1)*(YEAR($A$56:$A$91)=T60),$DK$12:$DK$47))</f>
        <v>43.3141898847658</v>
      </c>
      <c r="X60" s="122" t="n">
        <f aca="false" t="array" ref="X60:X60">AVERAGE(IF((INT((MONTH($A$56:$A$91)-1)/3)=U60-1)*(YEAR($A$56:$A$91)=T60),$I$56:$I$91))</f>
        <v>43.3158791772533</v>
      </c>
      <c r="Y60" s="128" t="n">
        <f aca="false">W60-$W$12</f>
        <v>-18.7580102894764</v>
      </c>
      <c r="Z60" s="128" t="n">
        <f aca="false">W60-$W$13</f>
        <v>-14.2905964061445</v>
      </c>
      <c r="AA60" s="128" t="n">
        <f aca="false">W60-$W$14</f>
        <v>-7.52403070908449</v>
      </c>
      <c r="AB60" s="128" t="n">
        <f aca="false">W60-$W$15</f>
        <v>-16.2782341356898</v>
      </c>
      <c r="AC60" s="93" t="n">
        <v>0</v>
      </c>
      <c r="AD60" s="94"/>
      <c r="AE60" s="94"/>
      <c r="AF60" s="94"/>
      <c r="AG60" s="94"/>
      <c r="AH60" s="94"/>
      <c r="AI60" s="94"/>
      <c r="AJ60" s="95" t="n">
        <f aca="false">A60</f>
        <v>37316</v>
      </c>
      <c r="AK60" s="96" t="n">
        <v>-5</v>
      </c>
      <c r="AL60" s="97" t="n">
        <v>47.5</v>
      </c>
      <c r="AM60" s="96" t="n">
        <v>-15</v>
      </c>
      <c r="AN60" s="97" t="n">
        <v>47</v>
      </c>
      <c r="AO60" s="96"/>
      <c r="AP60" s="97"/>
      <c r="AQ60" s="96"/>
      <c r="AR60" s="97"/>
      <c r="AS60" s="96"/>
      <c r="AT60" s="97"/>
      <c r="AU60" s="96"/>
      <c r="AV60" s="97"/>
      <c r="AW60" s="96"/>
      <c r="AX60" s="97"/>
      <c r="AY60" s="96"/>
      <c r="AZ60" s="97"/>
      <c r="BA60" s="96"/>
      <c r="BB60" s="97"/>
      <c r="BC60" s="96"/>
      <c r="BD60" s="97"/>
      <c r="BE60" s="96"/>
      <c r="BF60" s="97"/>
      <c r="BG60" s="96"/>
      <c r="BH60" s="97"/>
      <c r="BI60" s="96"/>
      <c r="BJ60" s="97"/>
      <c r="BK60" s="96"/>
      <c r="BL60" s="97"/>
      <c r="BM60" s="96"/>
      <c r="BN60" s="97"/>
      <c r="BO60" s="96"/>
      <c r="BP60" s="97"/>
      <c r="BQ60" s="96"/>
      <c r="BR60" s="97"/>
      <c r="BS60" s="96"/>
      <c r="BT60" s="97"/>
      <c r="BU60" s="96"/>
      <c r="BV60" s="97"/>
      <c r="BW60" s="96"/>
      <c r="BX60" s="97"/>
      <c r="BY60" s="100" t="n">
        <f aca="false">AK60+AM60+AO60+AQ60+AS60+AU60+AW60+AY60+BA60+BC60+BE60+BG60+BI60+BK60+BM60+BO60+BQ60+BS60+BU60+BW60</f>
        <v>-20</v>
      </c>
      <c r="BZ60" s="101" t="n">
        <f aca="false">IF(AND(BY60=0,CC60=0),0,(ABS(AK60)*AL60+ABS(AM60)*AN60+ABS(AO60)*AP60+ABS(AQ60)*AR60+ABS(AS60)*AT60+ABS(AU60)*AV60+ABS(AW60)*AX60+ABS(AY60)*AZ60+ABS(BA60)*BB60+ABS(BC60)*BD60+ABS(BE60)*BF60+ABS(BG60)*BH60+ABS(BI60)*BJ60+ABS(BK60)*BL60+ABS(BM60)*BN60+ABS(BO60)*BP60+ABS(BQ60)*BR60+ABS(BS60)*BT60+ABS(BU60)*BV60+ABS(BW60)*BX60)/CC60)</f>
        <v>47.125</v>
      </c>
      <c r="CA60" s="102"/>
      <c r="CB60" s="103" t="n">
        <f aca="false">AJ60</f>
        <v>37316</v>
      </c>
      <c r="CC60" s="102" t="n">
        <f aca="false">ABS(AK60)+ABS(AM60)+ABS(AO60)+ABS(AQ60)+ABS(AS60)+ABS(AU60)+ABS(AW60)+ABS(AY60)+ABS(BA60)+ABS(BC60)+ABS(BE60)+ABS(BG60)+ABS(BI60)+ABS(BK60)+ABS(BM60)+ABS(BO60)+ABS(BQ60)+ABS(BS60)+ABS(BU60)+ABS(BW60)</f>
        <v>20</v>
      </c>
      <c r="CD60" s="104" t="n">
        <f aca="false">DK84*24</f>
        <v>744</v>
      </c>
      <c r="CE60" s="102" t="n">
        <f aca="false">DK84*8</f>
        <v>248</v>
      </c>
      <c r="CF60" s="102" t="n">
        <f aca="false">DL84*16</f>
        <v>80</v>
      </c>
      <c r="CG60" s="102" t="n">
        <f aca="false">CG16</f>
        <v>0.988835009711636</v>
      </c>
      <c r="CH60" s="106" t="n">
        <f aca="false">D60*(CE60+CF60)</f>
        <v>-6560</v>
      </c>
      <c r="CI60" s="106" t="n">
        <f aca="false">IF(YEAR($AJ60)=$CI$10,(($CN60-$AL$92)*$AK$92+($CN60-$AN$92)*$AM$92+($CN60-$AP$92)*$AO$92+($CN60-$AR$92)*$AQ$92+($CN60-$AT$92)*$AS$92+($CN60-$AV$92)*$AU$92+($CN60-$AX$92)*$AW$92+($CN60-$AZ$92)*$AY$92+($CN60-$BB$92)*$BA$92+($CN60-$BD$92)*$BC$92+($CN60-$BF$92)*$BE$92+($CN60-$BH$92)*$BG$92+($CN60-$BJ$92)*$BI$92+($CN60-$BL$92)*$BK$92+($CN60-$BN$92)*$BM$92+($CN60-$BP$92)*$BO$92+($CN60-$BR$92)*$BQ$92+($CN60-$BT$92)*$BS$92+($CN60-$BV$92)*$BU$92+($CN60-$BX$92)*$BW$92)*($CE60+$CF60)*$CG60,0)</f>
        <v>0</v>
      </c>
      <c r="CJ60" s="106" t="n">
        <f aca="false">IF(YEAR($AJ60)=$CJ$10,(($CN60-$AL$93)*$AK$93+($CN60-$AN$93)*$AM$93+($CN60-$AP$93)*$AO$93+($CN60-$AR$93)*$AQ$93+($CN60-$AT$93)*$AS$93+($CN60-$AV$93)*$AU$93+($CN60-$AX$93)*$AW$93+($CN60-$AZ$93)*$AY$93+($CN60-$BB$93)*$BA$93+($CN60-$BD$93)*$BC$93+($CN60-$BF$93)*$BE$93+($CN60-$BH$93)*$BG$93+($CN60-$BJ$93)*$BI$93+($CN60-$BL$93)*$BK$93+($CN60-$BN$93)*$BM$93+($CN60-$BP$93)*$BO$93+($CN60-$BR$93)*$BQ$93+($CN60-$BT$93)*$BS$93+($CN60-$BV$93)*$BU$93+($CN60-$BX$93)*$BW$93)*($CE60+$CF60)*$CG60,0)</f>
        <v>0</v>
      </c>
      <c r="CK60" s="106" t="n">
        <f aca="false">IF(YEAR($AJ60)=$CK$10,(($CN60-$AL$94)*$AK$94+($CN60-$AN$94)*$AM$94+($CN60-$AP$94)*$AO$94+($CN60-$AR$94)*$AQ$94+($CN60-$AT$94)*$AS$94+($CN60-$AV$94)*$AU$94+($CN60-$AX$94)*$AW$94+($CN60-$AZ$94)*$AY$94+($CN60-$BB$94)*$BA$94+($CN60-$BD$94)*$BC$94+($CN60-$BF$94)*$BE$94+($CN60-$BH$94)*$BG$94+($CN60-$BJ$94)*$BI$94+($CN60-$BL$94)*$BK$94+($CN60-$BN$94)*$BM$94+($CN60-$BP$94)*$BO$94+($CN60-$BR$94)*$BQ$94+($CN60-$BT$94)*$BS$94+($CN60-$BV$94)*$BU$94+($CN60-$BX$94)*$BW$94)*($CE60+$CF60)*$CG60,0)</f>
        <v>0</v>
      </c>
      <c r="CL60" s="1" t="n">
        <f aca="false">CC60*CD60</f>
        <v>14880</v>
      </c>
      <c r="CN60" s="21" t="n">
        <f aca="false">([2]EnergyCurve!$L38*CE60+[2]EnergyCurve!$AD38*CF60)/(CE60+CF60)</f>
        <v>28.3179458567058</v>
      </c>
      <c r="DI60" s="1" t="n">
        <f aca="false">DK60-DL60</f>
        <v>4</v>
      </c>
      <c r="DJ60" s="107" t="n">
        <f aca="false">[2]EnergyCurve!$D82</f>
        <v>38657</v>
      </c>
      <c r="DK60" s="2" t="n">
        <f aca="false">IF($L$6=0,VLOOKUP(DJ60,$DM$13:$DQ$252,2)+VLOOKUP(DJ60,$DU$13:$DY$252,3),VLOOKUP(DJ60,$DU$13:$DY$252,2)+VLOOKUP(DJ60,$DU$13:$DY$252,3))</f>
        <v>25</v>
      </c>
      <c r="DL60" s="2" t="n">
        <f aca="false">IF($L$6=0,VLOOKUP(DJ60,$DM$13:$DQ$252,2),VLOOKUP(DJ60,$DU$13:$DY$252,2))</f>
        <v>21</v>
      </c>
      <c r="DM60" s="130" t="n">
        <v>38322</v>
      </c>
      <c r="DN60" s="22" t="n">
        <v>22</v>
      </c>
      <c r="DO60" s="22" t="n">
        <v>3</v>
      </c>
      <c r="DP60" s="22" t="n">
        <v>4</v>
      </c>
      <c r="DQ60" s="22" t="n">
        <v>2</v>
      </c>
      <c r="DR60" s="22" t="n">
        <v>31</v>
      </c>
      <c r="DS60" s="111"/>
      <c r="DT60" s="111"/>
      <c r="DU60" s="130" t="n">
        <v>38322</v>
      </c>
      <c r="DV60" s="22" t="n">
        <v>23</v>
      </c>
      <c r="DW60" s="22" t="n">
        <v>3</v>
      </c>
      <c r="DX60" s="22" t="n">
        <v>4</v>
      </c>
      <c r="DY60" s="22" t="n">
        <v>1</v>
      </c>
      <c r="DZ60" s="22" t="n">
        <v>31</v>
      </c>
      <c r="EA60" s="111"/>
      <c r="EB60" s="111"/>
      <c r="EQ60" s="107"/>
      <c r="ER60" s="111"/>
      <c r="ES60" s="44"/>
      <c r="ET60" s="44"/>
    </row>
    <row r="61" customFormat="false" ht="21" hidden="false" customHeight="true" outlineLevel="0" collapsed="false">
      <c r="A61" s="112" t="n">
        <f aca="false">A17</f>
        <v>37347</v>
      </c>
      <c r="B61" s="113" t="n">
        <f aca="false">[2]EnergyCurve!$P39+[2]EnergyCurve!$R39+B17</f>
        <v>133347.670898438</v>
      </c>
      <c r="C61" s="114" t="n">
        <f aca="false">B61/(CG61*CD61)</f>
        <v>187.634183708235</v>
      </c>
      <c r="D61" s="114" t="n">
        <f aca="false">BY61+IF(YEAR(A61)=$T$20,$BY$92,0)+IF(YEAR(A61)=$T$21,$BY$93,0)+IF(YEAR(A61)=$T$22,$BY$94,0)</f>
        <v>-20</v>
      </c>
      <c r="E61" s="115" t="n">
        <f aca="false">B61+(D61*(CE61+CF61)*CG61)+(D17*CD17*CG17)</f>
        <v>119134.09123368</v>
      </c>
      <c r="F61" s="116" t="n">
        <f aca="false">C61+D61</f>
        <v>167.634183708235</v>
      </c>
      <c r="G61" s="117" t="n">
        <f aca="false">([2]EnergyCurve!$J39*CE61+[2]EnergyCurve!$AB39*CF61+G17*CD17)/CD61</f>
        <v>45.3098999023438</v>
      </c>
      <c r="H61" s="117" t="n">
        <f aca="false">I61-G61</f>
        <v>-0.932081417944886</v>
      </c>
      <c r="I61" s="118" t="n">
        <f aca="false">([2]EnergyCurve!$L39*CE61+[2]EnergyCurve!$AD39*CF61+I17*CD17)/CD61</f>
        <v>44.3778184843989</v>
      </c>
      <c r="J61" s="115" t="n">
        <f aca="false">[2]EnergyCurve!$T39</f>
        <v>-98701.4341498695</v>
      </c>
      <c r="K61" s="119" t="n">
        <f aca="false">(((CN61-AL61)*AK61+(CN61-AN61)*AM61+(CN61-AP61)*AO61+(CN61-AR61)*AQ61+(CN61-AT61)*AS61+(CN61-AV61)*AU61+(CN61-AX61)*AW61+(CN61-AZ61)*AY61+(CN61-BB61)*BA61+(CN61-BD61)*BC61+(CN61-BF61)*BE61+(CN61-BH61)*BG61+(CN61-BJ61)*BI61+(CN61-BL61)*BK61+(CN61-BN61)*BM61+(CN61-BP61)*BO61+(CN61-BR61)*BQ61+(CN61-BT61)*BS61+(CN61-BV61)*BU61+(CN61-BX61)*BW61)*(CE61+CF61)*CG61)+CI61+CJ61+CK61</f>
        <v>120418.539644732</v>
      </c>
      <c r="L61" s="119" t="n">
        <f aca="false">J61+K61</f>
        <v>21717.105494862</v>
      </c>
      <c r="M61" s="46"/>
      <c r="N61" s="83" t="n">
        <f aca="false">A61</f>
        <v>37347</v>
      </c>
      <c r="O61" s="84" t="n">
        <v>30.5</v>
      </c>
      <c r="P61" s="84" t="n">
        <v>30.5</v>
      </c>
      <c r="Q61" s="85" t="n">
        <f aca="false">AVERAGE(O61:P61)-G61</f>
        <v>-14.8098999023438</v>
      </c>
      <c r="R61" s="201"/>
      <c r="S61" s="202" t="n">
        <f aca="false">I61</f>
        <v>44.3778184843989</v>
      </c>
      <c r="T61" s="88" t="n">
        <f aca="false">IF(U60=4,T60+1,T60)</f>
        <v>2003</v>
      </c>
      <c r="U61" s="89" t="n">
        <f aca="false">IF(U60=4,1,U60+1)</f>
        <v>2</v>
      </c>
      <c r="V61" s="121" t="str">
        <f aca="false">"Q"&amp;U61&amp;" "&amp;T61</f>
        <v>Q2 2003</v>
      </c>
      <c r="W61" s="91" t="n">
        <f aca="false" t="array" ref="W61:W61">SUM(IF((INT((MONTH($A$56:$A$91)-1)/3)=U61-1)*(YEAR($A$56:$A$91)=T61),$I$56:$I$91*$DK$12:$DK$47))/SUM(IF((INT((MONTH($A$56:$A$91)-1)/3)=U61-1)*(YEAR($A$56:$A$91)=T61),$DK$12:$DK$47))</f>
        <v>40.2957407838084</v>
      </c>
      <c r="X61" s="122" t="n">
        <f aca="false" t="array" ref="X61:X61">AVERAGE(IF((INT((MONTH($A$56:$A$91)-1)/3)=U61-1)*(YEAR($A$56:$A$91)=T61),$I$56:$I$91))</f>
        <v>40.2975328529919</v>
      </c>
      <c r="Y61" s="123" t="n">
        <f aca="false">W61-$W$12</f>
        <v>-21.7764593904338</v>
      </c>
      <c r="Z61" s="123" t="n">
        <f aca="false">W61-$W$13</f>
        <v>-17.3090455071019</v>
      </c>
      <c r="AA61" s="123" t="n">
        <f aca="false">W61-$W$14</f>
        <v>-10.5424798100419</v>
      </c>
      <c r="AB61" s="123" t="n">
        <f aca="false">W61-$W$15</f>
        <v>-19.2966832366472</v>
      </c>
      <c r="AC61" s="123" t="n">
        <f aca="false">W61-$W$16</f>
        <v>-10.4280141062421</v>
      </c>
      <c r="AD61" s="124" t="n">
        <v>0</v>
      </c>
      <c r="AE61" s="94"/>
      <c r="AF61" s="94"/>
      <c r="AG61" s="94"/>
      <c r="AH61" s="94"/>
      <c r="AI61" s="94"/>
      <c r="AJ61" s="95" t="n">
        <f aca="false">A61</f>
        <v>37347</v>
      </c>
      <c r="AK61" s="96" t="n">
        <v>-5</v>
      </c>
      <c r="AL61" s="97" t="n">
        <v>47.5</v>
      </c>
      <c r="AM61" s="96" t="n">
        <v>-15</v>
      </c>
      <c r="AN61" s="97" t="n">
        <v>47</v>
      </c>
      <c r="AO61" s="96"/>
      <c r="AP61" s="97"/>
      <c r="AQ61" s="96"/>
      <c r="AR61" s="97"/>
      <c r="AS61" s="96"/>
      <c r="AT61" s="97"/>
      <c r="AU61" s="96"/>
      <c r="AV61" s="97"/>
      <c r="AW61" s="96"/>
      <c r="AX61" s="97"/>
      <c r="AY61" s="96"/>
      <c r="AZ61" s="97"/>
      <c r="BA61" s="96"/>
      <c r="BB61" s="97"/>
      <c r="BC61" s="96"/>
      <c r="BD61" s="97"/>
      <c r="BE61" s="96"/>
      <c r="BF61" s="97"/>
      <c r="BG61" s="96"/>
      <c r="BH61" s="97"/>
      <c r="BI61" s="96"/>
      <c r="BJ61" s="97"/>
      <c r="BK61" s="96"/>
      <c r="BL61" s="97"/>
      <c r="BM61" s="96"/>
      <c r="BN61" s="97"/>
      <c r="BO61" s="96"/>
      <c r="BP61" s="97"/>
      <c r="BQ61" s="96"/>
      <c r="BR61" s="97"/>
      <c r="BS61" s="96"/>
      <c r="BT61" s="97"/>
      <c r="BU61" s="96"/>
      <c r="BV61" s="97"/>
      <c r="BW61" s="96"/>
      <c r="BX61" s="97"/>
      <c r="BY61" s="100" t="n">
        <f aca="false">AK61+AM61+AO61+AQ61+AS61+AU61+AW61+AY61+BA61+BC61+BE61+BG61+BI61+BK61+BM61+BO61+BQ61+BS61+BU61+BW61</f>
        <v>-20</v>
      </c>
      <c r="BZ61" s="101" t="n">
        <f aca="false">IF(AND(BY61=0,CC61=0),0,(ABS(AK61)*AL61+ABS(AM61)*AN61+ABS(AO61)*AP61+ABS(AQ61)*AR61+ABS(AS61)*AT61+ABS(AU61)*AV61+ABS(AW61)*AX61+ABS(AY61)*AZ61+ABS(BA61)*BB61+ABS(BC61)*BD61+ABS(BE61)*BF61+ABS(BG61)*BH61+ABS(BI61)*BJ61+ABS(BK61)*BL61+ABS(BM61)*BN61+ABS(BO61)*BP61+ABS(BQ61)*BR61+ABS(BS61)*BT61+ABS(BU61)*BV61+ABS(BW61)*BX61)/CC61)</f>
        <v>47.125</v>
      </c>
      <c r="CA61" s="102"/>
      <c r="CB61" s="103" t="n">
        <f aca="false">AJ61</f>
        <v>37347</v>
      </c>
      <c r="CC61" s="102" t="n">
        <f aca="false">ABS(AK61)+ABS(AM61)+ABS(AO61)+ABS(AQ61)+ABS(AS61)+ABS(AU61)+ABS(AW61)+ABS(AY61)+ABS(BA61)+ABS(BC61)+ABS(BE61)+ABS(BG61)+ABS(BI61)+ABS(BK61)+ABS(BM61)+ABS(BO61)+ABS(BQ61)+ABS(BS61)+ABS(BU61)+ABS(BW61)</f>
        <v>20</v>
      </c>
      <c r="CD61" s="104" t="n">
        <f aca="false">DK85*24</f>
        <v>720</v>
      </c>
      <c r="CE61" s="102" t="n">
        <f aca="false">DK85*8</f>
        <v>240</v>
      </c>
      <c r="CF61" s="102" t="n">
        <f aca="false">DL85*16</f>
        <v>64</v>
      </c>
      <c r="CG61" s="102" t="n">
        <f aca="false">CG17</f>
        <v>0.987054143385943</v>
      </c>
      <c r="CH61" s="106" t="n">
        <f aca="false">D61*(CE61+CF61)</f>
        <v>-6080</v>
      </c>
      <c r="CI61" s="106" t="n">
        <f aca="false">IF(YEAR($AJ61)=$CI$10,(($CN61-$AL$92)*$AK$92+($CN61-$AN$92)*$AM$92+($CN61-$AP$92)*$AO$92+($CN61-$AR$92)*$AQ$92+($CN61-$AT$92)*$AS$92+($CN61-$AV$92)*$AU$92+($CN61-$AX$92)*$AW$92+($CN61-$AZ$92)*$AY$92+($CN61-$BB$92)*$BA$92+($CN61-$BD$92)*$BC$92+($CN61-$BF$92)*$BE$92+($CN61-$BH$92)*$BG$92+($CN61-$BJ$92)*$BI$92+($CN61-$BL$92)*$BK$92+($CN61-$BN$92)*$BM$92+($CN61-$BP$92)*$BO$92+($CN61-$BR$92)*$BQ$92+($CN61-$BT$92)*$BS$92+($CN61-$BV$92)*$BU$92+($CN61-$BX$92)*$BW$92)*($CE61+$CF61)*$CG61,0)</f>
        <v>0</v>
      </c>
      <c r="CJ61" s="106" t="n">
        <f aca="false">IF(YEAR($AJ61)=$CJ$10,(($CN61-$AL$93)*$AK$93+($CN61-$AN$93)*$AM$93+($CN61-$AP$93)*$AO$93+($CN61-$AR$93)*$AQ$93+($CN61-$AT$93)*$AS$93+($CN61-$AV$93)*$AU$93+($CN61-$AX$93)*$AW$93+($CN61-$AZ$93)*$AY$93+($CN61-$BB$93)*$BA$93+($CN61-$BD$93)*$BC$93+($CN61-$BF$93)*$BE$93+($CN61-$BH$93)*$BG$93+($CN61-$BJ$93)*$BI$93+($CN61-$BL$93)*$BK$93+($CN61-$BN$93)*$BM$93+($CN61-$BP$93)*$BO$93+($CN61-$BR$93)*$BQ$93+($CN61-$BT$93)*$BS$93+($CN61-$BV$93)*$BU$93+($CN61-$BX$93)*$BW$93)*($CE61+$CF61)*$CG61,0)</f>
        <v>0</v>
      </c>
      <c r="CK61" s="106" t="n">
        <f aca="false">IF(YEAR($AJ61)=$CK$10,(($CN61-$AL$94)*$AK$94+($CN61-$AN$94)*$AM$94+($CN61-$AP$94)*$AO$94+($CN61-$AR$94)*$AQ$94+($CN61-$AT$94)*$AS$94+($CN61-$AV$94)*$AU$94+($CN61-$AX$94)*$AW$94+($CN61-$AZ$94)*$AY$94+($CN61-$BB$94)*$BA$94+($CN61-$BD$94)*$BC$94+($CN61-$BF$94)*$BE$94+($CN61-$BH$94)*$BG$94+($CN61-$BJ$94)*$BI$94+($CN61-$BL$94)*$BK$94+($CN61-$BN$94)*$BM$94+($CN61-$BP$94)*$BO$94+($CN61-$BR$94)*$BQ$94+($CN61-$BT$94)*$BS$94+($CN61-$BV$94)*$BU$94+($CN61-$BX$94)*$BW$94)*($CE61+$CF61)*$CG61,0)</f>
        <v>0</v>
      </c>
      <c r="CL61" s="1" t="n">
        <f aca="false">CC61*CD61</f>
        <v>14400</v>
      </c>
      <c r="CN61" s="21" t="n">
        <f aca="false">([2]EnergyCurve!$L39*CE61+[2]EnergyCurve!$AD39*CF61)/(CE61+CF61)</f>
        <v>27.0595547604108</v>
      </c>
      <c r="DI61" s="1" t="n">
        <f aca="false">DK61-DL61</f>
        <v>5</v>
      </c>
      <c r="DJ61" s="107" t="n">
        <f aca="false">[2]EnergyCurve!$D83</f>
        <v>38687</v>
      </c>
      <c r="DK61" s="2" t="n">
        <f aca="false">IF($L$6=0,VLOOKUP(DJ61,$DM$13:$DQ$252,2)+VLOOKUP(DJ61,$DU$13:$DY$252,3),VLOOKUP(DJ61,$DU$13:$DY$252,2)+VLOOKUP(DJ61,$DU$13:$DY$252,3))</f>
        <v>26</v>
      </c>
      <c r="DL61" s="2" t="n">
        <f aca="false">IF($L$6=0,VLOOKUP(DJ61,$DM$13:$DQ$252,2),VLOOKUP(DJ61,$DU$13:$DY$252,2))</f>
        <v>21</v>
      </c>
      <c r="DM61" s="130" t="n">
        <v>38353</v>
      </c>
      <c r="DN61" s="22" t="n">
        <v>21</v>
      </c>
      <c r="DO61" s="22" t="n">
        <v>4</v>
      </c>
      <c r="DP61" s="22" t="n">
        <v>5</v>
      </c>
      <c r="DQ61" s="22" t="n">
        <v>1</v>
      </c>
      <c r="DR61" s="22" t="n">
        <v>31</v>
      </c>
      <c r="DS61" s="111"/>
      <c r="DT61" s="111"/>
      <c r="DU61" s="130" t="n">
        <v>38353</v>
      </c>
      <c r="DV61" s="22" t="n">
        <v>21</v>
      </c>
      <c r="DW61" s="22" t="n">
        <v>4</v>
      </c>
      <c r="DX61" s="22" t="n">
        <v>5</v>
      </c>
      <c r="DY61" s="22" t="n">
        <v>1</v>
      </c>
      <c r="DZ61" s="22" t="n">
        <v>31</v>
      </c>
      <c r="EA61" s="111"/>
      <c r="EB61" s="111"/>
      <c r="EQ61" s="107"/>
      <c r="ER61" s="111"/>
      <c r="ES61" s="44"/>
      <c r="ET61" s="44"/>
    </row>
    <row r="62" customFormat="false" ht="18.75" hidden="false" customHeight="true" outlineLevel="0" collapsed="false">
      <c r="A62" s="75" t="n">
        <f aca="false">A18</f>
        <v>37377</v>
      </c>
      <c r="B62" s="76" t="n">
        <f aca="false">[2]EnergyCurve!$P40+[2]EnergyCurve!$R40+B18</f>
        <v>141325.785644531</v>
      </c>
      <c r="C62" s="77" t="n">
        <f aca="false">B62/(CG62*CD62)</f>
        <v>192.835466384243</v>
      </c>
      <c r="D62" s="78" t="n">
        <f aca="false">BY62+IF(YEAR(A62)=$T$20,$BY$92,0)+IF(YEAR(A62)=$T$21,$BY$93,0)+IF(YEAR(A62)=$T$22,$BY$94,0)</f>
        <v>-20</v>
      </c>
      <c r="E62" s="77" t="n">
        <f aca="false">B62+(D62*(CE62+CF62)*CG62)+(D18*CD18*CG18)</f>
        <v>126668.130774869</v>
      </c>
      <c r="F62" s="79" t="n">
        <f aca="false">C62+D62</f>
        <v>172.835466384243</v>
      </c>
      <c r="G62" s="80" t="n">
        <f aca="false">([2]EnergyCurve!$J40*CE62+[2]EnergyCurve!$AB40*CF62+G18*CD18)/CD62</f>
        <v>45.4376061757406</v>
      </c>
      <c r="H62" s="80" t="n">
        <f aca="false">I62-G62</f>
        <v>-0.92367628380098</v>
      </c>
      <c r="I62" s="81" t="n">
        <f aca="false">([2]EnergyCurve!$L40*CE62+[2]EnergyCurve!$AD40*CF62+I18*CD18)/CD62</f>
        <v>44.5139298919396</v>
      </c>
      <c r="J62" s="76" t="n">
        <f aca="false">[2]EnergyCurve!$T40</f>
        <v>-104197.931146374</v>
      </c>
      <c r="K62" s="82" t="n">
        <f aca="false">(((CN62-AL62)*AK62+(CN62-AN62)*AM62+(CN62-AP62)*AO62+(CN62-AR62)*AQ62+(CN62-AT62)*AS62+(CN62-AV62)*AU62+(CN62-AX62)*AW62+(CN62-AZ62)*AY62+(CN62-BB62)*BA62+(CN62-BD62)*BC62+(CN62-BF62)*BE62+(CN62-BH62)*BG62+(CN62-BJ62)*BI62+(CN62-BL62)*BK62+(CN62-BN62)*BM62+(CN62-BP62)*BO62+(CN62-BR62)*BQ62+(CN62-BT62)*BS62+(CN62-BV62)*BU62+(CN62-BX62)*BW62)*(CE62+CF62)*CG62)+CI62+CJ62+CK62</f>
        <v>124871.75277358</v>
      </c>
      <c r="L62" s="82" t="n">
        <f aca="false">J62+K62</f>
        <v>20673.821627206</v>
      </c>
      <c r="M62" s="46"/>
      <c r="N62" s="83" t="n">
        <f aca="false">A62</f>
        <v>37377</v>
      </c>
      <c r="O62" s="84" t="n">
        <v>28.5</v>
      </c>
      <c r="P62" s="84" t="n">
        <v>28.5</v>
      </c>
      <c r="Q62" s="85" t="n">
        <f aca="false">AVERAGE(O62:P62)-G62</f>
        <v>-16.9376061757406</v>
      </c>
      <c r="R62" s="201"/>
      <c r="S62" s="202" t="n">
        <f aca="false">I62</f>
        <v>44.5139298919396</v>
      </c>
      <c r="T62" s="88" t="n">
        <f aca="false">IF(U61=4,T61+1,T61)</f>
        <v>2003</v>
      </c>
      <c r="U62" s="89" t="n">
        <f aca="false">IF(U61=4,1,U61+1)</f>
        <v>3</v>
      </c>
      <c r="V62" s="127" t="str">
        <f aca="false">"Q"&amp;U62&amp;" "&amp;T62</f>
        <v>Q3 2003</v>
      </c>
      <c r="W62" s="91" t="n">
        <f aca="false" t="array" ref="W62:W62">SUM(IF((INT((MONTH($A$56:$A$91)-1)/3)=U62-1)*(YEAR($A$56:$A$91)=T62),$I$56:$I$91*$DK$12:$DK$47))/SUM(IF((INT((MONTH($A$56:$A$91)-1)/3)=U62-1)*(YEAR($A$56:$A$91)=T62),$DK$12:$DK$47))</f>
        <v>41.0815121828027</v>
      </c>
      <c r="X62" s="122" t="n">
        <f aca="false" t="array" ref="X62:X62">AVERAGE(IF((INT((MONTH($A$56:$A$91)-1)/3)=U62-1)*(YEAR($A$56:$A$91)=T62),$I$56:$I$91))</f>
        <v>41.0838353187983</v>
      </c>
      <c r="Y62" s="128" t="n">
        <f aca="false">W62-$W$12</f>
        <v>-20.9906879914396</v>
      </c>
      <c r="Z62" s="128" t="n">
        <f aca="false">W62-$W$13</f>
        <v>-16.5232741081076</v>
      </c>
      <c r="AA62" s="128" t="n">
        <f aca="false">W62-$W$14</f>
        <v>-9.75670841104767</v>
      </c>
      <c r="AB62" s="128" t="n">
        <f aca="false">W62-$W$15</f>
        <v>-18.510911837653</v>
      </c>
      <c r="AC62" s="128" t="n">
        <f aca="false">W62-$W$16</f>
        <v>-9.64224270724788</v>
      </c>
      <c r="AD62" s="128" t="n">
        <f aca="false">W62-$W$17</f>
        <v>-6.10022591734708</v>
      </c>
      <c r="AE62" s="93" t="n">
        <v>0</v>
      </c>
      <c r="AF62" s="94"/>
      <c r="AG62" s="94"/>
      <c r="AH62" s="94"/>
      <c r="AI62" s="94"/>
      <c r="AJ62" s="95" t="n">
        <f aca="false">A62</f>
        <v>37377</v>
      </c>
      <c r="AK62" s="96" t="n">
        <v>-5</v>
      </c>
      <c r="AL62" s="97" t="n">
        <v>47.5</v>
      </c>
      <c r="AM62" s="96" t="n">
        <v>-15</v>
      </c>
      <c r="AN62" s="97" t="n">
        <v>47</v>
      </c>
      <c r="AO62" s="96"/>
      <c r="AP62" s="97"/>
      <c r="AQ62" s="96"/>
      <c r="AR62" s="97"/>
      <c r="AS62" s="96"/>
      <c r="AT62" s="97"/>
      <c r="AU62" s="96"/>
      <c r="AV62" s="97"/>
      <c r="AW62" s="96"/>
      <c r="AX62" s="97"/>
      <c r="AY62" s="96"/>
      <c r="AZ62" s="97"/>
      <c r="BA62" s="96"/>
      <c r="BB62" s="97"/>
      <c r="BC62" s="96"/>
      <c r="BD62" s="97"/>
      <c r="BE62" s="96"/>
      <c r="BF62" s="97"/>
      <c r="BG62" s="96"/>
      <c r="BH62" s="97"/>
      <c r="BI62" s="96"/>
      <c r="BJ62" s="97"/>
      <c r="BK62" s="96"/>
      <c r="BL62" s="97"/>
      <c r="BM62" s="96"/>
      <c r="BN62" s="97"/>
      <c r="BO62" s="96"/>
      <c r="BP62" s="97"/>
      <c r="BQ62" s="96"/>
      <c r="BR62" s="97"/>
      <c r="BS62" s="96"/>
      <c r="BT62" s="97"/>
      <c r="BU62" s="96"/>
      <c r="BV62" s="97"/>
      <c r="BW62" s="96"/>
      <c r="BX62" s="97"/>
      <c r="BY62" s="100" t="n">
        <f aca="false">AK62+AM62+AO62+AQ62+AS62+AU62+AW62+AY62+BA62+BC62+BE62+BG62+BI62+BK62+BM62+BO62+BQ62+BS62+BU62+BW62</f>
        <v>-20</v>
      </c>
      <c r="BZ62" s="101" t="n">
        <f aca="false">IF(AND(BY62=0,CC62=0),0,(ABS(AK62)*AL62+ABS(AM62)*AN62+ABS(AO62)*AP62+ABS(AQ62)*AR62+ABS(AS62)*AT62+ABS(AU62)*AV62+ABS(AW62)*AX62+ABS(AY62)*AZ62+ABS(BA62)*BB62+ABS(BC62)*BD62+ABS(BE62)*BF62+ABS(BG62)*BH62+ABS(BI62)*BJ62+ABS(BK62)*BL62+ABS(BM62)*BN62+ABS(BO62)*BP62+ABS(BQ62)*BR62+ABS(BS62)*BT62+ABS(BU62)*BV62+ABS(BW62)*BX62)/CC62)</f>
        <v>47.125</v>
      </c>
      <c r="CA62" s="102"/>
      <c r="CB62" s="103" t="n">
        <f aca="false">AJ62</f>
        <v>37377</v>
      </c>
      <c r="CC62" s="102" t="n">
        <f aca="false">ABS(AK62)+ABS(AM62)+ABS(AO62)+ABS(AQ62)+ABS(AS62)+ABS(AU62)+ABS(AW62)+ABS(AY62)+ABS(BA62)+ABS(BC62)+ABS(BE62)+ABS(BG62)+ABS(BI62)+ABS(BK62)+ABS(BM62)+ABS(BO62)+ABS(BQ62)+ABS(BS62)+ABS(BU62)+ABS(BW62)</f>
        <v>20</v>
      </c>
      <c r="CD62" s="104" t="n">
        <f aca="false">DK86*24</f>
        <v>744</v>
      </c>
      <c r="CE62" s="102" t="n">
        <f aca="false">DK86*8</f>
        <v>248</v>
      </c>
      <c r="CF62" s="102" t="n">
        <f aca="false">DL86*16</f>
        <v>80</v>
      </c>
      <c r="CG62" s="102" t="n">
        <f aca="false">CG18</f>
        <v>0.985057450918176</v>
      </c>
      <c r="CH62" s="106" t="n">
        <f aca="false">D62*(CE62+CF62)</f>
        <v>-6560</v>
      </c>
      <c r="CI62" s="106" t="n">
        <f aca="false">IF(YEAR($AJ62)=$CI$10,(($CN62-$AL$92)*$AK$92+($CN62-$AN$92)*$AM$92+($CN62-$AP$92)*$AO$92+($CN62-$AR$92)*$AQ$92+($CN62-$AT$92)*$AS$92+($CN62-$AV$92)*$AU$92+($CN62-$AX$92)*$AW$92+($CN62-$AZ$92)*$AY$92+($CN62-$BB$92)*$BA$92+($CN62-$BD$92)*$BC$92+($CN62-$BF$92)*$BE$92+($CN62-$BH$92)*$BG$92+($CN62-$BJ$92)*$BI$92+($CN62-$BL$92)*$BK$92+($CN62-$BN$92)*$BM$92+($CN62-$BP$92)*$BO$92+($CN62-$BR$92)*$BQ$92+($CN62-$BT$92)*$BS$92+($CN62-$BV$92)*$BU$92+($CN62-$BX$92)*$BW$92)*($CE62+$CF62)*$CG62,0)</f>
        <v>0</v>
      </c>
      <c r="CJ62" s="106" t="n">
        <f aca="false">IF(YEAR($AJ62)=$CJ$10,(($CN62-$AL$93)*$AK$93+($CN62-$AN$93)*$AM$93+($CN62-$AP$93)*$AO$93+($CN62-$AR$93)*$AQ$93+($CN62-$AT$93)*$AS$93+($CN62-$AV$93)*$AU$93+($CN62-$AX$93)*$AW$93+($CN62-$AZ$93)*$AY$93+($CN62-$BB$93)*$BA$93+($CN62-$BD$93)*$BC$93+($CN62-$BF$93)*$BE$93+($CN62-$BH$93)*$BG$93+($CN62-$BJ$93)*$BI$93+($CN62-$BL$93)*$BK$93+($CN62-$BN$93)*$BM$93+($CN62-$BP$93)*$BO$93+($CN62-$BR$93)*$BQ$93+($CN62-$BT$93)*$BS$93+($CN62-$BV$93)*$BU$93+($CN62-$BX$93)*$BW$93)*($CE62+$CF62)*$CG62,0)</f>
        <v>0</v>
      </c>
      <c r="CK62" s="106" t="n">
        <f aca="false">IF(YEAR($AJ62)=$CK$10,(($CN62-$AL$94)*$AK$94+($CN62-$AN$94)*$AM$94+($CN62-$AP$94)*$AO$94+($CN62-$AR$94)*$AQ$94+($CN62-$AT$94)*$AS$94+($CN62-$AV$94)*$AU$94+($CN62-$AX$94)*$AW$94+($CN62-$AZ$94)*$AY$94+($CN62-$BB$94)*$BA$94+($CN62-$BD$94)*$BC$94+($CN62-$BF$94)*$BE$94+($CN62-$BH$94)*$BG$94+($CN62-$BJ$94)*$BI$94+($CN62-$BL$94)*$BK$94+($CN62-$BN$94)*$BM$94+($CN62-$BP$94)*$BO$94+($CN62-$BR$94)*$BQ$94+($CN62-$BT$94)*$BS$94+($CN62-$BV$94)*$BU$94+($CN62-$BX$94)*$BW$94)*($CE62+$CF62)*$CG62,0)</f>
        <v>0</v>
      </c>
      <c r="CL62" s="1" t="n">
        <f aca="false">CC62*CD62</f>
        <v>14880</v>
      </c>
      <c r="CN62" s="21" t="n">
        <f aca="false">([2]EnergyCurve!$L40*CE62+[2]EnergyCurve!$AD40*CF62)/(CE62+CF62)</f>
        <v>27.8009208318647</v>
      </c>
      <c r="DI62" s="1" t="n">
        <f aca="false">DK62-DL62</f>
        <v>4</v>
      </c>
      <c r="DJ62" s="107" t="n">
        <f aca="false">[2]EnergyCurve!$D84</f>
        <v>38718</v>
      </c>
      <c r="DK62" s="2" t="n">
        <f aca="false">IF($L$6=0,VLOOKUP(DJ62,$DM$13:$DQ$252,2)+VLOOKUP(DJ62,$DU$13:$DY$252,3),VLOOKUP(DJ62,$DU$13:$DY$252,2)+VLOOKUP(DJ62,$DU$13:$DY$252,3))</f>
        <v>25</v>
      </c>
      <c r="DL62" s="2" t="n">
        <f aca="false">IF($L$6=0,VLOOKUP(DJ62,$DM$13:$DQ$252,2),VLOOKUP(DJ62,$DU$13:$DY$252,2))</f>
        <v>21</v>
      </c>
      <c r="DM62" s="130" t="n">
        <v>38384</v>
      </c>
      <c r="DN62" s="22" t="n">
        <v>19</v>
      </c>
      <c r="DO62" s="22" t="n">
        <v>4</v>
      </c>
      <c r="DP62" s="22" t="n">
        <v>4</v>
      </c>
      <c r="DQ62" s="22" t="n">
        <v>1</v>
      </c>
      <c r="DR62" s="22" t="n">
        <v>28</v>
      </c>
      <c r="DS62" s="111"/>
      <c r="DT62" s="111"/>
      <c r="DU62" s="130" t="n">
        <v>38384</v>
      </c>
      <c r="DV62" s="22" t="n">
        <v>20</v>
      </c>
      <c r="DW62" s="22" t="n">
        <v>4</v>
      </c>
      <c r="DX62" s="22" t="n">
        <v>4</v>
      </c>
      <c r="DY62" s="22" t="n">
        <v>0</v>
      </c>
      <c r="DZ62" s="22" t="n">
        <v>28</v>
      </c>
      <c r="EA62" s="111"/>
      <c r="EB62" s="111"/>
      <c r="EQ62" s="107"/>
      <c r="ER62" s="111"/>
      <c r="ES62" s="44"/>
      <c r="ET62" s="44"/>
    </row>
    <row r="63" customFormat="false" ht="18.75" hidden="false" customHeight="true" outlineLevel="0" collapsed="false">
      <c r="A63" s="112" t="n">
        <f aca="false">A19</f>
        <v>37408</v>
      </c>
      <c r="B63" s="113" t="n">
        <f aca="false">[2]EnergyCurve!$P41+[2]EnergyCurve!$R41+B19</f>
        <v>137322.71875</v>
      </c>
      <c r="C63" s="114" t="n">
        <f aca="false">B63/(CG63*CD63)</f>
        <v>193.993757551318</v>
      </c>
      <c r="D63" s="114" t="n">
        <f aca="false">BY63+IF(YEAR(A63)=$T$20,$BY$92,0)+IF(YEAR(A63)=$T$21,$BY$93,0)+IF(YEAR(A63)=$T$22,$BY$94,0)</f>
        <v>-20</v>
      </c>
      <c r="E63" s="115" t="n">
        <f aca="false">B63+(D63*(CE63+CF63)*CG63)+(D19*CD19*CG19)</f>
        <v>123165.281883644</v>
      </c>
      <c r="F63" s="116" t="n">
        <f aca="false">C63+D63</f>
        <v>173.993757551318</v>
      </c>
      <c r="G63" s="117" t="n">
        <f aca="false">([2]EnergyCurve!$J41*CE63+[2]EnergyCurve!$AB41*CF63+G19*CD19)/CD63</f>
        <v>45.8585813310411</v>
      </c>
      <c r="H63" s="117" t="n">
        <f aca="false">I63-G63</f>
        <v>-0.99682545199304</v>
      </c>
      <c r="I63" s="118" t="n">
        <f aca="false">([2]EnergyCurve!$L41*CE63+[2]EnergyCurve!$AD41*CF63+I19*CD19)/CD63</f>
        <v>44.8617558790481</v>
      </c>
      <c r="J63" s="115" t="n">
        <f aca="false">[2]EnergyCurve!$T41</f>
        <v>-109757.35459614</v>
      </c>
      <c r="K63" s="119" t="n">
        <f aca="false">(((CN63-AL63)*AK63+(CN63-AN63)*AM63+(CN63-AP63)*AO63+(CN63-AR63)*AQ63+(CN63-AT63)*AS63+(CN63-AV63)*AU63+(CN63-AX63)*AW63+(CN63-AZ63)*AY63+(CN63-BB63)*BA63+(CN63-BD63)*BC63+(CN63-BF63)*BE63+(CN63-BH63)*BG63+(CN63-BJ63)*BI63+(CN63-BL63)*BK63+(CN63-BN63)*BM63+(CN63-BP63)*BO63+(CN63-BR63)*BQ63+(CN63-BT63)*BS63+(CN63-BV63)*BU63+(CN63-BX63)*BW63)*(CE63+CF63)*CG63)+CI63+CJ63+CK63</f>
        <v>118431.796690918</v>
      </c>
      <c r="L63" s="119" t="n">
        <f aca="false">J63+K63</f>
        <v>8674.44209477764</v>
      </c>
      <c r="M63" s="203"/>
      <c r="N63" s="83" t="n">
        <f aca="false">A63</f>
        <v>37408</v>
      </c>
      <c r="O63" s="84" t="n">
        <v>26</v>
      </c>
      <c r="P63" s="84" t="n">
        <v>26</v>
      </c>
      <c r="Q63" s="85" t="n">
        <f aca="false">AVERAGE(O63:P63)-G63</f>
        <v>-19.8585813310411</v>
      </c>
      <c r="R63" s="201"/>
      <c r="S63" s="202" t="n">
        <f aca="false">I63</f>
        <v>44.8617558790481</v>
      </c>
      <c r="T63" s="88" t="n">
        <f aca="false">IF(U62=4,T62+1,T62)</f>
        <v>2003</v>
      </c>
      <c r="U63" s="89" t="n">
        <f aca="false">IF(U62=4,1,U62+1)</f>
        <v>4</v>
      </c>
      <c r="V63" s="121" t="str">
        <f aca="false">"Q"&amp;U63&amp;" "&amp;T63</f>
        <v>Q4 2003</v>
      </c>
      <c r="W63" s="91" t="n">
        <f aca="false" t="array" ref="W63:W63">SUM(IF((INT((MONTH($A$56:$A$91)-1)/3)=U63-1)*(YEAR($A$56:$A$91)=T63),$I$56:$I$91*$DK$12:$DK$47))/SUM(IF((INT((MONTH($A$56:$A$91)-1)/3)=U63-1)*(YEAR($A$56:$A$91)=T63),$DK$12:$DK$47))</f>
        <v>43.8900252698799</v>
      </c>
      <c r="X63" s="122" t="n">
        <f aca="false" t="array" ref="X63:X63">AVERAGE(IF((INT((MONTH($A$56:$A$91)-1)/3)=U63-1)*(YEAR($A$56:$A$91)=T63),$I$56:$I$91))</f>
        <v>43.9195332619617</v>
      </c>
      <c r="Y63" s="123" t="n">
        <f aca="false">W63-$W$12</f>
        <v>-18.1821749043623</v>
      </c>
      <c r="Z63" s="123" t="n">
        <f aca="false">W63-$W$13</f>
        <v>-13.7147610210304</v>
      </c>
      <c r="AA63" s="123" t="n">
        <f aca="false">W63-$W$14</f>
        <v>-6.9481953239704</v>
      </c>
      <c r="AB63" s="123" t="n">
        <f aca="false">W63-$W$15</f>
        <v>-15.7023987505757</v>
      </c>
      <c r="AC63" s="123" t="n">
        <f aca="false">W63-$W$16</f>
        <v>-6.83372962017061</v>
      </c>
      <c r="AD63" s="123" t="n">
        <f aca="false">W63-$W$17</f>
        <v>-3.29171283026981</v>
      </c>
      <c r="AE63" s="123" t="n">
        <f aca="false">W63-$W$18</f>
        <v>-4.25274434430161</v>
      </c>
      <c r="AF63" s="124" t="n">
        <v>0</v>
      </c>
      <c r="AG63" s="94"/>
      <c r="AH63" s="94"/>
      <c r="AI63" s="94"/>
      <c r="AJ63" s="95" t="n">
        <f aca="false">A63</f>
        <v>37408</v>
      </c>
      <c r="AK63" s="96" t="n">
        <v>-5</v>
      </c>
      <c r="AL63" s="97" t="n">
        <v>47.5</v>
      </c>
      <c r="AM63" s="96" t="n">
        <v>-15</v>
      </c>
      <c r="AN63" s="97" t="n">
        <v>47</v>
      </c>
      <c r="AO63" s="96"/>
      <c r="AP63" s="97"/>
      <c r="AQ63" s="96"/>
      <c r="AR63" s="97"/>
      <c r="AS63" s="96"/>
      <c r="AT63" s="97"/>
      <c r="AU63" s="96"/>
      <c r="AV63" s="97"/>
      <c r="AW63" s="96"/>
      <c r="AX63" s="97"/>
      <c r="AY63" s="96"/>
      <c r="AZ63" s="97"/>
      <c r="BA63" s="96"/>
      <c r="BB63" s="97"/>
      <c r="BC63" s="96"/>
      <c r="BD63" s="97"/>
      <c r="BE63" s="96"/>
      <c r="BF63" s="97"/>
      <c r="BG63" s="96"/>
      <c r="BH63" s="97"/>
      <c r="BI63" s="96"/>
      <c r="BJ63" s="97"/>
      <c r="BK63" s="96"/>
      <c r="BL63" s="97"/>
      <c r="BM63" s="96"/>
      <c r="BN63" s="97"/>
      <c r="BO63" s="96"/>
      <c r="BP63" s="97"/>
      <c r="BQ63" s="96"/>
      <c r="BR63" s="97"/>
      <c r="BS63" s="96"/>
      <c r="BT63" s="97"/>
      <c r="BU63" s="96"/>
      <c r="BV63" s="97"/>
      <c r="BW63" s="96"/>
      <c r="BX63" s="97"/>
      <c r="BY63" s="100" t="n">
        <f aca="false">AK63+AM63+AO63+AQ63+AS63+AU63+AW63+AY63+BA63+BC63+BE63+BG63+BI63+BK63+BM63+BO63+BQ63+BS63+BU63+BW63</f>
        <v>-20</v>
      </c>
      <c r="BZ63" s="101" t="n">
        <f aca="false">IF(AND(BY63=0,CC63=0),0,(ABS(AK63)*AL63+ABS(AM63)*AN63+ABS(AO63)*AP63+ABS(AQ63)*AR63+ABS(AS63)*AT63+ABS(AU63)*AV63+ABS(AW63)*AX63+ABS(AY63)*AZ63+ABS(BA63)*BB63+ABS(BC63)*BD63+ABS(BE63)*BF63+ABS(BG63)*BH63+ABS(BI63)*BJ63+ABS(BK63)*BL63+ABS(BM63)*BN63+ABS(BO63)*BP63+ABS(BQ63)*BR63+ABS(BS63)*BT63+ABS(BU63)*BV63+ABS(BW63)*BX63)/CC63)</f>
        <v>47.125</v>
      </c>
      <c r="CA63" s="102"/>
      <c r="CB63" s="103" t="n">
        <f aca="false">AJ63</f>
        <v>37408</v>
      </c>
      <c r="CC63" s="102" t="n">
        <f aca="false">ABS(AK63)+ABS(AM63)+ABS(AO63)+ABS(AQ63)+ABS(AS63)+ABS(AU63)+ABS(AW63)+ABS(AY63)+ABS(BA63)+ABS(BC63)+ABS(BE63)+ABS(BG63)+ABS(BI63)+ABS(BK63)+ABS(BM63)+ABS(BO63)+ABS(BQ63)+ABS(BS63)+ABS(BU63)+ABS(BW63)</f>
        <v>20</v>
      </c>
      <c r="CD63" s="104" t="n">
        <f aca="false">DK87*24</f>
        <v>720</v>
      </c>
      <c r="CE63" s="102" t="n">
        <f aca="false">DK87*8</f>
        <v>240</v>
      </c>
      <c r="CF63" s="102" t="n">
        <f aca="false">DL87*16</f>
        <v>80</v>
      </c>
      <c r="CG63" s="102" t="n">
        <f aca="false">CG19</f>
        <v>0.983155337941403</v>
      </c>
      <c r="CH63" s="106" t="n">
        <f aca="false">D63*(CE63+CF63)</f>
        <v>-6400</v>
      </c>
      <c r="CI63" s="106" t="n">
        <f aca="false">IF(YEAR($AJ63)=$CI$10,(($CN63-$AL$92)*$AK$92+($CN63-$AN$92)*$AM$92+($CN63-$AP$92)*$AO$92+($CN63-$AR$92)*$AQ$92+($CN63-$AT$92)*$AS$92+($CN63-$AV$92)*$AU$92+($CN63-$AX$92)*$AW$92+($CN63-$AZ$92)*$AY$92+($CN63-$BB$92)*$BA$92+($CN63-$BD$92)*$BC$92+($CN63-$BF$92)*$BE$92+($CN63-$BH$92)*$BG$92+($CN63-$BJ$92)*$BI$92+($CN63-$BL$92)*$BK$92+($CN63-$BN$92)*$BM$92+($CN63-$BP$92)*$BO$92+($CN63-$BR$92)*$BQ$92+($CN63-$BT$92)*$BS$92+($CN63-$BV$92)*$BU$92+($CN63-$BX$92)*$BW$92)*($CE63+$CF63)*$CG63,0)</f>
        <v>0</v>
      </c>
      <c r="CJ63" s="106" t="n">
        <f aca="false">IF(YEAR($AJ63)=$CJ$10,(($CN63-$AL$93)*$AK$93+($CN63-$AN$93)*$AM$93+($CN63-$AP$93)*$AO$93+($CN63-$AR$93)*$AQ$93+($CN63-$AT$93)*$AS$93+($CN63-$AV$93)*$AU$93+($CN63-$AX$93)*$AW$93+($CN63-$AZ$93)*$AY$93+($CN63-$BB$93)*$BA$93+($CN63-$BD$93)*$BC$93+($CN63-$BF$93)*$BE$93+($CN63-$BH$93)*$BG$93+($CN63-$BJ$93)*$BI$93+($CN63-$BL$93)*$BK$93+($CN63-$BN$93)*$BM$93+($CN63-$BP$93)*$BO$93+($CN63-$BR$93)*$BQ$93+($CN63-$BT$93)*$BS$93+($CN63-$BV$93)*$BU$93+($CN63-$BX$93)*$BW$93)*($CE63+$CF63)*$CG63,0)</f>
        <v>0</v>
      </c>
      <c r="CK63" s="106" t="n">
        <f aca="false">IF(YEAR($AJ63)=$CK$10,(($CN63-$AL$94)*$AK$94+($CN63-$AN$94)*$AM$94+($CN63-$AP$94)*$AO$94+($CN63-$AR$94)*$AQ$94+($CN63-$AT$94)*$AS$94+($CN63-$AV$94)*$AU$94+($CN63-$AX$94)*$AW$94+($CN63-$AZ$94)*$AY$94+($CN63-$BB$94)*$BA$94+($CN63-$BD$94)*$BC$94+($CN63-$BF$94)*$BE$94+($CN63-$BH$94)*$BG$94+($CN63-$BJ$94)*$BI$94+($CN63-$BL$94)*$BK$94+($CN63-$BN$94)*$BM$94+($CN63-$BP$94)*$BO$94+($CN63-$BR$94)*$BQ$94+($CN63-$BT$94)*$BS$94+($CN63-$BV$94)*$BU$94+($CN63-$BX$94)*$BW$94)*($CE63+$CF63)*$CG63,0)</f>
        <v>0</v>
      </c>
      <c r="CL63" s="1" t="n">
        <f aca="false">CC63*CD63</f>
        <v>14400</v>
      </c>
      <c r="CN63" s="21" t="n">
        <f aca="false">([2]EnergyCurve!$L41*CE63+[2]EnergyCurve!$AD41*CF63)/(CE63+CF63)</f>
        <v>28.302981221459</v>
      </c>
      <c r="DI63" s="1" t="n">
        <f aca="false">DK63-DL63</f>
        <v>4</v>
      </c>
      <c r="DJ63" s="107" t="n">
        <f aca="false">[2]EnergyCurve!$D85</f>
        <v>38749</v>
      </c>
      <c r="DK63" s="2" t="n">
        <f aca="false">IF($L$6=0,VLOOKUP(DJ63,$DM$13:$DQ$252,2)+VLOOKUP(DJ63,$DU$13:$DY$252,3),VLOOKUP(DJ63,$DU$13:$DY$252,2)+VLOOKUP(DJ63,$DU$13:$DY$252,3))</f>
        <v>24</v>
      </c>
      <c r="DL63" s="2" t="n">
        <f aca="false">IF($L$6=0,VLOOKUP(DJ63,$DM$13:$DQ$252,2),VLOOKUP(DJ63,$DU$13:$DY$252,2))</f>
        <v>20</v>
      </c>
      <c r="DM63" s="130" t="n">
        <v>38412</v>
      </c>
      <c r="DN63" s="22" t="n">
        <v>22</v>
      </c>
      <c r="DO63" s="22" t="n">
        <v>4</v>
      </c>
      <c r="DP63" s="22" t="n">
        <v>4</v>
      </c>
      <c r="DQ63" s="22" t="n">
        <v>1</v>
      </c>
      <c r="DR63" s="22" t="n">
        <v>31</v>
      </c>
      <c r="DS63" s="111"/>
      <c r="DT63" s="111"/>
      <c r="DU63" s="130" t="n">
        <v>38412</v>
      </c>
      <c r="DV63" s="22" t="n">
        <v>23</v>
      </c>
      <c r="DW63" s="22" t="n">
        <v>4</v>
      </c>
      <c r="DX63" s="22" t="n">
        <v>4</v>
      </c>
      <c r="DY63" s="22" t="n">
        <v>0</v>
      </c>
      <c r="DZ63" s="22" t="n">
        <v>31</v>
      </c>
      <c r="EA63" s="111"/>
      <c r="EB63" s="111"/>
      <c r="EQ63" s="107"/>
      <c r="ER63" s="111"/>
      <c r="ES63" s="44"/>
      <c r="ET63" s="44"/>
    </row>
    <row r="64" customFormat="false" ht="18.75" hidden="false" customHeight="true" outlineLevel="0" collapsed="false">
      <c r="A64" s="75" t="n">
        <f aca="false">A20</f>
        <v>37438</v>
      </c>
      <c r="B64" s="76" t="n">
        <f aca="false">[2]EnergyCurve!$P42+[2]EnergyCurve!$R42+B20</f>
        <v>358469.537109375</v>
      </c>
      <c r="C64" s="77" t="n">
        <f aca="false">B64/(CG64*CD64)</f>
        <v>491.091473664755</v>
      </c>
      <c r="D64" s="78" t="n">
        <f aca="false">BY64+IF(YEAR(A64)=$T$20,$BY$92,0)+IF(YEAR(A64)=$T$21,$BY$93,0)+IF(YEAR(A64)=$T$22,$BY$94,0)</f>
        <v>-20</v>
      </c>
      <c r="E64" s="77" t="n">
        <f aca="false">B64+(D64*(CE64+CF64)*CG64)+(D20*CD20*CG20)</f>
        <v>343870.646420669</v>
      </c>
      <c r="F64" s="79" t="n">
        <f aca="false">C64+D64</f>
        <v>471.091473664755</v>
      </c>
      <c r="G64" s="80" t="n">
        <f aca="false">([2]EnergyCurve!$J42*CE64+[2]EnergyCurve!$AB42*CF64+G20*CD20)/CD64</f>
        <v>41.7760180606637</v>
      </c>
      <c r="H64" s="80" t="n">
        <f aca="false">I64-G64</f>
        <v>-0.968559551493364</v>
      </c>
      <c r="I64" s="81" t="n">
        <f aca="false">([2]EnergyCurve!$L42*CE64+[2]EnergyCurve!$AD42*CF64+I20*CD20)/CD64</f>
        <v>40.8074585091703</v>
      </c>
      <c r="J64" s="76" t="n">
        <f aca="false">[2]EnergyCurve!$T42</f>
        <v>-325201.523153338</v>
      </c>
      <c r="K64" s="82" t="n">
        <f aca="false">(((CN64-AL64)*AK64+(CN64-AN64)*AM64+(CN64-AP64)*AO64+(CN64-AR64)*AQ64+(CN64-AT64)*AS64+(CN64-AV64)*AU64+(CN64-AX64)*AW64+(CN64-AZ64)*AY64+(CN64-BB64)*BA64+(CN64-BD64)*BC64+(CN64-BF64)*BE64+(CN64-BH64)*BG64+(CN64-BJ64)*BI64+(CN64-BL64)*BK64+(CN64-BN64)*BM64+(CN64-BP64)*BO64+(CN64-BR64)*BQ64+(CN64-BT64)*BS64+(CN64-BV64)*BU64+(CN64-BX64)*BW64)*(CE64+CF64)*CG64)+CI64+CJ64+CK64</f>
        <v>119270.948123492</v>
      </c>
      <c r="L64" s="82" t="n">
        <f aca="false">J64+K64</f>
        <v>-205930.575029846</v>
      </c>
      <c r="M64" s="46"/>
      <c r="N64" s="83" t="n">
        <f aca="false">A64</f>
        <v>37438</v>
      </c>
      <c r="O64" s="84" t="n">
        <v>26</v>
      </c>
      <c r="P64" s="84" t="n">
        <v>26</v>
      </c>
      <c r="Q64" s="85" t="n">
        <f aca="false">AVERAGE(O64:P64)-G64</f>
        <v>-15.7760180606637</v>
      </c>
      <c r="R64" s="201"/>
      <c r="S64" s="202" t="n">
        <f aca="false">I64</f>
        <v>40.8074585091703</v>
      </c>
      <c r="T64" s="88" t="n">
        <f aca="false">IF(MONTH(TradeSum!$B$2)&gt;8,YEAR(TradeSum!$B$2)+1,YEAR(TradeSum!$B$2))</f>
        <v>2002</v>
      </c>
      <c r="U64" s="89"/>
      <c r="V64" s="127" t="str">
        <f aca="false">"Bal "&amp;T64</f>
        <v>Bal 2002</v>
      </c>
      <c r="W64" s="91" t="n">
        <f aca="false" t="array" ref="W64:W64">SUM(IF((YEAR($A$56:$A$91)=T64),$I$56:$I$91*$DK$12:$DK$47))/SUM(IF((YEAR($A$56:$A$91)=T64),$DK$12:$DK$47))</f>
        <v>45.1203004720058</v>
      </c>
      <c r="X64" s="122" t="n">
        <f aca="false" t="array" ref="X64:X64">AVERAGE(IF((YEAR($A$56:$A$91)=T64),$I$56:$I$91))</f>
        <v>45.1504921240281</v>
      </c>
      <c r="Y64" s="128" t="n">
        <f aca="false">W64-$W$12</f>
        <v>-16.9518997022364</v>
      </c>
      <c r="Z64" s="128" t="n">
        <f aca="false">W64-$W$13</f>
        <v>-12.4844858189044</v>
      </c>
      <c r="AA64" s="128" t="n">
        <f aca="false">W64-$W$14</f>
        <v>-5.71792012184448</v>
      </c>
      <c r="AB64" s="128" t="n">
        <f aca="false">W64-$W$15</f>
        <v>-14.4721235484498</v>
      </c>
      <c r="AC64" s="128" t="n">
        <f aca="false">W64-$W$16</f>
        <v>-5.60345441804469</v>
      </c>
      <c r="AD64" s="128" t="n">
        <f aca="false">W64-$W$17</f>
        <v>-2.06143762814389</v>
      </c>
      <c r="AE64" s="128" t="n">
        <f aca="false">W64-$W$18</f>
        <v>-3.02246914217569</v>
      </c>
      <c r="AF64" s="128" t="n">
        <f aca="false">W64-$W$19</f>
        <v>-6.31142637927325</v>
      </c>
      <c r="AG64" s="93" t="n">
        <v>0</v>
      </c>
      <c r="AH64" s="134"/>
      <c r="AI64" s="94"/>
      <c r="AJ64" s="95" t="n">
        <f aca="false">A64</f>
        <v>37438</v>
      </c>
      <c r="AK64" s="96" t="n">
        <v>-5</v>
      </c>
      <c r="AL64" s="97" t="n">
        <v>47.5</v>
      </c>
      <c r="AM64" s="96" t="n">
        <v>-15</v>
      </c>
      <c r="AN64" s="97" t="n">
        <v>47</v>
      </c>
      <c r="AO64" s="96"/>
      <c r="AP64" s="97"/>
      <c r="AQ64" s="96"/>
      <c r="AR64" s="97"/>
      <c r="AS64" s="96"/>
      <c r="AT64" s="97"/>
      <c r="AU64" s="96"/>
      <c r="AV64" s="97"/>
      <c r="AW64" s="96"/>
      <c r="AX64" s="97"/>
      <c r="AY64" s="96"/>
      <c r="AZ64" s="97"/>
      <c r="BA64" s="96"/>
      <c r="BB64" s="97"/>
      <c r="BC64" s="96"/>
      <c r="BD64" s="97"/>
      <c r="BE64" s="96"/>
      <c r="BF64" s="97"/>
      <c r="BG64" s="96"/>
      <c r="BH64" s="97"/>
      <c r="BI64" s="96"/>
      <c r="BJ64" s="97"/>
      <c r="BK64" s="96"/>
      <c r="BL64" s="97"/>
      <c r="BM64" s="96"/>
      <c r="BN64" s="97"/>
      <c r="BO64" s="96"/>
      <c r="BP64" s="97"/>
      <c r="BQ64" s="96"/>
      <c r="BR64" s="97"/>
      <c r="BS64" s="96"/>
      <c r="BT64" s="97"/>
      <c r="BU64" s="96"/>
      <c r="BV64" s="97"/>
      <c r="BW64" s="96"/>
      <c r="BX64" s="97"/>
      <c r="BY64" s="100" t="n">
        <f aca="false">AK64+AM64+AO64+AQ64+AS64+AU64+AW64+AY64+BA64+BC64+BE64+BG64+BI64+BK64+BM64+BO64+BQ64+BS64+BU64+BW64</f>
        <v>-20</v>
      </c>
      <c r="BZ64" s="101" t="n">
        <f aca="false">IF(AND(BY64=0,CC64=0),0,(ABS(AK64)*AL64+ABS(AM64)*AN64+ABS(AO64)*AP64+ABS(AQ64)*AR64+ABS(AS64)*AT64+ABS(AU64)*AV64+ABS(AW64)*AX64+ABS(AY64)*AZ64+ABS(BA64)*BB64+ABS(BC64)*BD64+ABS(BE64)*BF64+ABS(BG64)*BH64+ABS(BI64)*BJ64+ABS(BK64)*BL64+ABS(BM64)*BN64+ABS(BO64)*BP64+ABS(BQ64)*BR64+ABS(BS64)*BT64+ABS(BU64)*BV64+ABS(BW64)*BX64)/CC64)</f>
        <v>47.125</v>
      </c>
      <c r="CA64" s="102"/>
      <c r="CB64" s="103" t="n">
        <f aca="false">AJ64</f>
        <v>37438</v>
      </c>
      <c r="CC64" s="102" t="n">
        <f aca="false">ABS(AK64)+ABS(AM64)+ABS(AO64)+ABS(AQ64)+ABS(AS64)+ABS(AU64)+ABS(AW64)+ABS(AY64)+ABS(BA64)+ABS(BC64)+ABS(BE64)+ABS(BG64)+ABS(BI64)+ABS(BK64)+ABS(BM64)+ABS(BO64)+ABS(BQ64)+ABS(BS64)+ABS(BU64)+ABS(BW64)</f>
        <v>20</v>
      </c>
      <c r="CD64" s="104" t="n">
        <f aca="false">DK88*24</f>
        <v>744</v>
      </c>
      <c r="CE64" s="102" t="n">
        <f aca="false">DK88*8</f>
        <v>248</v>
      </c>
      <c r="CF64" s="102" t="n">
        <f aca="false">DL88*16</f>
        <v>80</v>
      </c>
      <c r="CG64" s="102" t="n">
        <f aca="false">CG20</f>
        <v>0.981108245208763</v>
      </c>
      <c r="CH64" s="106" t="n">
        <f aca="false">D64*(CE64+CF64)</f>
        <v>-6560</v>
      </c>
      <c r="CI64" s="106" t="n">
        <f aca="false">IF(YEAR($AJ64)=$CI$10,(($CN64-$AL$92)*$AK$92+($CN64-$AN$92)*$AM$92+($CN64-$AP$92)*$AO$92+($CN64-$AR$92)*$AQ$92+($CN64-$AT$92)*$AS$92+($CN64-$AV$92)*$AU$92+($CN64-$AX$92)*$AW$92+($CN64-$AZ$92)*$AY$92+($CN64-$BB$92)*$BA$92+($CN64-$BD$92)*$BC$92+($CN64-$BF$92)*$BE$92+($CN64-$BH$92)*$BG$92+($CN64-$BJ$92)*$BI$92+($CN64-$BL$92)*$BK$92+($CN64-$BN$92)*$BM$92+($CN64-$BP$92)*$BO$92+($CN64-$BR$92)*$BQ$92+($CN64-$BT$92)*$BS$92+($CN64-$BV$92)*$BU$92+($CN64-$BX$92)*$BW$92)*($CE64+$CF64)*$CG64,0)</f>
        <v>0</v>
      </c>
      <c r="CJ64" s="106" t="n">
        <f aca="false">IF(YEAR($AJ64)=$CJ$10,(($CN64-$AL$93)*$AK$93+($CN64-$AN$93)*$AM$93+($CN64-$AP$93)*$AO$93+($CN64-$AR$93)*$AQ$93+($CN64-$AT$93)*$AS$93+($CN64-$AV$93)*$AU$93+($CN64-$AX$93)*$AW$93+($CN64-$AZ$93)*$AY$93+($CN64-$BB$93)*$BA$93+($CN64-$BD$93)*$BC$93+($CN64-$BF$93)*$BE$93+($CN64-$BH$93)*$BG$93+($CN64-$BJ$93)*$BI$93+($CN64-$BL$93)*$BK$93+($CN64-$BN$93)*$BM$93+($CN64-$BP$93)*$BO$93+($CN64-$BR$93)*$BQ$93+($CN64-$BT$93)*$BS$93+($CN64-$BV$93)*$BU$93+($CN64-$BX$93)*$BW$93)*($CE64+$CF64)*$CG64,0)</f>
        <v>0</v>
      </c>
      <c r="CK64" s="106" t="n">
        <f aca="false">IF(YEAR($AJ64)=$CK$10,(($CN64-$AL$94)*$AK$94+($CN64-$AN$94)*$AM$94+($CN64-$AP$94)*$AO$94+($CN64-$AR$94)*$AQ$94+($CN64-$AT$94)*$AS$94+($CN64-$AV$94)*$AU$94+($CN64-$AX$94)*$AW$94+($CN64-$AZ$94)*$AY$94+($CN64-$BB$94)*$BA$94+($CN64-$BD$94)*$BC$94+($CN64-$BF$94)*$BE$94+($CN64-$BH$94)*$BG$94+($CN64-$BJ$94)*$BI$94+($CN64-$BL$94)*$BK$94+($CN64-$BN$94)*$BM$94+($CN64-$BP$94)*$BO$94+($CN64-$BR$94)*$BQ$94+($CN64-$BT$94)*$BS$94+($CN64-$BV$94)*$BU$94+($CN64-$BX$94)*$BW$94)*($CE64+$CF64)*$CG64,0)</f>
        <v>0</v>
      </c>
      <c r="CL64" s="1" t="n">
        <f aca="false">CC64*CD64</f>
        <v>14880</v>
      </c>
      <c r="CN64" s="21" t="n">
        <f aca="false">([2]EnergyCurve!$L42*CE64+[2]EnergyCurve!$AD42*CF64)/(CE64+CF64)</f>
        <v>28.5933577894346</v>
      </c>
      <c r="DI64" s="1" t="n">
        <f aca="false">DK64-DL64</f>
        <v>4</v>
      </c>
      <c r="DJ64" s="107" t="n">
        <f aca="false">[2]EnergyCurve!$D86</f>
        <v>38777</v>
      </c>
      <c r="DK64" s="2" t="n">
        <f aca="false">IF($L$6=0,VLOOKUP(DJ64,$DM$13:$DQ$252,2)+VLOOKUP(DJ64,$DU$13:$DY$252,3),VLOOKUP(DJ64,$DU$13:$DY$252,2)+VLOOKUP(DJ64,$DU$13:$DY$252,3))</f>
        <v>27</v>
      </c>
      <c r="DL64" s="2" t="n">
        <f aca="false">IF($L$6=0,VLOOKUP(DJ64,$DM$13:$DQ$252,2),VLOOKUP(DJ64,$DU$13:$DY$252,2))</f>
        <v>23</v>
      </c>
      <c r="DM64" s="130" t="n">
        <v>38443</v>
      </c>
      <c r="DN64" s="22" t="n">
        <v>21</v>
      </c>
      <c r="DO64" s="22" t="n">
        <v>5</v>
      </c>
      <c r="DP64" s="22" t="n">
        <v>4</v>
      </c>
      <c r="DQ64" s="22" t="n">
        <v>0</v>
      </c>
      <c r="DR64" s="22" t="n">
        <v>30</v>
      </c>
      <c r="DS64" s="111"/>
      <c r="DT64" s="111"/>
      <c r="DU64" s="130" t="n">
        <v>38443</v>
      </c>
      <c r="DV64" s="22" t="n">
        <v>21</v>
      </c>
      <c r="DW64" s="22" t="n">
        <v>5</v>
      </c>
      <c r="DX64" s="22" t="n">
        <v>4</v>
      </c>
      <c r="DY64" s="22" t="n">
        <v>0</v>
      </c>
      <c r="DZ64" s="22" t="n">
        <v>30</v>
      </c>
      <c r="EA64" s="111"/>
      <c r="EB64" s="111"/>
      <c r="EQ64" s="107"/>
      <c r="ER64" s="111"/>
      <c r="ES64" s="44"/>
      <c r="ET64" s="44"/>
    </row>
    <row r="65" customFormat="false" ht="18.75" hidden="false" customHeight="true" outlineLevel="0" collapsed="false">
      <c r="A65" s="112" t="n">
        <f aca="false">A21</f>
        <v>37469</v>
      </c>
      <c r="B65" s="113" t="n">
        <f aca="false">[2]EnergyCurve!$P43+[2]EnergyCurve!$R43+B21</f>
        <v>355640.115234375</v>
      </c>
      <c r="C65" s="114" t="n">
        <f aca="false">B65/(CG65*CD65)</f>
        <v>488.301002957779</v>
      </c>
      <c r="D65" s="114" t="n">
        <f aca="false">BY65+IF(YEAR(A65)=$T$20,$BY$92,0)+IF(YEAR(A65)=$T$21,$BY$93,0)+IF(YEAR(A65)=$T$22,$BY$94,0)</f>
        <v>-20</v>
      </c>
      <c r="E65" s="115" t="n">
        <f aca="false">B65+(D65*(CE65+CF65)*CG65)+(D21*CD21*CG21)</f>
        <v>341073.685385566</v>
      </c>
      <c r="F65" s="116" t="n">
        <f aca="false">C65+D65</f>
        <v>468.301002957779</v>
      </c>
      <c r="G65" s="117" t="n">
        <f aca="false">([2]EnergyCurve!$J43*CE65+[2]EnergyCurve!$AB43*CF65+G21*CD21)/CD65</f>
        <v>42.6032033325524</v>
      </c>
      <c r="H65" s="117" t="n">
        <f aca="false">I65-G65</f>
        <v>-1.04810334362291</v>
      </c>
      <c r="I65" s="118" t="n">
        <f aca="false">([2]EnergyCurve!$L43*CE65+[2]EnergyCurve!$AD43*CF65+I21*CD21)/CD65</f>
        <v>41.5550999889294</v>
      </c>
      <c r="J65" s="115" t="n">
        <f aca="false">[2]EnergyCurve!$T43</f>
        <v>-348962.270980093</v>
      </c>
      <c r="K65" s="119" t="n">
        <f aca="false">(((CN65-AL65)*AK65+(CN65-AN65)*AM65+(CN65-AP65)*AO65+(CN65-AR65)*AQ65+(CN65-AT65)*AS65+(CN65-AV65)*AU65+(CN65-AX65)*AW65+(CN65-AZ65)*AY65+(CN65-BB65)*BA65+(CN65-BD65)*BC65+(CN65-BF65)*BE65+(CN65-BH65)*BG65+(CN65-BJ65)*BI65+(CN65-BL65)*BK65+(CN65-BN65)*BM65+(CN65-BP65)*BO65+(CN65-BR65)*BQ65+(CN65-BT65)*BS65+(CN65-BV65)*BU65+(CN65-BX65)*BW65)*(CE65+CF65)*CG65)+CI65+CJ65+CK65</f>
        <v>114112.492600127</v>
      </c>
      <c r="L65" s="119" t="n">
        <f aca="false">J65+K65</f>
        <v>-234849.778379966</v>
      </c>
      <c r="M65" s="46"/>
      <c r="N65" s="83" t="n">
        <f aca="false">A65</f>
        <v>37469</v>
      </c>
      <c r="O65" s="84" t="n">
        <v>29.5</v>
      </c>
      <c r="P65" s="84" t="n">
        <v>29.5</v>
      </c>
      <c r="Q65" s="85" t="n">
        <f aca="false">AVERAGE(O65:P65)-G65</f>
        <v>-13.1032033325523</v>
      </c>
      <c r="R65" s="201"/>
      <c r="S65" s="202" t="n">
        <f aca="false">I65</f>
        <v>41.5550999889294</v>
      </c>
      <c r="T65" s="88" t="n">
        <f aca="false">T64+1</f>
        <v>2003</v>
      </c>
      <c r="U65" s="89"/>
      <c r="V65" s="135" t="n">
        <f aca="false">T65</f>
        <v>2003</v>
      </c>
      <c r="W65" s="91" t="n">
        <f aca="false" t="array" ref="W65:W65">SUM(IF((YEAR($A$56:$A$91)=T65),$I$56:$I$91*$DK$12:$DK$47))/SUM(IF((YEAR($A$56:$A$91)=T65),$DK$12:$DK$47))</f>
        <v>42.141559789746</v>
      </c>
      <c r="X65" s="122" t="n">
        <f aca="false" t="array" ref="X65:X65">AVERAGE(IF((YEAR($A$56:$A$91)=T65),$I$56:$I$91))</f>
        <v>42.1541951527513</v>
      </c>
      <c r="Y65" s="123" t="n">
        <f aca="false">W65-$W$12</f>
        <v>-19.9306403844963</v>
      </c>
      <c r="Z65" s="123" t="n">
        <f aca="false">W65-$W$13</f>
        <v>-15.4632265011643</v>
      </c>
      <c r="AA65" s="123" t="n">
        <f aca="false">W65-$W$14</f>
        <v>-8.69666080410436</v>
      </c>
      <c r="AB65" s="123" t="n">
        <f aca="false">W65-$W$15</f>
        <v>-17.4508642307096</v>
      </c>
      <c r="AC65" s="123" t="n">
        <f aca="false">W65-$W$16</f>
        <v>-8.58219510030457</v>
      </c>
      <c r="AD65" s="123" t="n">
        <f aca="false">W65-$W$17</f>
        <v>-5.04017831040378</v>
      </c>
      <c r="AE65" s="123" t="n">
        <f aca="false">W65-$W$18</f>
        <v>-6.00120982443558</v>
      </c>
      <c r="AF65" s="123" t="n">
        <f aca="false">W65-$W$19</f>
        <v>-9.29016706153313</v>
      </c>
      <c r="AG65" s="123" t="n">
        <f aca="false">W65-$W$20</f>
        <v>-15.3705424674008</v>
      </c>
      <c r="AH65" s="124" t="n">
        <v>0</v>
      </c>
      <c r="AI65" s="134"/>
      <c r="AJ65" s="95" t="n">
        <f aca="false">A65</f>
        <v>37469</v>
      </c>
      <c r="AK65" s="96" t="n">
        <v>-5</v>
      </c>
      <c r="AL65" s="97" t="n">
        <v>47.5</v>
      </c>
      <c r="AM65" s="96" t="n">
        <v>-15</v>
      </c>
      <c r="AN65" s="97" t="n">
        <v>47</v>
      </c>
      <c r="AO65" s="96"/>
      <c r="AP65" s="97"/>
      <c r="AQ65" s="96"/>
      <c r="AR65" s="97"/>
      <c r="AS65" s="96"/>
      <c r="AT65" s="97"/>
      <c r="AU65" s="96"/>
      <c r="AV65" s="97"/>
      <c r="AW65" s="96"/>
      <c r="AX65" s="97"/>
      <c r="AY65" s="96"/>
      <c r="AZ65" s="97"/>
      <c r="BA65" s="96"/>
      <c r="BB65" s="97"/>
      <c r="BC65" s="96"/>
      <c r="BD65" s="97"/>
      <c r="BE65" s="96"/>
      <c r="BF65" s="97"/>
      <c r="BG65" s="96"/>
      <c r="BH65" s="97"/>
      <c r="BI65" s="96"/>
      <c r="BJ65" s="97"/>
      <c r="BK65" s="96"/>
      <c r="BL65" s="97"/>
      <c r="BM65" s="96"/>
      <c r="BN65" s="97"/>
      <c r="BO65" s="96"/>
      <c r="BP65" s="97"/>
      <c r="BQ65" s="96"/>
      <c r="BR65" s="97"/>
      <c r="BS65" s="96"/>
      <c r="BT65" s="97"/>
      <c r="BU65" s="96"/>
      <c r="BV65" s="97"/>
      <c r="BW65" s="96"/>
      <c r="BX65" s="97"/>
      <c r="BY65" s="100" t="n">
        <f aca="false">AK65+AM65+AO65+AQ65+AS65+AU65+AW65+AY65+BA65+BC65+BE65+BG65+BI65+BK65+BM65+BO65+BQ65+BS65+BU65+BW65</f>
        <v>-20</v>
      </c>
      <c r="BZ65" s="101" t="n">
        <f aca="false">IF(AND(BY65=0,CC65=0),0,(ABS(AK65)*AL65+ABS(AM65)*AN65+ABS(AO65)*AP65+ABS(AQ65)*AR65+ABS(AS65)*AT65+ABS(AU65)*AV65+ABS(AW65)*AX65+ABS(AY65)*AZ65+ABS(BA65)*BB65+ABS(BC65)*BD65+ABS(BE65)*BF65+ABS(BG65)*BH65+ABS(BI65)*BJ65+ABS(BK65)*BL65+ABS(BM65)*BN65+ABS(BO65)*BP65+ABS(BQ65)*BR65+ABS(BS65)*BT65+ABS(BU65)*BV65+ABS(BW65)*BX65)/CC65)</f>
        <v>47.125</v>
      </c>
      <c r="CA65" s="102"/>
      <c r="CB65" s="103" t="n">
        <f aca="false">AJ65</f>
        <v>37469</v>
      </c>
      <c r="CC65" s="102" t="n">
        <f aca="false">ABS(AK65)+ABS(AM65)+ABS(AO65)+ABS(AQ65)+ABS(AS65)+ABS(AU65)+ABS(AW65)+ABS(AY65)+ABS(BA65)+ABS(BC65)+ABS(BE65)+ABS(BG65)+ABS(BI65)+ABS(BK65)+ABS(BM65)+ABS(BO65)+ABS(BQ65)+ABS(BS65)+ABS(BU65)+ABS(BW65)</f>
        <v>20</v>
      </c>
      <c r="CD65" s="104" t="n">
        <f aca="false">DK89*24</f>
        <v>744</v>
      </c>
      <c r="CE65" s="102" t="n">
        <f aca="false">DK89*8</f>
        <v>248</v>
      </c>
      <c r="CF65" s="102" t="n">
        <f aca="false">DL89*16</f>
        <v>64</v>
      </c>
      <c r="CG65" s="102" t="n">
        <f aca="false">CG21</f>
        <v>0.978926737151134</v>
      </c>
      <c r="CH65" s="106" t="n">
        <f aca="false">D65*(CE65+CF65)</f>
        <v>-6240</v>
      </c>
      <c r="CI65" s="106" t="n">
        <f aca="false">IF(YEAR($AJ65)=$CI$10,(($CN65-$AL$92)*$AK$92+($CN65-$AN$92)*$AM$92+($CN65-$AP$92)*$AO$92+($CN65-$AR$92)*$AQ$92+($CN65-$AT$92)*$AS$92+($CN65-$AV$92)*$AU$92+($CN65-$AX$92)*$AW$92+($CN65-$AZ$92)*$AY$92+($CN65-$BB$92)*$BA$92+($CN65-$BD$92)*$BC$92+($CN65-$BF$92)*$BE$92+($CN65-$BH$92)*$BG$92+($CN65-$BJ$92)*$BI$92+($CN65-$BL$92)*$BK$92+($CN65-$BN$92)*$BM$92+($CN65-$BP$92)*$BO$92+($CN65-$BR$92)*$BQ$92+($CN65-$BT$92)*$BS$92+($CN65-$BV$92)*$BU$92+($CN65-$BX$92)*$BW$92)*($CE65+$CF65)*$CG65,0)</f>
        <v>0</v>
      </c>
      <c r="CJ65" s="106" t="n">
        <f aca="false">IF(YEAR($AJ65)=$CJ$10,(($CN65-$AL$93)*$AK$93+($CN65-$AN$93)*$AM$93+($CN65-$AP$93)*$AO$93+($CN65-$AR$93)*$AQ$93+($CN65-$AT$93)*$AS$93+($CN65-$AV$93)*$AU$93+($CN65-$AX$93)*$AW$93+($CN65-$AZ$93)*$AY$93+($CN65-$BB$93)*$BA$93+($CN65-$BD$93)*$BC$93+($CN65-$BF$93)*$BE$93+($CN65-$BH$93)*$BG$93+($CN65-$BJ$93)*$BI$93+($CN65-$BL$93)*$BK$93+($CN65-$BN$93)*$BM$93+($CN65-$BP$93)*$BO$93+($CN65-$BR$93)*$BQ$93+($CN65-$BT$93)*$BS$93+($CN65-$BV$93)*$BU$93+($CN65-$BX$93)*$BW$93)*($CE65+$CF65)*$CG65,0)</f>
        <v>0</v>
      </c>
      <c r="CK65" s="106" t="n">
        <f aca="false">IF(YEAR($AJ65)=$CK$10,(($CN65-$AL$94)*$AK$94+($CN65-$AN$94)*$AM$94+($CN65-$AP$94)*$AO$94+($CN65-$AR$94)*$AQ$94+($CN65-$AT$94)*$AS$94+($CN65-$AV$94)*$AU$94+($CN65-$AX$94)*$AW$94+($CN65-$AZ$94)*$AY$94+($CN65-$BB$94)*$BA$94+($CN65-$BD$94)*$BC$94+($CN65-$BF$94)*$BE$94+($CN65-$BH$94)*$BG$94+($CN65-$BJ$94)*$BI$94+($CN65-$BL$94)*$BK$94+($CN65-$BN$94)*$BM$94+($CN65-$BP$94)*$BO$94+($CN65-$BR$94)*$BQ$94+($CN65-$BT$94)*$BS$94+($CN65-$BV$94)*$BU$94+($CN65-$BX$94)*$BW$94)*($CE65+$CF65)*$CG65,0)</f>
        <v>0</v>
      </c>
      <c r="CL65" s="1" t="n">
        <f aca="false">CC65*CD65</f>
        <v>14880</v>
      </c>
      <c r="CN65" s="21" t="n">
        <f aca="false">([2]EnergyCurve!$L43*CE65+[2]EnergyCurve!$AD43*CF65)/(CE65+CF65)</f>
        <v>28.4440734960137</v>
      </c>
      <c r="DI65" s="1" t="n">
        <f aca="false">DK65-DL65</f>
        <v>5</v>
      </c>
      <c r="DJ65" s="107" t="n">
        <f aca="false">[2]EnergyCurve!$D87</f>
        <v>38808</v>
      </c>
      <c r="DK65" s="2" t="n">
        <f aca="false">IF($L$6=0,VLOOKUP(DJ65,$DM$13:$DQ$252,2)+VLOOKUP(DJ65,$DU$13:$DY$252,3),VLOOKUP(DJ65,$DU$13:$DY$252,2)+VLOOKUP(DJ65,$DU$13:$DY$252,3))</f>
        <v>25</v>
      </c>
      <c r="DL65" s="2" t="n">
        <f aca="false">IF($L$6=0,VLOOKUP(DJ65,$DM$13:$DQ$252,2),VLOOKUP(DJ65,$DU$13:$DY$252,2))</f>
        <v>20</v>
      </c>
      <c r="DM65" s="130" t="n">
        <v>38473</v>
      </c>
      <c r="DN65" s="22" t="n">
        <v>21</v>
      </c>
      <c r="DO65" s="22" t="n">
        <v>4</v>
      </c>
      <c r="DP65" s="22" t="n">
        <v>5</v>
      </c>
      <c r="DQ65" s="22" t="n">
        <v>1</v>
      </c>
      <c r="DR65" s="22" t="n">
        <v>31</v>
      </c>
      <c r="DS65" s="111"/>
      <c r="DT65" s="111"/>
      <c r="DU65" s="130" t="n">
        <v>38473</v>
      </c>
      <c r="DV65" s="22" t="n">
        <v>21</v>
      </c>
      <c r="DW65" s="22" t="n">
        <v>4</v>
      </c>
      <c r="DX65" s="22" t="n">
        <v>5</v>
      </c>
      <c r="DY65" s="22" t="n">
        <v>1</v>
      </c>
      <c r="DZ65" s="22" t="n">
        <v>31</v>
      </c>
      <c r="EA65" s="111"/>
      <c r="EB65" s="111"/>
      <c r="EQ65" s="107"/>
      <c r="ER65" s="111"/>
      <c r="ES65" s="44"/>
      <c r="ET65" s="44"/>
    </row>
    <row r="66" customFormat="false" ht="18.75" hidden="false" customHeight="true" outlineLevel="0" collapsed="false">
      <c r="A66" s="75" t="n">
        <f aca="false">A22</f>
        <v>37500</v>
      </c>
      <c r="B66" s="76" t="n">
        <f aca="false">[2]EnergyCurve!$P44+[2]EnergyCurve!$R44+B22</f>
        <v>350811.7734375</v>
      </c>
      <c r="C66" s="77" t="n">
        <f aca="false">B66/(CG66*CD66)</f>
        <v>498.81667144215</v>
      </c>
      <c r="D66" s="78" t="n">
        <f aca="false">BY66+IF(YEAR(A66)=$T$20,$BY$92,0)+IF(YEAR(A66)=$T$21,$BY$93,0)+IF(YEAR(A66)=$T$22,$BY$94,0)</f>
        <v>-20</v>
      </c>
      <c r="E66" s="77" t="n">
        <f aca="false">B66+(D66*(CE66+CF66)*CG66)+(D22*CD22*CG22)</f>
        <v>336746.013669557</v>
      </c>
      <c r="F66" s="79" t="n">
        <f aca="false">C66+D66</f>
        <v>478.81667144215</v>
      </c>
      <c r="G66" s="80" t="n">
        <f aca="false">([2]EnergyCurve!$J44*CE66+[2]EnergyCurve!$AB44*CF66+G22*CD22)/CD66</f>
        <v>42.0438359578451</v>
      </c>
      <c r="H66" s="80" t="n">
        <f aca="false">I66-G66</f>
        <v>-1.0336649336128</v>
      </c>
      <c r="I66" s="81" t="n">
        <f aca="false">([2]EnergyCurve!$L44*CE66+[2]EnergyCurve!$AD44*CF66+I22*CD22)/CD66</f>
        <v>41.0101710242323</v>
      </c>
      <c r="J66" s="76" t="n">
        <f aca="false">[2]EnergyCurve!$T44</f>
        <v>-340299.601464437</v>
      </c>
      <c r="K66" s="82" t="n">
        <f aca="false">(((CN66-AL66)*AK66+(CN66-AN66)*AM66+(CN66-AP66)*AO66+(CN66-AR66)*AQ66+(CN66-AT66)*AS66+(CN66-AV66)*AU66+(CN66-AX66)*AW66+(CN66-AZ66)*AY66+(CN66-BB66)*BA66+(CN66-BD66)*BC66+(CN66-BF66)*BE66+(CN66-BH66)*BG66+(CN66-BJ66)*BI66+(CN66-BL66)*BK66+(CN66-BN66)*BM66+(CN66-BP66)*BO66+(CN66-BR66)*BQ66+(CN66-BT66)*BS66+(CN66-BV66)*BU66+(CN66-BX66)*BW66)*(CE66+CF66)*CG66)+CI66+CJ66+CK66</f>
        <v>115550.087504398</v>
      </c>
      <c r="L66" s="82" t="n">
        <f aca="false">J66+K66</f>
        <v>-224749.513960039</v>
      </c>
      <c r="M66" s="46"/>
      <c r="N66" s="83" t="n">
        <f aca="false">A66</f>
        <v>37500</v>
      </c>
      <c r="O66" s="84" t="n">
        <v>58</v>
      </c>
      <c r="P66" s="84" t="n">
        <v>58</v>
      </c>
      <c r="Q66" s="85" t="n">
        <f aca="false">AVERAGE(O66:P66)-G66</f>
        <v>15.9561640421549</v>
      </c>
      <c r="R66" s="201"/>
      <c r="S66" s="202" t="n">
        <f aca="false">I66</f>
        <v>41.0101710242323</v>
      </c>
      <c r="T66" s="88" t="n">
        <f aca="false">T65+1</f>
        <v>2004</v>
      </c>
      <c r="U66" s="89"/>
      <c r="V66" s="136" t="n">
        <f aca="false">T66</f>
        <v>2004</v>
      </c>
      <c r="W66" s="137" t="n">
        <f aca="false" t="array" ref="W66:W66">SUM(IF((YEAR($A$56:$A$94)=T66),$I$56:$I$94*$DK$12:$DK$50))/SUM(IF((YEAR($A$56:$A$94)=T66),$DK$12:$DK$50))</f>
        <v>41.2557029129831</v>
      </c>
      <c r="X66" s="138" t="n">
        <f aca="false" t="array" ref="X66:X66">AVERAGE(IF((YEAR($A$56:$A$94)=T66),$I$56:$I$94))</f>
        <v>41.2612934521857</v>
      </c>
      <c r="Y66" s="139" t="n">
        <f aca="false">W66-$W$12</f>
        <v>-20.8164972612592</v>
      </c>
      <c r="Z66" s="139" t="n">
        <f aca="false">W66-$W$13</f>
        <v>-16.3490833779272</v>
      </c>
      <c r="AA66" s="139" t="n">
        <f aca="false">W66-$W$14</f>
        <v>-9.58251768086728</v>
      </c>
      <c r="AB66" s="139" t="n">
        <f aca="false">W66-$W$15</f>
        <v>-18.3367211074726</v>
      </c>
      <c r="AC66" s="139" t="n">
        <f aca="false">W66-$W$16</f>
        <v>-9.46805197706749</v>
      </c>
      <c r="AD66" s="139" t="n">
        <f aca="false">W66-$W$17</f>
        <v>-5.92603518716669</v>
      </c>
      <c r="AE66" s="139" t="n">
        <f aca="false">W66-$W$18</f>
        <v>-6.88706670119849</v>
      </c>
      <c r="AF66" s="139" t="n">
        <f aca="false">W66-$W$19</f>
        <v>-10.176023938296</v>
      </c>
      <c r="AG66" s="139" t="n">
        <f aca="false">W66-$W$20</f>
        <v>-16.2563993441637</v>
      </c>
      <c r="AH66" s="139" t="n">
        <f aca="false">W66-$W$21</f>
        <v>-8.10988481729656</v>
      </c>
      <c r="AI66" s="140" t="n">
        <v>0</v>
      </c>
      <c r="AJ66" s="95" t="n">
        <f aca="false">A66</f>
        <v>37500</v>
      </c>
      <c r="AK66" s="96" t="n">
        <v>-5</v>
      </c>
      <c r="AL66" s="97" t="n">
        <v>47.5</v>
      </c>
      <c r="AM66" s="96" t="n">
        <v>-15</v>
      </c>
      <c r="AN66" s="97" t="n">
        <v>47</v>
      </c>
      <c r="AO66" s="96"/>
      <c r="AP66" s="97"/>
      <c r="AQ66" s="96"/>
      <c r="AR66" s="97"/>
      <c r="AS66" s="96"/>
      <c r="AT66" s="97"/>
      <c r="AU66" s="96"/>
      <c r="AV66" s="97"/>
      <c r="AW66" s="96"/>
      <c r="AX66" s="97"/>
      <c r="AY66" s="96"/>
      <c r="AZ66" s="97"/>
      <c r="BA66" s="96"/>
      <c r="BB66" s="97"/>
      <c r="BC66" s="96"/>
      <c r="BD66" s="97"/>
      <c r="BE66" s="96"/>
      <c r="BF66" s="97"/>
      <c r="BG66" s="96"/>
      <c r="BH66" s="97"/>
      <c r="BI66" s="96"/>
      <c r="BJ66" s="97"/>
      <c r="BK66" s="96"/>
      <c r="BL66" s="97"/>
      <c r="BM66" s="96"/>
      <c r="BN66" s="97"/>
      <c r="BO66" s="96"/>
      <c r="BP66" s="97"/>
      <c r="BQ66" s="96"/>
      <c r="BR66" s="97"/>
      <c r="BS66" s="96"/>
      <c r="BT66" s="97"/>
      <c r="BU66" s="96"/>
      <c r="BV66" s="97"/>
      <c r="BW66" s="96"/>
      <c r="BX66" s="97"/>
      <c r="BY66" s="100" t="n">
        <f aca="false">AK66+AM66+AO66+AQ66+AS66+AU66+AW66+AY66+BA66+BC66+BE66+BG66+BI66+BK66+BM66+BO66+BQ66+BS66+BU66+BW66</f>
        <v>-20</v>
      </c>
      <c r="BZ66" s="101" t="n">
        <f aca="false">IF(AND(BY66=0,CC66=0),0,(ABS(AK66)*AL66+ABS(AM66)*AN66+ABS(AO66)*AP66+ABS(AQ66)*AR66+ABS(AS66)*AT66+ABS(AU66)*AV66+ABS(AW66)*AX66+ABS(AY66)*AZ66+ABS(BA66)*BB66+ABS(BC66)*BD66+ABS(BE66)*BF66+ABS(BG66)*BH66+ABS(BI66)*BJ66+ABS(BK66)*BL66+ABS(BM66)*BN66+ABS(BO66)*BP66+ABS(BQ66)*BR66+ABS(BS66)*BT66+ABS(BU66)*BV66+ABS(BW66)*BX66)/CC66)</f>
        <v>47.125</v>
      </c>
      <c r="CA66" s="102"/>
      <c r="CB66" s="103" t="n">
        <f aca="false">AJ66</f>
        <v>37500</v>
      </c>
      <c r="CC66" s="102" t="n">
        <f aca="false">ABS(AK66)+ABS(AM66)+ABS(AO66)+ABS(AQ66)+ABS(AS66)+ABS(AU66)+ABS(AW66)+ABS(AY66)+ABS(BA66)+ABS(BC66)+ABS(BE66)+ABS(BG66)+ABS(BI66)+ABS(BK66)+ABS(BM66)+ABS(BO66)+ABS(BQ66)+ABS(BS66)+ABS(BU66)+ABS(BW66)</f>
        <v>20</v>
      </c>
      <c r="CD66" s="104" t="n">
        <f aca="false">DK90*24</f>
        <v>720</v>
      </c>
      <c r="CE66" s="102" t="n">
        <f aca="false">DK90*8</f>
        <v>240</v>
      </c>
      <c r="CF66" s="102" t="n">
        <f aca="false">DL90*16</f>
        <v>96</v>
      </c>
      <c r="CG66" s="102" t="n">
        <f aca="false">CG22</f>
        <v>0.976788872773786</v>
      </c>
      <c r="CH66" s="106" t="n">
        <f aca="false">D66*(CE66+CF66)</f>
        <v>-6720</v>
      </c>
      <c r="CI66" s="106" t="n">
        <f aca="false">IF(YEAR($AJ66)=$CI$10,(($CN66-$AL$92)*$AK$92+($CN66-$AN$92)*$AM$92+($CN66-$AP$92)*$AO$92+($CN66-$AR$92)*$AQ$92+($CN66-$AT$92)*$AS$92+($CN66-$AV$92)*$AU$92+($CN66-$AX$92)*$AW$92+($CN66-$AZ$92)*$AY$92+($CN66-$BB$92)*$BA$92+($CN66-$BD$92)*$BC$92+($CN66-$BF$92)*$BE$92+($CN66-$BH$92)*$BG$92+($CN66-$BJ$92)*$BI$92+($CN66-$BL$92)*$BK$92+($CN66-$BN$92)*$BM$92+($CN66-$BP$92)*$BO$92+($CN66-$BR$92)*$BQ$92+($CN66-$BT$92)*$BS$92+($CN66-$BV$92)*$BU$92+($CN66-$BX$92)*$BW$92)*($CE66+$CF66)*$CG66,0)</f>
        <v>0</v>
      </c>
      <c r="CJ66" s="106" t="n">
        <f aca="false">IF(YEAR($AJ66)=$CJ$10,(($CN66-$AL$93)*$AK$93+($CN66-$AN$93)*$AM$93+($CN66-$AP$93)*$AO$93+($CN66-$AR$93)*$AQ$93+($CN66-$AT$93)*$AS$93+($CN66-$AV$93)*$AU$93+($CN66-$AX$93)*$AW$93+($CN66-$AZ$93)*$AY$93+($CN66-$BB$93)*$BA$93+($CN66-$BD$93)*$BC$93+($CN66-$BF$93)*$BE$93+($CN66-$BH$93)*$BG$93+($CN66-$BJ$93)*$BI$93+($CN66-$BL$93)*$BK$93+($CN66-$BN$93)*$BM$93+($CN66-$BP$93)*$BO$93+($CN66-$BR$93)*$BQ$93+($CN66-$BT$93)*$BS$93+($CN66-$BV$93)*$BU$93+($CN66-$BX$93)*$BW$93)*($CE66+$CF66)*$CG66,0)</f>
        <v>0</v>
      </c>
      <c r="CK66" s="106" t="n">
        <f aca="false">IF(YEAR($AJ66)=$CK$10,(($CN66-$AL$94)*$AK$94+($CN66-$AN$94)*$AM$94+($CN66-$AP$94)*$AO$94+($CN66-$AR$94)*$AQ$94+($CN66-$AT$94)*$AS$94+($CN66-$AV$94)*$AU$94+($CN66-$AX$94)*$AW$94+($CN66-$AZ$94)*$AY$94+($CN66-$BB$94)*$BA$94+($CN66-$BD$94)*$BC$94+($CN66-$BF$94)*$BE$94+($CN66-$BH$94)*$BG$94+($CN66-$BJ$94)*$BI$94+($CN66-$BL$94)*$BK$94+($CN66-$BN$94)*$BM$94+($CN66-$BP$94)*$BO$94+($CN66-$BR$94)*$BQ$94+($CN66-$BT$94)*$BS$94+($CN66-$BV$94)*$BU$94+($CN66-$BX$94)*$BW$94)*($CE66+$CF66)*$CG66,0)</f>
        <v>0</v>
      </c>
      <c r="CL66" s="1" t="n">
        <f aca="false">CC66*CD66</f>
        <v>14400</v>
      </c>
      <c r="CN66" s="21" t="n">
        <f aca="false">([2]EnergyCurve!$L44*CE66+[2]EnergyCurve!$AD44*CF66)/(CE66+CF66)</f>
        <v>29.5214482223781</v>
      </c>
      <c r="DI66" s="1" t="n">
        <f aca="false">DK66-DL66</f>
        <v>4</v>
      </c>
      <c r="DJ66" s="107" t="n">
        <f aca="false">[2]EnergyCurve!$D88</f>
        <v>38838</v>
      </c>
      <c r="DK66" s="2" t="n">
        <f aca="false">IF($L$6=0,VLOOKUP(DJ66,$DM$13:$DQ$252,2)+VLOOKUP(DJ66,$DU$13:$DY$252,3),VLOOKUP(DJ66,$DU$13:$DY$252,2)+VLOOKUP(DJ66,$DU$13:$DY$252,3))</f>
        <v>26</v>
      </c>
      <c r="DL66" s="2" t="n">
        <f aca="false">IF($L$6=0,VLOOKUP(DJ66,$DM$13:$DQ$252,2),VLOOKUP(DJ66,$DU$13:$DY$252,2))</f>
        <v>22</v>
      </c>
      <c r="DM66" s="130" t="n">
        <v>38504</v>
      </c>
      <c r="DN66" s="22" t="n">
        <v>22</v>
      </c>
      <c r="DO66" s="22" t="n">
        <v>4</v>
      </c>
      <c r="DP66" s="22" t="n">
        <v>4</v>
      </c>
      <c r="DQ66" s="22" t="n">
        <v>0</v>
      </c>
      <c r="DR66" s="22" t="n">
        <v>30</v>
      </c>
      <c r="DS66" s="111"/>
      <c r="DT66" s="111"/>
      <c r="DU66" s="130" t="n">
        <v>38504</v>
      </c>
      <c r="DV66" s="22" t="n">
        <v>22</v>
      </c>
      <c r="DW66" s="22" t="n">
        <v>4</v>
      </c>
      <c r="DX66" s="22" t="n">
        <v>4</v>
      </c>
      <c r="DY66" s="22" t="n">
        <v>0</v>
      </c>
      <c r="DZ66" s="22" t="n">
        <v>30</v>
      </c>
      <c r="EA66" s="111"/>
      <c r="EB66" s="111"/>
      <c r="EQ66" s="107"/>
      <c r="ER66" s="111"/>
      <c r="ES66" s="44"/>
      <c r="ET66" s="44"/>
    </row>
    <row r="67" customFormat="false" ht="18" hidden="false" customHeight="true" outlineLevel="0" collapsed="false">
      <c r="A67" s="112" t="n">
        <f aca="false">A23</f>
        <v>37530</v>
      </c>
      <c r="B67" s="113" t="n">
        <f aca="false">[2]EnergyCurve!$P45+[2]EnergyCurve!$R45+B23</f>
        <v>155626.304199219</v>
      </c>
      <c r="C67" s="114" t="n">
        <f aca="false">B67/(CG67*CD67)</f>
        <v>214.65796552496</v>
      </c>
      <c r="D67" s="114" t="n">
        <f aca="false">BY67+IF(YEAR(A67)=$T$20,$BY$92,0)+IF(YEAR(A67)=$T$21,$BY$93,0)+IF(YEAR(A67)=$T$22,$BY$94,0)</f>
        <v>-20</v>
      </c>
      <c r="E67" s="115" t="n">
        <f aca="false">B67+(D67*(CE67+CF67)*CG67)+(D23*CD23*CG23)</f>
        <v>141126.371357815</v>
      </c>
      <c r="F67" s="116" t="n">
        <f aca="false">C67+D67</f>
        <v>194.65796552496</v>
      </c>
      <c r="G67" s="117" t="n">
        <f aca="false">([2]EnergyCurve!$J45*CE67+[2]EnergyCurve!$AB45*CF67+G23*CD23)/CD67</f>
        <v>45.3003020132742</v>
      </c>
      <c r="H67" s="117" t="n">
        <f aca="false">I67-G67</f>
        <v>-1.10093438550857</v>
      </c>
      <c r="I67" s="118" t="n">
        <f aca="false">([2]EnergyCurve!$L45*CE67+[2]EnergyCurve!$AD45*CF67+I23*CD23)/CD67</f>
        <v>44.1993676277656</v>
      </c>
      <c r="J67" s="115" t="n">
        <f aca="false">[2]EnergyCurve!$T45</f>
        <v>-143676.767077967</v>
      </c>
      <c r="K67" s="119" t="n">
        <f aca="false">(((CN67-AL67)*AK67+(CN67-AN67)*AM67+(CN67-AP67)*AO67+(CN67-AR67)*AQ67+(CN67-AT67)*AS67+(CN67-AV67)*AU67+(CN67-AX67)*AW67+(CN67-AZ67)*AY67+(CN67-BB67)*BA67+(CN67-BD67)*BC67+(CN67-BF67)*BE67+(CN67-BH67)*BG67+(CN67-BJ67)*BI67+(CN67-BL67)*BK67+(CN67-BN67)*BM67+(CN67-BP67)*BO67+(CN67-BR67)*BQ67+(CN67-BT67)*BS67+(CN67-BV67)*BU67+(CN67-BX67)*BW67)*(CE67+CF67)*CG67)+CI67+CJ67+CK67</f>
        <v>111702.551795559</v>
      </c>
      <c r="L67" s="119" t="n">
        <f aca="false">J67+K67</f>
        <v>-31974.2152824079</v>
      </c>
      <c r="M67" s="46"/>
      <c r="N67" s="83" t="n">
        <f aca="false">A67</f>
        <v>37530</v>
      </c>
      <c r="O67" s="84" t="n">
        <v>85</v>
      </c>
      <c r="P67" s="84" t="n">
        <v>85</v>
      </c>
      <c r="Q67" s="85" t="n">
        <f aca="false">AVERAGE(O67:P67)-G67</f>
        <v>39.6996979867258</v>
      </c>
      <c r="R67" s="201"/>
      <c r="S67" s="202" t="n">
        <f aca="false">I67</f>
        <v>44.1993676277656</v>
      </c>
      <c r="T67" s="88"/>
      <c r="U67" s="89"/>
      <c r="V67" s="141"/>
      <c r="W67" s="142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95" t="n">
        <f aca="false">A67</f>
        <v>37530</v>
      </c>
      <c r="AK67" s="96" t="n">
        <v>-5</v>
      </c>
      <c r="AL67" s="97" t="n">
        <v>47.5</v>
      </c>
      <c r="AM67" s="96" t="n">
        <v>-15</v>
      </c>
      <c r="AN67" s="97" t="n">
        <v>47</v>
      </c>
      <c r="AO67" s="96"/>
      <c r="AP67" s="97"/>
      <c r="AQ67" s="96"/>
      <c r="AR67" s="97"/>
      <c r="AS67" s="96"/>
      <c r="AT67" s="97"/>
      <c r="AU67" s="96"/>
      <c r="AV67" s="97"/>
      <c r="AW67" s="96"/>
      <c r="AX67" s="97"/>
      <c r="AY67" s="96"/>
      <c r="AZ67" s="97"/>
      <c r="BA67" s="96"/>
      <c r="BB67" s="97"/>
      <c r="BC67" s="96"/>
      <c r="BD67" s="97"/>
      <c r="BE67" s="96"/>
      <c r="BF67" s="97"/>
      <c r="BG67" s="96"/>
      <c r="BH67" s="97"/>
      <c r="BI67" s="96"/>
      <c r="BJ67" s="97"/>
      <c r="BK67" s="96"/>
      <c r="BL67" s="97"/>
      <c r="BM67" s="96"/>
      <c r="BN67" s="97"/>
      <c r="BO67" s="96"/>
      <c r="BP67" s="97"/>
      <c r="BQ67" s="96"/>
      <c r="BR67" s="97"/>
      <c r="BS67" s="96"/>
      <c r="BT67" s="97"/>
      <c r="BU67" s="96"/>
      <c r="BV67" s="97"/>
      <c r="BW67" s="96"/>
      <c r="BX67" s="97"/>
      <c r="BY67" s="100" t="n">
        <f aca="false">AK67+AM67+AO67+AQ67+AS67+AU67+AW67+AY67+BA67+BC67+BE67+BG67+BI67+BK67+BM67+BO67+BQ67+BS67+BU67+BW67</f>
        <v>-20</v>
      </c>
      <c r="BZ67" s="101" t="n">
        <f aca="false">IF(AND(BY67=0,CC67=0),0,(ABS(AK67)*AL67+ABS(AM67)*AN67+ABS(AO67)*AP67+ABS(AQ67)*AR67+ABS(AS67)*AT67+ABS(AU67)*AV67+ABS(AW67)*AX67+ABS(AY67)*AZ67+ABS(BA67)*BB67+ABS(BC67)*BD67+ABS(BE67)*BF67+ABS(BG67)*BH67+ABS(BI67)*BJ67+ABS(BK67)*BL67+ABS(BM67)*BN67+ABS(BO67)*BP67+ABS(BQ67)*BR67+ABS(BS67)*BT67+ABS(BU67)*BV67+ABS(BW67)*BX67)/CC67)</f>
        <v>47.125</v>
      </c>
      <c r="CA67" s="102"/>
      <c r="CB67" s="103" t="n">
        <f aca="false">AJ67</f>
        <v>37530</v>
      </c>
      <c r="CC67" s="102" t="n">
        <f aca="false">ABS(AK67)+ABS(AM67)+ABS(AO67)+ABS(AQ67)+ABS(AS67)+ABS(AU67)+ABS(AW67)+ABS(AY67)+ABS(BA67)+ABS(BC67)+ABS(BE67)+ABS(BG67)+ABS(BI67)+ABS(BK67)+ABS(BM67)+ABS(BO67)+ABS(BQ67)+ABS(BS67)+ABS(BU67)+ABS(BW67)</f>
        <v>20</v>
      </c>
      <c r="CD67" s="104" t="n">
        <f aca="false">DK91*24</f>
        <v>744</v>
      </c>
      <c r="CE67" s="102" t="n">
        <f aca="false">DK91*8</f>
        <v>248</v>
      </c>
      <c r="CF67" s="102" t="n">
        <f aca="false">DL91*16</f>
        <v>64</v>
      </c>
      <c r="CG67" s="102" t="n">
        <f aca="false">CG23</f>
        <v>0.974457852244904</v>
      </c>
      <c r="CH67" s="106" t="n">
        <f aca="false">D67*(CE67+CF67)</f>
        <v>-6240</v>
      </c>
      <c r="CI67" s="106" t="n">
        <f aca="false">IF(YEAR($AJ67)=$CI$10,(($CN67-$AL$92)*$AK$92+($CN67-$AN$92)*$AM$92+($CN67-$AP$92)*$AO$92+($CN67-$AR$92)*$AQ$92+($CN67-$AT$92)*$AS$92+($CN67-$AV$92)*$AU$92+($CN67-$AX$92)*$AW$92+($CN67-$AZ$92)*$AY$92+($CN67-$BB$92)*$BA$92+($CN67-$BD$92)*$BC$92+($CN67-$BF$92)*$BE$92+($CN67-$BH$92)*$BG$92+($CN67-$BJ$92)*$BI$92+($CN67-$BL$92)*$BK$92+($CN67-$BN$92)*$BM$92+($CN67-$BP$92)*$BO$92+($CN67-$BR$92)*$BQ$92+($CN67-$BT$92)*$BS$92+($CN67-$BV$92)*$BU$92+($CN67-$BX$92)*$BW$92)*($CE67+$CF67)*$CG67,0)</f>
        <v>0</v>
      </c>
      <c r="CJ67" s="106" t="n">
        <f aca="false">IF(YEAR($AJ67)=$CJ$10,(($CN67-$AL$93)*$AK$93+($CN67-$AN$93)*$AM$93+($CN67-$AP$93)*$AO$93+($CN67-$AR$93)*$AQ$93+($CN67-$AT$93)*$AS$93+($CN67-$AV$93)*$AU$93+($CN67-$AX$93)*$AW$93+($CN67-$AZ$93)*$AY$93+($CN67-$BB$93)*$BA$93+($CN67-$BD$93)*$BC$93+($CN67-$BF$93)*$BE$93+($CN67-$BH$93)*$BG$93+($CN67-$BJ$93)*$BI$93+($CN67-$BL$93)*$BK$93+($CN67-$BN$93)*$BM$93+($CN67-$BP$93)*$BO$93+($CN67-$BR$93)*$BQ$93+($CN67-$BT$93)*$BS$93+($CN67-$BV$93)*$BU$93+($CN67-$BX$93)*$BW$93)*($CE67+$CF67)*$CG67,0)</f>
        <v>0</v>
      </c>
      <c r="CK67" s="106" t="n">
        <f aca="false">IF(YEAR($AJ67)=$CK$10,(($CN67-$AL$94)*$AK$94+($CN67-$AN$94)*$AM$94+($CN67-$AP$94)*$AO$94+($CN67-$AR$94)*$AQ$94+($CN67-$AT$94)*$AS$94+($CN67-$AV$94)*$AU$94+($CN67-$AX$94)*$AW$94+($CN67-$AZ$94)*$AY$94+($CN67-$BB$94)*$BA$94+($CN67-$BD$94)*$BC$94+($CN67-$BF$94)*$BE$94+($CN67-$BH$94)*$BG$94+($CN67-$BJ$94)*$BI$94+($CN67-$BL$94)*$BK$94+($CN67-$BN$94)*$BM$94+($CN67-$BP$94)*$BO$94+($CN67-$BR$94)*$BQ$94+($CN67-$BT$94)*$BS$94+($CN67-$BV$94)*$BU$94+($CN67-$BX$94)*$BW$94)*($CE67+$CF67)*$CG67,0)</f>
        <v>0</v>
      </c>
      <c r="CL67" s="1" t="n">
        <f aca="false">CC67*CD67</f>
        <v>14880</v>
      </c>
      <c r="CN67" s="21" t="n">
        <f aca="false">([2]EnergyCurve!$L45*CE67+[2]EnergyCurve!$AD45*CF67)/(CE67+CF67)</f>
        <v>28.7547339838789</v>
      </c>
      <c r="DI67" s="1" t="n">
        <f aca="false">DK67-DL67</f>
        <v>4</v>
      </c>
      <c r="DJ67" s="107" t="n">
        <f aca="false">[2]EnergyCurve!$D89</f>
        <v>38869</v>
      </c>
      <c r="DK67" s="2" t="n">
        <f aca="false">IF($L$6=0,VLOOKUP(DJ67,$DM$13:$DQ$252,2)+VLOOKUP(DJ67,$DU$13:$DY$252,3),VLOOKUP(DJ67,$DU$13:$DY$252,2)+VLOOKUP(DJ67,$DU$13:$DY$252,3))</f>
        <v>26</v>
      </c>
      <c r="DL67" s="2" t="n">
        <f aca="false">IF($L$6=0,VLOOKUP(DJ67,$DM$13:$DQ$252,2),VLOOKUP(DJ67,$DU$13:$DY$252,2))</f>
        <v>22</v>
      </c>
      <c r="DM67" s="130" t="n">
        <v>38534</v>
      </c>
      <c r="DN67" s="22" t="n">
        <v>20</v>
      </c>
      <c r="DO67" s="22" t="n">
        <v>5</v>
      </c>
      <c r="DP67" s="22" t="n">
        <v>5</v>
      </c>
      <c r="DQ67" s="22" t="n">
        <v>1</v>
      </c>
      <c r="DR67" s="22" t="n">
        <v>31</v>
      </c>
      <c r="DS67" s="111"/>
      <c r="DT67" s="111"/>
      <c r="DU67" s="130" t="n">
        <v>38534</v>
      </c>
      <c r="DV67" s="22" t="n">
        <v>20</v>
      </c>
      <c r="DW67" s="22" t="n">
        <v>5</v>
      </c>
      <c r="DX67" s="22" t="n">
        <v>5</v>
      </c>
      <c r="DY67" s="22" t="n">
        <v>1</v>
      </c>
      <c r="DZ67" s="22" t="n">
        <v>31</v>
      </c>
      <c r="EA67" s="111"/>
      <c r="EB67" s="111"/>
      <c r="EQ67" s="107"/>
      <c r="ER67" s="111"/>
      <c r="ES67" s="44"/>
      <c r="ET67" s="44"/>
    </row>
    <row r="68" customFormat="false" ht="18" hidden="false" customHeight="true" outlineLevel="0" collapsed="false">
      <c r="A68" s="75" t="n">
        <f aca="false">A24</f>
        <v>37561</v>
      </c>
      <c r="B68" s="76" t="n">
        <f aca="false">[2]EnergyCurve!$P46+[2]EnergyCurve!$R46+B24</f>
        <v>155999.798828125</v>
      </c>
      <c r="C68" s="77" t="n">
        <f aca="false">B68/(CG68*CD68)</f>
        <v>222.903804978097</v>
      </c>
      <c r="D68" s="78" t="n">
        <f aca="false">BY68+IF(YEAR(A68)=$T$20,$BY$92,0)+IF(YEAR(A68)=$T$21,$BY$93,0)+IF(YEAR(A68)=$T$22,$BY$94,0)</f>
        <v>-20</v>
      </c>
      <c r="E68" s="77" t="n">
        <f aca="false">B68+(D68*(CE68+CF68)*CG68)+(D24*CD24*CG24)</f>
        <v>142002.747602961</v>
      </c>
      <c r="F68" s="79" t="n">
        <f aca="false">C68+D68</f>
        <v>202.903804978097</v>
      </c>
      <c r="G68" s="80" t="n">
        <f aca="false">([2]EnergyCurve!$J46*CE68+[2]EnergyCurve!$AB46*CF68+G24*CD24)/CD68</f>
        <v>48.6550284491645</v>
      </c>
      <c r="H68" s="80" t="n">
        <f aca="false">I68-G68</f>
        <v>-1.19353342788368</v>
      </c>
      <c r="I68" s="81" t="n">
        <f aca="false">([2]EnergyCurve!$L46*CE68+[2]EnergyCurve!$AD46*CF68+I24*CD24)/CD68</f>
        <v>47.4614950212808</v>
      </c>
      <c r="J68" s="76" t="n">
        <f aca="false">[2]EnergyCurve!$T46</f>
        <v>-157627.18797198</v>
      </c>
      <c r="K68" s="82" t="n">
        <f aca="false">(((CN68-AL68)*AK68+(CN68-AN68)*AM68+(CN68-AP68)*AO68+(CN68-AR68)*AQ68+(CN68-AT68)*AS68+(CN68-AV68)*AU68+(CN68-AX68)*AW68+(CN68-AZ68)*AY68+(CN68-BB68)*BA68+(CN68-BD68)*BC68+(CN68-BF68)*BE68+(CN68-BH68)*BG68+(CN68-BJ68)*BI68+(CN68-BL68)*BK68+(CN68-BN68)*BM68+(CN68-BP68)*BO68+(CN68-BR68)*BQ68+(CN68-BT68)*BS68+(CN68-BV68)*BU68+(CN68-BX68)*BW68)*(CE68+CF68)*CG68)+CI68+CJ68+CK68</f>
        <v>94567.153821658</v>
      </c>
      <c r="L68" s="82" t="n">
        <f aca="false">J68+K68</f>
        <v>-63060.0341503223</v>
      </c>
      <c r="M68" s="198"/>
      <c r="N68" s="83" t="n">
        <f aca="false">A68</f>
        <v>37561</v>
      </c>
      <c r="O68" s="84" t="n">
        <v>85</v>
      </c>
      <c r="P68" s="84" t="n">
        <v>85</v>
      </c>
      <c r="Q68" s="85" t="n">
        <f aca="false">AVERAGE(O68:P68)-G68</f>
        <v>36.3449715508355</v>
      </c>
      <c r="R68" s="201"/>
      <c r="S68" s="202" t="n">
        <f aca="false">I68</f>
        <v>47.4614950212808</v>
      </c>
      <c r="T68" s="88"/>
      <c r="U68" s="89"/>
      <c r="V68" s="141"/>
      <c r="W68" s="142"/>
      <c r="X68" s="9"/>
      <c r="Y68" s="9"/>
      <c r="Z68" s="143"/>
      <c r="AA68" s="143"/>
      <c r="AB68" s="143"/>
      <c r="AC68" s="143"/>
      <c r="AD68" s="143"/>
      <c r="AE68" s="9"/>
      <c r="AF68" s="46"/>
      <c r="AG68" s="46"/>
      <c r="AH68" s="46"/>
      <c r="AI68" s="46"/>
      <c r="AJ68" s="95" t="n">
        <f aca="false">A68</f>
        <v>37561</v>
      </c>
      <c r="AK68" s="96" t="n">
        <v>-5</v>
      </c>
      <c r="AL68" s="97" t="n">
        <v>47.5</v>
      </c>
      <c r="AM68" s="96" t="n">
        <v>-15</v>
      </c>
      <c r="AN68" s="97" t="n">
        <v>47</v>
      </c>
      <c r="AO68" s="96"/>
      <c r="AP68" s="97"/>
      <c r="AQ68" s="96"/>
      <c r="AR68" s="97"/>
      <c r="AS68" s="96"/>
      <c r="AT68" s="97"/>
      <c r="AU68" s="96"/>
      <c r="AV68" s="97"/>
      <c r="AW68" s="96"/>
      <c r="AX68" s="97"/>
      <c r="AY68" s="96"/>
      <c r="AZ68" s="97"/>
      <c r="BA68" s="96"/>
      <c r="BB68" s="97"/>
      <c r="BC68" s="96"/>
      <c r="BD68" s="97"/>
      <c r="BE68" s="96"/>
      <c r="BF68" s="97"/>
      <c r="BG68" s="96"/>
      <c r="BH68" s="97"/>
      <c r="BI68" s="96"/>
      <c r="BJ68" s="97"/>
      <c r="BK68" s="96"/>
      <c r="BL68" s="97"/>
      <c r="BM68" s="96"/>
      <c r="BN68" s="97"/>
      <c r="BO68" s="96"/>
      <c r="BP68" s="97"/>
      <c r="BQ68" s="96"/>
      <c r="BR68" s="97"/>
      <c r="BS68" s="96"/>
      <c r="BT68" s="97"/>
      <c r="BU68" s="96"/>
      <c r="BV68" s="97"/>
      <c r="BW68" s="96"/>
      <c r="BX68" s="97"/>
      <c r="BY68" s="100" t="n">
        <f aca="false">AK68+AM68+AO68+AQ68+AS68+AU68+AW68+AY68+BA68+BC68+BE68+BG68+BI68+BK68+BM68+BO68+BQ68+BS68+BU68+BW68</f>
        <v>-20</v>
      </c>
      <c r="BZ68" s="101" t="n">
        <f aca="false">IF(AND(BY68=0,CC68=0),0,(ABS(AK68)*AL68+ABS(AM68)*AN68+ABS(AO68)*AP68+ABS(AQ68)*AR68+ABS(AS68)*AT68+ABS(AU68)*AV68+ABS(AW68)*AX68+ABS(AY68)*AZ68+ABS(BA68)*BB68+ABS(BC68)*BD68+ABS(BE68)*BF68+ABS(BG68)*BH68+ABS(BI68)*BJ68+ABS(BK68)*BL68+ABS(BM68)*BN68+ABS(BO68)*BP68+ABS(BQ68)*BR68+ABS(BS68)*BT68+ABS(BU68)*BV68+ABS(BW68)*BX68)/CC68)</f>
        <v>47.125</v>
      </c>
      <c r="CA68" s="102"/>
      <c r="CB68" s="103" t="n">
        <f aca="false">AJ68</f>
        <v>37561</v>
      </c>
      <c r="CC68" s="102" t="n">
        <f aca="false">ABS(AK68)+ABS(AM68)+ABS(AO68)+ABS(AQ68)+ABS(AS68)+ABS(AU68)+ABS(AW68)+ABS(AY68)+ABS(BA68)+ABS(BC68)+ABS(BE68)+ABS(BG68)+ABS(BI68)+ABS(BK68)+ABS(BM68)+ABS(BO68)+ABS(BQ68)+ABS(BS68)+ABS(BU68)+ABS(BW68)</f>
        <v>20</v>
      </c>
      <c r="CD68" s="104" t="n">
        <f aca="false">DK92*24</f>
        <v>720</v>
      </c>
      <c r="CE68" s="102" t="n">
        <f aca="false">DK92*8</f>
        <v>240</v>
      </c>
      <c r="CF68" s="102" t="n">
        <f aca="false">DL92*16</f>
        <v>80</v>
      </c>
      <c r="CG68" s="102" t="n">
        <f aca="false">CG24</f>
        <v>0.972017446191978</v>
      </c>
      <c r="CH68" s="106" t="n">
        <f aca="false">D68*(CE68+CF68)</f>
        <v>-6400</v>
      </c>
      <c r="CI68" s="106" t="n">
        <f aca="false">IF(YEAR($AJ68)=$CI$10,(($CN68-$AL$92)*$AK$92+($CN68-$AN$92)*$AM$92+($CN68-$AP$92)*$AO$92+($CN68-$AR$92)*$AQ$92+($CN68-$AT$92)*$AS$92+($CN68-$AV$92)*$AU$92+($CN68-$AX$92)*$AW$92+($CN68-$AZ$92)*$AY$92+($CN68-$BB$92)*$BA$92+($CN68-$BD$92)*$BC$92+($CN68-$BF$92)*$BE$92+($CN68-$BH$92)*$BG$92+($CN68-$BJ$92)*$BI$92+($CN68-$BL$92)*$BK$92+($CN68-$BN$92)*$BM$92+($CN68-$BP$92)*$BO$92+($CN68-$BR$92)*$BQ$92+($CN68-$BT$92)*$BS$92+($CN68-$BV$92)*$BU$92+($CN68-$BX$92)*$BW$92)*($CE68+$CF68)*$CG68,0)</f>
        <v>0</v>
      </c>
      <c r="CJ68" s="106" t="n">
        <f aca="false">IF(YEAR($AJ68)=$CJ$10,(($CN68-$AL$93)*$AK$93+($CN68-$AN$93)*$AM$93+($CN68-$AP$93)*$AO$93+($CN68-$AR$93)*$AQ$93+($CN68-$AT$93)*$AS$93+($CN68-$AV$93)*$AU$93+($CN68-$AX$93)*$AW$93+($CN68-$AZ$93)*$AY$93+($CN68-$BB$93)*$BA$93+($CN68-$BD$93)*$BC$93+($CN68-$BF$93)*$BE$93+($CN68-$BH$93)*$BG$93+($CN68-$BJ$93)*$BI$93+($CN68-$BL$93)*$BK$93+($CN68-$BN$93)*$BM$93+($CN68-$BP$93)*$BO$93+($CN68-$BR$93)*$BQ$93+($CN68-$BT$93)*$BS$93+($CN68-$BV$93)*$BU$93+($CN68-$BX$93)*$BW$93)*($CE68+$CF68)*$CG68,0)</f>
        <v>0</v>
      </c>
      <c r="CK68" s="106" t="n">
        <f aca="false">IF(YEAR($AJ68)=$CK$10,(($CN68-$AL$94)*$AK$94+($CN68-$AN$94)*$AM$94+($CN68-$AP$94)*$AO$94+($CN68-$AR$94)*$AQ$94+($CN68-$AT$94)*$AS$94+($CN68-$AV$94)*$AU$94+($CN68-$AX$94)*$AW$94+($CN68-$AZ$94)*$AY$94+($CN68-$BB$94)*$BA$94+($CN68-$BD$94)*$BC$94+($CN68-$BF$94)*$BE$94+($CN68-$BH$94)*$BG$94+($CN68-$BJ$94)*$BI$94+($CN68-$BL$94)*$BK$94+($CN68-$BN$94)*$BM$94+($CN68-$BP$94)*$BO$94+($CN68-$BR$94)*$BQ$94+($CN68-$BT$94)*$BS$94+($CN68-$BV$94)*$BU$94+($CN68-$BX$94)*$BW$94)*($CE68+$CF68)*$CG68,0)</f>
        <v>0</v>
      </c>
      <c r="CL68" s="1" t="n">
        <f aca="false">CC68*CD68</f>
        <v>14400</v>
      </c>
      <c r="CN68" s="21" t="n">
        <f aca="false">([2]EnergyCurve!$L46*CE68+[2]EnergyCurve!$AD46*CF68)/(CE68+CF68)</f>
        <v>31.9235055797901</v>
      </c>
      <c r="DI68" s="1" t="n">
        <f aca="false">DK68-DL68</f>
        <v>5</v>
      </c>
      <c r="DJ68" s="107" t="n">
        <f aca="false">[2]EnergyCurve!$D90</f>
        <v>38899</v>
      </c>
      <c r="DK68" s="2" t="n">
        <f aca="false">IF($L$6=0,VLOOKUP(DJ68,$DM$13:$DQ$252,2)+VLOOKUP(DJ68,$DU$13:$DY$252,3),VLOOKUP(DJ68,$DU$13:$DY$252,2)+VLOOKUP(DJ68,$DU$13:$DY$252,3))</f>
        <v>25</v>
      </c>
      <c r="DL68" s="2" t="n">
        <f aca="false">IF($L$6=0,VLOOKUP(DJ68,$DM$13:$DQ$252,2),VLOOKUP(DJ68,$DU$13:$DY$252,2))</f>
        <v>20</v>
      </c>
      <c r="DM68" s="130" t="n">
        <v>38565</v>
      </c>
      <c r="DN68" s="22" t="n">
        <v>22</v>
      </c>
      <c r="DO68" s="22" t="n">
        <v>4</v>
      </c>
      <c r="DP68" s="22" t="n">
        <v>4</v>
      </c>
      <c r="DQ68" s="22" t="n">
        <v>1</v>
      </c>
      <c r="DR68" s="22" t="n">
        <v>31</v>
      </c>
      <c r="DS68" s="111"/>
      <c r="DT68" s="111"/>
      <c r="DU68" s="130" t="n">
        <v>38565</v>
      </c>
      <c r="DV68" s="22" t="n">
        <v>23</v>
      </c>
      <c r="DW68" s="22" t="n">
        <v>4</v>
      </c>
      <c r="DX68" s="22" t="n">
        <v>4</v>
      </c>
      <c r="DY68" s="22" t="n">
        <v>0</v>
      </c>
      <c r="DZ68" s="22" t="n">
        <v>31</v>
      </c>
      <c r="EA68" s="111"/>
      <c r="EB68" s="111"/>
      <c r="EQ68" s="107"/>
      <c r="ER68" s="111"/>
      <c r="ES68" s="44"/>
      <c r="ET68" s="44"/>
    </row>
    <row r="69" customFormat="false" ht="18" hidden="false" customHeight="true" outlineLevel="0" collapsed="false">
      <c r="A69" s="112" t="n">
        <f aca="false">A25</f>
        <v>37591</v>
      </c>
      <c r="B69" s="113" t="n">
        <f aca="false">[2]EnergyCurve!$P47+[2]EnergyCurve!$R47+B25</f>
        <v>165052.490722656</v>
      </c>
      <c r="C69" s="114" t="n">
        <f aca="false">B69/(CG69*CD69)</f>
        <v>228.831937588902</v>
      </c>
      <c r="D69" s="114" t="n">
        <f aca="false">BY69+IF(YEAR(A69)=$T$20,$BY$92,0)+IF(YEAR(A69)=$T$21,$BY$93,0)+IF(YEAR(A69)=$T$22,$BY$94,0)</f>
        <v>-20</v>
      </c>
      <c r="E69" s="115" t="n">
        <f aca="false">B69+(D69*(CE69+CF69)*CG69)+(D25*CD25*CG25)</f>
        <v>150626.839088384</v>
      </c>
      <c r="F69" s="116" t="n">
        <f aca="false">C69+D69</f>
        <v>208.831937588902</v>
      </c>
      <c r="G69" s="117" t="n">
        <f aca="false">([2]EnergyCurve!$J47*CE69+[2]EnergyCurve!$AB47*CF69+G25*CD25)/CD69</f>
        <v>51.5880816880093</v>
      </c>
      <c r="H69" s="117" t="n">
        <f aca="false">I69-G69</f>
        <v>-1.35752710250124</v>
      </c>
      <c r="I69" s="118" t="n">
        <f aca="false">([2]EnergyCurve!$L47*CE69+[2]EnergyCurve!$AD47*CF69+I25*CD25)/CD69</f>
        <v>50.230554585508</v>
      </c>
      <c r="J69" s="115" t="n">
        <f aca="false">[2]EnergyCurve!$T47</f>
        <v>-190529.903462032</v>
      </c>
      <c r="K69" s="119" t="n">
        <f aca="false">(((CN69-AL69)*AK69+(CN69-AN69)*AM69+(CN69-AP69)*AO69+(CN69-AR69)*AQ69+(CN69-AT69)*AS69+(CN69-AV69)*AU69+(CN69-AX69)*AW69+(CN69-AZ69)*AY69+(CN69-BB69)*BA69+(CN69-BD69)*BC69+(CN69-BF69)*BE69+(CN69-BH69)*BG69+(CN69-BJ69)*BI69+(CN69-BL69)*BK69+(CN69-BN69)*BM69+(CN69-BP69)*BO69+(CN69-BR69)*BQ69+(CN69-BT69)*BS69+(CN69-BV69)*BU69+(CN69-BX69)*BW69)*(CE69+CF69)*CG69)+CI69+CJ69+CK69</f>
        <v>85075.0214661624</v>
      </c>
      <c r="L69" s="119" t="n">
        <f aca="false">J69+K69</f>
        <v>-105454.88199587</v>
      </c>
      <c r="M69" s="198"/>
      <c r="N69" s="83" t="n">
        <f aca="false">A69</f>
        <v>37591</v>
      </c>
      <c r="O69" s="84" t="n">
        <v>34</v>
      </c>
      <c r="P69" s="84" t="n">
        <v>34</v>
      </c>
      <c r="Q69" s="85" t="n">
        <f aca="false">AVERAGE(O69:P69)-G69</f>
        <v>-17.5880816880093</v>
      </c>
      <c r="R69" s="201"/>
      <c r="S69" s="202" t="n">
        <f aca="false">I69</f>
        <v>50.230554585508</v>
      </c>
      <c r="T69" s="89"/>
      <c r="U69" s="89"/>
      <c r="V69" s="144"/>
      <c r="W69" s="145"/>
      <c r="X69" s="145"/>
      <c r="Y69" s="146"/>
      <c r="Z69" s="9"/>
      <c r="AA69" s="147"/>
      <c r="AB69" s="147"/>
      <c r="AC69" s="147"/>
      <c r="AD69" s="147"/>
      <c r="AE69" s="9"/>
      <c r="AF69" s="46"/>
      <c r="AG69" s="46"/>
      <c r="AH69" s="46"/>
      <c r="AI69" s="46"/>
      <c r="AJ69" s="95" t="n">
        <f aca="false">A69</f>
        <v>37591</v>
      </c>
      <c r="AK69" s="96" t="n">
        <v>-5</v>
      </c>
      <c r="AL69" s="97" t="n">
        <v>47.5</v>
      </c>
      <c r="AM69" s="96" t="n">
        <v>-15</v>
      </c>
      <c r="AN69" s="97" t="n">
        <v>47</v>
      </c>
      <c r="AO69" s="96"/>
      <c r="AP69" s="97"/>
      <c r="AQ69" s="96"/>
      <c r="AR69" s="97"/>
      <c r="AS69" s="96"/>
      <c r="AT69" s="97"/>
      <c r="AU69" s="96"/>
      <c r="AV69" s="97"/>
      <c r="AW69" s="96"/>
      <c r="AX69" s="97"/>
      <c r="AY69" s="96"/>
      <c r="AZ69" s="97"/>
      <c r="BA69" s="96"/>
      <c r="BB69" s="97"/>
      <c r="BC69" s="96"/>
      <c r="BD69" s="97"/>
      <c r="BE69" s="96"/>
      <c r="BF69" s="97"/>
      <c r="BG69" s="96"/>
      <c r="BH69" s="97"/>
      <c r="BI69" s="96"/>
      <c r="BJ69" s="97"/>
      <c r="BK69" s="96"/>
      <c r="BL69" s="97"/>
      <c r="BM69" s="96"/>
      <c r="BN69" s="97"/>
      <c r="BO69" s="96"/>
      <c r="BP69" s="97"/>
      <c r="BQ69" s="96"/>
      <c r="BR69" s="97"/>
      <c r="BS69" s="96"/>
      <c r="BT69" s="97"/>
      <c r="BU69" s="96"/>
      <c r="BV69" s="97"/>
      <c r="BW69" s="96"/>
      <c r="BX69" s="97"/>
      <c r="BY69" s="100" t="n">
        <f aca="false">AK69+AM69+AO69+AQ69+AS69+AU69+AW69+AY69+BA69+BC69+BE69+BG69+BI69+BK69+BM69+BO69+BQ69+BS69+BU69+BW69</f>
        <v>-20</v>
      </c>
      <c r="BZ69" s="101" t="n">
        <f aca="false">IF(AND(BY69=0,CC69=0),0,(ABS(AK69)*AL69+ABS(AM69)*AN69+ABS(AO69)*AP69+ABS(AQ69)*AR69+ABS(AS69)*AT69+ABS(AU69)*AV69+ABS(AW69)*AX69+ABS(AY69)*AZ69+ABS(BA69)*BB69+ABS(BC69)*BD69+ABS(BE69)*BF69+ABS(BG69)*BH69+ABS(BI69)*BJ69+ABS(BK69)*BL69+ABS(BM69)*BN69+ABS(BO69)*BP69+ABS(BQ69)*BR69+ABS(BS69)*BT69+ABS(BU69)*BV69+ABS(BW69)*BX69)/CC69)</f>
        <v>47.125</v>
      </c>
      <c r="CA69" s="102"/>
      <c r="CB69" s="103" t="n">
        <f aca="false">AJ69</f>
        <v>37591</v>
      </c>
      <c r="CC69" s="102" t="n">
        <f aca="false">ABS(AK69)+ABS(AM69)+ABS(AO69)+ABS(AQ69)+ABS(AS69)+ABS(AU69)+ABS(AW69)+ABS(AY69)+ABS(BA69)+ABS(BC69)+ABS(BE69)+ABS(BG69)+ABS(BI69)+ABS(BK69)+ABS(BM69)+ABS(BO69)+ABS(BQ69)+ABS(BS69)+ABS(BU69)+ABS(BW69)</f>
        <v>20</v>
      </c>
      <c r="CD69" s="104" t="n">
        <f aca="false">DK93*24</f>
        <v>744</v>
      </c>
      <c r="CE69" s="102" t="n">
        <f aca="false">DK93*8</f>
        <v>248</v>
      </c>
      <c r="CF69" s="102" t="n">
        <f aca="false">DL93*16</f>
        <v>96</v>
      </c>
      <c r="CG69" s="102" t="n">
        <f aca="false">CG25</f>
        <v>0.969465835636604</v>
      </c>
      <c r="CH69" s="106" t="n">
        <f aca="false">D69*(CE69+CF69)</f>
        <v>-6880</v>
      </c>
      <c r="CI69" s="106" t="n">
        <f aca="false">IF(YEAR($AJ69)=$CI$10,(($CN69-$AL$92)*$AK$92+($CN69-$AN$92)*$AM$92+($CN69-$AP$92)*$AO$92+($CN69-$AR$92)*$AQ$92+($CN69-$AT$92)*$AS$92+($CN69-$AV$92)*$AU$92+($CN69-$AX$92)*$AW$92+($CN69-$AZ$92)*$AY$92+($CN69-$BB$92)*$BA$92+($CN69-$BD$92)*$BC$92+($CN69-$BF$92)*$BE$92+($CN69-$BH$92)*$BG$92+($CN69-$BJ$92)*$BI$92+($CN69-$BL$92)*$BK$92+($CN69-$BN$92)*$BM$92+($CN69-$BP$92)*$BO$92+($CN69-$BR$92)*$BQ$92+($CN69-$BT$92)*$BS$92+($CN69-$BV$92)*$BU$92+($CN69-$BX$92)*$BW$92)*($CE69+$CF69)*$CG69,0)</f>
        <v>0</v>
      </c>
      <c r="CJ69" s="106" t="n">
        <f aca="false">IF(YEAR($AJ69)=$CJ$10,(($CN69-$AL$93)*$AK$93+($CN69-$AN$93)*$AM$93+($CN69-$AP$93)*$AO$93+($CN69-$AR$93)*$AQ$93+($CN69-$AT$93)*$AS$93+($CN69-$AV$93)*$AU$93+($CN69-$AX$93)*$AW$93+($CN69-$AZ$93)*$AY$93+($CN69-$BB$93)*$BA$93+($CN69-$BD$93)*$BC$93+($CN69-$BF$93)*$BE$93+($CN69-$BH$93)*$BG$93+($CN69-$BJ$93)*$BI$93+($CN69-$BL$93)*$BK$93+($CN69-$BN$93)*$BM$93+($CN69-$BP$93)*$BO$93+($CN69-$BR$93)*$BQ$93+($CN69-$BT$93)*$BS$93+($CN69-$BV$93)*$BU$93+($CN69-$BX$93)*$BW$93)*($CE69+$CF69)*$CG69,0)</f>
        <v>0</v>
      </c>
      <c r="CK69" s="106" t="n">
        <f aca="false">IF(YEAR($AJ69)=$CK$10,(($CN69-$AL$94)*$AK$94+($CN69-$AN$94)*$AM$94+($CN69-$AP$94)*$AO$94+($CN69-$AR$94)*$AQ$94+($CN69-$AT$94)*$AS$94+($CN69-$AV$94)*$AU$94+($CN69-$AX$94)*$AW$94+($CN69-$AZ$94)*$AY$94+($CN69-$BB$94)*$BA$94+($CN69-$BD$94)*$BC$94+($CN69-$BF$94)*$BE$94+($CN69-$BH$94)*$BG$94+($CN69-$BJ$94)*$BI$94+($CN69-$BL$94)*$BK$94+($CN69-$BN$94)*$BM$94+($CN69-$BP$94)*$BO$94+($CN69-$BR$94)*$BQ$94+($CN69-$BT$94)*$BS$94+($CN69-$BV$94)*$BU$94+($CN69-$BX$94)*$BW$94)*($CE69+$CF69)*$CG69,0)</f>
        <v>0</v>
      </c>
      <c r="CL69" s="1" t="n">
        <f aca="false">CC69*CD69</f>
        <v>14880</v>
      </c>
      <c r="CN69" s="21" t="n">
        <f aca="false">([2]EnergyCurve!$L47*CE69+[2]EnergyCurve!$AD47*CF69)/(CE69+CF69)</f>
        <v>34.3699806985274</v>
      </c>
      <c r="DI69" s="1" t="n">
        <f aca="false">DK69-DL69</f>
        <v>4</v>
      </c>
      <c r="DJ69" s="107" t="n">
        <f aca="false">[2]EnergyCurve!$D91</f>
        <v>38930</v>
      </c>
      <c r="DK69" s="2" t="n">
        <f aca="false">IF($L$6=0,VLOOKUP(DJ69,$DM$13:$DQ$252,2)+VLOOKUP(DJ69,$DU$13:$DY$252,3),VLOOKUP(DJ69,$DU$13:$DY$252,2)+VLOOKUP(DJ69,$DU$13:$DY$252,3))</f>
        <v>27</v>
      </c>
      <c r="DL69" s="2" t="n">
        <f aca="false">IF($L$6=0,VLOOKUP(DJ69,$DM$13:$DQ$252,2),VLOOKUP(DJ69,$DU$13:$DY$252,2))</f>
        <v>23</v>
      </c>
      <c r="DM69" s="130" t="n">
        <v>38596</v>
      </c>
      <c r="DN69" s="22" t="n">
        <v>21</v>
      </c>
      <c r="DO69" s="22" t="n">
        <v>4</v>
      </c>
      <c r="DP69" s="22" t="n">
        <v>4</v>
      </c>
      <c r="DQ69" s="22" t="n">
        <v>1</v>
      </c>
      <c r="DR69" s="22" t="n">
        <v>30</v>
      </c>
      <c r="DS69" s="111"/>
      <c r="DT69" s="111"/>
      <c r="DU69" s="130" t="n">
        <v>38596</v>
      </c>
      <c r="DV69" s="22" t="n">
        <v>21</v>
      </c>
      <c r="DW69" s="22" t="n">
        <v>4</v>
      </c>
      <c r="DX69" s="22" t="n">
        <v>4</v>
      </c>
      <c r="DY69" s="22" t="n">
        <v>1</v>
      </c>
      <c r="DZ69" s="22" t="n">
        <v>30</v>
      </c>
      <c r="EA69" s="111"/>
      <c r="EB69" s="111"/>
      <c r="EQ69" s="107"/>
      <c r="ER69" s="111"/>
      <c r="ES69" s="44"/>
      <c r="ET69" s="44"/>
    </row>
    <row r="70" customFormat="false" ht="18" hidden="false" customHeight="true" outlineLevel="0" collapsed="false">
      <c r="A70" s="75" t="n">
        <f aca="false">A26</f>
        <v>37622</v>
      </c>
      <c r="B70" s="76" t="n">
        <f aca="false">[2]EnergyCurve!$P48+[2]EnergyCurve!$R48+B26</f>
        <v>434659.40625</v>
      </c>
      <c r="C70" s="77" t="n">
        <f aca="false">B70/(CG70*CD70)</f>
        <v>604.330556656477</v>
      </c>
      <c r="D70" s="78" t="n">
        <f aca="false">BY70+IF(YEAR(A70)=$T$20,$BY$92,0)+IF(YEAR(A70)=$T$21,$BY$93,0)+IF(YEAR(A70)=$T$22,$BY$94,0)</f>
        <v>0</v>
      </c>
      <c r="E70" s="77" t="n">
        <f aca="false">B70+(D70*(CE70+CF70)*CG70)+(D26*CD26*CG26)</f>
        <v>434659.40625</v>
      </c>
      <c r="F70" s="79" t="n">
        <f aca="false">C70+D70</f>
        <v>604.330556656477</v>
      </c>
      <c r="G70" s="80" t="n">
        <f aca="false">([2]EnergyCurve!$J48*CE70+[2]EnergyCurve!$AB48*CF70+G26*CD26)/CD70</f>
        <v>45.6960702096262</v>
      </c>
      <c r="H70" s="80" t="n">
        <f aca="false">I70-G70</f>
        <v>-1.15610109665652</v>
      </c>
      <c r="I70" s="81" t="n">
        <f aca="false">([2]EnergyCurve!$L48*CE70+[2]EnergyCurve!$AD48*CF70+I26*CD26)/CD70</f>
        <v>44.5399691129697</v>
      </c>
      <c r="J70" s="76" t="n">
        <f aca="false">[2]EnergyCurve!$T48</f>
        <v>-502350.853140518</v>
      </c>
      <c r="K70" s="82" t="n">
        <f aca="false">(((CN70-AL70)*AK70+(CN70-AN70)*AM70+(CN70-AP70)*AO70+(CN70-AR70)*AQ70+(CN70-AT70)*AS70+(CN70-AV70)*AU70+(CN70-AX70)*AW70+(CN70-AZ70)*AY70+(CN70-BB70)*BA70+(CN70-BD70)*BC70+(CN70-BF70)*BE70+(CN70-BH70)*BG70+(CN70-BJ70)*BI70+(CN70-BL70)*BK70+(CN70-BN70)*BM70+(CN70-BP70)*BO70+(CN70-BR70)*BQ70+(CN70-BT70)*BS70+(CN70-BV70)*BU70+(CN70-BX70)*BW70)*(CE70+CF70)*CG70)+CI70+CJ70+CK70</f>
        <v>0</v>
      </c>
      <c r="L70" s="82" t="n">
        <f aca="false">J70+K70</f>
        <v>-502350.853140518</v>
      </c>
      <c r="M70" s="198"/>
      <c r="N70" s="83" t="n">
        <f aca="false">A70</f>
        <v>37622</v>
      </c>
      <c r="O70" s="84" t="n">
        <v>25.45</v>
      </c>
      <c r="P70" s="84" t="n">
        <v>25.45</v>
      </c>
      <c r="Q70" s="85" t="n">
        <f aca="false">AVERAGE(O70:P70)-G70</f>
        <v>-20.2460702096262</v>
      </c>
      <c r="R70" s="201"/>
      <c r="S70" s="202" t="n">
        <f aca="false">I70</f>
        <v>44.5399691129697</v>
      </c>
      <c r="T70" s="89"/>
      <c r="U70" s="89"/>
      <c r="V70" s="144"/>
      <c r="W70" s="146"/>
      <c r="X70" s="146"/>
      <c r="Y70" s="148"/>
      <c r="Z70" s="149"/>
      <c r="AA70" s="150"/>
      <c r="AB70" s="151"/>
      <c r="AC70" s="151"/>
      <c r="AD70" s="151"/>
      <c r="AE70" s="9"/>
      <c r="AF70" s="46"/>
      <c r="AG70" s="46"/>
      <c r="AH70" s="46"/>
      <c r="AI70" s="46"/>
      <c r="AJ70" s="95" t="n">
        <f aca="false">A70</f>
        <v>37622</v>
      </c>
      <c r="AK70" s="96"/>
      <c r="AL70" s="97"/>
      <c r="AM70" s="96"/>
      <c r="AN70" s="97"/>
      <c r="AO70" s="96"/>
      <c r="AP70" s="97"/>
      <c r="AQ70" s="96"/>
      <c r="AR70" s="97"/>
      <c r="AS70" s="96"/>
      <c r="AT70" s="97"/>
      <c r="AU70" s="96"/>
      <c r="AV70" s="97"/>
      <c r="AW70" s="96"/>
      <c r="AX70" s="97"/>
      <c r="AY70" s="96"/>
      <c r="AZ70" s="97"/>
      <c r="BA70" s="96"/>
      <c r="BB70" s="97"/>
      <c r="BC70" s="96"/>
      <c r="BD70" s="97"/>
      <c r="BE70" s="96"/>
      <c r="BF70" s="97"/>
      <c r="BG70" s="96"/>
      <c r="BH70" s="97"/>
      <c r="BI70" s="96"/>
      <c r="BJ70" s="97"/>
      <c r="BK70" s="96"/>
      <c r="BL70" s="97"/>
      <c r="BM70" s="96"/>
      <c r="BN70" s="97"/>
      <c r="BO70" s="96"/>
      <c r="BP70" s="97"/>
      <c r="BQ70" s="96"/>
      <c r="BR70" s="97"/>
      <c r="BS70" s="96"/>
      <c r="BT70" s="97"/>
      <c r="BU70" s="96"/>
      <c r="BV70" s="97"/>
      <c r="BW70" s="96"/>
      <c r="BX70" s="97"/>
      <c r="BY70" s="100" t="n">
        <f aca="false">AK70+AM70+AO70+AQ70+AS70+AU70+AW70+AY70+BA70+BC70+BE70+BG70+BI70+BK70+BM70+BO70+BQ70+BS70+BU70+BW70</f>
        <v>0</v>
      </c>
      <c r="BZ70" s="101" t="n">
        <f aca="false">IF(AND(BY70=0,CC70=0),0,(ABS(AK70)*AL70+ABS(AM70)*AN70+ABS(AO70)*AP70+ABS(AQ70)*AR70+ABS(AS70)*AT70+ABS(AU70)*AV70+ABS(AW70)*AX70+ABS(AY70)*AZ70+ABS(BA70)*BB70+ABS(BC70)*BD70+ABS(BE70)*BF70+ABS(BG70)*BH70+ABS(BI70)*BJ70+ABS(BK70)*BL70+ABS(BM70)*BN70+ABS(BO70)*BP70+ABS(BQ70)*BR70+ABS(BS70)*BT70+ABS(BU70)*BV70+ABS(BW70)*BX70)/CC70)</f>
        <v>0</v>
      </c>
      <c r="CA70" s="102"/>
      <c r="CB70" s="103" t="n">
        <f aca="false">AJ70</f>
        <v>37622</v>
      </c>
      <c r="CC70" s="102" t="n">
        <f aca="false">ABS(AK70)+ABS(AM70)+ABS(AO70)+ABS(AQ70)+ABS(AS70)+ABS(AU70)+ABS(AW70)+ABS(AY70)+ABS(BA70)+ABS(BC70)+ABS(BE70)+ABS(BG70)+ABS(BI70)+ABS(BK70)+ABS(BM70)+ABS(BO70)+ABS(BQ70)+ABS(BS70)+ABS(BU70)+ABS(BW70)</f>
        <v>0</v>
      </c>
      <c r="CD70" s="104" t="n">
        <f aca="false">DK94*24</f>
        <v>744</v>
      </c>
      <c r="CE70" s="102" t="n">
        <f aca="false">DK94*8</f>
        <v>248</v>
      </c>
      <c r="CF70" s="102" t="n">
        <f aca="false">DL94*16</f>
        <v>80</v>
      </c>
      <c r="CG70" s="102" t="n">
        <f aca="false">CG26</f>
        <v>0.966721979587974</v>
      </c>
      <c r="CH70" s="106" t="n">
        <f aca="false">D70*(CE70+CF70)</f>
        <v>0</v>
      </c>
      <c r="CI70" s="106" t="n">
        <f aca="false">IF(YEAR($AJ70)=$CI$10,(($CN70-$AL$92)*$AK$92+($CN70-$AN$92)*$AM$92+($CN70-$AP$92)*$AO$92+($CN70-$AR$92)*$AQ$92+($CN70-$AT$92)*$AS$92+($CN70-$AV$92)*$AU$92+($CN70-$AX$92)*$AW$92+($CN70-$AZ$92)*$AY$92+($CN70-$BB$92)*$BA$92+($CN70-$BD$92)*$BC$92+($CN70-$BF$92)*$BE$92+($CN70-$BH$92)*$BG$92+($CN70-$BJ$92)*$BI$92+($CN70-$BL$92)*$BK$92+($CN70-$BN$92)*$BM$92+($CN70-$BP$92)*$BO$92+($CN70-$BR$92)*$BQ$92+($CN70-$BT$92)*$BS$92+($CN70-$BV$92)*$BU$92+($CN70-$BX$92)*$BW$92)*($CE70+$CF70)*$CG70,0)</f>
        <v>0</v>
      </c>
      <c r="CJ70" s="106" t="n">
        <f aca="false">IF(YEAR($AJ70)=$CJ$10,(($CN70-$AL$93)*$AK$93+($CN70-$AN$93)*$AM$93+($CN70-$AP$93)*$AO$93+($CN70-$AR$93)*$AQ$93+($CN70-$AT$93)*$AS$93+($CN70-$AV$93)*$AU$93+($CN70-$AX$93)*$AW$93+($CN70-$AZ$93)*$AY$93+($CN70-$BB$93)*$BA$93+($CN70-$BD$93)*$BC$93+($CN70-$BF$93)*$BE$93+($CN70-$BH$93)*$BG$93+($CN70-$BJ$93)*$BI$93+($CN70-$BL$93)*$BK$93+($CN70-$BN$93)*$BM$93+($CN70-$BP$93)*$BO$93+($CN70-$BR$93)*$BQ$93+($CN70-$BT$93)*$BS$93+($CN70-$BV$93)*$BU$93+($CN70-$BX$93)*$BW$93)*($CE70+$CF70)*$CG70,0)</f>
        <v>0</v>
      </c>
      <c r="CK70" s="106" t="n">
        <f aca="false">IF(YEAR($AJ70)=$CK$10,(($CN70-$AL$94)*$AK$94+($CN70-$AN$94)*$AM$94+($CN70-$AP$94)*$AO$94+($CN70-$AR$94)*$AQ$94+($CN70-$AT$94)*$AS$94+($CN70-$AV$94)*$AU$94+($CN70-$AX$94)*$AW$94+($CN70-$AZ$94)*$AY$94+($CN70-$BB$94)*$BA$94+($CN70-$BD$94)*$BC$94+($CN70-$BF$94)*$BE$94+($CN70-$BH$94)*$BG$94+($CN70-$BJ$94)*$BI$94+($CN70-$BL$94)*$BK$94+($CN70-$BN$94)*$BM$94+($CN70-$BP$94)*$BO$94+($CN70-$BR$94)*$BQ$94+($CN70-$BT$94)*$BS$94+($CN70-$BV$94)*$BU$94+($CN70-$BX$94)*$BW$94)*($CE70+$CF70)*$CG70,0)</f>
        <v>0</v>
      </c>
      <c r="CL70" s="1" t="n">
        <f aca="false">CC70*CD70</f>
        <v>0</v>
      </c>
      <c r="CN70" s="21" t="n">
        <f aca="false">([2]EnergyCurve!$L48*CE70+[2]EnergyCurve!$AD48*CF70)/(CE70+CF70)</f>
        <v>34.8325776910759</v>
      </c>
      <c r="DI70" s="1" t="n">
        <f aca="false">DK70-DL70</f>
        <v>5</v>
      </c>
      <c r="DJ70" s="107" t="n">
        <f aca="false">[2]EnergyCurve!$D92</f>
        <v>38961</v>
      </c>
      <c r="DK70" s="2" t="n">
        <f aca="false">IF($L$6=0,VLOOKUP(DJ70,$DM$13:$DQ$252,2)+VLOOKUP(DJ70,$DU$13:$DY$252,3),VLOOKUP(DJ70,$DU$13:$DY$252,2)+VLOOKUP(DJ70,$DU$13:$DY$252,3))</f>
        <v>25</v>
      </c>
      <c r="DL70" s="2" t="n">
        <f aca="false">IF($L$6=0,VLOOKUP(DJ70,$DM$13:$DQ$252,2),VLOOKUP(DJ70,$DU$13:$DY$252,2))</f>
        <v>20</v>
      </c>
      <c r="DM70" s="130" t="n">
        <v>38626</v>
      </c>
      <c r="DN70" s="22" t="n">
        <v>20</v>
      </c>
      <c r="DO70" s="22" t="n">
        <v>5</v>
      </c>
      <c r="DP70" s="22" t="n">
        <v>5</v>
      </c>
      <c r="DQ70" s="22" t="n">
        <v>1</v>
      </c>
      <c r="DR70" s="22" t="n">
        <v>31</v>
      </c>
      <c r="DS70" s="111"/>
      <c r="DT70" s="111"/>
      <c r="DU70" s="130" t="n">
        <v>38626</v>
      </c>
      <c r="DV70" s="22" t="n">
        <v>21</v>
      </c>
      <c r="DW70" s="22" t="n">
        <v>5</v>
      </c>
      <c r="DX70" s="22" t="n">
        <v>5</v>
      </c>
      <c r="DY70" s="22" t="n">
        <v>0</v>
      </c>
      <c r="DZ70" s="22" t="n">
        <v>31</v>
      </c>
      <c r="EA70" s="111"/>
      <c r="EB70" s="111"/>
      <c r="EQ70" s="107"/>
      <c r="ER70" s="111"/>
      <c r="ES70" s="44"/>
      <c r="ET70" s="44"/>
    </row>
    <row r="71" customFormat="false" ht="18" hidden="false" customHeight="true" outlineLevel="0" collapsed="false">
      <c r="A71" s="112" t="n">
        <f aca="false">A27</f>
        <v>37653</v>
      </c>
      <c r="B71" s="113" t="n">
        <f aca="false">[2]EnergyCurve!$P49+[2]EnergyCurve!$R49+B27</f>
        <v>391387.2109375</v>
      </c>
      <c r="C71" s="114" t="n">
        <f aca="false">B71/(CG71*CD71)</f>
        <v>604.171990199379</v>
      </c>
      <c r="D71" s="114" t="n">
        <f aca="false">BY71+IF(YEAR(A71)=$T$20,$BY$92,0)+IF(YEAR(A71)=$T$21,$BY$93,0)+IF(YEAR(A71)=$T$22,$BY$94,0)</f>
        <v>0</v>
      </c>
      <c r="E71" s="115" t="n">
        <f aca="false">B71+(D71*(CE71+CF71)*CG71)+(D27*CD27*CG27)</f>
        <v>391387.2109375</v>
      </c>
      <c r="F71" s="116" t="n">
        <f aca="false">C71+D71</f>
        <v>604.171990199379</v>
      </c>
      <c r="G71" s="117" t="n">
        <f aca="false">([2]EnergyCurve!$J49*CE71+[2]EnergyCurve!$AB49*CF71+G27*CD27)/CD71</f>
        <v>44.6436089106969</v>
      </c>
      <c r="H71" s="117" t="n">
        <f aca="false">I71-G71</f>
        <v>-1.26353661891825</v>
      </c>
      <c r="I71" s="118" t="n">
        <f aca="false">([2]EnergyCurve!$L49*CE71+[2]EnergyCurve!$AD49*CF71+I27*CD27)/CD71</f>
        <v>43.3800722917786</v>
      </c>
      <c r="J71" s="115" t="n">
        <f aca="false">[2]EnergyCurve!$T49</f>
        <v>-494371.141916961</v>
      </c>
      <c r="K71" s="119" t="n">
        <f aca="false">(((CN71-AL71)*AK71+(CN71-AN71)*AM71+(CN71-AP71)*AO71+(CN71-AR71)*AQ71+(CN71-AT71)*AS71+(CN71-AV71)*AU71+(CN71-AX71)*AW71+(CN71-AZ71)*AY71+(CN71-BB71)*BA71+(CN71-BD71)*BC71+(CN71-BF71)*BE71+(CN71-BH71)*BG71+(CN71-BJ71)*BI71+(CN71-BL71)*BK71+(CN71-BN71)*BM71+(CN71-BP71)*BO71+(CN71-BR71)*BQ71+(CN71-BT71)*BS71+(CN71-BV71)*BU71+(CN71-BX71)*BW71)*(CE71+CF71)*CG71)+CI71+CJ71+CK71</f>
        <v>0</v>
      </c>
      <c r="L71" s="119" t="n">
        <f aca="false">J71+K71</f>
        <v>-494371.141916961</v>
      </c>
      <c r="M71" s="198"/>
      <c r="N71" s="83" t="n">
        <f aca="false">A71</f>
        <v>37653</v>
      </c>
      <c r="O71" s="84" t="n">
        <v>25.2</v>
      </c>
      <c r="P71" s="84" t="n">
        <v>25.2</v>
      </c>
      <c r="Q71" s="85" t="n">
        <f aca="false">AVERAGE(O71:P71)-G71</f>
        <v>-19.4436089106969</v>
      </c>
      <c r="R71" s="201"/>
      <c r="S71" s="202" t="n">
        <f aca="false">I71</f>
        <v>43.3800722917786</v>
      </c>
      <c r="T71" s="88" t="n">
        <f aca="false">IF(MONTH(TradeSum!$B$2)&gt;=10,YEAR(TradeSum!$B$2)+1,YEAR(TradeSum!$B$2))</f>
        <v>2002</v>
      </c>
      <c r="U71" s="89" t="n">
        <f aca="false">IF(INT((MONTH(TradeSum!$B$2)-1)/3)+2=5,1,INT((MONTH(TradeSum!$B$2)-1)/3)+2)</f>
        <v>1</v>
      </c>
      <c r="V71" s="152"/>
      <c r="W71" s="152"/>
      <c r="X71" s="152"/>
      <c r="Y71" s="9"/>
      <c r="Z71" s="149"/>
      <c r="AA71" s="153"/>
      <c r="AB71" s="152"/>
      <c r="AC71" s="152"/>
      <c r="AD71" s="152"/>
      <c r="AE71" s="9"/>
      <c r="AF71" s="46"/>
      <c r="AG71" s="46"/>
      <c r="AH71" s="46"/>
      <c r="AI71" s="46"/>
      <c r="AJ71" s="95" t="n">
        <f aca="false">A71</f>
        <v>37653</v>
      </c>
      <c r="AK71" s="96"/>
      <c r="AL71" s="97"/>
      <c r="AM71" s="96"/>
      <c r="AN71" s="97"/>
      <c r="AO71" s="96"/>
      <c r="AP71" s="97"/>
      <c r="AQ71" s="96"/>
      <c r="AR71" s="97"/>
      <c r="AS71" s="96"/>
      <c r="AT71" s="97"/>
      <c r="AU71" s="96"/>
      <c r="AV71" s="97"/>
      <c r="AW71" s="96"/>
      <c r="AX71" s="97"/>
      <c r="AY71" s="96"/>
      <c r="AZ71" s="97"/>
      <c r="BA71" s="96"/>
      <c r="BB71" s="97"/>
      <c r="BC71" s="96"/>
      <c r="BD71" s="97"/>
      <c r="BE71" s="96"/>
      <c r="BF71" s="97"/>
      <c r="BG71" s="96"/>
      <c r="BH71" s="97"/>
      <c r="BI71" s="96"/>
      <c r="BJ71" s="97"/>
      <c r="BK71" s="96"/>
      <c r="BL71" s="97"/>
      <c r="BM71" s="96"/>
      <c r="BN71" s="97"/>
      <c r="BO71" s="96"/>
      <c r="BP71" s="97"/>
      <c r="BQ71" s="96"/>
      <c r="BR71" s="97"/>
      <c r="BS71" s="96"/>
      <c r="BT71" s="97"/>
      <c r="BU71" s="96"/>
      <c r="BV71" s="97"/>
      <c r="BW71" s="96"/>
      <c r="BX71" s="97"/>
      <c r="BY71" s="100" t="n">
        <f aca="false">AK71+AM71+AO71+AQ71+AS71+AU71+AW71+AY71+BA71+BC71+BE71+BG71+BI71+BK71+BM71+BO71+BQ71+BS71+BU71+BW71</f>
        <v>0</v>
      </c>
      <c r="BZ71" s="101" t="n">
        <f aca="false">IF(AND(BY71=0,CC71=0),0,(ABS(AK71)*AL71+ABS(AM71)*AN71+ABS(AO71)*AP71+ABS(AQ71)*AR71+ABS(AS71)*AT71+ABS(AU71)*AV71+ABS(AW71)*AX71+ABS(AY71)*AZ71+ABS(BA71)*BB71+ABS(BC71)*BD71+ABS(BE71)*BF71+ABS(BG71)*BH71+ABS(BI71)*BJ71+ABS(BK71)*BL71+ABS(BM71)*BN71+ABS(BO71)*BP71+ABS(BQ71)*BR71+ABS(BS71)*BT71+ABS(BU71)*BV71+ABS(BW71)*BX71)/CC71)</f>
        <v>0</v>
      </c>
      <c r="CA71" s="102"/>
      <c r="CB71" s="103" t="n">
        <f aca="false">AJ71</f>
        <v>37653</v>
      </c>
      <c r="CC71" s="102" t="n">
        <f aca="false">ABS(AK71)+ABS(AM71)+ABS(AO71)+ABS(AQ71)+ABS(AS71)+ABS(AU71)+ABS(AW71)+ABS(AY71)+ABS(BA71)+ABS(BC71)+ABS(BE71)+ABS(BG71)+ABS(BI71)+ABS(BK71)+ABS(BM71)+ABS(BO71)+ABS(BQ71)+ABS(BS71)+ABS(BU71)+ABS(BW71)</f>
        <v>0</v>
      </c>
      <c r="CD71" s="104" t="n">
        <f aca="false">DK95*24</f>
        <v>672</v>
      </c>
      <c r="CE71" s="102" t="n">
        <f aca="false">DK95*8</f>
        <v>224</v>
      </c>
      <c r="CF71" s="102" t="n">
        <f aca="false">DL95*16</f>
        <v>64</v>
      </c>
      <c r="CG71" s="102" t="n">
        <f aca="false">CG27</f>
        <v>0.963999414562844</v>
      </c>
      <c r="CH71" s="106" t="n">
        <f aca="false">D71*(CE71+CF71)</f>
        <v>0</v>
      </c>
      <c r="CI71" s="106" t="n">
        <f aca="false">IF(YEAR($AJ71)=$CI$10,(($CN71-$AL$92)*$AK$92+($CN71-$AN$92)*$AM$92+($CN71-$AP$92)*$AO$92+($CN71-$AR$92)*$AQ$92+($CN71-$AT$92)*$AS$92+($CN71-$AV$92)*$AU$92+($CN71-$AX$92)*$AW$92+($CN71-$AZ$92)*$AY$92+($CN71-$BB$92)*$BA$92+($CN71-$BD$92)*$BC$92+($CN71-$BF$92)*$BE$92+($CN71-$BH$92)*$BG$92+($CN71-$BJ$92)*$BI$92+($CN71-$BL$92)*$BK$92+($CN71-$BN$92)*$BM$92+($CN71-$BP$92)*$BO$92+($CN71-$BR$92)*$BQ$92+($CN71-$BT$92)*$BS$92+($CN71-$BV$92)*$BU$92+($CN71-$BX$92)*$BW$92)*($CE71+$CF71)*$CG71,0)</f>
        <v>0</v>
      </c>
      <c r="CJ71" s="106" t="n">
        <f aca="false">IF(YEAR($AJ71)=$CJ$10,(($CN71-$AL$93)*$AK$93+($CN71-$AN$93)*$AM$93+($CN71-$AP$93)*$AO$93+($CN71-$AR$93)*$AQ$93+($CN71-$AT$93)*$AS$93+($CN71-$AV$93)*$AU$93+($CN71-$AX$93)*$AW$93+($CN71-$AZ$93)*$AY$93+($CN71-$BB$93)*$BA$93+($CN71-$BD$93)*$BC$93+($CN71-$BF$93)*$BE$93+($CN71-$BH$93)*$BG$93+($CN71-$BJ$93)*$BI$93+($CN71-$BL$93)*$BK$93+($CN71-$BN$93)*$BM$93+($CN71-$BP$93)*$BO$93+($CN71-$BR$93)*$BQ$93+($CN71-$BT$93)*$BS$93+($CN71-$BV$93)*$BU$93+($CN71-$BX$93)*$BW$93)*($CE71+$CF71)*$CG71,0)</f>
        <v>0</v>
      </c>
      <c r="CK71" s="106" t="n">
        <f aca="false">IF(YEAR($AJ71)=$CK$10,(($CN71-$AL$94)*$AK$94+($CN71-$AN$94)*$AM$94+($CN71-$AP$94)*$AO$94+($CN71-$AR$94)*$AQ$94+($CN71-$AT$94)*$AS$94+($CN71-$AV$94)*$AU$94+($CN71-$AX$94)*$AW$94+($CN71-$AZ$94)*$AY$94+($CN71-$BB$94)*$BA$94+($CN71-$BD$94)*$BC$94+($CN71-$BF$94)*$BE$94+($CN71-$BH$94)*$BG$94+($CN71-$BJ$94)*$BI$94+($CN71-$BL$94)*$BK$94+($CN71-$BN$94)*$BM$94+($CN71-$BP$94)*$BO$94+($CN71-$BR$94)*$BQ$94+($CN71-$BT$94)*$BS$94+($CN71-$BV$94)*$BU$94+($CN71-$BX$94)*$BW$94)*($CE71+$CF71)*$CG71,0)</f>
        <v>0</v>
      </c>
      <c r="CL71" s="1" t="n">
        <f aca="false">CC71*CD71</f>
        <v>0</v>
      </c>
      <c r="CN71" s="21" t="n">
        <f aca="false">([2]EnergyCurve!$L49*CE71+[2]EnergyCurve!$AD49*CF71)/(CE71+CF71)</f>
        <v>33.5603488702042</v>
      </c>
      <c r="DI71" s="1" t="n">
        <f aca="false">DK71-DL71</f>
        <v>4</v>
      </c>
      <c r="DJ71" s="107" t="n">
        <f aca="false">[2]EnergyCurve!$D93</f>
        <v>38991</v>
      </c>
      <c r="DK71" s="2" t="n">
        <f aca="false">IF($L$6=0,VLOOKUP(DJ71,$DM$13:$DQ$252,2)+VLOOKUP(DJ71,$DU$13:$DY$252,3),VLOOKUP(DJ71,$DU$13:$DY$252,2)+VLOOKUP(DJ71,$DU$13:$DY$252,3))</f>
        <v>26</v>
      </c>
      <c r="DL71" s="2" t="n">
        <f aca="false">IF($L$6=0,VLOOKUP(DJ71,$DM$13:$DQ$252,2),VLOOKUP(DJ71,$DU$13:$DY$252,2))</f>
        <v>22</v>
      </c>
      <c r="DM71" s="130" t="n">
        <v>38657</v>
      </c>
      <c r="DN71" s="22" t="n">
        <v>21</v>
      </c>
      <c r="DO71" s="22" t="n">
        <v>4</v>
      </c>
      <c r="DP71" s="22" t="n">
        <v>4</v>
      </c>
      <c r="DQ71" s="22" t="n">
        <v>1</v>
      </c>
      <c r="DR71" s="22" t="n">
        <v>30</v>
      </c>
      <c r="DS71" s="111"/>
      <c r="DT71" s="111"/>
      <c r="DU71" s="130" t="n">
        <v>38657</v>
      </c>
      <c r="DV71" s="22" t="n">
        <v>21</v>
      </c>
      <c r="DW71" s="22" t="n">
        <v>4</v>
      </c>
      <c r="DX71" s="22" t="n">
        <v>4</v>
      </c>
      <c r="DY71" s="22" t="n">
        <v>1</v>
      </c>
      <c r="DZ71" s="22" t="n">
        <v>30</v>
      </c>
      <c r="EA71" s="111"/>
      <c r="EB71" s="111"/>
      <c r="EQ71" s="107"/>
      <c r="ER71" s="111"/>
      <c r="ES71" s="44"/>
      <c r="ET71" s="44"/>
    </row>
    <row r="72" customFormat="false" ht="18" hidden="false" customHeight="true" outlineLevel="0" collapsed="false">
      <c r="A72" s="75" t="n">
        <f aca="false">A28</f>
        <v>37681</v>
      </c>
      <c r="B72" s="76" t="n">
        <f aca="false">[2]EnergyCurve!$P50+[2]EnergyCurve!$R50+B28</f>
        <v>432202.3671875</v>
      </c>
      <c r="C72" s="77" t="n">
        <f aca="false">B72/(CG72*CD72)</f>
        <v>604.455101467371</v>
      </c>
      <c r="D72" s="78" t="n">
        <f aca="false">BY72+IF(YEAR(A72)=$T$20,$BY$92,0)+IF(YEAR(A72)=$T$21,$BY$93,0)+IF(YEAR(A72)=$T$22,$BY$94,0)</f>
        <v>0</v>
      </c>
      <c r="E72" s="77" t="n">
        <f aca="false">B72+(D72*(CE72+CF72)*CG72)+(D28*CD28*CG28)</f>
        <v>432202.3671875</v>
      </c>
      <c r="F72" s="79" t="n">
        <f aca="false">C72+D72</f>
        <v>604.455101467371</v>
      </c>
      <c r="G72" s="80" t="n">
        <f aca="false">([2]EnergyCurve!$J50*CE72+[2]EnergyCurve!$AB50*CF72+G28*CD28)/CD72</f>
        <v>43.2877777263682</v>
      </c>
      <c r="H72" s="80" t="n">
        <f aca="false">I72-G72</f>
        <v>-1.26018159935654</v>
      </c>
      <c r="I72" s="81" t="n">
        <f aca="false">([2]EnergyCurve!$L50*CE72+[2]EnergyCurve!$AD50*CF72+I28*CD28)/CD72</f>
        <v>42.0275961270117</v>
      </c>
      <c r="J72" s="76" t="n">
        <f aca="false">[2]EnergyCurve!$T50</f>
        <v>-544482.283701321</v>
      </c>
      <c r="K72" s="82" t="n">
        <f aca="false">(((CN72-AL72)*AK72+(CN72-AN72)*AM72+(CN72-AP72)*AO72+(CN72-AR72)*AQ72+(CN72-AT72)*AS72+(CN72-AV72)*AU72+(CN72-AX72)*AW72+(CN72-AZ72)*AY72+(CN72-BB72)*BA72+(CN72-BD72)*BC72+(CN72-BF72)*BE72+(CN72-BH72)*BG72+(CN72-BJ72)*BI72+(CN72-BL72)*BK72+(CN72-BN72)*BM72+(CN72-BP72)*BO72+(CN72-BR72)*BQ72+(CN72-BT72)*BS72+(CN72-BV72)*BU72+(CN72-BX72)*BW72)*(CE72+CF72)*CG72)+CI72+CJ72+CK72</f>
        <v>0</v>
      </c>
      <c r="L72" s="82" t="n">
        <f aca="false">J72+K72</f>
        <v>-544482.283701321</v>
      </c>
      <c r="M72" s="198"/>
      <c r="N72" s="83" t="n">
        <f aca="false">A72</f>
        <v>37681</v>
      </c>
      <c r="O72" s="84" t="n">
        <v>25.95</v>
      </c>
      <c r="P72" s="84" t="n">
        <v>25.95</v>
      </c>
      <c r="Q72" s="85" t="n">
        <f aca="false">AVERAGE(O72:P72)-G72</f>
        <v>-17.3377777263682</v>
      </c>
      <c r="R72" s="201"/>
      <c r="S72" s="202" t="n">
        <f aca="false">I72</f>
        <v>42.0275961270117</v>
      </c>
      <c r="T72" s="88" t="n">
        <f aca="false">IF(U71=4,T71+1,T71)</f>
        <v>2002</v>
      </c>
      <c r="U72" s="89" t="n">
        <f aca="false">IF(U71=4,1,U71+1)</f>
        <v>2</v>
      </c>
      <c r="V72" s="152"/>
      <c r="W72" s="152"/>
      <c r="X72" s="152"/>
      <c r="Y72" s="9"/>
      <c r="Z72" s="149"/>
      <c r="AA72" s="150"/>
      <c r="AB72" s="151"/>
      <c r="AC72" s="151"/>
      <c r="AD72" s="151"/>
      <c r="AE72" s="9"/>
      <c r="AF72" s="46"/>
      <c r="AG72" s="46"/>
      <c r="AH72" s="46"/>
      <c r="AI72" s="46"/>
      <c r="AJ72" s="95" t="n">
        <f aca="false">A72</f>
        <v>37681</v>
      </c>
      <c r="AK72" s="96"/>
      <c r="AL72" s="97"/>
      <c r="AM72" s="96"/>
      <c r="AN72" s="97"/>
      <c r="AO72" s="96"/>
      <c r="AP72" s="97"/>
      <c r="AQ72" s="96"/>
      <c r="AR72" s="97"/>
      <c r="AS72" s="96"/>
      <c r="AT72" s="97"/>
      <c r="AU72" s="96"/>
      <c r="AV72" s="97"/>
      <c r="AW72" s="96"/>
      <c r="AX72" s="97"/>
      <c r="AY72" s="96"/>
      <c r="AZ72" s="97"/>
      <c r="BA72" s="96"/>
      <c r="BB72" s="97"/>
      <c r="BC72" s="96"/>
      <c r="BD72" s="97"/>
      <c r="BE72" s="96"/>
      <c r="BF72" s="97"/>
      <c r="BG72" s="96"/>
      <c r="BH72" s="97"/>
      <c r="BI72" s="96"/>
      <c r="BJ72" s="97"/>
      <c r="BK72" s="96"/>
      <c r="BL72" s="97"/>
      <c r="BM72" s="96"/>
      <c r="BN72" s="97"/>
      <c r="BO72" s="96"/>
      <c r="BP72" s="97"/>
      <c r="BQ72" s="96"/>
      <c r="BR72" s="97"/>
      <c r="BS72" s="96"/>
      <c r="BT72" s="97"/>
      <c r="BU72" s="96"/>
      <c r="BV72" s="97"/>
      <c r="BW72" s="96"/>
      <c r="BX72" s="97"/>
      <c r="BY72" s="100" t="n">
        <f aca="false">AK72+AM72+AO72+AQ72+AS72+AU72+AW72+AY72+BA72+BC72+BE72+BG72+BI72+BK72+BM72+BO72+BQ72+BS72+BU72+BW72</f>
        <v>0</v>
      </c>
      <c r="BZ72" s="101" t="n">
        <f aca="false">IF(AND(BY72=0,CC72=0),0,(ABS(AK72)*AL72+ABS(AM72)*AN72+ABS(AO72)*AP72+ABS(AQ72)*AR72+ABS(AS72)*AT72+ABS(AU72)*AV72+ABS(AW72)*AX72+ABS(AY72)*AZ72+ABS(BA72)*BB72+ABS(BC72)*BD72+ABS(BE72)*BF72+ABS(BG72)*BH72+ABS(BI72)*BJ72+ABS(BK72)*BL72+ABS(BM72)*BN72+ABS(BO72)*BP72+ABS(BQ72)*BR72+ABS(BS72)*BT72+ABS(BU72)*BV72+ABS(BW72)*BX72)/CC72)</f>
        <v>0</v>
      </c>
      <c r="CA72" s="102"/>
      <c r="CB72" s="103" t="n">
        <f aca="false">AJ72</f>
        <v>37681</v>
      </c>
      <c r="CC72" s="102" t="n">
        <f aca="false">ABS(AK72)+ABS(AM72)+ABS(AO72)+ABS(AQ72)+ABS(AS72)+ABS(AU72)+ABS(AW72)+ABS(AY72)+ABS(BA72)+ABS(BC72)+ABS(BE72)+ABS(BG72)+ABS(BI72)+ABS(BK72)+ABS(BM72)+ABS(BO72)+ABS(BQ72)+ABS(BS72)+ABS(BU72)+ABS(BW72)</f>
        <v>0</v>
      </c>
      <c r="CD72" s="104" t="n">
        <f aca="false">DK96*24</f>
        <v>744</v>
      </c>
      <c r="CE72" s="102" t="n">
        <f aca="false">DK96*8</f>
        <v>248</v>
      </c>
      <c r="CF72" s="102" t="n">
        <f aca="false">DL96*16</f>
        <v>80</v>
      </c>
      <c r="CG72" s="102" t="n">
        <f aca="false">CG28</f>
        <v>0.961059239616015</v>
      </c>
      <c r="CH72" s="106" t="n">
        <f aca="false">D72*(CE72+CF72)</f>
        <v>0</v>
      </c>
      <c r="CI72" s="106" t="n">
        <f aca="false">IF(YEAR($AJ72)=$CI$10,(($CN72-$AL$92)*$AK$92+($CN72-$AN$92)*$AM$92+($CN72-$AP$92)*$AO$92+($CN72-$AR$92)*$AQ$92+($CN72-$AT$92)*$AS$92+($CN72-$AV$92)*$AU$92+($CN72-$AX$92)*$AW$92+($CN72-$AZ$92)*$AY$92+($CN72-$BB$92)*$BA$92+($CN72-$BD$92)*$BC$92+($CN72-$BF$92)*$BE$92+($CN72-$BH$92)*$BG$92+($CN72-$BJ$92)*$BI$92+($CN72-$BL$92)*$BK$92+($CN72-$BN$92)*$BM$92+($CN72-$BP$92)*$BO$92+($CN72-$BR$92)*$BQ$92+($CN72-$BT$92)*$BS$92+($CN72-$BV$92)*$BU$92+($CN72-$BX$92)*$BW$92)*($CE72+$CF72)*$CG72,0)</f>
        <v>0</v>
      </c>
      <c r="CJ72" s="106" t="n">
        <f aca="false">IF(YEAR($AJ72)=$CJ$10,(($CN72-$AL$93)*$AK$93+($CN72-$AN$93)*$AM$93+($CN72-$AP$93)*$AO$93+($CN72-$AR$93)*$AQ$93+($CN72-$AT$93)*$AS$93+($CN72-$AV$93)*$AU$93+($CN72-$AX$93)*$AW$93+($CN72-$AZ$93)*$AY$93+($CN72-$BB$93)*$BA$93+($CN72-$BD$93)*$BC$93+($CN72-$BF$93)*$BE$93+($CN72-$BH$93)*$BG$93+($CN72-$BJ$93)*$BI$93+($CN72-$BL$93)*$BK$93+($CN72-$BN$93)*$BM$93+($CN72-$BP$93)*$BO$93+($CN72-$BR$93)*$BQ$93+($CN72-$BT$93)*$BS$93+($CN72-$BV$93)*$BU$93+($CN72-$BX$93)*$BW$93)*($CE72+$CF72)*$CG72,0)</f>
        <v>0</v>
      </c>
      <c r="CK72" s="106" t="n">
        <f aca="false">IF(YEAR($AJ72)=$CK$10,(($CN72-$AL$94)*$AK$94+($CN72-$AN$94)*$AM$94+($CN72-$AP$94)*$AO$94+($CN72-$AR$94)*$AQ$94+($CN72-$AT$94)*$AS$94+($CN72-$AV$94)*$AU$94+($CN72-$AX$94)*$AW$94+($CN72-$AZ$94)*$AY$94+($CN72-$BB$94)*$BA$94+($CN72-$BD$94)*$BC$94+($CN72-$BF$94)*$BE$94+($CN72-$BH$94)*$BG$94+($CN72-$BJ$94)*$BI$94+($CN72-$BL$94)*$BK$94+($CN72-$BN$94)*$BM$94+($CN72-$BP$94)*$BO$94+($CN72-$BR$94)*$BQ$94+($CN72-$BT$94)*$BS$94+($CN72-$BV$94)*$BU$94+($CN72-$BX$94)*$BW$94)*($CE72+$CF72)*$CG72,0)</f>
        <v>0</v>
      </c>
      <c r="CL72" s="1" t="n">
        <f aca="false">CC72*CD72</f>
        <v>0</v>
      </c>
      <c r="CN72" s="21" t="n">
        <f aca="false">([2]EnergyCurve!$L50*CE72+[2]EnergyCurve!$AD50*CF72)/(CE72+CF72)</f>
        <v>32.8875768750861</v>
      </c>
      <c r="DI72" s="1" t="n">
        <f aca="false">DK72-DL72</f>
        <v>4</v>
      </c>
      <c r="DJ72" s="107" t="n">
        <f aca="false">[2]EnergyCurve!$D94</f>
        <v>39022</v>
      </c>
      <c r="DK72" s="2" t="n">
        <f aca="false">IF($L$6=0,VLOOKUP(DJ72,$DM$13:$DQ$252,2)+VLOOKUP(DJ72,$DU$13:$DY$252,3),VLOOKUP(DJ72,$DU$13:$DY$252,2)+VLOOKUP(DJ72,$DU$13:$DY$252,3))</f>
        <v>25</v>
      </c>
      <c r="DL72" s="2" t="n">
        <f aca="false">IF($L$6=0,VLOOKUP(DJ72,$DM$13:$DQ$252,2),VLOOKUP(DJ72,$DU$13:$DY$252,2))</f>
        <v>21</v>
      </c>
      <c r="DM72" s="130" t="n">
        <v>38687</v>
      </c>
      <c r="DN72" s="22" t="n">
        <v>20</v>
      </c>
      <c r="DO72" s="22" t="n">
        <v>5</v>
      </c>
      <c r="DP72" s="22" t="n">
        <v>4</v>
      </c>
      <c r="DQ72" s="22" t="n">
        <v>2</v>
      </c>
      <c r="DR72" s="22" t="n">
        <v>31</v>
      </c>
      <c r="DS72" s="111"/>
      <c r="DT72" s="111"/>
      <c r="DU72" s="130" t="n">
        <v>38687</v>
      </c>
      <c r="DV72" s="22" t="n">
        <v>21</v>
      </c>
      <c r="DW72" s="22" t="n">
        <v>5</v>
      </c>
      <c r="DX72" s="22" t="n">
        <v>4</v>
      </c>
      <c r="DY72" s="22" t="n">
        <v>1</v>
      </c>
      <c r="DZ72" s="22" t="n">
        <v>31</v>
      </c>
      <c r="EA72" s="111"/>
      <c r="EB72" s="111"/>
      <c r="EQ72" s="107"/>
      <c r="ER72" s="111"/>
      <c r="ES72" s="44"/>
      <c r="ET72" s="44"/>
    </row>
    <row r="73" customFormat="false" ht="15" hidden="false" customHeight="true" outlineLevel="0" collapsed="false">
      <c r="A73" s="112" t="n">
        <f aca="false">A29</f>
        <v>37712</v>
      </c>
      <c r="B73" s="113" t="n">
        <f aca="false">[2]EnergyCurve!$P51+[2]EnergyCurve!$R51+B29</f>
        <v>416416.8515625</v>
      </c>
      <c r="C73" s="114" t="n">
        <f aca="false">B73/(CG73*CD73)</f>
        <v>603.691836663667</v>
      </c>
      <c r="D73" s="114" t="n">
        <f aca="false">BY73+IF(YEAR(A73)=$T$20,$BY$92,0)+IF(YEAR(A73)=$T$21,$BY$93,0)+IF(YEAR(A73)=$T$22,$BY$94,0)</f>
        <v>0</v>
      </c>
      <c r="E73" s="115" t="n">
        <f aca="false">B73+(D73*(CE73+CF73)*CG73)+(D29*CD29*CG29)</f>
        <v>416416.8515625</v>
      </c>
      <c r="F73" s="116" t="n">
        <f aca="false">C73+D73</f>
        <v>603.691836663667</v>
      </c>
      <c r="G73" s="117" t="n">
        <f aca="false">([2]EnergyCurve!$J51*CE73+[2]EnergyCurve!$AB51*CF73+G29*CD29)/CD73</f>
        <v>41.5544763353136</v>
      </c>
      <c r="H73" s="117" t="n">
        <f aca="false">I73-G73</f>
        <v>-1.26392999656327</v>
      </c>
      <c r="I73" s="118" t="n">
        <f aca="false">([2]EnergyCurve!$L51*CE73+[2]EnergyCurve!$AD51*CF73+I29*CD29)/CD73</f>
        <v>40.2905463387503</v>
      </c>
      <c r="J73" s="115" t="n">
        <f aca="false">[2]EnergyCurve!$T51</f>
        <v>-526380.905996936</v>
      </c>
      <c r="K73" s="119" t="n">
        <f aca="false">(((CN73-AL73)*AK73+(CN73-AN73)*AM73+(CN73-AP73)*AO73+(CN73-AR73)*AQ73+(CN73-AT73)*AS73+(CN73-AV73)*AU73+(CN73-AX73)*AW73+(CN73-AZ73)*AY73+(CN73-BB73)*BA73+(CN73-BD73)*BC73+(CN73-BF73)*BE73+(CN73-BH73)*BG73+(CN73-BJ73)*BI73+(CN73-BL73)*BK73+(CN73-BN73)*BM73+(CN73-BP73)*BO73+(CN73-BR73)*BQ73+(CN73-BT73)*BS73+(CN73-BV73)*BU73+(CN73-BX73)*BW73)*(CE73+CF73)*CG73)+CI73+CJ73+CK73</f>
        <v>0</v>
      </c>
      <c r="L73" s="119" t="n">
        <f aca="false">J73+K73</f>
        <v>-526380.905996936</v>
      </c>
      <c r="M73" s="198"/>
      <c r="N73" s="83" t="n">
        <f aca="false">A73</f>
        <v>37712</v>
      </c>
      <c r="O73" s="84" t="n">
        <v>29.9</v>
      </c>
      <c r="P73" s="84" t="n">
        <v>29.9</v>
      </c>
      <c r="Q73" s="85" t="n">
        <f aca="false">AVERAGE(O73:P73)-G73</f>
        <v>-11.6544763353136</v>
      </c>
      <c r="R73" s="201"/>
      <c r="S73" s="202" t="n">
        <f aca="false">I73</f>
        <v>40.2905463387503</v>
      </c>
      <c r="T73" s="88" t="n">
        <f aca="false">IF(U72=4,T72+1,T72)</f>
        <v>2002</v>
      </c>
      <c r="U73" s="89" t="n">
        <f aca="false">IF(U72=4,1,U72+1)</f>
        <v>3</v>
      </c>
      <c r="V73" s="152"/>
      <c r="W73" s="152"/>
      <c r="X73" s="152"/>
      <c r="Y73" s="146"/>
      <c r="Z73" s="149"/>
      <c r="AA73" s="153"/>
      <c r="AB73" s="152"/>
      <c r="AC73" s="152"/>
      <c r="AD73" s="152"/>
      <c r="AE73" s="9"/>
      <c r="AF73" s="46"/>
      <c r="AG73" s="46"/>
      <c r="AH73" s="46"/>
      <c r="AI73" s="46"/>
      <c r="AJ73" s="95" t="n">
        <f aca="false">A73</f>
        <v>37712</v>
      </c>
      <c r="AK73" s="96"/>
      <c r="AL73" s="97"/>
      <c r="AM73" s="96"/>
      <c r="AN73" s="97"/>
      <c r="AO73" s="96"/>
      <c r="AP73" s="97"/>
      <c r="AQ73" s="96"/>
      <c r="AR73" s="97"/>
      <c r="AS73" s="96"/>
      <c r="AT73" s="97"/>
      <c r="AU73" s="96"/>
      <c r="AV73" s="97"/>
      <c r="AW73" s="96"/>
      <c r="AX73" s="97"/>
      <c r="AY73" s="96"/>
      <c r="AZ73" s="97"/>
      <c r="BA73" s="96"/>
      <c r="BB73" s="97"/>
      <c r="BC73" s="96"/>
      <c r="BD73" s="97"/>
      <c r="BE73" s="96"/>
      <c r="BF73" s="97"/>
      <c r="BG73" s="96"/>
      <c r="BH73" s="97"/>
      <c r="BI73" s="96"/>
      <c r="BJ73" s="97"/>
      <c r="BK73" s="96"/>
      <c r="BL73" s="97"/>
      <c r="BM73" s="96"/>
      <c r="BN73" s="97"/>
      <c r="BO73" s="96"/>
      <c r="BP73" s="97"/>
      <c r="BQ73" s="96"/>
      <c r="BR73" s="97"/>
      <c r="BS73" s="96"/>
      <c r="BT73" s="97"/>
      <c r="BU73" s="96"/>
      <c r="BV73" s="97"/>
      <c r="BW73" s="96"/>
      <c r="BX73" s="97"/>
      <c r="BY73" s="100" t="n">
        <f aca="false">AK73+AM73+AO73+AQ73+AS73+AU73+AW73+AY73+BA73+BC73+BE73+BG73+BI73+BK73+BM73+BO73+BQ73+BS73+BU73+BW73</f>
        <v>0</v>
      </c>
      <c r="BZ73" s="101" t="n">
        <f aca="false">IF(AND(BY73=0,CC73=0),0,(ABS(AK73)*AL73+ABS(AM73)*AN73+ABS(AO73)*AP73+ABS(AQ73)*AR73+ABS(AS73)*AT73+ABS(AU73)*AV73+ABS(AW73)*AX73+ABS(AY73)*AZ73+ABS(BA73)*BB73+ABS(BC73)*BD73+ABS(BE73)*BF73+ABS(BG73)*BH73+ABS(BI73)*BJ73+ABS(BK73)*BL73+ABS(BM73)*BN73+ABS(BO73)*BP73+ABS(BQ73)*BR73+ABS(BS73)*BT73+ABS(BU73)*BV73+ABS(BW73)*BX73)/CC73)</f>
        <v>0</v>
      </c>
      <c r="CA73" s="102"/>
      <c r="CB73" s="103" t="n">
        <f aca="false">AJ73</f>
        <v>37712</v>
      </c>
      <c r="CC73" s="102" t="n">
        <f aca="false">ABS(AK73)+ABS(AM73)+ABS(AO73)+ABS(AQ73)+ABS(AS73)+ABS(AU73)+ABS(AW73)+ABS(AY73)+ABS(BA73)+ABS(BC73)+ABS(BE73)+ABS(BG73)+ABS(BI73)+ABS(BK73)+ABS(BM73)+ABS(BO73)+ABS(BQ73)+ABS(BS73)+ABS(BU73)+ABS(BW73)</f>
        <v>0</v>
      </c>
      <c r="CD73" s="104" t="n">
        <f aca="false">DK97*24</f>
        <v>720</v>
      </c>
      <c r="CE73" s="102" t="n">
        <f aca="false">DK97*8</f>
        <v>240</v>
      </c>
      <c r="CF73" s="102" t="n">
        <f aca="false">DL97*16</f>
        <v>64</v>
      </c>
      <c r="CG73" s="102" t="n">
        <f aca="false">CG29</f>
        <v>0.958033061168373</v>
      </c>
      <c r="CH73" s="106" t="n">
        <f aca="false">D73*(CE73+CF73)</f>
        <v>0</v>
      </c>
      <c r="CI73" s="106" t="n">
        <f aca="false">IF(YEAR($AJ73)=$CI$10,(($CN73-$AL$92)*$AK$92+($CN73-$AN$92)*$AM$92+($CN73-$AP$92)*$AO$92+($CN73-$AR$92)*$AQ$92+($CN73-$AT$92)*$AS$92+($CN73-$AV$92)*$AU$92+($CN73-$AX$92)*$AW$92+($CN73-$AZ$92)*$AY$92+($CN73-$BB$92)*$BA$92+($CN73-$BD$92)*$BC$92+($CN73-$BF$92)*$BE$92+($CN73-$BH$92)*$BG$92+($CN73-$BJ$92)*$BI$92+($CN73-$BL$92)*$BK$92+($CN73-$BN$92)*$BM$92+($CN73-$BP$92)*$BO$92+($CN73-$BR$92)*$BQ$92+($CN73-$BT$92)*$BS$92+($CN73-$BV$92)*$BU$92+($CN73-$BX$92)*$BW$92)*($CE73+$CF73)*$CG73,0)</f>
        <v>0</v>
      </c>
      <c r="CJ73" s="106" t="n">
        <f aca="false">IF(YEAR($AJ73)=$CJ$10,(($CN73-$AL$93)*$AK$93+($CN73-$AN$93)*$AM$93+($CN73-$AP$93)*$AO$93+($CN73-$AR$93)*$AQ$93+($CN73-$AT$93)*$AS$93+($CN73-$AV$93)*$AU$93+($CN73-$AX$93)*$AW$93+($CN73-$AZ$93)*$AY$93+($CN73-$BB$93)*$BA$93+($CN73-$BD$93)*$BC$93+($CN73-$BF$93)*$BE$93+($CN73-$BH$93)*$BG$93+($CN73-$BJ$93)*$BI$93+($CN73-$BL$93)*$BK$93+($CN73-$BN$93)*$BM$93+($CN73-$BP$93)*$BO$93+($CN73-$BR$93)*$BQ$93+($CN73-$BT$93)*$BS$93+($CN73-$BV$93)*$BU$93+($CN73-$BX$93)*$BW$93)*($CE73+$CF73)*$CG73,0)</f>
        <v>0</v>
      </c>
      <c r="CK73" s="106" t="n">
        <f aca="false">IF(YEAR($AJ73)=$CK$10,(($CN73-$AL$94)*$AK$94+($CN73-$AN$94)*$AM$94+($CN73-$AP$94)*$AO$94+($CN73-$AR$94)*$AQ$94+($CN73-$AT$94)*$AS$94+($CN73-$AV$94)*$AU$94+($CN73-$AX$94)*$AW$94+($CN73-$AZ$94)*$AY$94+($CN73-$BB$94)*$BA$94+($CN73-$BD$94)*$BC$94+($CN73-$BF$94)*$BE$94+($CN73-$BH$94)*$BG$94+($CN73-$BJ$94)*$BI$94+($CN73-$BL$94)*$BK$94+($CN73-$BN$94)*$BM$94+($CN73-$BP$94)*$BO$94+($CN73-$BR$94)*$BQ$94+($CN73-$BT$94)*$BS$94+($CN73-$BV$94)*$BU$94+($CN73-$BX$94)*$BW$94)*($CE73+$CF73)*$CG73,0)</f>
        <v>0</v>
      </c>
      <c r="CL73" s="1" t="n">
        <f aca="false">CC73*CD73</f>
        <v>0</v>
      </c>
      <c r="CN73" s="21" t="n">
        <f aca="false">([2]EnergyCurve!$L51*CE73+[2]EnergyCurve!$AD51*CF73)/(CE73+CF73)</f>
        <v>30.979058710918</v>
      </c>
      <c r="DI73" s="1" t="n">
        <f aca="false">DK73-DL73</f>
        <v>5</v>
      </c>
      <c r="DJ73" s="107" t="n">
        <f aca="false">[2]EnergyCurve!$D95</f>
        <v>39052</v>
      </c>
      <c r="DK73" s="2" t="n">
        <f aca="false">IF($L$6=0,VLOOKUP(DJ73,$DM$13:$DQ$252,2)+VLOOKUP(DJ73,$DU$13:$DY$252,3),VLOOKUP(DJ73,$DU$13:$DY$252,2)+VLOOKUP(DJ73,$DU$13:$DY$252,3))</f>
        <v>25</v>
      </c>
      <c r="DL73" s="2" t="n">
        <f aca="false">IF($L$6=0,VLOOKUP(DJ73,$DM$13:$DQ$252,2),VLOOKUP(DJ73,$DU$13:$DY$252,2))</f>
        <v>20</v>
      </c>
      <c r="DM73" s="130" t="n">
        <v>38718</v>
      </c>
      <c r="DN73" s="22" t="n">
        <v>21</v>
      </c>
      <c r="DO73" s="22" t="n">
        <v>4</v>
      </c>
      <c r="DP73" s="22" t="n">
        <v>5</v>
      </c>
      <c r="DQ73" s="22" t="n">
        <v>1</v>
      </c>
      <c r="DR73" s="22" t="n">
        <v>31</v>
      </c>
      <c r="DS73" s="111"/>
      <c r="DT73" s="111"/>
      <c r="DU73" s="130" t="n">
        <v>38718</v>
      </c>
      <c r="DV73" s="22" t="n">
        <v>21</v>
      </c>
      <c r="DW73" s="22" t="n">
        <v>4</v>
      </c>
      <c r="DX73" s="22" t="n">
        <v>5</v>
      </c>
      <c r="DY73" s="22" t="n">
        <v>1</v>
      </c>
      <c r="DZ73" s="22" t="n">
        <v>31</v>
      </c>
      <c r="EA73" s="111"/>
      <c r="EB73" s="111"/>
      <c r="EQ73" s="107"/>
      <c r="ER73" s="111"/>
      <c r="ES73" s="44"/>
      <c r="ET73" s="44"/>
    </row>
    <row r="74" customFormat="false" ht="15.75" hidden="false" customHeight="true" outlineLevel="0" collapsed="false">
      <c r="A74" s="75" t="n">
        <f aca="false">A30</f>
        <v>37742</v>
      </c>
      <c r="B74" s="76" t="n">
        <f aca="false">[2]EnergyCurve!$P52+[2]EnergyCurve!$R52+B30</f>
        <v>429451.54296875</v>
      </c>
      <c r="C74" s="77" t="n">
        <f aca="false">B74/(CG74*CD74)</f>
        <v>604.495354523331</v>
      </c>
      <c r="D74" s="78" t="n">
        <f aca="false">BY74+IF(YEAR(A74)=$T$20,$BY$92,0)+IF(YEAR(A74)=$T$21,$BY$93,0)+IF(YEAR(A74)=$T$22,$BY$94,0)</f>
        <v>0</v>
      </c>
      <c r="E74" s="77" t="n">
        <f aca="false">B74+(D74*(CE74+CF74)*CG74)+(D30*CD30*CG30)</f>
        <v>429451.54296875</v>
      </c>
      <c r="F74" s="79" t="n">
        <f aca="false">C74+D74</f>
        <v>604.495354523331</v>
      </c>
      <c r="G74" s="80" t="n">
        <f aca="false">([2]EnergyCurve!$J52*CE74+[2]EnergyCurve!$AB52*CF74+G30*CD30)/CD74</f>
        <v>41.4119519264467</v>
      </c>
      <c r="H74" s="80" t="n">
        <f aca="false">I74-G74</f>
        <v>-1.24542188634129</v>
      </c>
      <c r="I74" s="81" t="n">
        <f aca="false">([2]EnergyCurve!$L52*CE74+[2]EnergyCurve!$AD52*CF74+I30*CD30)/CD74</f>
        <v>40.1665300401054</v>
      </c>
      <c r="J74" s="76" t="n">
        <f aca="false">[2]EnergyCurve!$T52</f>
        <v>-534700.789091932</v>
      </c>
      <c r="K74" s="82" t="n">
        <f aca="false">(((CN74-AL74)*AK74+(CN74-AN74)*AM74+(CN74-AP74)*AO74+(CN74-AR74)*AQ74+(CN74-AT74)*AS74+(CN74-AV74)*AU74+(CN74-AX74)*AW74+(CN74-AZ74)*AY74+(CN74-BB74)*BA74+(CN74-BD74)*BC74+(CN74-BF74)*BE74+(CN74-BH74)*BG74+(CN74-BJ74)*BI74+(CN74-BL74)*BK74+(CN74-BN74)*BM74+(CN74-BP74)*BO74+(CN74-BR74)*BQ74+(CN74-BT74)*BS74+(CN74-BV74)*BU74+(CN74-BX74)*BW74)*(CE74+CF74)*CG74)+CI74+CJ74+CK74</f>
        <v>0</v>
      </c>
      <c r="L74" s="82" t="n">
        <f aca="false">J74+K74</f>
        <v>-534700.789091932</v>
      </c>
      <c r="M74" s="198"/>
      <c r="N74" s="83" t="n">
        <f aca="false">A74</f>
        <v>37742</v>
      </c>
      <c r="O74" s="84" t="n">
        <v>30</v>
      </c>
      <c r="P74" s="84" t="n">
        <v>30</v>
      </c>
      <c r="Q74" s="85" t="n">
        <f aca="false">AVERAGE(O74:P74)-G74</f>
        <v>-11.4119519264467</v>
      </c>
      <c r="R74" s="201"/>
      <c r="S74" s="202" t="n">
        <f aca="false">I74</f>
        <v>40.1665300401054</v>
      </c>
      <c r="T74" s="88" t="n">
        <f aca="false">IF(U73=4,T73+1,T73)</f>
        <v>2002</v>
      </c>
      <c r="U74" s="89" t="n">
        <f aca="false">IF(U73=4,1,U73+1)</f>
        <v>4</v>
      </c>
      <c r="V74" s="152"/>
      <c r="W74" s="152"/>
      <c r="X74" s="152"/>
      <c r="Y74" s="148"/>
      <c r="Z74" s="149"/>
      <c r="AA74" s="150"/>
      <c r="AB74" s="151"/>
      <c r="AC74" s="151"/>
      <c r="AD74" s="151"/>
      <c r="AE74" s="9"/>
      <c r="AF74" s="46"/>
      <c r="AG74" s="46"/>
      <c r="AH74" s="46"/>
      <c r="AI74" s="46"/>
      <c r="AJ74" s="95" t="n">
        <f aca="false">A74</f>
        <v>37742</v>
      </c>
      <c r="AK74" s="96"/>
      <c r="AL74" s="97"/>
      <c r="AM74" s="96"/>
      <c r="AN74" s="97"/>
      <c r="AO74" s="96"/>
      <c r="AP74" s="97"/>
      <c r="AQ74" s="96"/>
      <c r="AR74" s="97"/>
      <c r="AS74" s="96"/>
      <c r="AT74" s="97"/>
      <c r="AU74" s="96"/>
      <c r="AV74" s="97"/>
      <c r="AW74" s="96"/>
      <c r="AX74" s="97"/>
      <c r="AY74" s="96"/>
      <c r="AZ74" s="97"/>
      <c r="BA74" s="96"/>
      <c r="BB74" s="97"/>
      <c r="BC74" s="96"/>
      <c r="BD74" s="97"/>
      <c r="BE74" s="96"/>
      <c r="BF74" s="97"/>
      <c r="BG74" s="96"/>
      <c r="BH74" s="97"/>
      <c r="BI74" s="96"/>
      <c r="BJ74" s="97"/>
      <c r="BK74" s="96"/>
      <c r="BL74" s="97"/>
      <c r="BM74" s="96"/>
      <c r="BN74" s="97"/>
      <c r="BO74" s="96"/>
      <c r="BP74" s="97"/>
      <c r="BQ74" s="96"/>
      <c r="BR74" s="97"/>
      <c r="BS74" s="96"/>
      <c r="BT74" s="97"/>
      <c r="BU74" s="96"/>
      <c r="BV74" s="97"/>
      <c r="BW74" s="96"/>
      <c r="BX74" s="97"/>
      <c r="BY74" s="100" t="n">
        <f aca="false">AK74+AM74+AO74+AQ74+AS74+AU74+AW74+AY74+BA74+BC74+BE74+BG74+BI74+BK74+BM74+BO74+BQ74+BS74+BU74+BW74</f>
        <v>0</v>
      </c>
      <c r="BZ74" s="101" t="n">
        <f aca="false">IF(AND(BY74=0,CC74=0),0,(ABS(AK74)*AL74+ABS(AM74)*AN74+ABS(AO74)*AP74+ABS(AQ74)*AR74+ABS(AS74)*AT74+ABS(AU74)*AV74+ABS(AW74)*AX74+ABS(AY74)*AZ74+ABS(BA74)*BB74+ABS(BC74)*BD74+ABS(BE74)*BF74+ABS(BG74)*BH74+ABS(BI74)*BJ74+ABS(BK74)*BL74+ABS(BM74)*BN74+ABS(BO74)*BP74+ABS(BQ74)*BR74+ABS(BS74)*BT74+ABS(BU74)*BV74+ABS(BW74)*BX74)/CC74)</f>
        <v>0</v>
      </c>
      <c r="CA74" s="102"/>
      <c r="CB74" s="103" t="n">
        <f aca="false">AJ74</f>
        <v>37742</v>
      </c>
      <c r="CC74" s="102" t="n">
        <f aca="false">ABS(AK74)+ABS(AM74)+ABS(AO74)+ABS(AQ74)+ABS(AS74)+ABS(AU74)+ABS(AW74)+ABS(AY74)+ABS(BA74)+ABS(BC74)+ABS(BE74)+ABS(BG74)+ABS(BI74)+ABS(BK74)+ABS(BM74)+ABS(BO74)+ABS(BQ74)+ABS(BS74)+ABS(BU74)+ABS(BW74)</f>
        <v>0</v>
      </c>
      <c r="CD74" s="104" t="n">
        <f aca="false">DK98*24</f>
        <v>744</v>
      </c>
      <c r="CE74" s="102" t="n">
        <f aca="false">DK98*8</f>
        <v>248</v>
      </c>
      <c r="CF74" s="102" t="n">
        <f aca="false">DL98*16</f>
        <v>80</v>
      </c>
      <c r="CG74" s="102" t="n">
        <f aca="false">CG30</f>
        <v>0.954878828263906</v>
      </c>
      <c r="CH74" s="106" t="n">
        <f aca="false">D74*(CE74+CF74)</f>
        <v>0</v>
      </c>
      <c r="CI74" s="106" t="n">
        <f aca="false">IF(YEAR($AJ74)=$CI$10,(($CN74-$AL$92)*$AK$92+($CN74-$AN$92)*$AM$92+($CN74-$AP$92)*$AO$92+($CN74-$AR$92)*$AQ$92+($CN74-$AT$92)*$AS$92+($CN74-$AV$92)*$AU$92+($CN74-$AX$92)*$AW$92+($CN74-$AZ$92)*$AY$92+($CN74-$BB$92)*$BA$92+($CN74-$BD$92)*$BC$92+($CN74-$BF$92)*$BE$92+($CN74-$BH$92)*$BG$92+($CN74-$BJ$92)*$BI$92+($CN74-$BL$92)*$BK$92+($CN74-$BN$92)*$BM$92+($CN74-$BP$92)*$BO$92+($CN74-$BR$92)*$BQ$92+($CN74-$BT$92)*$BS$92+($CN74-$BV$92)*$BU$92+($CN74-$BX$92)*$BW$92)*($CE74+$CF74)*$CG74,0)</f>
        <v>0</v>
      </c>
      <c r="CJ74" s="106" t="n">
        <f aca="false">IF(YEAR($AJ74)=$CJ$10,(($CN74-$AL$93)*$AK$93+($CN74-$AN$93)*$AM$93+($CN74-$AP$93)*$AO$93+($CN74-$AR$93)*$AQ$93+($CN74-$AT$93)*$AS$93+($CN74-$AV$93)*$AU$93+($CN74-$AX$93)*$AW$93+($CN74-$AZ$93)*$AY$93+($CN74-$BB$93)*$BA$93+($CN74-$BD$93)*$BC$93+($CN74-$BF$93)*$BE$93+($CN74-$BH$93)*$BG$93+($CN74-$BJ$93)*$BI$93+($CN74-$BL$93)*$BK$93+($CN74-$BN$93)*$BM$93+($CN74-$BP$93)*$BO$93+($CN74-$BR$93)*$BQ$93+($CN74-$BT$93)*$BS$93+($CN74-$BV$93)*$BU$93+($CN74-$BX$93)*$BW$93)*($CE74+$CF74)*$CG74,0)</f>
        <v>0</v>
      </c>
      <c r="CK74" s="106" t="n">
        <f aca="false">IF(YEAR($AJ74)=$CK$10,(($CN74-$AL$94)*$AK$94+($CN74-$AN$94)*$AM$94+($CN74-$AP$94)*$AO$94+($CN74-$AR$94)*$AQ$94+($CN74-$AT$94)*$AS$94+($CN74-$AV$94)*$AU$94+($CN74-$AX$94)*$AW$94+($CN74-$AZ$94)*$AY$94+($CN74-$BB$94)*$BA$94+($CN74-$BD$94)*$BC$94+($CN74-$BF$94)*$BE$94+($CN74-$BH$94)*$BG$94+($CN74-$BJ$94)*$BI$94+($CN74-$BL$94)*$BK$94+($CN74-$BN$94)*$BM$94+($CN74-$BP$94)*$BO$94+($CN74-$BR$94)*$BQ$94+($CN74-$BT$94)*$BS$94+($CN74-$BV$94)*$BU$94+($CN74-$BX$94)*$BW$94)*($CE74+$CF74)*$CG74,0)</f>
        <v>0</v>
      </c>
      <c r="CL74" s="1" t="n">
        <f aca="false">CC74*CD74</f>
        <v>0</v>
      </c>
      <c r="CN74" s="21" t="n">
        <f aca="false">([2]EnergyCurve!$L52*CE74+[2]EnergyCurve!$AD52*CF74)/(CE74+CF74)</f>
        <v>31.43124913705</v>
      </c>
      <c r="DI74" s="1" t="n">
        <f aca="false">DK74-DL74</f>
        <v>4</v>
      </c>
      <c r="DJ74" s="107" t="n">
        <f aca="false">[2]EnergyCurve!$D96</f>
        <v>39083</v>
      </c>
      <c r="DK74" s="2" t="n">
        <f aca="false">IF($L$6=0,VLOOKUP(DJ74,$DM$13:$DQ$252,2)+VLOOKUP(DJ74,$DU$13:$DY$252,3),VLOOKUP(DJ74,$DU$13:$DY$252,2)+VLOOKUP(DJ74,$DU$13:$DY$252,3))</f>
        <v>26</v>
      </c>
      <c r="DL74" s="2" t="n">
        <f aca="false">IF($L$6=0,VLOOKUP(DJ74,$DM$13:$DQ$252,2),VLOOKUP(DJ74,$DU$13:$DY$252,2))</f>
        <v>22</v>
      </c>
      <c r="DM74" s="130" t="n">
        <v>38749</v>
      </c>
      <c r="DN74" s="22" t="n">
        <v>19</v>
      </c>
      <c r="DO74" s="22" t="n">
        <v>4</v>
      </c>
      <c r="DP74" s="22" t="n">
        <v>4</v>
      </c>
      <c r="DQ74" s="22" t="n">
        <v>1</v>
      </c>
      <c r="DR74" s="22" t="n">
        <v>28</v>
      </c>
      <c r="DS74" s="111"/>
      <c r="DT74" s="111"/>
      <c r="DU74" s="130" t="n">
        <v>38749</v>
      </c>
      <c r="DV74" s="22" t="n">
        <v>20</v>
      </c>
      <c r="DW74" s="22" t="n">
        <v>4</v>
      </c>
      <c r="DX74" s="22" t="n">
        <v>4</v>
      </c>
      <c r="DY74" s="22" t="n">
        <v>0</v>
      </c>
      <c r="DZ74" s="22" t="n">
        <v>28</v>
      </c>
      <c r="EA74" s="111"/>
      <c r="EB74" s="111"/>
      <c r="EQ74" s="107"/>
      <c r="ER74" s="111"/>
      <c r="ES74" s="44"/>
      <c r="ET74" s="44"/>
    </row>
    <row r="75" customFormat="false" ht="18" hidden="false" customHeight="true" outlineLevel="0" collapsed="false">
      <c r="A75" s="112" t="n">
        <f aca="false">A31</f>
        <v>37773</v>
      </c>
      <c r="B75" s="113" t="n">
        <f aca="false">[2]EnergyCurve!$P53+[2]EnergyCurve!$R53+B31</f>
        <v>414054.703125</v>
      </c>
      <c r="C75" s="114" t="n">
        <f aca="false">B75/(CG75*CD75)</f>
        <v>604.268447703417</v>
      </c>
      <c r="D75" s="114" t="n">
        <f aca="false">BY75+IF(YEAR(A75)=$T$20,$BY$92,0)+IF(YEAR(A75)=$T$21,$BY$93,0)+IF(YEAR(A75)=$T$22,$BY$94,0)</f>
        <v>0</v>
      </c>
      <c r="E75" s="115" t="n">
        <f aca="false">B75+(D75*(CE75+CF75)*CG75)+(D31*CD31*CG31)</f>
        <v>414054.703125</v>
      </c>
      <c r="F75" s="116" t="n">
        <f aca="false">C75+D75</f>
        <v>604.268447703417</v>
      </c>
      <c r="G75" s="117" t="n">
        <f aca="false">([2]EnergyCurve!$J53*CE75+[2]EnergyCurve!$AB53*CF75+G31*CD31)/CD75</f>
        <v>41.6794258541531</v>
      </c>
      <c r="H75" s="117" t="n">
        <f aca="false">I75-G75</f>
        <v>-1.24390367403315</v>
      </c>
      <c r="I75" s="118" t="n">
        <f aca="false">([2]EnergyCurve!$L53*CE75+[2]EnergyCurve!$AD53*CF75+I31*CD31)/CD75</f>
        <v>40.43552218012</v>
      </c>
      <c r="J75" s="115" t="n">
        <f aca="false">[2]EnergyCurve!$T53</f>
        <v>-514900.783898344</v>
      </c>
      <c r="K75" s="119" t="n">
        <f aca="false">(((CN75-AL75)*AK75+(CN75-AN75)*AM75+(CN75-AP75)*AO75+(CN75-AR75)*AQ75+(CN75-AT75)*AS75+(CN75-AV75)*AU75+(CN75-AX75)*AW75+(CN75-AZ75)*AY75+(CN75-BB75)*BA75+(CN75-BD75)*BC75+(CN75-BF75)*BE75+(CN75-BH75)*BG75+(CN75-BJ75)*BI75+(CN75-BL75)*BK75+(CN75-BN75)*BM75+(CN75-BP75)*BO75+(CN75-BR75)*BQ75+(CN75-BT75)*BS75+(CN75-BV75)*BU75+(CN75-BX75)*BW75)*(CE75+CF75)*CG75)+CI75+CJ75+CK75</f>
        <v>0</v>
      </c>
      <c r="L75" s="119" t="n">
        <f aca="false">J75+K75</f>
        <v>-514900.783898344</v>
      </c>
      <c r="M75" s="198"/>
      <c r="N75" s="83" t="n">
        <f aca="false">A75</f>
        <v>37773</v>
      </c>
      <c r="O75" s="84" t="n">
        <v>25.25</v>
      </c>
      <c r="P75" s="84" t="n">
        <v>25.25</v>
      </c>
      <c r="Q75" s="85" t="n">
        <f aca="false">AVERAGE(O75:P75)-G75</f>
        <v>-16.4294258541531</v>
      </c>
      <c r="R75" s="201"/>
      <c r="S75" s="202" t="n">
        <f aca="false">I75</f>
        <v>40.43552218012</v>
      </c>
      <c r="T75" s="88" t="n">
        <f aca="false">IF(U74=4,T74+1,T74)</f>
        <v>2003</v>
      </c>
      <c r="U75" s="89" t="n">
        <f aca="false">IF(U74=4,1,U74+1)</f>
        <v>1</v>
      </c>
      <c r="V75" s="152"/>
      <c r="W75" s="152"/>
      <c r="X75" s="152"/>
      <c r="Y75" s="9"/>
      <c r="Z75" s="149"/>
      <c r="AA75" s="153"/>
      <c r="AB75" s="152"/>
      <c r="AC75" s="152"/>
      <c r="AD75" s="152"/>
      <c r="AE75" s="9"/>
      <c r="AF75" s="46"/>
      <c r="AG75" s="46"/>
      <c r="AH75" s="46"/>
      <c r="AI75" s="46"/>
      <c r="AJ75" s="95" t="n">
        <f aca="false">A75</f>
        <v>37773</v>
      </c>
      <c r="AK75" s="96"/>
      <c r="AL75" s="97"/>
      <c r="AM75" s="96"/>
      <c r="AN75" s="97"/>
      <c r="AO75" s="96"/>
      <c r="AP75" s="97"/>
      <c r="AQ75" s="96"/>
      <c r="AR75" s="97"/>
      <c r="AS75" s="96"/>
      <c r="AT75" s="97"/>
      <c r="AU75" s="96"/>
      <c r="AV75" s="97"/>
      <c r="AW75" s="96"/>
      <c r="AX75" s="97"/>
      <c r="AY75" s="96"/>
      <c r="AZ75" s="97"/>
      <c r="BA75" s="96"/>
      <c r="BB75" s="97"/>
      <c r="BC75" s="96"/>
      <c r="BD75" s="97"/>
      <c r="BE75" s="96"/>
      <c r="BF75" s="97"/>
      <c r="BG75" s="96"/>
      <c r="BH75" s="97"/>
      <c r="BI75" s="96"/>
      <c r="BJ75" s="97"/>
      <c r="BK75" s="96"/>
      <c r="BL75" s="97"/>
      <c r="BM75" s="96"/>
      <c r="BN75" s="97"/>
      <c r="BO75" s="96"/>
      <c r="BP75" s="97"/>
      <c r="BQ75" s="96"/>
      <c r="BR75" s="97"/>
      <c r="BS75" s="96"/>
      <c r="BT75" s="97"/>
      <c r="BU75" s="96"/>
      <c r="BV75" s="97"/>
      <c r="BW75" s="96"/>
      <c r="BX75" s="97"/>
      <c r="BY75" s="100" t="n">
        <f aca="false">AK75+AM75+AO75+AQ75+AS75+AU75+AW75+AY75+BA75+BC75+BE75+BG75+BI75+BK75+BM75+BO75+BQ75+BS75+BU75+BW75</f>
        <v>0</v>
      </c>
      <c r="BZ75" s="101" t="n">
        <f aca="false">IF(AND(BY75=0,CC75=0),0,(ABS(AK75)*AL75+ABS(AM75)*AN75+ABS(AO75)*AP75+ABS(AQ75)*AR75+ABS(AS75)*AT75+ABS(AU75)*AV75+ABS(AW75)*AX75+ABS(AY75)*AZ75+ABS(BA75)*BB75+ABS(BC75)*BD75+ABS(BE75)*BF75+ABS(BG75)*BH75+ABS(BI75)*BJ75+ABS(BK75)*BL75+ABS(BM75)*BN75+ABS(BO75)*BP75+ABS(BQ75)*BR75+ABS(BS75)*BT75+ABS(BU75)*BV75+ABS(BW75)*BX75)/CC75)</f>
        <v>0</v>
      </c>
      <c r="CA75" s="102"/>
      <c r="CB75" s="103" t="n">
        <f aca="false">AJ75</f>
        <v>37773</v>
      </c>
      <c r="CC75" s="102" t="n">
        <f aca="false">ABS(AK75)+ABS(AM75)+ABS(AO75)+ABS(AQ75)+ABS(AS75)+ABS(AU75)+ABS(AW75)+ABS(AY75)+ABS(BA75)+ABS(BC75)+ABS(BE75)+ABS(BG75)+ABS(BI75)+ABS(BK75)+ABS(BM75)+ABS(BO75)+ABS(BQ75)+ABS(BS75)+ABS(BU75)+ABS(BW75)</f>
        <v>0</v>
      </c>
      <c r="CD75" s="104" t="n">
        <f aca="false">DK99*24</f>
        <v>720</v>
      </c>
      <c r="CE75" s="102" t="n">
        <f aca="false">DK99*8</f>
        <v>240</v>
      </c>
      <c r="CF75" s="102" t="n">
        <f aca="false">DL99*16</f>
        <v>80</v>
      </c>
      <c r="CG75" s="102" t="n">
        <f aca="false">CG31</f>
        <v>0.951689565702353</v>
      </c>
      <c r="CH75" s="106" t="n">
        <f aca="false">D75*(CE75+CF75)</f>
        <v>0</v>
      </c>
      <c r="CI75" s="106" t="n">
        <f aca="false">IF(YEAR($AJ75)=$CI$10,(($CN75-$AL$92)*$AK$92+($CN75-$AN$92)*$AM$92+($CN75-$AP$92)*$AO$92+($CN75-$AR$92)*$AQ$92+($CN75-$AT$92)*$AS$92+($CN75-$AV$92)*$AU$92+($CN75-$AX$92)*$AW$92+($CN75-$AZ$92)*$AY$92+($CN75-$BB$92)*$BA$92+($CN75-$BD$92)*$BC$92+($CN75-$BF$92)*$BE$92+($CN75-$BH$92)*$BG$92+($CN75-$BJ$92)*$BI$92+($CN75-$BL$92)*$BK$92+($CN75-$BN$92)*$BM$92+($CN75-$BP$92)*$BO$92+($CN75-$BR$92)*$BQ$92+($CN75-$BT$92)*$BS$92+($CN75-$BV$92)*$BU$92+($CN75-$BX$92)*$BW$92)*($CE75+$CF75)*$CG75,0)</f>
        <v>0</v>
      </c>
      <c r="CJ75" s="106" t="n">
        <f aca="false">IF(YEAR($AJ75)=$CJ$10,(($CN75-$AL$93)*$AK$93+($CN75-$AN$93)*$AM$93+($CN75-$AP$93)*$AO$93+($CN75-$AR$93)*$AQ$93+($CN75-$AT$93)*$AS$93+($CN75-$AV$93)*$AU$93+($CN75-$AX$93)*$AW$93+($CN75-$AZ$93)*$AY$93+($CN75-$BB$93)*$BA$93+($CN75-$BD$93)*$BC$93+($CN75-$BF$93)*$BE$93+($CN75-$BH$93)*$BG$93+($CN75-$BJ$93)*$BI$93+($CN75-$BL$93)*$BK$93+($CN75-$BN$93)*$BM$93+($CN75-$BP$93)*$BO$93+($CN75-$BR$93)*$BQ$93+($CN75-$BT$93)*$BS$93+($CN75-$BV$93)*$BU$93+($CN75-$BX$93)*$BW$93)*($CE75+$CF75)*$CG75,0)</f>
        <v>0</v>
      </c>
      <c r="CK75" s="106" t="n">
        <f aca="false">IF(YEAR($AJ75)=$CK$10,(($CN75-$AL$94)*$AK$94+($CN75-$AN$94)*$AM$94+($CN75-$AP$94)*$AO$94+($CN75-$AR$94)*$AQ$94+($CN75-$AT$94)*$AS$94+($CN75-$AV$94)*$AU$94+($CN75-$AX$94)*$AW$94+($CN75-$AZ$94)*$AY$94+($CN75-$BB$94)*$BA$94+($CN75-$BD$94)*$BC$94+($CN75-$BF$94)*$BE$94+($CN75-$BH$94)*$BG$94+($CN75-$BJ$94)*$BI$94+($CN75-$BL$94)*$BK$94+($CN75-$BN$94)*$BM$94+($CN75-$BP$94)*$BO$94+($CN75-$BR$94)*$BQ$94+($CN75-$BT$94)*$BS$94+($CN75-$BV$94)*$BU$94+($CN75-$BX$94)*$BW$94)*($CE75+$CF75)*$CG75,0)</f>
        <v>0</v>
      </c>
      <c r="CL75" s="1" t="n">
        <f aca="false">CC75*CD75</f>
        <v>0</v>
      </c>
      <c r="CN75" s="21" t="n">
        <f aca="false">([2]EnergyCurve!$L53*CE75+[2]EnergyCurve!$AD53*CF75)/(CE75+CF75)</f>
        <v>31.7240086842784</v>
      </c>
      <c r="DI75" s="1" t="n">
        <f aca="false">DK75-DL75</f>
        <v>4</v>
      </c>
      <c r="DJ75" s="107" t="n">
        <f aca="false">[2]EnergyCurve!$D97</f>
        <v>39114</v>
      </c>
      <c r="DK75" s="2" t="n">
        <f aca="false">IF($L$6=0,VLOOKUP(DJ75,$DM$13:$DQ$252,2)+VLOOKUP(DJ75,$DU$13:$DY$252,3),VLOOKUP(DJ75,$DU$13:$DY$252,2)+VLOOKUP(DJ75,$DU$13:$DY$252,3))</f>
        <v>24</v>
      </c>
      <c r="DL75" s="2" t="n">
        <f aca="false">IF($L$6=0,VLOOKUP(DJ75,$DM$13:$DQ$252,2),VLOOKUP(DJ75,$DU$13:$DY$252,2))</f>
        <v>20</v>
      </c>
      <c r="DM75" s="130" t="n">
        <v>38777</v>
      </c>
      <c r="DN75" s="22" t="n">
        <v>23</v>
      </c>
      <c r="DO75" s="22" t="n">
        <v>4</v>
      </c>
      <c r="DP75" s="22" t="n">
        <v>4</v>
      </c>
      <c r="DQ75" s="22" t="n">
        <v>0</v>
      </c>
      <c r="DR75" s="22" t="n">
        <v>31</v>
      </c>
      <c r="DS75" s="111"/>
      <c r="DT75" s="111"/>
      <c r="DU75" s="130" t="n">
        <v>38777</v>
      </c>
      <c r="DV75" s="22" t="n">
        <v>23</v>
      </c>
      <c r="DW75" s="22" t="n">
        <v>4</v>
      </c>
      <c r="DX75" s="22" t="n">
        <v>4</v>
      </c>
      <c r="DY75" s="22" t="n">
        <v>0</v>
      </c>
      <c r="DZ75" s="22" t="n">
        <v>31</v>
      </c>
      <c r="EA75" s="111"/>
      <c r="EB75" s="111"/>
      <c r="EQ75" s="107"/>
      <c r="ER75" s="111"/>
      <c r="ES75" s="44"/>
      <c r="ET75" s="44"/>
    </row>
    <row r="76" customFormat="false" ht="18" hidden="false" customHeight="true" outlineLevel="0" collapsed="false">
      <c r="A76" s="75" t="n">
        <f aca="false">A32</f>
        <v>37803</v>
      </c>
      <c r="B76" s="76" t="n">
        <f aca="false">[2]EnergyCurve!$P54+[2]EnergyCurve!$R54+B32</f>
        <v>426032.0859375</v>
      </c>
      <c r="C76" s="77" t="n">
        <f aca="false">B76/(CG76*CD76)</f>
        <v>603.795071839633</v>
      </c>
      <c r="D76" s="78" t="n">
        <f aca="false">BY76+IF(YEAR(A76)=$T$20,$BY$92,0)+IF(YEAR(A76)=$T$21,$BY$93,0)+IF(YEAR(A76)=$T$22,$BY$94,0)</f>
        <v>0</v>
      </c>
      <c r="E76" s="77" t="n">
        <f aca="false">B76+(D76*(CE76+CF76)*CG76)+(D32*CD32*CG32)</f>
        <v>426032.0859375</v>
      </c>
      <c r="F76" s="79" t="n">
        <f aca="false">C76+D76</f>
        <v>603.795071839633</v>
      </c>
      <c r="G76" s="80" t="n">
        <f aca="false">([2]EnergyCurve!$J54*CE76+[2]EnergyCurve!$AB54*CF76+G32*CD32)/CD76</f>
        <v>42.0367196606052</v>
      </c>
      <c r="H76" s="80" t="n">
        <f aca="false">I76-G76</f>
        <v>-1.24330790195099</v>
      </c>
      <c r="I76" s="81" t="n">
        <f aca="false">([2]EnergyCurve!$L54*CE76+[2]EnergyCurve!$AD54*CF76+I32*CD32)/CD76</f>
        <v>40.7934117586542</v>
      </c>
      <c r="J76" s="76" t="n">
        <f aca="false">[2]EnergyCurve!$T54</f>
        <v>-529542.322014837</v>
      </c>
      <c r="K76" s="82" t="n">
        <f aca="false">(((CN76-AL76)*AK76+(CN76-AN76)*AM76+(CN76-AP76)*AO76+(CN76-AR76)*AQ76+(CN76-AT76)*AS76+(CN76-AV76)*AU76+(CN76-AX76)*AW76+(CN76-AZ76)*AY76+(CN76-BB76)*BA76+(CN76-BD76)*BC76+(CN76-BF76)*BE76+(CN76-BH76)*BG76+(CN76-BJ76)*BI76+(CN76-BL76)*BK76+(CN76-BN76)*BM76+(CN76-BP76)*BO76+(CN76-BR76)*BQ76+(CN76-BT76)*BS76+(CN76-BV76)*BU76+(CN76-BX76)*BW76)*(CE76+CF76)*CG76)+CI76+CJ76+CK76</f>
        <v>0</v>
      </c>
      <c r="L76" s="82" t="n">
        <f aca="false">J76+K76</f>
        <v>-529542.322014837</v>
      </c>
      <c r="M76" s="198"/>
      <c r="N76" s="83" t="n">
        <f aca="false">A76</f>
        <v>37803</v>
      </c>
      <c r="O76" s="84" t="n">
        <v>25.75</v>
      </c>
      <c r="P76" s="84" t="n">
        <v>25.75</v>
      </c>
      <c r="Q76" s="85" t="n">
        <f aca="false">AVERAGE(O76:P76)-G76</f>
        <v>-16.2867196606052</v>
      </c>
      <c r="R76" s="201"/>
      <c r="S76" s="202" t="n">
        <f aca="false">I76</f>
        <v>40.7934117586542</v>
      </c>
      <c r="T76" s="88" t="n">
        <f aca="false">IF(U75=4,T75+1,T75)</f>
        <v>2003</v>
      </c>
      <c r="U76" s="89" t="n">
        <f aca="false">IF(U75=4,1,U75+1)</f>
        <v>2</v>
      </c>
      <c r="V76" s="152"/>
      <c r="W76" s="152"/>
      <c r="X76" s="152"/>
      <c r="Y76" s="9"/>
      <c r="Z76" s="149"/>
      <c r="AA76" s="150"/>
      <c r="AB76" s="151"/>
      <c r="AC76" s="151"/>
      <c r="AD76" s="151"/>
      <c r="AE76" s="9"/>
      <c r="AF76" s="46"/>
      <c r="AG76" s="46"/>
      <c r="AH76" s="46"/>
      <c r="AI76" s="46"/>
      <c r="AJ76" s="95" t="n">
        <f aca="false">A76</f>
        <v>37803</v>
      </c>
      <c r="AK76" s="96"/>
      <c r="AL76" s="97"/>
      <c r="AM76" s="96"/>
      <c r="AN76" s="97"/>
      <c r="AO76" s="96"/>
      <c r="AP76" s="97"/>
      <c r="AQ76" s="96"/>
      <c r="AR76" s="97"/>
      <c r="AS76" s="96"/>
      <c r="AT76" s="97"/>
      <c r="AU76" s="96"/>
      <c r="AV76" s="97"/>
      <c r="AW76" s="96"/>
      <c r="AX76" s="97"/>
      <c r="AY76" s="96"/>
      <c r="AZ76" s="97"/>
      <c r="BA76" s="96"/>
      <c r="BB76" s="97"/>
      <c r="BC76" s="96"/>
      <c r="BD76" s="97"/>
      <c r="BE76" s="96"/>
      <c r="BF76" s="97"/>
      <c r="BG76" s="96"/>
      <c r="BH76" s="97"/>
      <c r="BI76" s="96"/>
      <c r="BJ76" s="97"/>
      <c r="BK76" s="96"/>
      <c r="BL76" s="97"/>
      <c r="BM76" s="96"/>
      <c r="BN76" s="97"/>
      <c r="BO76" s="96"/>
      <c r="BP76" s="97"/>
      <c r="BQ76" s="96"/>
      <c r="BR76" s="97"/>
      <c r="BS76" s="96"/>
      <c r="BT76" s="97"/>
      <c r="BU76" s="96"/>
      <c r="BV76" s="97"/>
      <c r="BW76" s="96"/>
      <c r="BX76" s="97"/>
      <c r="BY76" s="100" t="n">
        <f aca="false">AK76+AM76+AO76+AQ76+AS76+AU76+AW76+AY76+BA76+BC76+BE76+BG76+BI76+BK76+BM76+BO76+BQ76+BS76+BU76+BW76</f>
        <v>0</v>
      </c>
      <c r="BZ76" s="101" t="n">
        <f aca="false">IF(AND(BY76=0,CC76=0),0,(ABS(AK76)*AL76+ABS(AM76)*AN76+ABS(AO76)*AP76+ABS(AQ76)*AR76+ABS(AS76)*AT76+ABS(AU76)*AV76+ABS(AW76)*AX76+ABS(AY76)*AZ76+ABS(BA76)*BB76+ABS(BC76)*BD76+ABS(BE76)*BF76+ABS(BG76)*BH76+ABS(BI76)*BJ76+ABS(BK76)*BL76+ABS(BM76)*BN76+ABS(BO76)*BP76+ABS(BQ76)*BR76+ABS(BS76)*BT76+ABS(BU76)*BV76+ABS(BW76)*BX76)/CC76)</f>
        <v>0</v>
      </c>
      <c r="CA76" s="102"/>
      <c r="CB76" s="103" t="n">
        <f aca="false">AJ76</f>
        <v>37803</v>
      </c>
      <c r="CC76" s="102" t="n">
        <f aca="false">ABS(AK76)+ABS(AM76)+ABS(AO76)+ABS(AQ76)+ABS(AS76)+ABS(AU76)+ABS(AW76)+ABS(AY76)+ABS(BA76)+ABS(BC76)+ABS(BE76)+ABS(BG76)+ABS(BI76)+ABS(BK76)+ABS(BM76)+ABS(BO76)+ABS(BQ76)+ABS(BS76)+ABS(BU76)+ABS(BW76)</f>
        <v>0</v>
      </c>
      <c r="CD76" s="104" t="n">
        <f aca="false">DK100*24</f>
        <v>744</v>
      </c>
      <c r="CE76" s="102" t="n">
        <f aca="false">DK100*8</f>
        <v>248</v>
      </c>
      <c r="CF76" s="102" t="n">
        <f aca="false">DL100*16</f>
        <v>80</v>
      </c>
      <c r="CG76" s="102" t="n">
        <f aca="false">CG32</f>
        <v>0.948374370921429</v>
      </c>
      <c r="CH76" s="106" t="n">
        <f aca="false">D76*(CE76+CF76)</f>
        <v>0</v>
      </c>
      <c r="CI76" s="106" t="n">
        <f aca="false">IF(YEAR($AJ76)=$CI$10,(($CN76-$AL$92)*$AK$92+($CN76-$AN$92)*$AM$92+($CN76-$AP$92)*$AO$92+($CN76-$AR$92)*$AQ$92+($CN76-$AT$92)*$AS$92+($CN76-$AV$92)*$AU$92+($CN76-$AX$92)*$AW$92+($CN76-$AZ$92)*$AY$92+($CN76-$BB$92)*$BA$92+($CN76-$BD$92)*$BC$92+($CN76-$BF$92)*$BE$92+($CN76-$BH$92)*$BG$92+($CN76-$BJ$92)*$BI$92+($CN76-$BL$92)*$BK$92+($CN76-$BN$92)*$BM$92+($CN76-$BP$92)*$BO$92+($CN76-$BR$92)*$BQ$92+($CN76-$BT$92)*$BS$92+($CN76-$BV$92)*$BU$92+($CN76-$BX$92)*$BW$92)*($CE76+$CF76)*$CG76,0)</f>
        <v>0</v>
      </c>
      <c r="CJ76" s="106" t="n">
        <f aca="false">IF(YEAR($AJ76)=$CJ$10,(($CN76-$AL$93)*$AK$93+($CN76-$AN$93)*$AM$93+($CN76-$AP$93)*$AO$93+($CN76-$AR$93)*$AQ$93+($CN76-$AT$93)*$AS$93+($CN76-$AV$93)*$AU$93+($CN76-$AX$93)*$AW$93+($CN76-$AZ$93)*$AY$93+($CN76-$BB$93)*$BA$93+($CN76-$BD$93)*$BC$93+($CN76-$BF$93)*$BE$93+($CN76-$BH$93)*$BG$93+($CN76-$BJ$93)*$BI$93+($CN76-$BL$93)*$BK$93+($CN76-$BN$93)*$BM$93+($CN76-$BP$93)*$BO$93+($CN76-$BR$93)*$BQ$93+($CN76-$BT$93)*$BS$93+($CN76-$BV$93)*$BU$93+($CN76-$BX$93)*$BW$93)*($CE76+$CF76)*$CG76,0)</f>
        <v>0</v>
      </c>
      <c r="CK76" s="106" t="n">
        <f aca="false">IF(YEAR($AJ76)=$CK$10,(($CN76-$AL$94)*$AK$94+($CN76-$AN$94)*$AM$94+($CN76-$AP$94)*$AO$94+($CN76-$AR$94)*$AQ$94+($CN76-$AT$94)*$AS$94+($CN76-$AV$94)*$AU$94+($CN76-$AX$94)*$AW$94+($CN76-$AZ$94)*$AY$94+($CN76-$BB$94)*$BA$94+($CN76-$BD$94)*$BC$94+($CN76-$BF$94)*$BE$94+($CN76-$BH$94)*$BG$94+($CN76-$BJ$94)*$BI$94+($CN76-$BL$94)*$BK$94+($CN76-$BN$94)*$BM$94+($CN76-$BP$94)*$BO$94+($CN76-$BR$94)*$BQ$94+($CN76-$BT$94)*$BS$94+($CN76-$BV$94)*$BU$94+($CN76-$BX$94)*$BW$94)*($CE76+$CF76)*$CG76,0)</f>
        <v>0</v>
      </c>
      <c r="CL76" s="1" t="n">
        <f aca="false">CC76*CD76</f>
        <v>0</v>
      </c>
      <c r="CN76" s="21" t="n">
        <f aca="false">([2]EnergyCurve!$L54*CE76+[2]EnergyCurve!$AD54*CF76)/(CE76+CF76)</f>
        <v>31.9025745339729</v>
      </c>
      <c r="DI76" s="1" t="n">
        <f aca="false">DK76-DL76</f>
        <v>5</v>
      </c>
      <c r="DJ76" s="107" t="n">
        <f aca="false">[2]EnergyCurve!$D98</f>
        <v>39142</v>
      </c>
      <c r="DK76" s="2" t="n">
        <f aca="false">IF($L$6=0,VLOOKUP(DJ76,$DM$13:$DQ$252,2)+VLOOKUP(DJ76,$DU$13:$DY$252,3),VLOOKUP(DJ76,$DU$13:$DY$252,2)+VLOOKUP(DJ76,$DU$13:$DY$252,3))</f>
        <v>27</v>
      </c>
      <c r="DL76" s="2" t="n">
        <f aca="false">IF($L$6=0,VLOOKUP(DJ76,$DM$13:$DQ$252,2),VLOOKUP(DJ76,$DU$13:$DY$252,2))</f>
        <v>22</v>
      </c>
      <c r="DM76" s="130" t="n">
        <v>38808</v>
      </c>
      <c r="DN76" s="22" t="n">
        <v>19</v>
      </c>
      <c r="DO76" s="22" t="n">
        <v>5</v>
      </c>
      <c r="DP76" s="22" t="n">
        <v>5</v>
      </c>
      <c r="DQ76" s="22" t="n">
        <v>1</v>
      </c>
      <c r="DR76" s="22" t="n">
        <v>30</v>
      </c>
      <c r="DS76" s="111"/>
      <c r="DT76" s="111"/>
      <c r="DU76" s="130" t="n">
        <v>38808</v>
      </c>
      <c r="DV76" s="22" t="n">
        <v>20</v>
      </c>
      <c r="DW76" s="22" t="n">
        <v>5</v>
      </c>
      <c r="DX76" s="22" t="n">
        <v>5</v>
      </c>
      <c r="DY76" s="22" t="n">
        <v>0</v>
      </c>
      <c r="DZ76" s="22" t="n">
        <v>30</v>
      </c>
      <c r="EA76" s="111"/>
      <c r="EB76" s="111"/>
      <c r="EQ76" s="107"/>
      <c r="ER76" s="111"/>
      <c r="ES76" s="44"/>
      <c r="ET76" s="44"/>
    </row>
    <row r="77" customFormat="false" ht="18.75" hidden="false" customHeight="true" outlineLevel="0" collapsed="false">
      <c r="A77" s="154" t="n">
        <f aca="false">A33</f>
        <v>37834</v>
      </c>
      <c r="B77" s="155" t="n">
        <f aca="false">[2]EnergyCurve!$P55+[2]EnergyCurve!$R55+B33</f>
        <v>424625.359375</v>
      </c>
      <c r="C77" s="156" t="n">
        <f aca="false">B77/(CG77*CD77)</f>
        <v>603.984129848894</v>
      </c>
      <c r="D77" s="156" t="n">
        <f aca="false">BY77+IF(YEAR(A77)=$T$20,$BY$92,0)+IF(YEAR(A77)=$T$21,$BY$93,0)+IF(YEAR(A77)=$T$22,$BY$94,0)</f>
        <v>0</v>
      </c>
      <c r="E77" s="157" t="n">
        <f aca="false">B77+(D77*(CE77+CF77)*CG77)+(D33*CD33*CG33)</f>
        <v>424625.359375</v>
      </c>
      <c r="F77" s="158" t="n">
        <f aca="false">C77+D77</f>
        <v>603.984129848894</v>
      </c>
      <c r="G77" s="159" t="n">
        <f aca="false">([2]EnergyCurve!$J55*CE77+[2]EnergyCurve!$AB55*CF77+G33*CD33)/CD77</f>
        <v>42.436918750886</v>
      </c>
      <c r="H77" s="159" t="n">
        <f aca="false">I77-G77</f>
        <v>-1.2415413436083</v>
      </c>
      <c r="I77" s="161" t="n">
        <f aca="false">([2]EnergyCurve!$L55*CE77+[2]EnergyCurve!$AD55*CF77+I33*CD33)/CD77</f>
        <v>41.1953774072777</v>
      </c>
      <c r="J77" s="157" t="n">
        <f aca="false">[2]EnergyCurve!$T55</f>
        <v>-527047.958807381</v>
      </c>
      <c r="K77" s="162" t="n">
        <f aca="false">(((CN77-AL77)*AK77+(CN77-AN77)*AM77+(CN77-AP77)*AO77+(CN77-AR77)*AQ77+(CN77-AT77)*AS77+(CN77-AV77)*AU77+(CN77-AX77)*AW77+(CN77-AZ77)*AY77+(CN77-BB77)*BA77+(CN77-BD77)*BC77+(CN77-BF77)*BE77+(CN77-BH77)*BG77+(CN77-BJ77)*BI77+(CN77-BL77)*BK77+(CN77-BN77)*BM77+(CN77-BP77)*BO77+(CN77-BR77)*BQ77+(CN77-BT77)*BS77+(CN77-BV77)*BU77+(CN77-BX77)*BW77)*(CE77+CF77)*CG77)+CI77+CJ77+CK77</f>
        <v>0</v>
      </c>
      <c r="L77" s="162" t="n">
        <f aca="false">J77+K77</f>
        <v>-527047.958807381</v>
      </c>
      <c r="M77" s="198"/>
      <c r="N77" s="163" t="n">
        <f aca="false">A77</f>
        <v>37834</v>
      </c>
      <c r="O77" s="164" t="n">
        <v>29.5</v>
      </c>
      <c r="P77" s="164" t="n">
        <v>29.5</v>
      </c>
      <c r="Q77" s="165" t="n">
        <f aca="false">AVERAGE(O77:P77)-G77</f>
        <v>-12.936918750886</v>
      </c>
      <c r="R77" s="165"/>
      <c r="S77" s="204" t="n">
        <f aca="false">I77</f>
        <v>41.1953774072777</v>
      </c>
      <c r="T77" s="88" t="n">
        <f aca="false">IF(U76=4,T76+1,T76)</f>
        <v>2003</v>
      </c>
      <c r="U77" s="89" t="n">
        <f aca="false">IF(U76=4,1,U76+1)</f>
        <v>3</v>
      </c>
      <c r="V77" s="152"/>
      <c r="W77" s="152"/>
      <c r="X77" s="152"/>
      <c r="Y77" s="9"/>
      <c r="Z77" s="149"/>
      <c r="AA77" s="153"/>
      <c r="AB77" s="152"/>
      <c r="AC77" s="152"/>
      <c r="AD77" s="152"/>
      <c r="AE77" s="9"/>
      <c r="AF77" s="46"/>
      <c r="AG77" s="46"/>
      <c r="AH77" s="46"/>
      <c r="AI77" s="46"/>
      <c r="AJ77" s="95" t="n">
        <f aca="false">A77</f>
        <v>37834</v>
      </c>
      <c r="AK77" s="96"/>
      <c r="AL77" s="97"/>
      <c r="AM77" s="96"/>
      <c r="AN77" s="97"/>
      <c r="AO77" s="96"/>
      <c r="AP77" s="97"/>
      <c r="AQ77" s="96"/>
      <c r="AR77" s="97"/>
      <c r="AS77" s="96"/>
      <c r="AT77" s="97"/>
      <c r="AU77" s="96"/>
      <c r="AV77" s="97"/>
      <c r="AW77" s="96"/>
      <c r="AX77" s="97"/>
      <c r="AY77" s="96"/>
      <c r="AZ77" s="97"/>
      <c r="BA77" s="96"/>
      <c r="BB77" s="97"/>
      <c r="BC77" s="96"/>
      <c r="BD77" s="97"/>
      <c r="BE77" s="96"/>
      <c r="BF77" s="97"/>
      <c r="BG77" s="96"/>
      <c r="BH77" s="97"/>
      <c r="BI77" s="96"/>
      <c r="BJ77" s="97"/>
      <c r="BK77" s="96"/>
      <c r="BL77" s="97"/>
      <c r="BM77" s="96"/>
      <c r="BN77" s="97"/>
      <c r="BO77" s="96"/>
      <c r="BP77" s="97"/>
      <c r="BQ77" s="96"/>
      <c r="BR77" s="97"/>
      <c r="BS77" s="96"/>
      <c r="BT77" s="97"/>
      <c r="BU77" s="96"/>
      <c r="BV77" s="97"/>
      <c r="BW77" s="96"/>
      <c r="BX77" s="97"/>
      <c r="BY77" s="100" t="n">
        <f aca="false">AK77+AM77+AO77+AQ77+AS77+AU77+AW77+AY77+BA77+BC77+BE77+BG77+BI77+BK77+BM77+BO77+BQ77+BS77+BU77+BW77</f>
        <v>0</v>
      </c>
      <c r="BZ77" s="101" t="n">
        <f aca="false">IF(AND(BY77=0,CC77=0),0,(ABS(AK77)*AL77+ABS(AM77)*AN77+ABS(AO77)*AP77+ABS(AQ77)*AR77+ABS(AS77)*AT77+ABS(AU77)*AV77+ABS(AW77)*AX77+ABS(AY77)*AZ77+ABS(BA77)*BB77+ABS(BC77)*BD77+ABS(BE77)*BF77+ABS(BG77)*BH77+ABS(BI77)*BJ77+ABS(BK77)*BL77+ABS(BM77)*BN77+ABS(BO77)*BP77+ABS(BQ77)*BR77+ABS(BS77)*BT77+ABS(BU77)*BV77+ABS(BW77)*BX77)/CC77)</f>
        <v>0</v>
      </c>
      <c r="CA77" s="102"/>
      <c r="CB77" s="103" t="n">
        <f aca="false">AJ77</f>
        <v>37834</v>
      </c>
      <c r="CC77" s="102" t="n">
        <f aca="false">ABS(AK77)+ABS(AM77)+ABS(AO77)+ABS(AQ77)+ABS(AS77)+ABS(AU77)+ABS(AW77)+ABS(AY77)+ABS(BA77)+ABS(BC77)+ABS(BE77)+ABS(BG77)+ABS(BI77)+ABS(BK77)+ABS(BM77)+ABS(BO77)+ABS(BQ77)+ABS(BS77)+ABS(BU77)+ABS(BW77)</f>
        <v>0</v>
      </c>
      <c r="CD77" s="104" t="n">
        <f aca="false">DK101*24</f>
        <v>744</v>
      </c>
      <c r="CE77" s="102" t="n">
        <f aca="false">DK101*8</f>
        <v>248</v>
      </c>
      <c r="CF77" s="102" t="n">
        <f aca="false">DL101*16</f>
        <v>80</v>
      </c>
      <c r="CG77" s="102" t="n">
        <f aca="false">CG33</f>
        <v>0.944947030405288</v>
      </c>
      <c r="CH77" s="106" t="n">
        <f aca="false">D77*(CE77+CF77)</f>
        <v>0</v>
      </c>
      <c r="CI77" s="106" t="n">
        <f aca="false">IF(YEAR($AJ77)=$CI$10,(($CN77-$AL$92)*$AK$92+($CN77-$AN$92)*$AM$92+($CN77-$AP$92)*$AO$92+($CN77-$AR$92)*$AQ$92+($CN77-$AT$92)*$AS$92+($CN77-$AV$92)*$AU$92+($CN77-$AX$92)*$AW$92+($CN77-$AZ$92)*$AY$92+($CN77-$BB$92)*$BA$92+($CN77-$BD$92)*$BC$92+($CN77-$BF$92)*$BE$92+($CN77-$BH$92)*$BG$92+($CN77-$BJ$92)*$BI$92+($CN77-$BL$92)*$BK$92+($CN77-$BN$92)*$BM$92+($CN77-$BP$92)*$BO$92+($CN77-$BR$92)*$BQ$92+($CN77-$BT$92)*$BS$92+($CN77-$BV$92)*$BU$92+($CN77-$BX$92)*$BW$92)*($CE77+$CF77)*$CG77,0)</f>
        <v>0</v>
      </c>
      <c r="CJ77" s="106" t="n">
        <f aca="false">IF(YEAR($AJ77)=$CJ$10,(($CN77-$AL$93)*$AK$93+($CN77-$AN$93)*$AM$93+($CN77-$AP$93)*$AO$93+($CN77-$AR$93)*$AQ$93+($CN77-$AT$93)*$AS$93+($CN77-$AV$93)*$AU$93+($CN77-$AX$93)*$AW$93+($CN77-$AZ$93)*$AY$93+($CN77-$BB$93)*$BA$93+($CN77-$BD$93)*$BC$93+($CN77-$BF$93)*$BE$93+($CN77-$BH$93)*$BG$93+($CN77-$BJ$93)*$BI$93+($CN77-$BL$93)*$BK$93+($CN77-$BN$93)*$BM$93+($CN77-$BP$93)*$BO$93+($CN77-$BR$93)*$BQ$93+($CN77-$BT$93)*$BS$93+($CN77-$BV$93)*$BU$93+($CN77-$BX$93)*$BW$93)*($CE77+$CF77)*$CG77,0)</f>
        <v>0</v>
      </c>
      <c r="CK77" s="106" t="n">
        <f aca="false">IF(YEAR($AJ77)=$CK$10,(($CN77-$AL$94)*$AK$94+($CN77-$AN$94)*$AM$94+($CN77-$AP$94)*$AO$94+($CN77-$AR$94)*$AQ$94+($CN77-$AT$94)*$AS$94+($CN77-$AV$94)*$AU$94+($CN77-$AX$94)*$AW$94+($CN77-$AZ$94)*$AY$94+($CN77-$BB$94)*$BA$94+($CN77-$BD$94)*$BC$94+($CN77-$BF$94)*$BE$94+($CN77-$BH$94)*$BG$94+($CN77-$BJ$94)*$BI$94+($CN77-$BL$94)*$BK$94+($CN77-$BN$94)*$BM$94+($CN77-$BP$94)*$BO$94+($CN77-$BR$94)*$BQ$94+($CN77-$BT$94)*$BS$94+($CN77-$BV$94)*$BU$94+($CN77-$BX$94)*$BW$94)*($CE77+$CF77)*$CG77,0)</f>
        <v>0</v>
      </c>
      <c r="CL77" s="1" t="n">
        <f aca="false">CC77*CD77</f>
        <v>0</v>
      </c>
      <c r="CN77" s="21" t="n">
        <f aca="false">([2]EnergyCurve!$L55*CE77+[2]EnergyCurve!$AD55*CF77)/(CE77+CF77)</f>
        <v>32.2363462636701</v>
      </c>
      <c r="DI77" s="1" t="n">
        <f aca="false">DK77-DL77</f>
        <v>4</v>
      </c>
      <c r="DJ77" s="107" t="n">
        <f aca="false">[2]EnergyCurve!$D99</f>
        <v>39173</v>
      </c>
      <c r="DK77" s="2" t="n">
        <f aca="false">IF($L$6=0,VLOOKUP(DJ77,$DM$13:$DQ$252,2)+VLOOKUP(DJ77,$DU$13:$DY$252,3),VLOOKUP(DJ77,$DU$13:$DY$252,2)+VLOOKUP(DJ77,$DU$13:$DY$252,3))</f>
        <v>25</v>
      </c>
      <c r="DL77" s="2" t="n">
        <f aca="false">IF($L$6=0,VLOOKUP(DJ77,$DM$13:$DQ$252,2),VLOOKUP(DJ77,$DU$13:$DY$252,2))</f>
        <v>21</v>
      </c>
      <c r="DM77" s="130" t="n">
        <v>38838</v>
      </c>
      <c r="DN77" s="22" t="n">
        <v>22</v>
      </c>
      <c r="DO77" s="22" t="n">
        <v>4</v>
      </c>
      <c r="DP77" s="22" t="n">
        <v>4</v>
      </c>
      <c r="DQ77" s="22" t="n">
        <v>1</v>
      </c>
      <c r="DR77" s="22" t="n">
        <v>31</v>
      </c>
      <c r="DS77" s="111"/>
      <c r="DT77" s="111"/>
      <c r="DU77" s="130" t="n">
        <v>38838</v>
      </c>
      <c r="DV77" s="22" t="n">
        <v>22</v>
      </c>
      <c r="DW77" s="22" t="n">
        <v>4</v>
      </c>
      <c r="DX77" s="22" t="n">
        <v>4</v>
      </c>
      <c r="DY77" s="22" t="n">
        <v>1</v>
      </c>
      <c r="DZ77" s="22" t="n">
        <v>31</v>
      </c>
      <c r="EA77" s="111"/>
      <c r="EB77" s="111"/>
      <c r="EQ77" s="107"/>
      <c r="ER77" s="111"/>
      <c r="ES77" s="44"/>
      <c r="ET77" s="44"/>
    </row>
    <row r="78" customFormat="false" ht="18.75" hidden="false" customHeight="true" outlineLevel="0" collapsed="false">
      <c r="A78" s="168" t="n">
        <f aca="false">A34</f>
        <v>37865</v>
      </c>
      <c r="B78" s="169" t="n">
        <f aca="false">[2]EnergyCurve!$P56+[2]EnergyCurve!$R56+B34</f>
        <v>409697.6328125</v>
      </c>
      <c r="C78" s="170" t="n">
        <f aca="false">B78/(CG78*CD78)</f>
        <v>604.368663960037</v>
      </c>
      <c r="D78" s="170" t="n">
        <f aca="false">BY78+IF(YEAR(A78)=$T$20,$BY$92,0)+IF(YEAR(A78)=$T$21,$BY$93,0)+IF(YEAR(A78)=$T$22,$BY$94,0)</f>
        <v>0</v>
      </c>
      <c r="E78" s="169" t="n">
        <f aca="false">B78+(D78*(CE78+CF78)*CG78)+(D34*CD34*CG34)</f>
        <v>409697.6328125</v>
      </c>
      <c r="F78" s="171" t="n">
        <f aca="false">C78+D78</f>
        <v>604.368663960037</v>
      </c>
      <c r="G78" s="172" t="n">
        <f aca="false">([2]EnergyCurve!$J56*CE78+[2]EnergyCurve!$AB56*CF78+G34*CD34)/CD78</f>
        <v>42.4370609707303</v>
      </c>
      <c r="H78" s="172" t="n">
        <f aca="false">[2]EnergyCurve!$K56</f>
        <v>-0.822625265658186</v>
      </c>
      <c r="I78" s="173" t="n">
        <f aca="false">([2]EnergyCurve!$L56*CE78+[2]EnergyCurve!$AD56*CF78+I34*CD34)/CD78</f>
        <v>41.262716790463</v>
      </c>
      <c r="J78" s="169" t="n">
        <f aca="false">[2]EnergyCurve!$T56</f>
        <v>-481024.652585863</v>
      </c>
      <c r="K78" s="174" t="n">
        <f aca="false">(((CN78-AL78)*AK78+(CN78-AN78)*AM78+(CN78-AP78)*AO78+(CN78-AR78)*AQ78+(CN78-AT78)*AS78+(CN78-AV78)*AU78+(CN78-AX78)*AW78+(CN78-AZ78)*AY78+(CN78-BB78)*BA78+(CN78-BD78)*BC78+(CN78-BF78)*BE78+(CN78-BH78)*BG78+(CN78-BJ78)*BI78+(CN78-BL78)*BK78+(CN78-BN78)*BM78+(CN78-BP78)*BO78+(CN78-BR78)*BQ78+(CN78-BT78)*BS78+(CN78-BV78)*BU78+(CN78-BX78)*BW78)*(CE78+CF78)*CG78)+CI78+CJ78+CK78</f>
        <v>0</v>
      </c>
      <c r="L78" s="205" t="n">
        <f aca="false">J78+K78</f>
        <v>-481024.652585863</v>
      </c>
      <c r="M78" s="46"/>
      <c r="N78" s="0"/>
      <c r="O78" s="0"/>
      <c r="P78" s="0"/>
      <c r="Q78" s="0"/>
      <c r="R78" s="46"/>
      <c r="S78" s="89"/>
      <c r="T78" s="88" t="n">
        <f aca="false">IF(U77=4,T77+1,T77)</f>
        <v>2003</v>
      </c>
      <c r="U78" s="89" t="n">
        <f aca="false">IF(U77=4,1,U77+1)</f>
        <v>4</v>
      </c>
      <c r="V78" s="152"/>
      <c r="W78" s="152"/>
      <c r="X78" s="152"/>
      <c r="Y78" s="9"/>
      <c r="Z78" s="149"/>
      <c r="AA78" s="150"/>
      <c r="AB78" s="151"/>
      <c r="AC78" s="151"/>
      <c r="AD78" s="151"/>
      <c r="AE78" s="9"/>
      <c r="AF78" s="46"/>
      <c r="AG78" s="46"/>
      <c r="AH78" s="46"/>
      <c r="AI78" s="46"/>
      <c r="AJ78" s="95" t="n">
        <f aca="false">A78</f>
        <v>37865</v>
      </c>
      <c r="AK78" s="96"/>
      <c r="AL78" s="97"/>
      <c r="AM78" s="96"/>
      <c r="AN78" s="97"/>
      <c r="AO78" s="96"/>
      <c r="AP78" s="97"/>
      <c r="AQ78" s="96"/>
      <c r="AR78" s="97"/>
      <c r="AS78" s="96"/>
      <c r="AT78" s="97"/>
      <c r="AU78" s="96"/>
      <c r="AV78" s="97"/>
      <c r="AW78" s="96"/>
      <c r="AX78" s="97"/>
      <c r="AY78" s="96"/>
      <c r="AZ78" s="97"/>
      <c r="BA78" s="96"/>
      <c r="BB78" s="97"/>
      <c r="BC78" s="96"/>
      <c r="BD78" s="97"/>
      <c r="BE78" s="96"/>
      <c r="BF78" s="97"/>
      <c r="BG78" s="96"/>
      <c r="BH78" s="97"/>
      <c r="BI78" s="96"/>
      <c r="BJ78" s="97"/>
      <c r="BK78" s="96"/>
      <c r="BL78" s="97"/>
      <c r="BM78" s="96"/>
      <c r="BN78" s="97"/>
      <c r="BO78" s="96"/>
      <c r="BP78" s="97"/>
      <c r="BQ78" s="96"/>
      <c r="BR78" s="97"/>
      <c r="BS78" s="96"/>
      <c r="BT78" s="97"/>
      <c r="BU78" s="96"/>
      <c r="BV78" s="97"/>
      <c r="BW78" s="96"/>
      <c r="BX78" s="97"/>
      <c r="BY78" s="100" t="n">
        <f aca="false">AK78+AM78+AO78+AQ78+AS78+AU78+AW78+AY78+BA78+BC78+BE78+BG78+BI78+BK78+BM78+BO78+BQ78+BS78+BU78+BW78</f>
        <v>0</v>
      </c>
      <c r="BZ78" s="101" t="n">
        <f aca="false">IF(AND(BY78=0,CC78=0),0,(ABS(AK78)*AL78+ABS(AM78)*AN78+ABS(AO78)*AP78+ABS(AQ78)*AR78+ABS(AS78)*AT78+ABS(AU78)*AV78+ABS(AW78)*AX78+ABS(AY78)*AZ78+ABS(BA78)*BB78+ABS(BC78)*BD78+ABS(BE78)*BF78+ABS(BG78)*BH78+ABS(BI78)*BJ78+ABS(BK78)*BL78+ABS(BM78)*BN78+ABS(BO78)*BP78+ABS(BQ78)*BR78+ABS(BS78)*BT78+ABS(BU78)*BV78+ABS(BW78)*BX78)/CC78)</f>
        <v>0</v>
      </c>
      <c r="CA78" s="102"/>
      <c r="CB78" s="103" t="n">
        <f aca="false">AJ78</f>
        <v>37865</v>
      </c>
      <c r="CC78" s="102" t="n">
        <f aca="false">ABS(AK78)+ABS(AM78)+ABS(AO78)+ABS(AQ78)+ABS(AS78)+ABS(AU78)+ABS(AW78)+ABS(AY78)+ABS(BA78)+ABS(BC78)+ABS(BE78)+ABS(BG78)+ABS(BI78)+ABS(BK78)+ABS(BM78)+ABS(BO78)+ABS(BQ78)+ABS(BS78)+ABS(BU78)+ABS(BW78)</f>
        <v>0</v>
      </c>
      <c r="CD78" s="104" t="n">
        <f aca="false">DK102*24</f>
        <v>720</v>
      </c>
      <c r="CE78" s="102" t="n">
        <f aca="false">DK102*8</f>
        <v>240</v>
      </c>
      <c r="CF78" s="102" t="n">
        <f aca="false">DL102*16</f>
        <v>80</v>
      </c>
      <c r="CG78" s="102" t="n">
        <f aca="false">CG34</f>
        <v>0.941518850909496</v>
      </c>
      <c r="CH78" s="106" t="n">
        <f aca="false">D78*(CE78+CF78)</f>
        <v>0</v>
      </c>
      <c r="CI78" s="106" t="n">
        <f aca="false">IF(YEAR($AJ78)=$CI$10,(($CN78-$AL$92)*$AK$92+($CN78-$AN$92)*$AM$92+($CN78-$AP$92)*$AO$92+($CN78-$AR$92)*$AQ$92+($CN78-$AT$92)*$AS$92+($CN78-$AV$92)*$AU$92+($CN78-$AX$92)*$AW$92+($CN78-$AZ$92)*$AY$92+($CN78-$BB$92)*$BA$92+($CN78-$BD$92)*$BC$92+($CN78-$BF$92)*$BE$92+($CN78-$BH$92)*$BG$92+($CN78-$BJ$92)*$BI$92+($CN78-$BL$92)*$BK$92+($CN78-$BN$92)*$BM$92+($CN78-$BP$92)*$BO$92+($CN78-$BR$92)*$BQ$92+($CN78-$BT$92)*$BS$92+($CN78-$BV$92)*$BU$92+($CN78-$BX$92)*$BW$92)*($CE78+$CF78)*$CG78,0)</f>
        <v>0</v>
      </c>
      <c r="CJ78" s="106" t="n">
        <f aca="false">IF(YEAR($AJ78)=$CJ$10,(($CN78-$AL$93)*$AK$93+($CN78-$AN$93)*$AM$93+($CN78-$AP$93)*$AO$93+($CN78-$AR$93)*$AQ$93+($CN78-$AT$93)*$AS$93+($CN78-$AV$93)*$AU$93+($CN78-$AX$93)*$AW$93+($CN78-$AZ$93)*$AY$93+($CN78-$BB$93)*$BA$93+($CN78-$BD$93)*$BC$93+($CN78-$BF$93)*$BE$93+($CN78-$BH$93)*$BG$93+($CN78-$BJ$93)*$BI$93+($CN78-$BL$93)*$BK$93+($CN78-$BN$93)*$BM$93+($CN78-$BP$93)*$BO$93+($CN78-$BR$93)*$BQ$93+($CN78-$BT$93)*$BS$93+($CN78-$BV$93)*$BU$93+($CN78-$BX$93)*$BW$93)*($CE78+$CF78)*$CG78,0)</f>
        <v>0</v>
      </c>
      <c r="CK78" s="106" t="n">
        <f aca="false">IF(YEAR($AJ78)=$CK$10,(($CN78-$AL$94)*$AK$94+($CN78-$AN$94)*$AM$94+($CN78-$AP$94)*$AO$94+($CN78-$AR$94)*$AQ$94+($CN78-$AT$94)*$AS$94+($CN78-$AV$94)*$AU$94+($CN78-$AX$94)*$AW$94+($CN78-$AZ$94)*$AY$94+($CN78-$BB$94)*$BA$94+($CN78-$BD$94)*$BC$94+($CN78-$BF$94)*$BE$94+($CN78-$BH$94)*$BG$94+($CN78-$BJ$94)*$BI$94+($CN78-$BL$94)*$BK$94+($CN78-$BN$94)*$BM$94+($CN78-$BP$94)*$BO$94+($CN78-$BR$94)*$BQ$94+($CN78-$BT$94)*$BS$94+($CN78-$BV$94)*$BU$94+($CN78-$BX$94)*$BW$94)*($CE78+$CF78)*$CG78,0)</f>
        <v>0</v>
      </c>
      <c r="CL78" s="1" t="n">
        <f aca="false">CC78*CD78</f>
        <v>0</v>
      </c>
      <c r="CN78" s="21" t="n">
        <f aca="false">([2]EnergyCurve!$L56*CE78+[2]EnergyCurve!$AD56*CF78)/(CE78+CF78)</f>
        <v>32.3729907571503</v>
      </c>
      <c r="DM78" s="130" t="n">
        <v>38869</v>
      </c>
      <c r="DN78" s="22" t="n">
        <v>22</v>
      </c>
      <c r="DO78" s="22" t="n">
        <v>4</v>
      </c>
      <c r="DP78" s="22" t="n">
        <v>4</v>
      </c>
      <c r="DQ78" s="22" t="n">
        <v>0</v>
      </c>
      <c r="DR78" s="22" t="n">
        <v>30</v>
      </c>
      <c r="DS78" s="111"/>
      <c r="DT78" s="111"/>
      <c r="DU78" s="130" t="n">
        <v>38869</v>
      </c>
      <c r="DV78" s="22" t="n">
        <v>22</v>
      </c>
      <c r="DW78" s="22" t="n">
        <v>4</v>
      </c>
      <c r="DX78" s="22" t="n">
        <v>4</v>
      </c>
      <c r="DY78" s="22" t="n">
        <v>0</v>
      </c>
      <c r="DZ78" s="22" t="n">
        <v>30</v>
      </c>
      <c r="EA78" s="111"/>
      <c r="EB78" s="111"/>
      <c r="EQ78" s="107"/>
      <c r="ER78" s="111"/>
      <c r="ES78" s="44"/>
      <c r="ET78" s="44"/>
    </row>
    <row r="79" customFormat="false" ht="18" hidden="false" customHeight="true" outlineLevel="0" collapsed="false">
      <c r="A79" s="168" t="n">
        <f aca="false">A35</f>
        <v>37895</v>
      </c>
      <c r="B79" s="169" t="n">
        <f aca="false">[2]EnergyCurve!$P57+[2]EnergyCurve!$R57+B35</f>
        <v>421956.28125</v>
      </c>
      <c r="C79" s="170" t="n">
        <f aca="false">B79/(CG79*CD79)</f>
        <v>604.653326877659</v>
      </c>
      <c r="D79" s="170" t="n">
        <f aca="false">BY79+IF(YEAR(A79)=$T$20,$BY$92,0)+IF(YEAR(A79)=$T$21,$BY$93,0)+IF(YEAR(A79)=$T$22,$BY$94,0)</f>
        <v>0</v>
      </c>
      <c r="E79" s="169" t="n">
        <f aca="false">B79+(D79*(CE79+CF79)*CG79)+(D35*CD35*CG35)</f>
        <v>421956.28125</v>
      </c>
      <c r="F79" s="171" t="n">
        <f aca="false">C79+D79</f>
        <v>604.653326877659</v>
      </c>
      <c r="G79" s="172" t="n">
        <f aca="false">([2]EnergyCurve!$J57*CE79+[2]EnergyCurve!$AB57*CF79+G35*CD35)/CD79</f>
        <v>42.7898070837862</v>
      </c>
      <c r="H79" s="172" t="n">
        <f aca="false">[2]EnergyCurve!$K57</f>
        <v>-0.775680480793096</v>
      </c>
      <c r="I79" s="173" t="n">
        <f aca="false">([2]EnergyCurve!$L57*CE79+[2]EnergyCurve!$AD57*CF79+I35*CD35)/CD79</f>
        <v>41.6784978229796</v>
      </c>
      <c r="J79" s="169" t="n">
        <f aca="false">[2]EnergyCurve!$T57</f>
        <v>-468625.142836556</v>
      </c>
      <c r="K79" s="174" t="n">
        <f aca="false">(((CN79-AL79)*AK79+(CN79-AN79)*AM79+(CN79-AP79)*AO79+(CN79-AR79)*AQ79+(CN79-AT79)*AS79+(CN79-AV79)*AU79+(CN79-AX79)*AW79+(CN79-AZ79)*AY79+(CN79-BB79)*BA79+(CN79-BD79)*BC79+(CN79-BF79)*BE79+(CN79-BH79)*BG79+(CN79-BJ79)*BI79+(CN79-BL79)*BK79+(CN79-BN79)*BM79+(CN79-BP79)*BO79+(CN79-BR79)*BQ79+(CN79-BT79)*BS79+(CN79-BV79)*BU79+(CN79-BX79)*BW79)*(CE79+CF79)*CG79)+CI79+CJ79+CK79</f>
        <v>0</v>
      </c>
      <c r="L79" s="205" t="n">
        <f aca="false">J79+K79</f>
        <v>-468625.142836556</v>
      </c>
      <c r="M79" s="46"/>
      <c r="N79" s="206"/>
      <c r="O79" s="207"/>
      <c r="P79" s="207"/>
      <c r="Q79" s="208"/>
      <c r="R79" s="46"/>
      <c r="S79" s="89"/>
      <c r="T79" s="88" t="n">
        <f aca="false">IF(MONTH(TradeSum!$B$2)&gt;8,YEAR(TradeSum!$B$2)+1,YEAR(TradeSum!$B$2))</f>
        <v>2002</v>
      </c>
      <c r="U79" s="89"/>
      <c r="V79" s="152"/>
      <c r="W79" s="152"/>
      <c r="X79" s="152"/>
      <c r="Y79" s="9"/>
      <c r="Z79" s="149"/>
      <c r="AA79" s="153"/>
      <c r="AB79" s="152"/>
      <c r="AC79" s="152"/>
      <c r="AD79" s="152"/>
      <c r="AE79" s="9"/>
      <c r="AF79" s="46"/>
      <c r="AG79" s="46"/>
      <c r="AH79" s="46"/>
      <c r="AI79" s="46"/>
      <c r="AJ79" s="95" t="n">
        <f aca="false">A79</f>
        <v>37895</v>
      </c>
      <c r="AK79" s="96"/>
      <c r="AL79" s="97"/>
      <c r="AM79" s="96"/>
      <c r="AN79" s="97"/>
      <c r="AO79" s="96"/>
      <c r="AP79" s="97"/>
      <c r="AQ79" s="96"/>
      <c r="AR79" s="97"/>
      <c r="AS79" s="96"/>
      <c r="AT79" s="97"/>
      <c r="AU79" s="96"/>
      <c r="AV79" s="97"/>
      <c r="AW79" s="96"/>
      <c r="AX79" s="97"/>
      <c r="AY79" s="96"/>
      <c r="AZ79" s="97"/>
      <c r="BA79" s="96"/>
      <c r="BB79" s="97"/>
      <c r="BC79" s="96"/>
      <c r="BD79" s="97"/>
      <c r="BE79" s="96"/>
      <c r="BF79" s="97"/>
      <c r="BG79" s="96"/>
      <c r="BH79" s="97"/>
      <c r="BI79" s="96"/>
      <c r="BJ79" s="97"/>
      <c r="BK79" s="96"/>
      <c r="BL79" s="97"/>
      <c r="BM79" s="96"/>
      <c r="BN79" s="97"/>
      <c r="BO79" s="96"/>
      <c r="BP79" s="97"/>
      <c r="BQ79" s="96"/>
      <c r="BR79" s="97"/>
      <c r="BS79" s="96"/>
      <c r="BT79" s="97"/>
      <c r="BU79" s="96"/>
      <c r="BV79" s="97"/>
      <c r="BW79" s="96"/>
      <c r="BX79" s="97"/>
      <c r="BY79" s="100" t="n">
        <f aca="false">AK79+AM79+AO79+AQ79+AS79+AU79+AW79+AY79+BA79+BC79+BE79+BG79+BI79+BK79+BM79+BO79+BQ79+BS79+BU79+BW79</f>
        <v>0</v>
      </c>
      <c r="BZ79" s="101" t="n">
        <f aca="false">IF(AND(BY79=0,CC79=0),0,(ABS(AK79)*AL79+ABS(AM79)*AN79+ABS(AO79)*AP79+ABS(AQ79)*AR79+ABS(AS79)*AT79+ABS(AU79)*AV79+ABS(AW79)*AX79+ABS(AY79)*AZ79+ABS(BA79)*BB79+ABS(BC79)*BD79+ABS(BE79)*BF79+ABS(BG79)*BH79+ABS(BI79)*BJ79+ABS(BK79)*BL79+ABS(BM79)*BN79+ABS(BO79)*BP79+ABS(BQ79)*BR79+ABS(BS79)*BT79+ABS(BU79)*BV79+ABS(BW79)*BX79)/CC79)</f>
        <v>0</v>
      </c>
      <c r="CA79" s="102"/>
      <c r="CB79" s="103" t="n">
        <f aca="false">AJ79</f>
        <v>37895</v>
      </c>
      <c r="CC79" s="102" t="n">
        <f aca="false">ABS(AK79)+ABS(AM79)+ABS(AO79)+ABS(AQ79)+ABS(AS79)+ABS(AU79)+ABS(AW79)+ABS(AY79)+ABS(BA79)+ABS(BC79)+ABS(BE79)+ABS(BG79)+ABS(BI79)+ABS(BK79)+ABS(BM79)+ABS(BO79)+ABS(BQ79)+ABS(BS79)+ABS(BU79)+ABS(BW79)</f>
        <v>0</v>
      </c>
      <c r="CD79" s="104" t="n">
        <f aca="false">DK103*24</f>
        <v>744</v>
      </c>
      <c r="CE79" s="102" t="n">
        <f aca="false">DK103*8</f>
        <v>248</v>
      </c>
      <c r="CF79" s="102" t="n">
        <f aca="false">DL103*16</f>
        <v>64</v>
      </c>
      <c r="CG79" s="102" t="n">
        <f aca="false">CG35</f>
        <v>0.937968111815695</v>
      </c>
      <c r="CH79" s="106" t="n">
        <f aca="false">D79*(CE79+CF79)</f>
        <v>0</v>
      </c>
      <c r="CI79" s="106" t="n">
        <f aca="false">IF(YEAR($AJ79)=$CI$10,(($CN79-$AL$92)*$AK$92+($CN79-$AN$92)*$AM$92+($CN79-$AP$92)*$AO$92+($CN79-$AR$92)*$AQ$92+($CN79-$AT$92)*$AS$92+($CN79-$AV$92)*$AU$92+($CN79-$AX$92)*$AW$92+($CN79-$AZ$92)*$AY$92+($CN79-$BB$92)*$BA$92+($CN79-$BD$92)*$BC$92+($CN79-$BF$92)*$BE$92+($CN79-$BH$92)*$BG$92+($CN79-$BJ$92)*$BI$92+($CN79-$BL$92)*$BK$92+($CN79-$BN$92)*$BM$92+($CN79-$BP$92)*$BO$92+($CN79-$BR$92)*$BQ$92+($CN79-$BT$92)*$BS$92+($CN79-$BV$92)*$BU$92+($CN79-$BX$92)*$BW$92)*($CE79+$CF79)*$CG79,0)</f>
        <v>0</v>
      </c>
      <c r="CJ79" s="106" t="n">
        <f aca="false">IF(YEAR($AJ79)=$CJ$10,(($CN79-$AL$93)*$AK$93+($CN79-$AN$93)*$AM$93+($CN79-$AP$93)*$AO$93+($CN79-$AR$93)*$AQ$93+($CN79-$AT$93)*$AS$93+($CN79-$AV$93)*$AU$93+($CN79-$AX$93)*$AW$93+($CN79-$AZ$93)*$AY$93+($CN79-$BB$93)*$BA$93+($CN79-$BD$93)*$BC$93+($CN79-$BF$93)*$BE$93+($CN79-$BH$93)*$BG$93+($CN79-$BJ$93)*$BI$93+($CN79-$BL$93)*$BK$93+($CN79-$BN$93)*$BM$93+($CN79-$BP$93)*$BO$93+($CN79-$BR$93)*$BQ$93+($CN79-$BT$93)*$BS$93+($CN79-$BV$93)*$BU$93+($CN79-$BX$93)*$BW$93)*($CE79+$CF79)*$CG79,0)</f>
        <v>0</v>
      </c>
      <c r="CK79" s="106" t="n">
        <f aca="false">IF(YEAR($AJ79)=$CK$10,(($CN79-$AL$94)*$AK$94+($CN79-$AN$94)*$AM$94+($CN79-$AP$94)*$AO$94+($CN79-$AR$94)*$AQ$94+($CN79-$AT$94)*$AS$94+($CN79-$AV$94)*$AU$94+($CN79-$AX$94)*$AW$94+($CN79-$AZ$94)*$AY$94+($CN79-$BB$94)*$BA$94+($CN79-$BD$94)*$BC$94+($CN79-$BF$94)*$BE$94+($CN79-$BH$94)*$BG$94+($CN79-$BJ$94)*$BI$94+($CN79-$BL$94)*$BK$94+($CN79-$BN$94)*$BM$94+($CN79-$BP$94)*$BO$94+($CN79-$BR$94)*$BQ$94+($CN79-$BT$94)*$BS$94+($CN79-$BV$94)*$BU$94+($CN79-$BX$94)*$BW$94)*($CE79+$CF79)*$CG79,0)</f>
        <v>0</v>
      </c>
      <c r="CL79" s="1" t="n">
        <f aca="false">CC79*CD79</f>
        <v>0</v>
      </c>
      <c r="CN79" s="21" t="n">
        <f aca="false">([2]EnergyCurve!$L57*CE79+[2]EnergyCurve!$AD57*CF79)/(CE79+CF79)</f>
        <v>31.9554720509144</v>
      </c>
      <c r="DM79" s="130" t="n">
        <v>38899</v>
      </c>
      <c r="DN79" s="22" t="n">
        <v>21</v>
      </c>
      <c r="DO79" s="22" t="n">
        <v>4</v>
      </c>
      <c r="DP79" s="22" t="n">
        <v>5</v>
      </c>
      <c r="DQ79" s="22" t="n">
        <v>1</v>
      </c>
      <c r="DR79" s="22" t="n">
        <v>31</v>
      </c>
      <c r="DS79" s="111"/>
      <c r="DT79" s="111"/>
      <c r="DU79" s="130" t="n">
        <v>38899</v>
      </c>
      <c r="DV79" s="22" t="n">
        <v>20</v>
      </c>
      <c r="DW79" s="22" t="n">
        <v>5</v>
      </c>
      <c r="DX79" s="22" t="n">
        <v>5</v>
      </c>
      <c r="DY79" s="22" t="n">
        <v>1</v>
      </c>
      <c r="DZ79" s="22" t="n">
        <v>31</v>
      </c>
      <c r="EA79" s="111"/>
      <c r="EB79" s="111"/>
      <c r="EQ79" s="107"/>
      <c r="ER79" s="111"/>
      <c r="ES79" s="44"/>
      <c r="ET79" s="44"/>
    </row>
    <row r="80" customFormat="false" ht="18.75" hidden="false" customHeight="true" outlineLevel="0" collapsed="false">
      <c r="A80" s="168" t="n">
        <f aca="false">A36</f>
        <v>37926</v>
      </c>
      <c r="B80" s="169" t="n">
        <f aca="false">[2]EnergyCurve!$P58+[2]EnergyCurve!$R58+B36</f>
        <v>407279.546875</v>
      </c>
      <c r="C80" s="170" t="n">
        <f aca="false">B80/(CG80*CD80)</f>
        <v>605.352437853523</v>
      </c>
      <c r="D80" s="170" t="n">
        <f aca="false">BY80+IF(YEAR(A80)=$T$20,$BY$92,0)+IF(YEAR(A80)=$T$21,$BY$93,0)+IF(YEAR(A80)=$T$22,$BY$94,0)</f>
        <v>0</v>
      </c>
      <c r="E80" s="169" t="n">
        <f aca="false">B80+(D80*(CE80+CF80)*CG80)+(D36*CD36*CG36)</f>
        <v>407279.546875</v>
      </c>
      <c r="F80" s="171" t="n">
        <f aca="false">C80+D80</f>
        <v>605.352437853523</v>
      </c>
      <c r="G80" s="172" t="n">
        <f aca="false">([2]EnergyCurve!$J58*CE80+[2]EnergyCurve!$AB58*CF80+G36*CD36)/CD80</f>
        <v>44.9021536085341</v>
      </c>
      <c r="H80" s="172" t="n">
        <f aca="false">[2]EnergyCurve!$K58</f>
        <v>-0.67997856461265</v>
      </c>
      <c r="I80" s="173" t="n">
        <f aca="false">([2]EnergyCurve!$L58*CE80+[2]EnergyCurve!$AD58*CF80+I36*CD36)/CD80</f>
        <v>43.9350732376203</v>
      </c>
      <c r="J80" s="169" t="n">
        <f aca="false">[2]EnergyCurve!$T58</f>
        <v>-393773.396768536</v>
      </c>
      <c r="K80" s="174" t="n">
        <f aca="false">(((CN80-AL80)*AK80+(CN80-AN80)*AM80+(CN80-AP80)*AO80+(CN80-AR80)*AQ80+(CN80-AT80)*AS80+(CN80-AV80)*AU80+(CN80-AX80)*AW80+(CN80-AZ80)*AY80+(CN80-BB80)*BA80+(CN80-BD80)*BC80+(CN80-BF80)*BE80+(CN80-BH80)*BG80+(CN80-BJ80)*BI80+(CN80-BL80)*BK80+(CN80-BN80)*BM80+(CN80-BP80)*BO80+(CN80-BR80)*BQ80+(CN80-BT80)*BS80+(CN80-BV80)*BU80+(CN80-BX80)*BW80)*(CE80+CF80)*CG80)+CI80+CJ80+CK80</f>
        <v>0</v>
      </c>
      <c r="L80" s="205" t="n">
        <f aca="false">J80+K80</f>
        <v>-393773.396768536</v>
      </c>
      <c r="M80" s="46"/>
      <c r="N80" s="209"/>
      <c r="O80" s="210"/>
      <c r="P80" s="164"/>
      <c r="Q80" s="165"/>
      <c r="R80" s="46"/>
      <c r="S80" s="89"/>
      <c r="T80" s="88" t="n">
        <f aca="false">T79+1</f>
        <v>2003</v>
      </c>
      <c r="U80" s="89"/>
      <c r="V80" s="178"/>
      <c r="W80" s="152"/>
      <c r="X80" s="152"/>
      <c r="Y80" s="9"/>
      <c r="Z80" s="149"/>
      <c r="AA80" s="150"/>
      <c r="AB80" s="151"/>
      <c r="AC80" s="151"/>
      <c r="AD80" s="151"/>
      <c r="AE80" s="9"/>
      <c r="AF80" s="46"/>
      <c r="AG80" s="46"/>
      <c r="AH80" s="46"/>
      <c r="AI80" s="46"/>
      <c r="AJ80" s="95" t="n">
        <f aca="false">A80</f>
        <v>37926</v>
      </c>
      <c r="AK80" s="96"/>
      <c r="AL80" s="97"/>
      <c r="AM80" s="96"/>
      <c r="AN80" s="97"/>
      <c r="AO80" s="96"/>
      <c r="AP80" s="97"/>
      <c r="AQ80" s="96"/>
      <c r="AR80" s="97"/>
      <c r="AS80" s="96"/>
      <c r="AT80" s="97"/>
      <c r="AU80" s="96"/>
      <c r="AV80" s="97"/>
      <c r="AW80" s="96"/>
      <c r="AX80" s="97"/>
      <c r="AY80" s="96"/>
      <c r="AZ80" s="97"/>
      <c r="BA80" s="96"/>
      <c r="BB80" s="97"/>
      <c r="BC80" s="96"/>
      <c r="BD80" s="97"/>
      <c r="BE80" s="96"/>
      <c r="BF80" s="97"/>
      <c r="BG80" s="96"/>
      <c r="BH80" s="97"/>
      <c r="BI80" s="96"/>
      <c r="BJ80" s="97"/>
      <c r="BK80" s="96"/>
      <c r="BL80" s="97"/>
      <c r="BM80" s="96"/>
      <c r="BN80" s="97"/>
      <c r="BO80" s="96"/>
      <c r="BP80" s="97"/>
      <c r="BQ80" s="96"/>
      <c r="BR80" s="97"/>
      <c r="BS80" s="96"/>
      <c r="BT80" s="97"/>
      <c r="BU80" s="96"/>
      <c r="BV80" s="97"/>
      <c r="BW80" s="96"/>
      <c r="BX80" s="97"/>
      <c r="BY80" s="100" t="n">
        <f aca="false">AK80+AM80+AO80+AQ80+AS80+AU80+AW80+AY80+BA80+BC80+BE80+BG80+BI80+BK80+BM80+BO80+BQ80+BS80+BU80+BW80</f>
        <v>0</v>
      </c>
      <c r="BZ80" s="101" t="n">
        <f aca="false">IF(AND(BY80=0,CC80=0),0,(ABS(AK80)*AL80+ABS(AM80)*AN80+ABS(AO80)*AP80+ABS(AQ80)*AR80+ABS(AS80)*AT80+ABS(AU80)*AV80+ABS(AW80)*AX80+ABS(AY80)*AZ80+ABS(BA80)*BB80+ABS(BC80)*BD80+ABS(BE80)*BF80+ABS(BG80)*BH80+ABS(BI80)*BJ80+ABS(BK80)*BL80+ABS(BM80)*BN80+ABS(BO80)*BP80+ABS(BQ80)*BR80+ABS(BS80)*BT80+ABS(BU80)*BV80+ABS(BW80)*BX80)/CC80)</f>
        <v>0</v>
      </c>
      <c r="CA80" s="102"/>
      <c r="CB80" s="103" t="n">
        <f aca="false">AJ80</f>
        <v>37926</v>
      </c>
      <c r="CC80" s="102" t="n">
        <f aca="false">ABS(AK80)+ABS(AM80)+ABS(AO80)+ABS(AQ80)+ABS(AS80)+ABS(AU80)+ABS(AW80)+ABS(AY80)+ABS(BA80)+ABS(BC80)+ABS(BE80)+ABS(BG80)+ABS(BI80)+ABS(BK80)+ABS(BM80)+ABS(BO80)+ABS(BQ80)+ABS(BS80)+ABS(BU80)+ABS(BW80)</f>
        <v>0</v>
      </c>
      <c r="CD80" s="104" t="n">
        <f aca="false">DK104*24</f>
        <v>720</v>
      </c>
      <c r="CE80" s="102" t="n">
        <f aca="false">DK104*8</f>
        <v>240</v>
      </c>
      <c r="CF80" s="102" t="n">
        <f aca="false">DL104*16</f>
        <v>96</v>
      </c>
      <c r="CG80" s="102" t="n">
        <f aca="false">CG36</f>
        <v>0.934440834717945</v>
      </c>
      <c r="CH80" s="106" t="n">
        <f aca="false">D80*(CE80+CF80)</f>
        <v>0</v>
      </c>
      <c r="CI80" s="106" t="n">
        <f aca="false">IF(YEAR($AJ80)=$CI$10,(($CN80-$AL$92)*$AK$92+($CN80-$AN$92)*$AM$92+($CN80-$AP$92)*$AO$92+($CN80-$AR$92)*$AQ$92+($CN80-$AT$92)*$AS$92+($CN80-$AV$92)*$AU$92+($CN80-$AX$92)*$AW$92+($CN80-$AZ$92)*$AY$92+($CN80-$BB$92)*$BA$92+($CN80-$BD$92)*$BC$92+($CN80-$BF$92)*$BE$92+($CN80-$BH$92)*$BG$92+($CN80-$BJ$92)*$BI$92+($CN80-$BL$92)*$BK$92+($CN80-$BN$92)*$BM$92+($CN80-$BP$92)*$BO$92+($CN80-$BR$92)*$BQ$92+($CN80-$BT$92)*$BS$92+($CN80-$BV$92)*$BU$92+($CN80-$BX$92)*$BW$92)*($CE80+$CF80)*$CG80,0)</f>
        <v>0</v>
      </c>
      <c r="CJ80" s="106" t="n">
        <f aca="false">IF(YEAR($AJ80)=$CJ$10,(($CN80-$AL$93)*$AK$93+($CN80-$AN$93)*$AM$93+($CN80-$AP$93)*$AO$93+($CN80-$AR$93)*$AQ$93+($CN80-$AT$93)*$AS$93+($CN80-$AV$93)*$AU$93+($CN80-$AX$93)*$AW$93+($CN80-$AZ$93)*$AY$93+($CN80-$BB$93)*$BA$93+($CN80-$BD$93)*$BC$93+($CN80-$BF$93)*$BE$93+($CN80-$BH$93)*$BG$93+($CN80-$BJ$93)*$BI$93+($CN80-$BL$93)*$BK$93+($CN80-$BN$93)*$BM$93+($CN80-$BP$93)*$BO$93+($CN80-$BR$93)*$BQ$93+($CN80-$BT$93)*$BS$93+($CN80-$BV$93)*$BU$93+($CN80-$BX$93)*$BW$93)*($CE80+$CF80)*$CG80,0)</f>
        <v>0</v>
      </c>
      <c r="CK80" s="106" t="n">
        <f aca="false">IF(YEAR($AJ80)=$CK$10,(($CN80-$AL$94)*$AK$94+($CN80-$AN$94)*$AM$94+($CN80-$AP$94)*$AO$94+($CN80-$AR$94)*$AQ$94+($CN80-$AT$94)*$AS$94+($CN80-$AV$94)*$AU$94+($CN80-$AX$94)*$AW$94+($CN80-$AZ$94)*$AY$94+($CN80-$BB$94)*$BA$94+($CN80-$BD$94)*$BC$94+($CN80-$BF$94)*$BE$94+($CN80-$BH$94)*$BG$94+($CN80-$BJ$94)*$BI$94+($CN80-$BL$94)*$BK$94+($CN80-$BN$94)*$BM$94+($CN80-$BP$94)*$BO$94+($CN80-$BR$94)*$BQ$94+($CN80-$BT$94)*$BS$94+($CN80-$BV$94)*$BU$94+($CN80-$BX$94)*$BW$94)*($CE80+$CF80)*$CG80,0)</f>
        <v>0</v>
      </c>
      <c r="CL80" s="1" t="n">
        <f aca="false">CC80*CD80</f>
        <v>0</v>
      </c>
      <c r="CN80" s="21" t="n">
        <f aca="false">([2]EnergyCurve!$L58*CE80+[2]EnergyCurve!$AD58*CF80)/(CE80+CF80)</f>
        <v>35.1284447181152</v>
      </c>
      <c r="DJ80" s="107" t="n">
        <f aca="false">DJ12</f>
        <v>37225</v>
      </c>
      <c r="DK80" s="2" t="n">
        <f aca="false">VLOOKUP(DJ80,$DM$13:$DR$252,6)</f>
        <v>30</v>
      </c>
      <c r="DL80" s="2" t="n">
        <f aca="false">IF($L$6=0,VLOOKUP(DJ80,$DM$13:$DQ$252,5)+VLOOKUP(DJ80,$DM$13:$DQ$252,4),VLOOKUP(DJ80,$DU$13:$DY$252,5)+VLOOKUP(DJ80,$DU$13:$DY$252,4))</f>
        <v>5</v>
      </c>
      <c r="DM80" s="130" t="n">
        <v>38930</v>
      </c>
      <c r="DN80" s="22" t="n">
        <v>22</v>
      </c>
      <c r="DO80" s="22" t="n">
        <v>4</v>
      </c>
      <c r="DP80" s="22" t="n">
        <v>4</v>
      </c>
      <c r="DQ80" s="22" t="n">
        <v>1</v>
      </c>
      <c r="DR80" s="22" t="n">
        <v>31</v>
      </c>
      <c r="DS80" s="111"/>
      <c r="DT80" s="111"/>
      <c r="DU80" s="130" t="n">
        <v>38930</v>
      </c>
      <c r="DV80" s="22" t="n">
        <v>23</v>
      </c>
      <c r="DW80" s="22" t="n">
        <v>4</v>
      </c>
      <c r="DX80" s="22" t="n">
        <v>4</v>
      </c>
      <c r="DY80" s="22" t="n">
        <v>0</v>
      </c>
      <c r="DZ80" s="22" t="n">
        <v>31</v>
      </c>
      <c r="EA80" s="111"/>
      <c r="EB80" s="111"/>
      <c r="EQ80" s="107"/>
      <c r="ER80" s="111"/>
      <c r="ES80" s="44"/>
      <c r="ET80" s="44"/>
    </row>
    <row r="81" customFormat="false" ht="18" hidden="false" customHeight="true" outlineLevel="0" collapsed="false">
      <c r="A81" s="168" t="n">
        <f aca="false">A37</f>
        <v>37956</v>
      </c>
      <c r="B81" s="169" t="n">
        <f aca="false">[2]EnergyCurve!$P59+[2]EnergyCurve!$R59+B37</f>
        <v>419280.25</v>
      </c>
      <c r="C81" s="170" t="n">
        <f aca="false">B81/(CG81*CD81)</f>
        <v>605.346514273005</v>
      </c>
      <c r="D81" s="170" t="n">
        <f aca="false">BY81+IF(YEAR(A81)=$T$20,$BY$92,0)+IF(YEAR(A81)=$T$21,$BY$93,0)+IF(YEAR(A81)=$T$22,$BY$94,0)</f>
        <v>0</v>
      </c>
      <c r="E81" s="169" t="n">
        <f aca="false">B81+(D81*(CE81+CF81)*CG81)+(D37*CD37*CG37)</f>
        <v>419280.25</v>
      </c>
      <c r="F81" s="171" t="n">
        <f aca="false">C81+D81</f>
        <v>605.346514273005</v>
      </c>
      <c r="G81" s="172" t="n">
        <f aca="false">([2]EnergyCurve!$J59*CE81+[2]EnergyCurve!$AB59*CF81+G37*CD37)/CD81</f>
        <v>47.0447164966214</v>
      </c>
      <c r="H81" s="172" t="n">
        <f aca="false">[2]EnergyCurve!$K59</f>
        <v>-0.629862106051284</v>
      </c>
      <c r="I81" s="173" t="n">
        <f aca="false">([2]EnergyCurve!$L59*CE81+[2]EnergyCurve!$AD59*CF81+I37*CD37)/CD81</f>
        <v>46.1450287252853</v>
      </c>
      <c r="J81" s="169" t="n">
        <f aca="false">[2]EnergyCurve!$T59</f>
        <v>-377130.421929215</v>
      </c>
      <c r="K81" s="174" t="n">
        <f aca="false">(((CN81-AL81)*AK81+(CN81-AN81)*AM81+(CN81-AP81)*AO81+(CN81-AR81)*AQ81+(CN81-AT81)*AS81+(CN81-AV81)*AU81+(CN81-AX81)*AW81+(CN81-AZ81)*AY81+(CN81-BB81)*BA81+(CN81-BD81)*BC81+(CN81-BF81)*BE81+(CN81-BH81)*BG81+(CN81-BJ81)*BI81+(CN81-BL81)*BK81+(CN81-BN81)*BM81+(CN81-BP81)*BO81+(CN81-BR81)*BQ81+(CN81-BT81)*BS81+(CN81-BV81)*BU81+(CN81-BX81)*BW81)*(CE81+CF81)*CG81)+CI81+CJ81+CK81</f>
        <v>0</v>
      </c>
      <c r="L81" s="205" t="n">
        <f aca="false">J81+K81</f>
        <v>-377130.421929215</v>
      </c>
      <c r="M81" s="46"/>
      <c r="N81" s="211" t="s">
        <v>72</v>
      </c>
      <c r="O81" s="207" t="e">
        <f aca="false">(VLOOKUP(DATE(1999,10,1),$EQ$12:$ET$38,3)+VLOOKUP(DATE(1999,11,1),$EQ$12:$ET$38,3)+VLOOKUP(DATE(1999,12,1),$EQ$12:$ET$38,3))/(VLOOKUP(DATE(1999,10,1),$EQ$12:$ET$38,2)+VLOOKUP(DATE(1999,11,1),$EQ$12:$ET$38,2)+VLOOKUP(DATE(1999,12,1),$EQ$12:$ET$38,2))</f>
        <v>#N/A</v>
      </c>
      <c r="P81" s="91" t="e">
        <f aca="false">(VLOOKUP(DATE(1999,10,1),$EQ$12:$ET$38,4)+VLOOKUP(DATE(1999,11,1),$EQ$12:$ET$38,4)+VLOOKUP(DATE(1999,12,1),$EQ$12:$ET$38,4))/(VLOOKUP(DATE(1999,10,1),$EQ$12:$ET$38,2)+VLOOKUP(DATE(1999,11,1),$EQ$12:$ET$38,2)+VLOOKUP(DATE(1999,12,1),$EQ$12:$ET$38,2))</f>
        <v>#N/A</v>
      </c>
      <c r="Q81" s="208"/>
      <c r="R81" s="46"/>
      <c r="S81" s="89"/>
      <c r="T81" s="88" t="n">
        <f aca="false">T80+1</f>
        <v>2004</v>
      </c>
      <c r="U81" s="89"/>
      <c r="V81" s="178"/>
      <c r="W81" s="152"/>
      <c r="X81" s="152"/>
      <c r="Y81" s="9"/>
      <c r="Z81" s="149"/>
      <c r="AA81" s="153"/>
      <c r="AB81" s="152"/>
      <c r="AC81" s="152"/>
      <c r="AD81" s="152"/>
      <c r="AE81" s="9"/>
      <c r="AF81" s="46"/>
      <c r="AG81" s="46"/>
      <c r="AH81" s="46"/>
      <c r="AI81" s="46"/>
      <c r="AJ81" s="95" t="n">
        <f aca="false">A81</f>
        <v>37956</v>
      </c>
      <c r="AK81" s="96"/>
      <c r="AL81" s="97"/>
      <c r="AM81" s="96"/>
      <c r="AN81" s="97"/>
      <c r="AO81" s="96"/>
      <c r="AP81" s="97"/>
      <c r="AQ81" s="96"/>
      <c r="AR81" s="97"/>
      <c r="AS81" s="96"/>
      <c r="AT81" s="97"/>
      <c r="AU81" s="96"/>
      <c r="AV81" s="97"/>
      <c r="AW81" s="96"/>
      <c r="AX81" s="97"/>
      <c r="AY81" s="96"/>
      <c r="AZ81" s="97"/>
      <c r="BA81" s="96"/>
      <c r="BB81" s="97"/>
      <c r="BC81" s="96"/>
      <c r="BD81" s="97"/>
      <c r="BE81" s="96"/>
      <c r="BF81" s="97"/>
      <c r="BG81" s="96"/>
      <c r="BH81" s="97"/>
      <c r="BI81" s="96"/>
      <c r="BJ81" s="97"/>
      <c r="BK81" s="96"/>
      <c r="BL81" s="97"/>
      <c r="BM81" s="96"/>
      <c r="BN81" s="97"/>
      <c r="BO81" s="96"/>
      <c r="BP81" s="97"/>
      <c r="BQ81" s="96"/>
      <c r="BR81" s="97"/>
      <c r="BS81" s="96"/>
      <c r="BT81" s="97"/>
      <c r="BU81" s="96"/>
      <c r="BV81" s="97"/>
      <c r="BW81" s="96"/>
      <c r="BX81" s="97"/>
      <c r="BY81" s="100" t="n">
        <f aca="false">AK81+AM81+AO81+AQ81+AS81+AU81+AW81+AY81+BA81+BC81+BE81+BG81+BI81+BK81+BM81+BO81+BQ81+BS81+BU81+BW81</f>
        <v>0</v>
      </c>
      <c r="BZ81" s="101" t="n">
        <f aca="false">IF(AND(BY81=0,CC81=0),0,(ABS(AK81)*AL81+ABS(AM81)*AN81+ABS(AO81)*AP81+ABS(AQ81)*AR81+ABS(AS81)*AT81+ABS(AU81)*AV81+ABS(AW81)*AX81+ABS(AY81)*AZ81+ABS(BA81)*BB81+ABS(BC81)*BD81+ABS(BE81)*BF81+ABS(BG81)*BH81+ABS(BI81)*BJ81+ABS(BK81)*BL81+ABS(BM81)*BN81+ABS(BO81)*BP81+ABS(BQ81)*BR81+ABS(BS81)*BT81+ABS(BU81)*BV81+ABS(BW81)*BX81)/CC81)</f>
        <v>0</v>
      </c>
      <c r="CA81" s="102"/>
      <c r="CB81" s="103" t="n">
        <f aca="false">AJ81</f>
        <v>37956</v>
      </c>
      <c r="CC81" s="102" t="n">
        <f aca="false">ABS(AK81)+ABS(AM81)+ABS(AO81)+ABS(AQ81)+ABS(AS81)+ABS(AU81)+ABS(AW81)+ABS(AY81)+ABS(BA81)+ABS(BC81)+ABS(BE81)+ABS(BG81)+ABS(BI81)+ABS(BK81)+ABS(BM81)+ABS(BO81)+ABS(BQ81)+ABS(BS81)+ABS(BU81)+ABS(BW81)</f>
        <v>0</v>
      </c>
      <c r="CD81" s="104" t="n">
        <f aca="false">DK105*24</f>
        <v>744</v>
      </c>
      <c r="CE81" s="102" t="n">
        <f aca="false">DK105*8</f>
        <v>248</v>
      </c>
      <c r="CF81" s="102" t="n">
        <f aca="false">DL105*16</f>
        <v>80</v>
      </c>
      <c r="CG81" s="102" t="n">
        <f aca="false">CG37</f>
        <v>0.930952289029164</v>
      </c>
      <c r="CH81" s="106" t="n">
        <f aca="false">D81*(CE81+CF81)</f>
        <v>0</v>
      </c>
      <c r="CI81" s="106" t="n">
        <f aca="false">IF(YEAR($AJ81)=$CI$10,(($CN81-$AL$92)*$AK$92+($CN81-$AN$92)*$AM$92+($CN81-$AP$92)*$AO$92+($CN81-$AR$92)*$AQ$92+($CN81-$AT$92)*$AS$92+($CN81-$AV$92)*$AU$92+($CN81-$AX$92)*$AW$92+($CN81-$AZ$92)*$AY$92+($CN81-$BB$92)*$BA$92+($CN81-$BD$92)*$BC$92+($CN81-$BF$92)*$BE$92+($CN81-$BH$92)*$BG$92+($CN81-$BJ$92)*$BI$92+($CN81-$BL$92)*$BK$92+($CN81-$BN$92)*$BM$92+($CN81-$BP$92)*$BO$92+($CN81-$BR$92)*$BQ$92+($CN81-$BT$92)*$BS$92+($CN81-$BV$92)*$BU$92+($CN81-$BX$92)*$BW$92)*($CE81+$CF81)*$CG81,0)</f>
        <v>0</v>
      </c>
      <c r="CJ81" s="106" t="n">
        <f aca="false">IF(YEAR($AJ81)=$CJ$10,(($CN81-$AL$93)*$AK$93+($CN81-$AN$93)*$AM$93+($CN81-$AP$93)*$AO$93+($CN81-$AR$93)*$AQ$93+($CN81-$AT$93)*$AS$93+($CN81-$AV$93)*$AU$93+($CN81-$AX$93)*$AW$93+($CN81-$AZ$93)*$AY$93+($CN81-$BB$93)*$BA$93+($CN81-$BD$93)*$BC$93+($CN81-$BF$93)*$BE$93+($CN81-$BH$93)*$BG$93+($CN81-$BJ$93)*$BI$93+($CN81-$BL$93)*$BK$93+($CN81-$BN$93)*$BM$93+($CN81-$BP$93)*$BO$93+($CN81-$BR$93)*$BQ$93+($CN81-$BT$93)*$BS$93+($CN81-$BV$93)*$BU$93+($CN81-$BX$93)*$BW$93)*($CE81+$CF81)*$CG81,0)</f>
        <v>0</v>
      </c>
      <c r="CK81" s="106" t="n">
        <f aca="false">IF(YEAR($AJ81)=$CK$10,(($CN81-$AL$94)*$AK$94+($CN81-$AN$94)*$AM$94+($CN81-$AP$94)*$AO$94+($CN81-$AR$94)*$AQ$94+($CN81-$AT$94)*$AS$94+($CN81-$AV$94)*$AU$94+($CN81-$AX$94)*$AW$94+($CN81-$AZ$94)*$AY$94+($CN81-$BB$94)*$BA$94+($CN81-$BD$94)*$BC$94+($CN81-$BF$94)*$BE$94+($CN81-$BH$94)*$BG$94+($CN81-$BJ$94)*$BI$94+($CN81-$BL$94)*$BK$94+($CN81-$BN$94)*$BM$94+($CN81-$BP$94)*$BO$94+($CN81-$BR$94)*$BQ$94+($CN81-$BT$94)*$BS$94+($CN81-$BV$94)*$BU$94+($CN81-$BX$94)*$BW$94)*($CE81+$CF81)*$CG81,0)</f>
        <v>0</v>
      </c>
      <c r="CL81" s="1" t="n">
        <f aca="false">CC81*CD81</f>
        <v>0</v>
      </c>
      <c r="CN81" s="21" t="n">
        <f aca="false">([2]EnergyCurve!$L59*CE81+[2]EnergyCurve!$AD59*CF81)/(CE81+CF81)</f>
        <v>36.0878179788045</v>
      </c>
      <c r="DJ81" s="107" t="n">
        <f aca="false">DJ13</f>
        <v>37226</v>
      </c>
      <c r="DK81" s="2" t="n">
        <f aca="false">VLOOKUP(DJ81,$DM$13:$DR$252,6)</f>
        <v>31</v>
      </c>
      <c r="DL81" s="2" t="n">
        <f aca="false">IF($L$6=0,VLOOKUP(DJ81,$DM$13:$DQ$252,5)+VLOOKUP(DJ81,$DM$13:$DQ$252,4),VLOOKUP(DJ81,$DU$13:$DY$252,5)+VLOOKUP(DJ81,$DU$13:$DY$252,4))</f>
        <v>6</v>
      </c>
      <c r="DM81" s="130" t="n">
        <v>38961</v>
      </c>
      <c r="DN81" s="22" t="n">
        <v>20</v>
      </c>
      <c r="DO81" s="22" t="n">
        <v>5</v>
      </c>
      <c r="DP81" s="22" t="n">
        <v>4</v>
      </c>
      <c r="DQ81" s="22" t="n">
        <v>1</v>
      </c>
      <c r="DR81" s="22" t="n">
        <v>30</v>
      </c>
      <c r="DS81" s="111"/>
      <c r="DT81" s="111"/>
      <c r="DU81" s="130" t="n">
        <v>38961</v>
      </c>
      <c r="DV81" s="22" t="n">
        <v>20</v>
      </c>
      <c r="DW81" s="22" t="n">
        <v>5</v>
      </c>
      <c r="DX81" s="22" t="n">
        <v>4</v>
      </c>
      <c r="DY81" s="22" t="n">
        <v>1</v>
      </c>
      <c r="DZ81" s="22" t="n">
        <v>30</v>
      </c>
      <c r="EA81" s="111"/>
      <c r="EB81" s="111"/>
      <c r="EQ81" s="107"/>
      <c r="ER81" s="111"/>
      <c r="ES81" s="44"/>
      <c r="ET81" s="44"/>
    </row>
    <row r="82" customFormat="false" ht="18.75" hidden="false" customHeight="true" outlineLevel="0" collapsed="false">
      <c r="A82" s="168" t="n">
        <f aca="false">A38</f>
        <v>37987</v>
      </c>
      <c r="B82" s="169" t="n">
        <f aca="false">[2]EnergyCurve!$P60+[2]EnergyCurve!$R60+B38</f>
        <v>282048.708984375</v>
      </c>
      <c r="C82" s="170" t="n">
        <f aca="false">B82/(CG82*CD82)</f>
        <v>408.787227156382</v>
      </c>
      <c r="D82" s="170" t="n">
        <f aca="false">BY82+IF(YEAR(A82)=$T$20,$BY$92,0)+IF(YEAR(A82)=$T$21,$BY$93,0)+IF(YEAR(A82)=$T$22,$BY$94,0)</f>
        <v>0</v>
      </c>
      <c r="E82" s="169" t="n">
        <f aca="false">B82+(D82*(CE82+CF82)*CG82)+(D38*CD38*CG38)</f>
        <v>282048.708984375</v>
      </c>
      <c r="F82" s="171" t="n">
        <f aca="false">C82+D82</f>
        <v>408.787227156382</v>
      </c>
      <c r="G82" s="172" t="n">
        <f aca="false">([2]EnergyCurve!$J60*CE82+[2]EnergyCurve!$AB60*CF82+G38*CD38)/CD82</f>
        <v>44.8738429571993</v>
      </c>
      <c r="H82" s="172" t="n">
        <f aca="false">[2]EnergyCurve!$K60</f>
        <v>-0.533957531767037</v>
      </c>
      <c r="I82" s="173" t="n">
        <f aca="false">([2]EnergyCurve!$L60*CE82+[2]EnergyCurve!$AD60*CF82+I38*CD38)/CD82</f>
        <v>44.1543197203126</v>
      </c>
      <c r="J82" s="169" t="n">
        <f aca="false">[2]EnergyCurve!$T60</f>
        <v>-202875.672734395</v>
      </c>
      <c r="K82" s="174" t="n">
        <f aca="false">(((CN82-AL82)*AK82+(CN82-AN82)*AM82+(CN82-AP82)*AO82+(CN82-AR82)*AQ82+(CN82-AT82)*AS82+(CN82-AV82)*AU82+(CN82-AX82)*AW82+(CN82-AZ82)*AY82+(CN82-BB82)*BA82+(CN82-BD82)*BC82+(CN82-BF82)*BE82+(CN82-BH82)*BG82+(CN82-BJ82)*BI82+(CN82-BL82)*BK82+(CN82-BN82)*BM82+(CN82-BP82)*BO82+(CN82-BR82)*BQ82+(CN82-BT82)*BS82+(CN82-BV82)*BU82+(CN82-BX82)*BW82)*(CE82+CF82)*CG82)+CI82+CJ82+CK82</f>
        <v>0</v>
      </c>
      <c r="L82" s="205" t="n">
        <f aca="false">J82+K82</f>
        <v>-202875.672734395</v>
      </c>
      <c r="M82" s="46"/>
      <c r="N82" s="212" t="s">
        <v>73</v>
      </c>
      <c r="O82" s="210" t="n">
        <v>23.5</v>
      </c>
      <c r="P82" s="164" t="n">
        <v>24</v>
      </c>
      <c r="Q82" s="165"/>
      <c r="R82" s="46"/>
      <c r="S82" s="46"/>
      <c r="T82" s="46"/>
      <c r="U82" s="46"/>
      <c r="V82" s="180"/>
      <c r="W82" s="181"/>
      <c r="X82" s="181"/>
      <c r="Y82" s="9"/>
      <c r="Z82" s="149"/>
      <c r="AA82" s="150"/>
      <c r="AB82" s="151"/>
      <c r="AC82" s="151"/>
      <c r="AD82" s="151"/>
      <c r="AE82" s="9"/>
      <c r="AF82" s="46"/>
      <c r="AG82" s="46"/>
      <c r="AH82" s="46"/>
      <c r="AI82" s="46"/>
      <c r="AJ82" s="95" t="n">
        <f aca="false">A82</f>
        <v>37987</v>
      </c>
      <c r="AK82" s="96"/>
      <c r="AL82" s="97"/>
      <c r="AM82" s="96"/>
      <c r="AN82" s="97"/>
      <c r="AO82" s="96"/>
      <c r="AP82" s="97"/>
      <c r="AQ82" s="96"/>
      <c r="AR82" s="97"/>
      <c r="AS82" s="96"/>
      <c r="AT82" s="97"/>
      <c r="AU82" s="96"/>
      <c r="AV82" s="97"/>
      <c r="AW82" s="96"/>
      <c r="AX82" s="97"/>
      <c r="AY82" s="96"/>
      <c r="AZ82" s="97"/>
      <c r="BA82" s="96"/>
      <c r="BB82" s="97"/>
      <c r="BC82" s="96"/>
      <c r="BD82" s="97"/>
      <c r="BE82" s="96"/>
      <c r="BF82" s="97"/>
      <c r="BG82" s="96"/>
      <c r="BH82" s="97"/>
      <c r="BI82" s="96"/>
      <c r="BJ82" s="97"/>
      <c r="BK82" s="96"/>
      <c r="BL82" s="97"/>
      <c r="BM82" s="96"/>
      <c r="BN82" s="97"/>
      <c r="BO82" s="96"/>
      <c r="BP82" s="97"/>
      <c r="BQ82" s="96"/>
      <c r="BR82" s="97"/>
      <c r="BS82" s="96"/>
      <c r="BT82" s="97"/>
      <c r="BU82" s="96"/>
      <c r="BV82" s="97"/>
      <c r="BW82" s="96"/>
      <c r="BX82" s="97"/>
      <c r="BY82" s="100" t="n">
        <f aca="false">AK82+AM82+AO82+AQ82+AS82+AU82+AW82+AY82+BA82+BC82+BE82+BG82+BI82+BK82+BM82+BO82+BQ82+BS82+BU82+BW82</f>
        <v>0</v>
      </c>
      <c r="BZ82" s="101" t="n">
        <f aca="false">IF(AND(BY82=0,CC82=0),0,(ABS(AK82)*AL82+ABS(AM82)*AN82+ABS(AO82)*AP82+ABS(AQ82)*AR82+ABS(AS82)*AT82+ABS(AU82)*AV82+ABS(AW82)*AX82+ABS(AY82)*AZ82+ABS(BA82)*BB82+ABS(BC82)*BD82+ABS(BE82)*BF82+ABS(BG82)*BH82+ABS(BI82)*BJ82+ABS(BK82)*BL82+ABS(BM82)*BN82+ABS(BO82)*BP82+ABS(BQ82)*BR82+ABS(BS82)*BT82+ABS(BU82)*BV82+ABS(BW82)*BX82)/CC82)</f>
        <v>0</v>
      </c>
      <c r="CB82" s="103" t="n">
        <f aca="false">AJ82</f>
        <v>37987</v>
      </c>
      <c r="CC82" s="102" t="n">
        <f aca="false">ABS(AK82)+ABS(AM82)+ABS(AO82)+ABS(AQ82)+ABS(AS82)+ABS(AU82)+ABS(AW82)+ABS(AY82)+ABS(BA82)+ABS(BC82)+ABS(BE82)+ABS(BG82)+ABS(BI82)+ABS(BK82)+ABS(BM82)+ABS(BO82)+ABS(BQ82)+ABS(BS82)+ABS(BU82)+ABS(BW82)</f>
        <v>0</v>
      </c>
      <c r="CD82" s="104" t="n">
        <f aca="false">DK106*24</f>
        <v>744</v>
      </c>
      <c r="CE82" s="102" t="n">
        <f aca="false">DK106*8</f>
        <v>248</v>
      </c>
      <c r="CF82" s="102" t="n">
        <f aca="false">DL106*16</f>
        <v>80</v>
      </c>
      <c r="CG82" s="102" t="n">
        <f aca="false">CG38</f>
        <v>0.927371752211114</v>
      </c>
      <c r="CH82" s="106" t="n">
        <f aca="false">D82*(CE82+CF82)</f>
        <v>0</v>
      </c>
      <c r="CI82" s="106" t="n">
        <f aca="false">IF(YEAR($AJ82)=$CI$10,(($CN82-$AL$92)*$AK$92+($CN82-$AN$92)*$AM$92+($CN82-$AP$92)*$AO$92+($CN82-$AR$92)*$AQ$92+($CN82-$AT$92)*$AS$92+($CN82-$AV$92)*$AU$92+($CN82-$AX$92)*$AW$92+($CN82-$AZ$92)*$AY$92+($CN82-$BB$92)*$BA$92+($CN82-$BD$92)*$BC$92+($CN82-$BF$92)*$BE$92+($CN82-$BH$92)*$BG$92+($CN82-$BJ$92)*$BI$92+($CN82-$BL$92)*$BK$92+($CN82-$BN$92)*$BM$92+($CN82-$BP$92)*$BO$92+($CN82-$BR$92)*$BQ$92+($CN82-$BT$92)*$BS$92+($CN82-$BV$92)*$BU$92+($CN82-$BX$92)*$BW$92)*($CE82+$CF82)*$CG82,0)</f>
        <v>0</v>
      </c>
      <c r="CJ82" s="106" t="n">
        <f aca="false">IF(YEAR($AJ82)=$CJ$10,(($CN82-$AL$93)*$AK$93+($CN82-$AN$93)*$AM$93+($CN82-$AP$93)*$AO$93+($CN82-$AR$93)*$AQ$93+($CN82-$AT$93)*$AS$93+($CN82-$AV$93)*$AU$93+($CN82-$AX$93)*$AW$93+($CN82-$AZ$93)*$AY$93+($CN82-$BB$93)*$BA$93+($CN82-$BD$93)*$BC$93+($CN82-$BF$93)*$BE$93+($CN82-$BH$93)*$BG$93+($CN82-$BJ$93)*$BI$93+($CN82-$BL$93)*$BK$93+($CN82-$BN$93)*$BM$93+($CN82-$BP$93)*$BO$93+($CN82-$BR$93)*$BQ$93+($CN82-$BT$93)*$BS$93+($CN82-$BV$93)*$BU$93+($CN82-$BX$93)*$BW$93)*($CE82+$CF82)*$CG82,0)</f>
        <v>0</v>
      </c>
      <c r="CK82" s="106" t="n">
        <f aca="false">IF(YEAR($AJ82)=$CK$10,(($CN82-$AL$94)*$AK$94+($CN82-$AN$94)*$AM$94+($CN82-$AP$94)*$AO$94+($CN82-$AR$94)*$AQ$94+($CN82-$AT$94)*$AS$94+($CN82-$AV$94)*$AU$94+($CN82-$AX$94)*$AW$94+($CN82-$AZ$94)*$AY$94+($CN82-$BB$94)*$BA$94+($CN82-$BD$94)*$BC$94+($CN82-$BF$94)*$BE$94+($CN82-$BH$94)*$BG$94+($CN82-$BJ$94)*$BI$94+($CN82-$BL$94)*$BK$94+($CN82-$BN$94)*$BM$94+($CN82-$BP$94)*$BO$94+($CN82-$BR$94)*$BQ$94+($CN82-$BT$94)*$BS$94+($CN82-$BV$94)*$BU$94+($CN82-$BX$94)*$BW$94)*($CE82+$CF82)*$CG82,0)</f>
        <v>0</v>
      </c>
      <c r="CL82" s="1" t="n">
        <f aca="false">CC82*CD82</f>
        <v>0</v>
      </c>
      <c r="CN82" s="21" t="n">
        <f aca="false">([2]EnergyCurve!$L60*CE82+[2]EnergyCurve!$AD60*CF82)/(CE82+CF82)</f>
        <v>35.9637042399765</v>
      </c>
      <c r="DJ82" s="107" t="n">
        <f aca="false">DJ14</f>
        <v>37257</v>
      </c>
      <c r="DK82" s="2" t="n">
        <f aca="false">VLOOKUP(DJ82,$DM$13:$DR$252,6)</f>
        <v>31</v>
      </c>
      <c r="DL82" s="2" t="n">
        <f aca="false">IF($L$6=0,VLOOKUP(DJ82,$DM$13:$DQ$252,5)+VLOOKUP(DJ82,$DM$13:$DQ$252,4),VLOOKUP(DJ82,$DU$13:$DY$252,5)+VLOOKUP(DJ82,$DU$13:$DY$252,4))</f>
        <v>5</v>
      </c>
      <c r="DM82" s="130" t="n">
        <v>38991</v>
      </c>
      <c r="DN82" s="22" t="n">
        <v>21</v>
      </c>
      <c r="DO82" s="22" t="n">
        <v>4</v>
      </c>
      <c r="DP82" s="22" t="n">
        <v>5</v>
      </c>
      <c r="DQ82" s="22" t="n">
        <v>1</v>
      </c>
      <c r="DR82" s="22" t="n">
        <v>31</v>
      </c>
      <c r="DS82" s="111"/>
      <c r="DT82" s="111"/>
      <c r="DU82" s="130" t="n">
        <v>38991</v>
      </c>
      <c r="DV82" s="22" t="n">
        <v>22</v>
      </c>
      <c r="DW82" s="22" t="n">
        <v>4</v>
      </c>
      <c r="DX82" s="22" t="n">
        <v>5</v>
      </c>
      <c r="DY82" s="22" t="n">
        <v>0</v>
      </c>
      <c r="DZ82" s="22" t="n">
        <v>31</v>
      </c>
      <c r="EA82" s="111"/>
      <c r="EB82" s="111"/>
      <c r="EQ82" s="107"/>
      <c r="ER82" s="111"/>
      <c r="ES82" s="44"/>
      <c r="ET82" s="44"/>
    </row>
    <row r="83" customFormat="false" ht="18" hidden="false" customHeight="true" outlineLevel="0" collapsed="false">
      <c r="A83" s="168" t="n">
        <f aca="false">A39</f>
        <v>38018</v>
      </c>
      <c r="B83" s="169" t="n">
        <f aca="false">[2]EnergyCurve!$P61+[2]EnergyCurve!$R61+B39</f>
        <v>262684.080078125</v>
      </c>
      <c r="C83" s="170" t="n">
        <f aca="false">B83/(CG83*CD83)</f>
        <v>408.507003465862</v>
      </c>
      <c r="D83" s="170" t="n">
        <f aca="false">BY83+IF(YEAR(A83)=$T$20,$BY$92,0)+IF(YEAR(A83)=$T$21,$BY$93,0)+IF(YEAR(A83)=$T$22,$BY$94,0)</f>
        <v>0</v>
      </c>
      <c r="E83" s="169" t="n">
        <f aca="false">B83+(D83*(CE83+CF83)*CG83)+(D39*CD39*CG39)</f>
        <v>262684.080078125</v>
      </c>
      <c r="F83" s="171" t="n">
        <f aca="false">C83+D83</f>
        <v>408.507003465862</v>
      </c>
      <c r="G83" s="172" t="n">
        <f aca="false">([2]EnergyCurve!$J61*CE83+[2]EnergyCurve!$AB61*CF83+G39*CD39)/CD83</f>
        <v>43.772868934719</v>
      </c>
      <c r="H83" s="172" t="n">
        <f aca="false">[2]EnergyCurve!$K61</f>
        <v>-0.542040400050254</v>
      </c>
      <c r="I83" s="173" t="n">
        <f aca="false">([2]EnergyCurve!$L61*CE83+[2]EnergyCurve!$AD61*CF83+I39*CD39)/CD83</f>
        <v>43.0424226592898</v>
      </c>
      <c r="J83" s="169" t="n">
        <f aca="false">[2]EnergyCurve!$T61</f>
        <v>-191811.850747997</v>
      </c>
      <c r="K83" s="174" t="n">
        <f aca="false">(((CN83-AL83)*AK83+(CN83-AN83)*AM83+(CN83-AP83)*AO83+(CN83-AR83)*AQ83+(CN83-AT83)*AS83+(CN83-AV83)*AU83+(CN83-AX83)*AW83+(CN83-AZ83)*AY83+(CN83-BB83)*BA83+(CN83-BD83)*BC83+(CN83-BF83)*BE83+(CN83-BH83)*BG83+(CN83-BJ83)*BI83+(CN83-BL83)*BK83+(CN83-BN83)*BM83+(CN83-BP83)*BO83+(CN83-BR83)*BQ83+(CN83-BT83)*BS83+(CN83-BV83)*BU83+(CN83-BX83)*BW83)*(CE83+CF83)*CG83)+CI83+CJ83+CK83</f>
        <v>0</v>
      </c>
      <c r="L83" s="205" t="n">
        <f aca="false">J83+K83</f>
        <v>-191811.850747997</v>
      </c>
      <c r="M83" s="46"/>
      <c r="N83" s="206"/>
      <c r="O83" s="207"/>
      <c r="P83" s="207"/>
      <c r="Q83" s="208"/>
      <c r="R83" s="46"/>
      <c r="S83" s="46"/>
      <c r="T83" s="46"/>
      <c r="U83" s="46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46"/>
      <c r="AG83" s="46"/>
      <c r="AH83" s="46"/>
      <c r="AI83" s="46"/>
      <c r="AJ83" s="95" t="n">
        <f aca="false">A83</f>
        <v>38018</v>
      </c>
      <c r="AK83" s="96"/>
      <c r="AL83" s="97"/>
      <c r="AM83" s="96"/>
      <c r="AN83" s="97"/>
      <c r="AO83" s="96"/>
      <c r="AP83" s="97"/>
      <c r="AQ83" s="96"/>
      <c r="AR83" s="97"/>
      <c r="AS83" s="96"/>
      <c r="AT83" s="97"/>
      <c r="AU83" s="96"/>
      <c r="AV83" s="97"/>
      <c r="AW83" s="96"/>
      <c r="AX83" s="97"/>
      <c r="AY83" s="96"/>
      <c r="AZ83" s="97"/>
      <c r="BA83" s="96"/>
      <c r="BB83" s="97"/>
      <c r="BC83" s="96"/>
      <c r="BD83" s="97"/>
      <c r="BE83" s="96"/>
      <c r="BF83" s="97"/>
      <c r="BG83" s="96"/>
      <c r="BH83" s="97"/>
      <c r="BI83" s="96"/>
      <c r="BJ83" s="97"/>
      <c r="BK83" s="96"/>
      <c r="BL83" s="97"/>
      <c r="BM83" s="96"/>
      <c r="BN83" s="97"/>
      <c r="BO83" s="96"/>
      <c r="BP83" s="97"/>
      <c r="BQ83" s="96"/>
      <c r="BR83" s="97"/>
      <c r="BS83" s="96"/>
      <c r="BT83" s="97"/>
      <c r="BU83" s="96"/>
      <c r="BV83" s="97"/>
      <c r="BW83" s="96"/>
      <c r="BX83" s="97"/>
      <c r="BY83" s="100" t="n">
        <f aca="false">AK83+AM83+AO83+AQ83+AS83+AU83+AW83+AY83+BA83+BC83+BE83+BG83+BI83+BK83+BM83+BO83+BQ83+BS83+BU83+BW83</f>
        <v>0</v>
      </c>
      <c r="BZ83" s="101" t="n">
        <f aca="false">IF(AND(BY83=0,CC83=0),0,(ABS(AK83)*AL83+ABS(AM83)*AN83+ABS(AO83)*AP83+ABS(AQ83)*AR83+ABS(AS83)*AT83+ABS(AU83)*AV83+ABS(AW83)*AX83+ABS(AY83)*AZ83+ABS(BA83)*BB83+ABS(BC83)*BD83+ABS(BE83)*BF83+ABS(BG83)*BH83+ABS(BI83)*BJ83+ABS(BK83)*BL83+ABS(BM83)*BN83+ABS(BO83)*BP83+ABS(BQ83)*BR83+ABS(BS83)*BT83+ABS(BU83)*BV83+ABS(BW83)*BX83)/CC83)</f>
        <v>0</v>
      </c>
      <c r="CB83" s="103" t="n">
        <f aca="false">AJ83</f>
        <v>38018</v>
      </c>
      <c r="CC83" s="102" t="n">
        <f aca="false">ABS(AK83)+ABS(AM83)+ABS(AO83)+ABS(AQ83)+ABS(AS83)+ABS(AU83)+ABS(AW83)+ABS(AY83)+ABS(BA83)+ABS(BC83)+ABS(BE83)+ABS(BG83)+ABS(BI83)+ABS(BK83)+ABS(BM83)+ABS(BO83)+ABS(BQ83)+ABS(BS83)+ABS(BU83)+ABS(BW83)</f>
        <v>0</v>
      </c>
      <c r="CD83" s="104" t="n">
        <f aca="false">DK107*24</f>
        <v>696</v>
      </c>
      <c r="CE83" s="102" t="n">
        <f aca="false">DK107*8</f>
        <v>232</v>
      </c>
      <c r="CF83" s="102" t="n">
        <f aca="false">DL107*16</f>
        <v>80</v>
      </c>
      <c r="CG83" s="102" t="n">
        <f aca="false">CG39</f>
        <v>0.923900085145548</v>
      </c>
      <c r="CH83" s="106" t="n">
        <f aca="false">D83*(CE83+CF83)</f>
        <v>0</v>
      </c>
      <c r="CI83" s="106" t="n">
        <f aca="false">IF(YEAR($AJ83)=$CI$10,(($CN83-$AL$92)*$AK$92+($CN83-$AN$92)*$AM$92+($CN83-$AP$92)*$AO$92+($CN83-$AR$92)*$AQ$92+($CN83-$AT$92)*$AS$92+($CN83-$AV$92)*$AU$92+($CN83-$AX$92)*$AW$92+($CN83-$AZ$92)*$AY$92+($CN83-$BB$92)*$BA$92+($CN83-$BD$92)*$BC$92+($CN83-$BF$92)*$BE$92+($CN83-$BH$92)*$BG$92+($CN83-$BJ$92)*$BI$92+($CN83-$BL$92)*$BK$92+($CN83-$BN$92)*$BM$92+($CN83-$BP$92)*$BO$92+($CN83-$BR$92)*$BQ$92+($CN83-$BT$92)*$BS$92+($CN83-$BV$92)*$BU$92+($CN83-$BX$92)*$BW$92)*($CE83+$CF83)*$CG83,0)</f>
        <v>0</v>
      </c>
      <c r="CJ83" s="106" t="n">
        <f aca="false">IF(YEAR($AJ83)=$CJ$10,(($CN83-$AL$93)*$AK$93+($CN83-$AN$93)*$AM$93+($CN83-$AP$93)*$AO$93+($CN83-$AR$93)*$AQ$93+($CN83-$AT$93)*$AS$93+($CN83-$AV$93)*$AU$93+($CN83-$AX$93)*$AW$93+($CN83-$AZ$93)*$AY$93+($CN83-$BB$93)*$BA$93+($CN83-$BD$93)*$BC$93+($CN83-$BF$93)*$BE$93+($CN83-$BH$93)*$BG$93+($CN83-$BJ$93)*$BI$93+($CN83-$BL$93)*$BK$93+($CN83-$BN$93)*$BM$93+($CN83-$BP$93)*$BO$93+($CN83-$BR$93)*$BQ$93+($CN83-$BT$93)*$BS$93+($CN83-$BV$93)*$BU$93+($CN83-$BX$93)*$BW$93)*($CE83+$CF83)*$CG83,0)</f>
        <v>0</v>
      </c>
      <c r="CK83" s="106" t="n">
        <f aca="false">IF(YEAR($AJ83)=$CK$10,(($CN83-$AL$94)*$AK$94+($CN83-$AN$94)*$AM$94+($CN83-$AP$94)*$AO$94+($CN83-$AR$94)*$AQ$94+($CN83-$AT$94)*$AS$94+($CN83-$AV$94)*$AU$94+($CN83-$AX$94)*$AW$94+($CN83-$AZ$94)*$AY$94+($CN83-$BB$94)*$BA$94+($CN83-$BD$94)*$BC$94+($CN83-$BF$94)*$BE$94+($CN83-$BH$94)*$BG$94+($CN83-$BJ$94)*$BI$94+($CN83-$BL$94)*$BK$94+($CN83-$BN$94)*$BM$94+($CN83-$BP$94)*$BO$94+($CN83-$BR$94)*$BQ$94+($CN83-$BT$94)*$BS$94+($CN83-$BV$94)*$BU$94+($CN83-$BX$94)*$BW$94)*($CE83+$CF83)*$CG83,0)</f>
        <v>0</v>
      </c>
      <c r="CL83" s="1" t="n">
        <f aca="false">CC83*CD83</f>
        <v>0</v>
      </c>
      <c r="CN83" s="21" t="n">
        <f aca="false">([2]EnergyCurve!$L61*CE83+[2]EnergyCurve!$AD61*CF83)/(CE83+CF83)</f>
        <v>35.2163222424313</v>
      </c>
      <c r="DJ83" s="107" t="n">
        <f aca="false">DJ15</f>
        <v>37288</v>
      </c>
      <c r="DK83" s="2" t="n">
        <f aca="false">VLOOKUP(DJ83,$DM$13:$DR$252,6)</f>
        <v>28</v>
      </c>
      <c r="DL83" s="2" t="n">
        <f aca="false">IF($L$6=0,VLOOKUP(DJ83,$DM$13:$DQ$252,5)+VLOOKUP(DJ83,$DM$13:$DQ$252,4),VLOOKUP(DJ83,$DU$13:$DY$252,5)+VLOOKUP(DJ83,$DU$13:$DY$252,4))</f>
        <v>4</v>
      </c>
      <c r="DM83" s="130" t="n">
        <v>39022</v>
      </c>
      <c r="DN83" s="22" t="n">
        <v>22</v>
      </c>
      <c r="DO83" s="22" t="n">
        <v>3</v>
      </c>
      <c r="DP83" s="22" t="n">
        <v>4</v>
      </c>
      <c r="DQ83" s="22" t="n">
        <v>1</v>
      </c>
      <c r="DR83" s="22" t="n">
        <v>30</v>
      </c>
      <c r="DS83" s="111"/>
      <c r="DT83" s="111"/>
      <c r="DU83" s="130" t="n">
        <v>39022</v>
      </c>
      <c r="DV83" s="22" t="n">
        <v>21</v>
      </c>
      <c r="DW83" s="22" t="n">
        <v>4</v>
      </c>
      <c r="DX83" s="22" t="n">
        <v>4</v>
      </c>
      <c r="DY83" s="22" t="n">
        <v>1</v>
      </c>
      <c r="DZ83" s="22" t="n">
        <v>30</v>
      </c>
      <c r="EA83" s="111"/>
      <c r="EB83" s="111"/>
      <c r="EQ83" s="0"/>
      <c r="ER83" s="0"/>
      <c r="ES83" s="44"/>
      <c r="ET83" s="44"/>
    </row>
    <row r="84" customFormat="false" ht="18.75" hidden="false" customHeight="true" outlineLevel="0" collapsed="false">
      <c r="A84" s="168" t="n">
        <f aca="false">A40</f>
        <v>38047</v>
      </c>
      <c r="B84" s="169" t="n">
        <f aca="false">[2]EnergyCurve!$P62+[2]EnergyCurve!$R62+B40</f>
        <v>279829.578125</v>
      </c>
      <c r="C84" s="170" t="n">
        <f aca="false">B84/(CG84*CD84)</f>
        <v>408.700841476199</v>
      </c>
      <c r="D84" s="170" t="n">
        <f aca="false">BY84+IF(YEAR(A84)=$T$20,$BY$92,0)+IF(YEAR(A84)=$T$21,$BY$93,0)+IF(YEAR(A84)=$T$22,$BY$94,0)</f>
        <v>0</v>
      </c>
      <c r="E84" s="169" t="n">
        <f aca="false">B84+(D84*(CE84+CF84)*CG84)+(D40*CD40*CG40)</f>
        <v>279829.578125</v>
      </c>
      <c r="F84" s="171" t="n">
        <f aca="false">C84+D84</f>
        <v>408.700841476199</v>
      </c>
      <c r="G84" s="172" t="n">
        <f aca="false">([2]EnergyCurve!$J62*CE84+[2]EnergyCurve!$AB62*CF84+G40*CD40)/CD84</f>
        <v>42.176631722399</v>
      </c>
      <c r="H84" s="172" t="n">
        <f aca="false">[2]EnergyCurve!$K62</f>
        <v>-0.541519653096923</v>
      </c>
      <c r="I84" s="173" t="n">
        <f aca="false">([2]EnergyCurve!$L62*CE84+[2]EnergyCurve!$AD62*CF84+I40*CD40)/CD84</f>
        <v>41.4441246239843</v>
      </c>
      <c r="J84" s="169" t="n">
        <f aca="false">[2]EnergyCurve!$T62</f>
        <v>-204908.694059974</v>
      </c>
      <c r="K84" s="174" t="n">
        <f aca="false">(((CN84-AL84)*AK84+(CN84-AN84)*AM84+(CN84-AP84)*AO84+(CN84-AR84)*AQ84+(CN84-AT84)*AS84+(CN84-AV84)*AU84+(CN84-AX84)*AW84+(CN84-AZ84)*AY84+(CN84-BB84)*BA84+(CN84-BD84)*BC84+(CN84-BF84)*BE84+(CN84-BH84)*BG84+(CN84-BJ84)*BI84+(CN84-BL84)*BK84+(CN84-BN84)*BM84+(CN84-BP84)*BO84+(CN84-BR84)*BQ84+(CN84-BT84)*BS84+(CN84-BV84)*BU84+(CN84-BX84)*BW84)*(CE84+CF84)*CG84)+CI84+CJ84+CK84</f>
        <v>0</v>
      </c>
      <c r="L84" s="205" t="n">
        <f aca="false">J84+K84</f>
        <v>-204908.694059974</v>
      </c>
      <c r="M84" s="46"/>
      <c r="N84" s="209"/>
      <c r="O84" s="164"/>
      <c r="P84" s="164"/>
      <c r="Q84" s="165"/>
      <c r="R84" s="46"/>
      <c r="S84" s="46"/>
      <c r="T84" s="46"/>
      <c r="U84" s="46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46"/>
      <c r="AG84" s="46"/>
      <c r="AH84" s="46"/>
      <c r="AI84" s="46"/>
      <c r="AJ84" s="95" t="n">
        <f aca="false">A84</f>
        <v>38047</v>
      </c>
      <c r="AK84" s="96"/>
      <c r="AL84" s="97"/>
      <c r="AM84" s="96"/>
      <c r="AN84" s="97"/>
      <c r="AO84" s="96"/>
      <c r="AP84" s="97"/>
      <c r="AQ84" s="96"/>
      <c r="AR84" s="97"/>
      <c r="AS84" s="96"/>
      <c r="AT84" s="97"/>
      <c r="AU84" s="96"/>
      <c r="AV84" s="97"/>
      <c r="AW84" s="96"/>
      <c r="AX84" s="97"/>
      <c r="AY84" s="96"/>
      <c r="AZ84" s="97"/>
      <c r="BA84" s="96"/>
      <c r="BB84" s="97"/>
      <c r="BC84" s="96"/>
      <c r="BD84" s="97"/>
      <c r="BE84" s="96"/>
      <c r="BF84" s="97"/>
      <c r="BG84" s="96"/>
      <c r="BH84" s="97"/>
      <c r="BI84" s="96"/>
      <c r="BJ84" s="97"/>
      <c r="BK84" s="96"/>
      <c r="BL84" s="97"/>
      <c r="BM84" s="96"/>
      <c r="BN84" s="97"/>
      <c r="BO84" s="96"/>
      <c r="BP84" s="97"/>
      <c r="BQ84" s="96"/>
      <c r="BR84" s="97"/>
      <c r="BS84" s="96"/>
      <c r="BT84" s="97"/>
      <c r="BU84" s="96"/>
      <c r="BV84" s="97"/>
      <c r="BW84" s="96"/>
      <c r="BX84" s="97"/>
      <c r="BY84" s="100" t="n">
        <f aca="false">AK84+AM84+AO84+AQ84+AS84+AU84+AW84+AY84+BA84+BC84+BE84+BG84+BI84+BK84+BM84+BO84+BQ84+BS84+BU84+BW84</f>
        <v>0</v>
      </c>
      <c r="BZ84" s="101" t="n">
        <f aca="false">IF(AND(BY84=0,CC84=0),0,(ABS(AK84)*AL84+ABS(AM84)*AN84+ABS(AO84)*AP84+ABS(AQ84)*AR84+ABS(AS84)*AT84+ABS(AU84)*AV84+ABS(AW84)*AX84+ABS(AY84)*AZ84+ABS(BA84)*BB84+ABS(BC84)*BD84+ABS(BE84)*BF84+ABS(BG84)*BH84+ABS(BI84)*BJ84+ABS(BK84)*BL84+ABS(BM84)*BN84+ABS(BO84)*BP84+ABS(BQ84)*BR84+ABS(BS84)*BT84+ABS(BU84)*BV84+ABS(BW84)*BX84)/CC84)</f>
        <v>0</v>
      </c>
      <c r="CB84" s="103" t="n">
        <f aca="false">AJ84</f>
        <v>38047</v>
      </c>
      <c r="CC84" s="102" t="n">
        <f aca="false">ABS(AK84)+ABS(AM84)+ABS(AO84)+ABS(AQ84)+ABS(AS84)+ABS(AU84)+ABS(AW84)+ABS(AY84)+ABS(BA84)+ABS(BC84)+ABS(BE84)+ABS(BG84)+ABS(BI84)+ABS(BK84)+ABS(BM84)+ABS(BO84)+ABS(BQ84)+ABS(BS84)+ABS(BU84)+ABS(BW84)</f>
        <v>0</v>
      </c>
      <c r="CD84" s="104" t="n">
        <f aca="false">DK108*24</f>
        <v>744</v>
      </c>
      <c r="CE84" s="102" t="n">
        <f aca="false">DK108*8</f>
        <v>248</v>
      </c>
      <c r="CF84" s="102" t="n">
        <f aca="false">DL108*16</f>
        <v>64</v>
      </c>
      <c r="CG84" s="102" t="n">
        <f aca="false">CG40</f>
        <v>0.920269757710941</v>
      </c>
      <c r="CH84" s="106" t="n">
        <f aca="false">D84*(CE84+CF84)</f>
        <v>0</v>
      </c>
      <c r="CI84" s="106" t="n">
        <f aca="false">IF(YEAR($AJ84)=$CI$10,(($CN84-$AL$92)*$AK$92+($CN84-$AN$92)*$AM$92+($CN84-$AP$92)*$AO$92+($CN84-$AR$92)*$AQ$92+($CN84-$AT$92)*$AS$92+($CN84-$AV$92)*$AU$92+($CN84-$AX$92)*$AW$92+($CN84-$AZ$92)*$AY$92+($CN84-$BB$92)*$BA$92+($CN84-$BD$92)*$BC$92+($CN84-$BF$92)*$BE$92+($CN84-$BH$92)*$BG$92+($CN84-$BJ$92)*$BI$92+($CN84-$BL$92)*$BK$92+($CN84-$BN$92)*$BM$92+($CN84-$BP$92)*$BO$92+($CN84-$BR$92)*$BQ$92+($CN84-$BT$92)*$BS$92+($CN84-$BV$92)*$BU$92+($CN84-$BX$92)*$BW$92)*($CE84+$CF84)*$CG84,0)</f>
        <v>0</v>
      </c>
      <c r="CJ84" s="106" t="n">
        <f aca="false">IF(YEAR($AJ84)=$CJ$10,(($CN84-$AL$93)*$AK$93+($CN84-$AN$93)*$AM$93+($CN84-$AP$93)*$AO$93+($CN84-$AR$93)*$AQ$93+($CN84-$AT$93)*$AS$93+($CN84-$AV$93)*$AU$93+($CN84-$AX$93)*$AW$93+($CN84-$AZ$93)*$AY$93+($CN84-$BB$93)*$BA$93+($CN84-$BD$93)*$BC$93+($CN84-$BF$93)*$BE$93+($CN84-$BH$93)*$BG$93+($CN84-$BJ$93)*$BI$93+($CN84-$BL$93)*$BK$93+($CN84-$BN$93)*$BM$93+($CN84-$BP$93)*$BO$93+($CN84-$BR$93)*$BQ$93+($CN84-$BT$93)*$BS$93+($CN84-$BV$93)*$BU$93+($CN84-$BX$93)*$BW$93)*($CE84+$CF84)*$CG84,0)</f>
        <v>0</v>
      </c>
      <c r="CK84" s="106" t="n">
        <f aca="false">IF(YEAR($AJ84)=$CK$10,(($CN84-$AL$94)*$AK$94+($CN84-$AN$94)*$AM$94+($CN84-$AP$94)*$AO$94+($CN84-$AR$94)*$AQ$94+($CN84-$AT$94)*$AS$94+($CN84-$AV$94)*$AU$94+($CN84-$AX$94)*$AW$94+($CN84-$AZ$94)*$AY$94+($CN84-$BB$94)*$BA$94+($CN84-$BD$94)*$BC$94+($CN84-$BF$94)*$BE$94+($CN84-$BH$94)*$BG$94+($CN84-$BJ$94)*$BI$94+($CN84-$BL$94)*$BK$94+($CN84-$BN$94)*$BM$94+($CN84-$BP$94)*$BO$94+($CN84-$BR$94)*$BQ$94+($CN84-$BT$94)*$BS$94+($CN84-$BV$94)*$BU$94+($CN84-$BX$94)*$BW$94)*($CE84+$CF84)*$CG84,0)</f>
        <v>0</v>
      </c>
      <c r="CL84" s="1" t="n">
        <f aca="false">CC84*CD84</f>
        <v>0</v>
      </c>
      <c r="CN84" s="21" t="n">
        <f aca="false">([2]EnergyCurve!$L62*CE84+[2]EnergyCurve!$AD62*CF84)/(CE84+CF84)</f>
        <v>33.1522586725549</v>
      </c>
      <c r="DJ84" s="107" t="n">
        <f aca="false">DJ16</f>
        <v>37316</v>
      </c>
      <c r="DK84" s="2" t="n">
        <f aca="false">VLOOKUP(DJ84,$DM$13:$DR$252,6)</f>
        <v>31</v>
      </c>
      <c r="DL84" s="2" t="n">
        <f aca="false">IF($L$6=0,VLOOKUP(DJ84,$DM$13:$DQ$252,5)+VLOOKUP(DJ84,$DM$13:$DQ$252,4),VLOOKUP(DJ84,$DU$13:$DY$252,5)+VLOOKUP(DJ84,$DU$13:$DY$252,4))</f>
        <v>5</v>
      </c>
      <c r="DM84" s="130" t="n">
        <v>39052</v>
      </c>
      <c r="DN84" s="22" t="n">
        <v>19</v>
      </c>
      <c r="DO84" s="22" t="n">
        <v>5</v>
      </c>
      <c r="DP84" s="22" t="n">
        <v>5</v>
      </c>
      <c r="DQ84" s="22" t="n">
        <v>2</v>
      </c>
      <c r="DR84" s="22" t="n">
        <v>31</v>
      </c>
      <c r="DS84" s="111"/>
      <c r="DT84" s="111"/>
      <c r="DU84" s="130" t="n">
        <v>39052</v>
      </c>
      <c r="DV84" s="22" t="n">
        <v>20</v>
      </c>
      <c r="DW84" s="22" t="n">
        <v>5</v>
      </c>
      <c r="DX84" s="22" t="n">
        <v>5</v>
      </c>
      <c r="DY84" s="22" t="n">
        <v>1</v>
      </c>
      <c r="DZ84" s="22" t="n">
        <v>31</v>
      </c>
      <c r="EA84" s="111"/>
      <c r="EB84" s="111"/>
    </row>
    <row r="85" customFormat="false" ht="18" hidden="false" customHeight="true" outlineLevel="0" collapsed="false">
      <c r="A85" s="168" t="n">
        <f aca="false">A41</f>
        <v>38078</v>
      </c>
      <c r="B85" s="169" t="n">
        <f aca="false">[2]EnergyCurve!$P63+[2]EnergyCurve!$R63+B41</f>
        <v>270073.673828125</v>
      </c>
      <c r="C85" s="170" t="n">
        <f aca="false">B85/(CG85*CD85)</f>
        <v>409.23243546898</v>
      </c>
      <c r="D85" s="170" t="n">
        <f aca="false">BY85+IF(YEAR(A85)=$T$20,$BY$92,0)+IF(YEAR(A85)=$T$21,$BY$93,0)+IF(YEAR(A85)=$T$22,$BY$94,0)</f>
        <v>0</v>
      </c>
      <c r="E85" s="169" t="n">
        <f aca="false">B85+(D85*(CE85+CF85)*CG85)+(D41*CD41*CG41)</f>
        <v>270073.673828125</v>
      </c>
      <c r="F85" s="171" t="n">
        <f aca="false">C85+D85</f>
        <v>409.23243546898</v>
      </c>
      <c r="G85" s="172" t="n">
        <f aca="false">([2]EnergyCurve!$J63*CE85+[2]EnergyCurve!$AB63*CF85+G41*CD41)/CD85</f>
        <v>39.7671605851915</v>
      </c>
      <c r="H85" s="172" t="n">
        <f aca="false">[2]EnergyCurve!$K63</f>
        <v>-0.541669445015732</v>
      </c>
      <c r="I85" s="173" t="n">
        <f aca="false">([2]EnergyCurve!$L63*CE85+[2]EnergyCurve!$AD63*CF85+I41*CD41)/CD85</f>
        <v>39.0348229902948</v>
      </c>
      <c r="J85" s="169" t="n">
        <f aca="false">[2]EnergyCurve!$T63</f>
        <v>-197795.727502204</v>
      </c>
      <c r="K85" s="174" t="n">
        <f aca="false">(((CN85-AL85)*AK85+(CN85-AN85)*AM85+(CN85-AP85)*AO85+(CN85-AR85)*AQ85+(CN85-AT85)*AS85+(CN85-AV85)*AU85+(CN85-AX85)*AW85+(CN85-AZ85)*AY85+(CN85-BB85)*BA85+(CN85-BD85)*BC85+(CN85-BF85)*BE85+(CN85-BH85)*BG85+(CN85-BJ85)*BI85+(CN85-BL85)*BK85+(CN85-BN85)*BM85+(CN85-BP85)*BO85+(CN85-BR85)*BQ85+(CN85-BT85)*BS85+(CN85-BV85)*BU85+(CN85-BX85)*BW85)*(CE85+CF85)*CG85)+CI85+CJ85+CK85</f>
        <v>0</v>
      </c>
      <c r="L85" s="205" t="n">
        <f aca="false">J85+K85</f>
        <v>-197795.727502204</v>
      </c>
      <c r="M85" s="46"/>
      <c r="N85" s="206" t="s">
        <v>74</v>
      </c>
      <c r="O85" s="207" t="n">
        <f aca="false">EV54</f>
        <v>0</v>
      </c>
      <c r="P85" s="207" t="n">
        <f aca="false">EW54</f>
        <v>0</v>
      </c>
      <c r="Q85" s="208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95" t="n">
        <f aca="false">A85</f>
        <v>38078</v>
      </c>
      <c r="AK85" s="96"/>
      <c r="AL85" s="97"/>
      <c r="AM85" s="96"/>
      <c r="AN85" s="97"/>
      <c r="AO85" s="96"/>
      <c r="AP85" s="97"/>
      <c r="AQ85" s="96"/>
      <c r="AR85" s="97"/>
      <c r="AS85" s="96"/>
      <c r="AT85" s="97"/>
      <c r="AU85" s="96"/>
      <c r="AV85" s="97"/>
      <c r="AW85" s="96"/>
      <c r="AX85" s="97"/>
      <c r="AY85" s="96"/>
      <c r="AZ85" s="97"/>
      <c r="BA85" s="96"/>
      <c r="BB85" s="97"/>
      <c r="BC85" s="96"/>
      <c r="BD85" s="97"/>
      <c r="BE85" s="96"/>
      <c r="BF85" s="97"/>
      <c r="BG85" s="96"/>
      <c r="BH85" s="97"/>
      <c r="BI85" s="96"/>
      <c r="BJ85" s="97"/>
      <c r="BK85" s="96"/>
      <c r="BL85" s="97"/>
      <c r="BM85" s="96"/>
      <c r="BN85" s="97"/>
      <c r="BO85" s="96"/>
      <c r="BP85" s="97"/>
      <c r="BQ85" s="96"/>
      <c r="BR85" s="97"/>
      <c r="BS85" s="96"/>
      <c r="BT85" s="97"/>
      <c r="BU85" s="96"/>
      <c r="BV85" s="97"/>
      <c r="BW85" s="96"/>
      <c r="BX85" s="97"/>
      <c r="BY85" s="100" t="n">
        <f aca="false">AK85+AM85+AO85+AQ85+AS85+AU85+AW85+AY85+BA85+BC85+BE85+BG85+BI85+BK85+BM85+BO85+BQ85+BS85+BU85+BW85</f>
        <v>0</v>
      </c>
      <c r="BZ85" s="101" t="n">
        <f aca="false">IF(AND(BY85=0,CC85=0),0,(ABS(AK85)*AL85+ABS(AM85)*AN85+ABS(AO85)*AP85+ABS(AQ85)*AR85+ABS(AS85)*AT85+ABS(AU85)*AV85+ABS(AW85)*AX85+ABS(AY85)*AZ85+ABS(BA85)*BB85+ABS(BC85)*BD85+ABS(BE85)*BF85+ABS(BG85)*BH85+ABS(BI85)*BJ85+ABS(BK85)*BL85+ABS(BM85)*BN85+ABS(BO85)*BP85+ABS(BQ85)*BR85+ABS(BS85)*BT85+ABS(BU85)*BV85+ABS(BW85)*BX85)/CC85)</f>
        <v>0</v>
      </c>
      <c r="CB85" s="103" t="n">
        <f aca="false">AJ85</f>
        <v>38078</v>
      </c>
      <c r="CC85" s="102" t="n">
        <f aca="false">ABS(AK85)+ABS(AM85)+ABS(AO85)+ABS(AQ85)+ABS(AS85)+ABS(AU85)+ABS(AW85)+ABS(AY85)+ABS(BA85)+ABS(BC85)+ABS(BE85)+ABS(BG85)+ABS(BI85)+ABS(BK85)+ABS(BM85)+ABS(BO85)+ABS(BQ85)+ABS(BS85)+ABS(BU85)+ABS(BW85)</f>
        <v>0</v>
      </c>
      <c r="CD85" s="104" t="n">
        <f aca="false">DK109*24</f>
        <v>720</v>
      </c>
      <c r="CE85" s="102" t="n">
        <f aca="false">DK109*8</f>
        <v>240</v>
      </c>
      <c r="CF85" s="102" t="n">
        <f aca="false">DL109*16</f>
        <v>64</v>
      </c>
      <c r="CG85" s="102" t="n">
        <f aca="false">CG41</f>
        <v>0.916599693109414</v>
      </c>
      <c r="CH85" s="106" t="n">
        <f aca="false">D85*(CE85+CF85)</f>
        <v>0</v>
      </c>
      <c r="CI85" s="106" t="n">
        <f aca="false">IF(YEAR($AJ85)=$CI$10,(($CN85-$AL$92)*$AK$92+($CN85-$AN$92)*$AM$92+($CN85-$AP$92)*$AO$92+($CN85-$AR$92)*$AQ$92+($CN85-$AT$92)*$AS$92+($CN85-$AV$92)*$AU$92+($CN85-$AX$92)*$AW$92+($CN85-$AZ$92)*$AY$92+($CN85-$BB$92)*$BA$92+($CN85-$BD$92)*$BC$92+($CN85-$BF$92)*$BE$92+($CN85-$BH$92)*$BG$92+($CN85-$BJ$92)*$BI$92+($CN85-$BL$92)*$BK$92+($CN85-$BN$92)*$BM$92+($CN85-$BP$92)*$BO$92+($CN85-$BR$92)*$BQ$92+($CN85-$BT$92)*$BS$92+($CN85-$BV$92)*$BU$92+($CN85-$BX$92)*$BW$92)*($CE85+$CF85)*$CG85,0)</f>
        <v>0</v>
      </c>
      <c r="CJ85" s="106" t="n">
        <f aca="false">IF(YEAR($AJ85)=$CJ$10,(($CN85-$AL$93)*$AK$93+($CN85-$AN$93)*$AM$93+($CN85-$AP$93)*$AO$93+($CN85-$AR$93)*$AQ$93+($CN85-$AT$93)*$AS$93+($CN85-$AV$93)*$AU$93+($CN85-$AX$93)*$AW$93+($CN85-$AZ$93)*$AY$93+($CN85-$BB$93)*$BA$93+($CN85-$BD$93)*$BC$93+($CN85-$BF$93)*$BE$93+($CN85-$BH$93)*$BG$93+($CN85-$BJ$93)*$BI$93+($CN85-$BL$93)*$BK$93+($CN85-$BN$93)*$BM$93+($CN85-$BP$93)*$BO$93+($CN85-$BR$93)*$BQ$93+($CN85-$BT$93)*$BS$93+($CN85-$BV$93)*$BU$93+($CN85-$BX$93)*$BW$93)*($CE85+$CF85)*$CG85,0)</f>
        <v>0</v>
      </c>
      <c r="CK85" s="106" t="n">
        <f aca="false">IF(YEAR($AJ85)=$CK$10,(($CN85-$AL$94)*$AK$94+($CN85-$AN$94)*$AM$94+($CN85-$AP$94)*$AO$94+($CN85-$AR$94)*$AQ$94+($CN85-$AT$94)*$AS$94+($CN85-$AV$94)*$AU$94+($CN85-$AX$94)*$AW$94+($CN85-$AZ$94)*$AY$94+($CN85-$BB$94)*$BA$94+($CN85-$BD$94)*$BC$94+($CN85-$BF$94)*$BE$94+($CN85-$BH$94)*$BG$94+($CN85-$BJ$94)*$BI$94+($CN85-$BL$94)*$BK$94+($CN85-$BN$94)*$BM$94+($CN85-$BP$94)*$BO$94+($CN85-$BR$94)*$BQ$94+($CN85-$BT$94)*$BS$94+($CN85-$BV$94)*$BU$94+($CN85-$BX$94)*$BW$94)*($CE85+$CF85)*$CG85,0)</f>
        <v>0</v>
      </c>
      <c r="CL85" s="1" t="n">
        <f aca="false">CC85*CD85</f>
        <v>0</v>
      </c>
      <c r="CN85" s="21" t="n">
        <f aca="false">([2]EnergyCurve!$L63*CE85+[2]EnergyCurve!$AD63*CF85)/(CE85+CF85)</f>
        <v>31.3032292743722</v>
      </c>
      <c r="DJ85" s="107" t="n">
        <f aca="false">DJ17</f>
        <v>37347</v>
      </c>
      <c r="DK85" s="2" t="n">
        <f aca="false">VLOOKUP(DJ85,$DM$13:$DR$252,6)</f>
        <v>30</v>
      </c>
      <c r="DL85" s="2" t="n">
        <f aca="false">IF($L$6=0,VLOOKUP(DJ85,$DM$13:$DQ$252,5)+VLOOKUP(DJ85,$DM$13:$DQ$252,4),VLOOKUP(DJ85,$DU$13:$DY$252,5)+VLOOKUP(DJ85,$DU$13:$DY$252,4))</f>
        <v>4</v>
      </c>
      <c r="DM85" s="130" t="n">
        <v>39083</v>
      </c>
      <c r="DN85" s="22" t="n">
        <v>22</v>
      </c>
      <c r="DO85" s="22" t="n">
        <v>4</v>
      </c>
      <c r="DP85" s="22" t="n">
        <v>4</v>
      </c>
      <c r="DQ85" s="22" t="n">
        <v>1</v>
      </c>
      <c r="DR85" s="22" t="n">
        <v>31</v>
      </c>
      <c r="DS85" s="111"/>
      <c r="DT85" s="111"/>
      <c r="DU85" s="130" t="n">
        <v>39083</v>
      </c>
      <c r="DV85" s="22" t="n">
        <v>22</v>
      </c>
      <c r="DW85" s="22" t="n">
        <v>4</v>
      </c>
      <c r="DX85" s="22" t="n">
        <v>4</v>
      </c>
      <c r="DY85" s="22" t="n">
        <v>1</v>
      </c>
      <c r="DZ85" s="22" t="n">
        <v>31</v>
      </c>
      <c r="EA85" s="111"/>
      <c r="EB85" s="111"/>
    </row>
    <row r="86" customFormat="false" ht="18.75" hidden="false" customHeight="true" outlineLevel="0" collapsed="false">
      <c r="A86" s="168" t="n">
        <f aca="false">A42</f>
        <v>38108</v>
      </c>
      <c r="B86" s="169" t="n">
        <f aca="false">[2]EnergyCurve!$P64+[2]EnergyCurve!$R64+B42</f>
        <v>278406.150390625</v>
      </c>
      <c r="C86" s="170" t="n">
        <f aca="false">B86/(CG86*CD86)</f>
        <v>409.939352409938</v>
      </c>
      <c r="D86" s="170" t="n">
        <f aca="false">BY86+IF(YEAR(A86)=$T$20,$BY$92,0)+IF(YEAR(A86)=$T$21,$BY$93,0)+IF(YEAR(A86)=$T$22,$BY$94,0)</f>
        <v>0</v>
      </c>
      <c r="E86" s="169" t="n">
        <f aca="false">B86+(D86*(CE86+CF86)*CG86)+(D42*CD42*CG42)</f>
        <v>278406.150390625</v>
      </c>
      <c r="F86" s="171" t="n">
        <f aca="false">C86+D86</f>
        <v>409.939352409938</v>
      </c>
      <c r="G86" s="172" t="n">
        <f aca="false">([2]EnergyCurve!$J64*CE86+[2]EnergyCurve!$AB64*CF86+G42*CD42)/CD86</f>
        <v>39.592570458689</v>
      </c>
      <c r="H86" s="172" t="n">
        <f aca="false">[2]EnergyCurve!$K64</f>
        <v>-0.539838106274196</v>
      </c>
      <c r="I86" s="173" t="n">
        <f aca="false">([2]EnergyCurve!$L64*CE86+[2]EnergyCurve!$AD64*CF86+I42*CD42)/CD86</f>
        <v>38.8669823034802</v>
      </c>
      <c r="J86" s="169" t="n">
        <f aca="false">[2]EnergyCurve!$T64</f>
        <v>-201949.885277336</v>
      </c>
      <c r="K86" s="174" t="n">
        <f aca="false">(((CN86-AL86)*AK86+(CN86-AN86)*AM86+(CN86-AP86)*AO86+(CN86-AR86)*AQ86+(CN86-AT86)*AS86+(CN86-AV86)*AU86+(CN86-AX86)*AW86+(CN86-AZ86)*AY86+(CN86-BB86)*BA86+(CN86-BD86)*BC86+(CN86-BF86)*BE86+(CN86-BH86)*BG86+(CN86-BJ86)*BI86+(CN86-BL86)*BK86+(CN86-BN86)*BM86+(CN86-BP86)*BO86+(CN86-BR86)*BQ86+(CN86-BT86)*BS86+(CN86-BV86)*BU86+(CN86-BX86)*BW86)*(CE86+CF86)*CG86)+CI86+CJ86+CK86</f>
        <v>0</v>
      </c>
      <c r="L86" s="205" t="n">
        <f aca="false">J86+K86</f>
        <v>-201949.885277336</v>
      </c>
      <c r="M86" s="46"/>
      <c r="N86" s="209" t="s">
        <v>75</v>
      </c>
      <c r="O86" s="164" t="n">
        <v>36</v>
      </c>
      <c r="P86" s="164" t="n">
        <v>39.5</v>
      </c>
      <c r="Q86" s="165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95" t="n">
        <f aca="false">A86</f>
        <v>38108</v>
      </c>
      <c r="AK86" s="96"/>
      <c r="AL86" s="97"/>
      <c r="AM86" s="96"/>
      <c r="AN86" s="97"/>
      <c r="AO86" s="96"/>
      <c r="AP86" s="97"/>
      <c r="AQ86" s="96"/>
      <c r="AR86" s="97"/>
      <c r="AS86" s="96"/>
      <c r="AT86" s="97"/>
      <c r="AU86" s="96"/>
      <c r="AV86" s="97"/>
      <c r="AW86" s="96"/>
      <c r="AX86" s="97"/>
      <c r="AY86" s="96"/>
      <c r="AZ86" s="97"/>
      <c r="BA86" s="96"/>
      <c r="BB86" s="97"/>
      <c r="BC86" s="96"/>
      <c r="BD86" s="97"/>
      <c r="BE86" s="96"/>
      <c r="BF86" s="97"/>
      <c r="BG86" s="96"/>
      <c r="BH86" s="97"/>
      <c r="BI86" s="96"/>
      <c r="BJ86" s="97"/>
      <c r="BK86" s="96"/>
      <c r="BL86" s="97"/>
      <c r="BM86" s="96"/>
      <c r="BN86" s="97"/>
      <c r="BO86" s="96"/>
      <c r="BP86" s="97"/>
      <c r="BQ86" s="96"/>
      <c r="BR86" s="97"/>
      <c r="BS86" s="96"/>
      <c r="BT86" s="97"/>
      <c r="BU86" s="96"/>
      <c r="BV86" s="97"/>
      <c r="BW86" s="96"/>
      <c r="BX86" s="97"/>
      <c r="BY86" s="100" t="n">
        <f aca="false">AK86+AM86+AO86+AQ86+AS86+AU86+AW86+AY86+BA86+BC86+BE86+BG86+BI86+BK86+BM86+BO86+BQ86+BS86+BU86+BW86</f>
        <v>0</v>
      </c>
      <c r="BZ86" s="101" t="n">
        <f aca="false">IF(AND(BY86=0,CC86=0),0,(ABS(AK86)*AL86+ABS(AM86)*AN86+ABS(AO86)*AP86+ABS(AQ86)*AR86+ABS(AS86)*AT86+ABS(AU86)*AV86+ABS(AW86)*AX86+ABS(AY86)*AZ86+ABS(BA86)*BB86+ABS(BC86)*BD86+ABS(BE86)*BF86+ABS(BG86)*BH86+ABS(BI86)*BJ86+ABS(BK86)*BL86+ABS(BM86)*BN86+ABS(BO86)*BP86+ABS(BQ86)*BR86+ABS(BS86)*BT86+ABS(BU86)*BV86+ABS(BW86)*BX86)/CC86)</f>
        <v>0</v>
      </c>
      <c r="CB86" s="103" t="n">
        <f aca="false">AJ86</f>
        <v>38108</v>
      </c>
      <c r="CC86" s="102" t="n">
        <f aca="false">ABS(AK86)+ABS(AM86)+ABS(AO86)+ABS(AQ86)+ABS(AS86)+ABS(AU86)+ABS(AW86)+ABS(AY86)+ABS(BA86)+ABS(BC86)+ABS(BE86)+ABS(BG86)+ABS(BI86)+ABS(BK86)+ABS(BM86)+ABS(BO86)+ABS(BQ86)+ABS(BS86)+ABS(BU86)+ABS(BW86)</f>
        <v>0</v>
      </c>
      <c r="CD86" s="104" t="n">
        <f aca="false">DK110*24</f>
        <v>744</v>
      </c>
      <c r="CE86" s="102" t="n">
        <f aca="false">DK110*8</f>
        <v>248</v>
      </c>
      <c r="CF86" s="102" t="n">
        <f aca="false">DL110*16</f>
        <v>96</v>
      </c>
      <c r="CG86" s="102" t="n">
        <f aca="false">CG42</f>
        <v>0.912822379313713</v>
      </c>
      <c r="CH86" s="106" t="n">
        <f aca="false">D86*(CE86+CF86)</f>
        <v>0</v>
      </c>
      <c r="CI86" s="106" t="n">
        <f aca="false">IF(YEAR($AJ86)=$CI$10,(($CN86-$AL$92)*$AK$92+($CN86-$AN$92)*$AM$92+($CN86-$AP$92)*$AO$92+($CN86-$AR$92)*$AQ$92+($CN86-$AT$92)*$AS$92+($CN86-$AV$92)*$AU$92+($CN86-$AX$92)*$AW$92+($CN86-$AZ$92)*$AY$92+($CN86-$BB$92)*$BA$92+($CN86-$BD$92)*$BC$92+($CN86-$BF$92)*$BE$92+($CN86-$BH$92)*$BG$92+($CN86-$BJ$92)*$BI$92+($CN86-$BL$92)*$BK$92+($CN86-$BN$92)*$BM$92+($CN86-$BP$92)*$BO$92+($CN86-$BR$92)*$BQ$92+($CN86-$BT$92)*$BS$92+($CN86-$BV$92)*$BU$92+($CN86-$BX$92)*$BW$92)*($CE86+$CF86)*$CG86,0)</f>
        <v>0</v>
      </c>
      <c r="CJ86" s="106" t="n">
        <f aca="false">IF(YEAR($AJ86)=$CJ$10,(($CN86-$AL$93)*$AK$93+($CN86-$AN$93)*$AM$93+($CN86-$AP$93)*$AO$93+($CN86-$AR$93)*$AQ$93+($CN86-$AT$93)*$AS$93+($CN86-$AV$93)*$AU$93+($CN86-$AX$93)*$AW$93+($CN86-$AZ$93)*$AY$93+($CN86-$BB$93)*$BA$93+($CN86-$BD$93)*$BC$93+($CN86-$BF$93)*$BE$93+($CN86-$BH$93)*$BG$93+($CN86-$BJ$93)*$BI$93+($CN86-$BL$93)*$BK$93+($CN86-$BN$93)*$BM$93+($CN86-$BP$93)*$BO$93+($CN86-$BR$93)*$BQ$93+($CN86-$BT$93)*$BS$93+($CN86-$BV$93)*$BU$93+($CN86-$BX$93)*$BW$93)*($CE86+$CF86)*$CG86,0)</f>
        <v>0</v>
      </c>
      <c r="CK86" s="106" t="n">
        <f aca="false">IF(YEAR($AJ86)=$CK$10,(($CN86-$AL$94)*$AK$94+($CN86-$AN$94)*$AM$94+($CN86-$AP$94)*$AO$94+($CN86-$AR$94)*$AQ$94+($CN86-$AT$94)*$AS$94+($CN86-$AV$94)*$AU$94+($CN86-$AX$94)*$AW$94+($CN86-$AZ$94)*$AY$94+($CN86-$BB$94)*$BA$94+($CN86-$BD$94)*$BC$94+($CN86-$BF$94)*$BE$94+($CN86-$BH$94)*$BG$94+($CN86-$BJ$94)*$BI$94+($CN86-$BL$94)*$BK$94+($CN86-$BN$94)*$BM$94+($CN86-$BP$94)*$BO$94+($CN86-$BR$94)*$BQ$94+($CN86-$BT$94)*$BS$94+($CN86-$BV$94)*$BU$94+($CN86-$BX$94)*$BW$94)*($CE86+$CF86)*$CG86,0)</f>
        <v>0</v>
      </c>
      <c r="CL86" s="1" t="n">
        <f aca="false">CC86*CD86</f>
        <v>0</v>
      </c>
      <c r="CN86" s="21" t="n">
        <f aca="false">([2]EnergyCurve!$L64*CE86+[2]EnergyCurve!$AD64*CF86)/(CE86+CF86)</f>
        <v>32.1449829082588</v>
      </c>
      <c r="DJ86" s="107" t="n">
        <f aca="false">DJ18</f>
        <v>37377</v>
      </c>
      <c r="DK86" s="2" t="n">
        <f aca="false">VLOOKUP(DJ86,$DM$13:$DR$252,6)</f>
        <v>31</v>
      </c>
      <c r="DL86" s="2" t="n">
        <f aca="false">IF($L$6=0,VLOOKUP(DJ86,$DM$13:$DQ$252,5)+VLOOKUP(DJ86,$DM$13:$DQ$252,4),VLOOKUP(DJ86,$DU$13:$DY$252,5)+VLOOKUP(DJ86,$DU$13:$DY$252,4))</f>
        <v>5</v>
      </c>
      <c r="DM86" s="130" t="n">
        <v>39114</v>
      </c>
      <c r="DN86" s="22" t="n">
        <v>19</v>
      </c>
      <c r="DO86" s="22" t="n">
        <v>4</v>
      </c>
      <c r="DP86" s="22" t="n">
        <v>4</v>
      </c>
      <c r="DQ86" s="22" t="n">
        <v>1</v>
      </c>
      <c r="DR86" s="22" t="n">
        <v>28</v>
      </c>
      <c r="DS86" s="111"/>
      <c r="DT86" s="111"/>
      <c r="DU86" s="130" t="n">
        <v>39114</v>
      </c>
      <c r="DV86" s="22" t="n">
        <v>20</v>
      </c>
      <c r="DW86" s="22" t="n">
        <v>4</v>
      </c>
      <c r="DX86" s="22" t="n">
        <v>4</v>
      </c>
      <c r="DY86" s="22" t="n">
        <v>0</v>
      </c>
      <c r="DZ86" s="22" t="n">
        <v>28</v>
      </c>
      <c r="EA86" s="111"/>
      <c r="EB86" s="111"/>
    </row>
    <row r="87" customFormat="false" ht="18" hidden="false" customHeight="true" outlineLevel="0" collapsed="false">
      <c r="A87" s="168" t="n">
        <f aca="false">A43</f>
        <v>38139</v>
      </c>
      <c r="B87" s="169" t="n">
        <f aca="false">[2]EnergyCurve!$P65+[2]EnergyCurve!$R65+B43</f>
        <v>268476.671875</v>
      </c>
      <c r="C87" s="170" t="n">
        <f aca="false">B87/(CG87*CD87)</f>
        <v>410.1955983997</v>
      </c>
      <c r="D87" s="170" t="n">
        <f aca="false">BY87+IF(YEAR(A87)=$T$20,$BY$92,0)+IF(YEAR(A87)=$T$21,$BY$93,0)+IF(YEAR(A87)=$T$22,$BY$94,0)</f>
        <v>0</v>
      </c>
      <c r="E87" s="169" t="n">
        <f aca="false">B87+(D87*(CE87+CF87)*CG87)+(D43*CD43*CG43)</f>
        <v>268476.671875</v>
      </c>
      <c r="F87" s="171" t="n">
        <f aca="false">C87+D87</f>
        <v>410.1955983997</v>
      </c>
      <c r="G87" s="172" t="n">
        <f aca="false">([2]EnergyCurve!$J65*CE87+[2]EnergyCurve!$AB65*CF87+G43*CD43)/CD87</f>
        <v>40.2992270575629</v>
      </c>
      <c r="H87" s="172" t="n">
        <f aca="false">[2]EnergyCurve!$K65</f>
        <v>-0.537462759378176</v>
      </c>
      <c r="I87" s="173" t="n">
        <f aca="false">([2]EnergyCurve!$L65*CE87+[2]EnergyCurve!$AD65*CF87+I43*CD43)/CD87</f>
        <v>39.5725783156293</v>
      </c>
      <c r="J87" s="169" t="n">
        <f aca="false">[2]EnergyCurve!$T65</f>
        <v>-195031.82263401</v>
      </c>
      <c r="K87" s="174" t="n">
        <f aca="false">(((CN87-AL87)*AK87+(CN87-AN87)*AM87+(CN87-AP87)*AO87+(CN87-AR87)*AQ87+(CN87-AT87)*AS87+(CN87-AV87)*AU87+(CN87-AX87)*AW87+(CN87-AZ87)*AY87+(CN87-BB87)*BA87+(CN87-BD87)*BC87+(CN87-BF87)*BE87+(CN87-BH87)*BG87+(CN87-BJ87)*BI87+(CN87-BL87)*BK87+(CN87-BN87)*BM87+(CN87-BP87)*BO87+(CN87-BR87)*BQ87+(CN87-BT87)*BS87+(CN87-BV87)*BU87+(CN87-BX87)*BW87)*(CE87+CF87)*CG87)+CI87+CJ87+CK87</f>
        <v>0</v>
      </c>
      <c r="L87" s="205" t="n">
        <f aca="false">J87+K87</f>
        <v>-195031.82263401</v>
      </c>
      <c r="M87" s="46"/>
      <c r="N87" s="206"/>
      <c r="O87" s="207"/>
      <c r="P87" s="207"/>
      <c r="Q87" s="208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95" t="n">
        <f aca="false">A87</f>
        <v>38139</v>
      </c>
      <c r="AK87" s="96"/>
      <c r="AL87" s="97"/>
      <c r="AM87" s="96"/>
      <c r="AN87" s="97"/>
      <c r="AO87" s="96"/>
      <c r="AP87" s="97"/>
      <c r="AQ87" s="96"/>
      <c r="AR87" s="97"/>
      <c r="AS87" s="96"/>
      <c r="AT87" s="97"/>
      <c r="AU87" s="96"/>
      <c r="AV87" s="97"/>
      <c r="AW87" s="96"/>
      <c r="AX87" s="97"/>
      <c r="AY87" s="96"/>
      <c r="AZ87" s="97"/>
      <c r="BA87" s="96"/>
      <c r="BB87" s="97"/>
      <c r="BC87" s="96"/>
      <c r="BD87" s="97"/>
      <c r="BE87" s="96"/>
      <c r="BF87" s="97"/>
      <c r="BG87" s="96"/>
      <c r="BH87" s="97"/>
      <c r="BI87" s="96"/>
      <c r="BJ87" s="97"/>
      <c r="BK87" s="96"/>
      <c r="BL87" s="97"/>
      <c r="BM87" s="96"/>
      <c r="BN87" s="97"/>
      <c r="BO87" s="96"/>
      <c r="BP87" s="97"/>
      <c r="BQ87" s="96"/>
      <c r="BR87" s="97"/>
      <c r="BS87" s="96"/>
      <c r="BT87" s="97"/>
      <c r="BU87" s="96"/>
      <c r="BV87" s="97"/>
      <c r="BW87" s="96"/>
      <c r="BX87" s="97"/>
      <c r="BY87" s="100" t="n">
        <f aca="false">AK87+AM87+AO87+AQ87+AS87+AU87+AW87+AY87+BA87+BC87+BE87+BG87+BI87+BK87+BM87+BO87+BQ87+BS87+BU87+BW87</f>
        <v>0</v>
      </c>
      <c r="BZ87" s="101" t="n">
        <f aca="false">IF(AND(BY87=0,CC87=0),0,(ABS(AK87)*AL87+ABS(AM87)*AN87+ABS(AO87)*AP87+ABS(AQ87)*AR87+ABS(AS87)*AT87+ABS(AU87)*AV87+ABS(AW87)*AX87+ABS(AY87)*AZ87+ABS(BA87)*BB87+ABS(BC87)*BD87+ABS(BE87)*BF87+ABS(BG87)*BH87+ABS(BI87)*BJ87+ABS(BK87)*BL87+ABS(BM87)*BN87+ABS(BO87)*BP87+ABS(BQ87)*BR87+ABS(BS87)*BT87+ABS(BU87)*BV87+ABS(BW87)*BX87)/CC87)</f>
        <v>0</v>
      </c>
      <c r="CB87" s="103" t="n">
        <f aca="false">AJ87</f>
        <v>38139</v>
      </c>
      <c r="CC87" s="102" t="n">
        <f aca="false">ABS(AK87)+ABS(AM87)+ABS(AO87)+ABS(AQ87)+ABS(AS87)+ABS(AU87)+ABS(AW87)+ABS(AY87)+ABS(BA87)+ABS(BC87)+ABS(BE87)+ABS(BG87)+ABS(BI87)+ABS(BK87)+ABS(BM87)+ABS(BO87)+ABS(BQ87)+ABS(BS87)+ABS(BU87)+ABS(BW87)</f>
        <v>0</v>
      </c>
      <c r="CD87" s="104" t="n">
        <f aca="false">DK111*24</f>
        <v>720</v>
      </c>
      <c r="CE87" s="102" t="n">
        <f aca="false">DK111*8</f>
        <v>240</v>
      </c>
      <c r="CF87" s="102" t="n">
        <f aca="false">DL111*16</f>
        <v>64</v>
      </c>
      <c r="CG87" s="102" t="n">
        <f aca="false">CG43</f>
        <v>0.909040145598326</v>
      </c>
      <c r="CH87" s="106" t="n">
        <f aca="false">D87*(CE87+CF87)</f>
        <v>0</v>
      </c>
      <c r="CI87" s="106" t="n">
        <f aca="false">IF(YEAR($AJ87)=$CI$10,(($CN87-$AL$92)*$AK$92+($CN87-$AN$92)*$AM$92+($CN87-$AP$92)*$AO$92+($CN87-$AR$92)*$AQ$92+($CN87-$AT$92)*$AS$92+($CN87-$AV$92)*$AU$92+($CN87-$AX$92)*$AW$92+($CN87-$AZ$92)*$AY$92+($CN87-$BB$92)*$BA$92+($CN87-$BD$92)*$BC$92+($CN87-$BF$92)*$BE$92+($CN87-$BH$92)*$BG$92+($CN87-$BJ$92)*$BI$92+($CN87-$BL$92)*$BK$92+($CN87-$BN$92)*$BM$92+($CN87-$BP$92)*$BO$92+($CN87-$BR$92)*$BQ$92+($CN87-$BT$92)*$BS$92+($CN87-$BV$92)*$BU$92+($CN87-$BX$92)*$BW$92)*($CE87+$CF87)*$CG87,0)</f>
        <v>0</v>
      </c>
      <c r="CJ87" s="106" t="n">
        <f aca="false">IF(YEAR($AJ87)=$CJ$10,(($CN87-$AL$93)*$AK$93+($CN87-$AN$93)*$AM$93+($CN87-$AP$93)*$AO$93+($CN87-$AR$93)*$AQ$93+($CN87-$AT$93)*$AS$93+($CN87-$AV$93)*$AU$93+($CN87-$AX$93)*$AW$93+($CN87-$AZ$93)*$AY$93+($CN87-$BB$93)*$BA$93+($CN87-$BD$93)*$BC$93+($CN87-$BF$93)*$BE$93+($CN87-$BH$93)*$BG$93+($CN87-$BJ$93)*$BI$93+($CN87-$BL$93)*$BK$93+($CN87-$BN$93)*$BM$93+($CN87-$BP$93)*$BO$93+($CN87-$BR$93)*$BQ$93+($CN87-$BT$93)*$BS$93+($CN87-$BV$93)*$BU$93+($CN87-$BX$93)*$BW$93)*($CE87+$CF87)*$CG87,0)</f>
        <v>0</v>
      </c>
      <c r="CK87" s="106" t="n">
        <f aca="false">IF(YEAR($AJ87)=$CK$10,(($CN87-$AL$94)*$AK$94+($CN87-$AN$94)*$AM$94+($CN87-$AP$94)*$AO$94+($CN87-$AR$94)*$AQ$94+($CN87-$AT$94)*$AS$94+($CN87-$AV$94)*$AU$94+($CN87-$AX$94)*$AW$94+($CN87-$AZ$94)*$AY$94+($CN87-$BB$94)*$BA$94+($CN87-$BD$94)*$BC$94+($CN87-$BF$94)*$BE$94+($CN87-$BH$94)*$BG$94+($CN87-$BJ$94)*$BI$94+($CN87-$BL$94)*$BK$94+($CN87-$BN$94)*$BM$94+($CN87-$BP$94)*$BO$94+($CN87-$BR$94)*$BQ$94+($CN87-$BT$94)*$BS$94+($CN87-$BV$94)*$BU$94+($CN87-$BX$94)*$BW$94)*($CE87+$CF87)*$CG87,0)</f>
        <v>0</v>
      </c>
      <c r="CL87" s="1" t="n">
        <f aca="false">CC87*CD87</f>
        <v>0</v>
      </c>
      <c r="CN87" s="21" t="n">
        <f aca="false">([2]EnergyCurve!$L65*CE87+[2]EnergyCurve!$AD65*CF87)/(CE87+CF87)</f>
        <v>31.7344718663175</v>
      </c>
      <c r="DJ87" s="107" t="n">
        <f aca="false">DJ19</f>
        <v>37408</v>
      </c>
      <c r="DK87" s="2" t="n">
        <f aca="false">VLOOKUP(DJ87,$DM$13:$DR$252,6)</f>
        <v>30</v>
      </c>
      <c r="DL87" s="2" t="n">
        <f aca="false">IF($L$6=0,VLOOKUP(DJ87,$DM$13:$DQ$252,5)+VLOOKUP(DJ87,$DM$13:$DQ$252,4),VLOOKUP(DJ87,$DU$13:$DY$252,5)+VLOOKUP(DJ87,$DU$13:$DY$252,4))</f>
        <v>5</v>
      </c>
      <c r="DM87" s="130" t="n">
        <v>39142</v>
      </c>
      <c r="DN87" s="22" t="n">
        <v>22</v>
      </c>
      <c r="DO87" s="22" t="n">
        <v>5</v>
      </c>
      <c r="DP87" s="22" t="n">
        <v>4</v>
      </c>
      <c r="DQ87" s="22" t="n">
        <v>0</v>
      </c>
      <c r="DR87" s="22" t="n">
        <v>31</v>
      </c>
      <c r="DS87" s="111"/>
      <c r="DT87" s="111"/>
      <c r="DU87" s="130" t="n">
        <v>39142</v>
      </c>
      <c r="DV87" s="22" t="n">
        <v>22</v>
      </c>
      <c r="DW87" s="22" t="n">
        <v>5</v>
      </c>
      <c r="DX87" s="22" t="n">
        <v>4</v>
      </c>
      <c r="DY87" s="22" t="n">
        <v>0</v>
      </c>
      <c r="DZ87" s="22" t="n">
        <v>31</v>
      </c>
      <c r="EA87" s="111"/>
      <c r="EB87" s="111"/>
    </row>
    <row r="88" customFormat="false" ht="18.75" hidden="false" customHeight="true" outlineLevel="0" collapsed="false">
      <c r="A88" s="168" t="n">
        <f aca="false">A44</f>
        <v>38169</v>
      </c>
      <c r="B88" s="169" t="n">
        <f aca="false">[2]EnergyCurve!$P66+[2]EnergyCurve!$R66+B44</f>
        <v>276573.892578125</v>
      </c>
      <c r="C88" s="170" t="n">
        <f aca="false">B88/(CG88*CD88)</f>
        <v>410.692119181774</v>
      </c>
      <c r="D88" s="170" t="n">
        <f aca="false">BY88+IF(YEAR(A88)=$T$20,$BY$92,0)+IF(YEAR(A88)=$T$21,$BY$93,0)+IF(YEAR(A88)=$T$22,$BY$94,0)</f>
        <v>0</v>
      </c>
      <c r="E88" s="169" t="n">
        <f aca="false">B88+(D88*(CE88+CF88)*CG88)+(D44*CD44*CG44)</f>
        <v>276573.892578125</v>
      </c>
      <c r="F88" s="171" t="n">
        <f aca="false">C88+D88</f>
        <v>410.692119181774</v>
      </c>
      <c r="G88" s="172" t="n">
        <f aca="false">([2]EnergyCurve!$J66*CE88+[2]EnergyCurve!$AB66*CF88+G44*CD44)/CD88</f>
        <v>40.7274294207173</v>
      </c>
      <c r="H88" s="172" t="n">
        <f aca="false">[2]EnergyCurve!$K66</f>
        <v>-0.535067023414353</v>
      </c>
      <c r="I88" s="173" t="n">
        <f aca="false">([2]EnergyCurve!$L66*CE88+[2]EnergyCurve!$AD66*CF88+I44*CD44)/CD88</f>
        <v>40.0064129220953</v>
      </c>
      <c r="J88" s="169" t="n">
        <f aca="false">[2]EnergyCurve!$T66</f>
        <v>-199361.330026539</v>
      </c>
      <c r="K88" s="174" t="n">
        <f aca="false">(((CN88-AL88)*AK88+(CN88-AN88)*AM88+(CN88-AP88)*AO88+(CN88-AR88)*AQ88+(CN88-AT88)*AS88+(CN88-AV88)*AU88+(CN88-AX88)*AW88+(CN88-AZ88)*AY88+(CN88-BB88)*BA88+(CN88-BD88)*BC88+(CN88-BF88)*BE88+(CN88-BH88)*BG88+(CN88-BJ88)*BI88+(CN88-BL88)*BK88+(CN88-BN88)*BM88+(CN88-BP88)*BO88+(CN88-BR88)*BQ88+(CN88-BT88)*BS88+(CN88-BV88)*BU88+(CN88-BX88)*BW88)*(CE88+CF88)*CG88)+CI88+CJ88+CK88</f>
        <v>0</v>
      </c>
      <c r="L88" s="205" t="n">
        <f aca="false">J88+K88</f>
        <v>-199361.330026539</v>
      </c>
      <c r="M88" s="46"/>
      <c r="N88" s="209"/>
      <c r="O88" s="164"/>
      <c r="P88" s="164"/>
      <c r="Q88" s="165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95" t="n">
        <f aca="false">A88</f>
        <v>38169</v>
      </c>
      <c r="AK88" s="96"/>
      <c r="AL88" s="97"/>
      <c r="AM88" s="96"/>
      <c r="AN88" s="97"/>
      <c r="AO88" s="96"/>
      <c r="AP88" s="97"/>
      <c r="AQ88" s="96"/>
      <c r="AR88" s="97"/>
      <c r="AS88" s="96"/>
      <c r="AT88" s="97"/>
      <c r="AU88" s="96"/>
      <c r="AV88" s="97"/>
      <c r="AW88" s="96"/>
      <c r="AX88" s="97"/>
      <c r="AY88" s="96"/>
      <c r="AZ88" s="97"/>
      <c r="BA88" s="96"/>
      <c r="BB88" s="97"/>
      <c r="BC88" s="96"/>
      <c r="BD88" s="97"/>
      <c r="BE88" s="96"/>
      <c r="BF88" s="97"/>
      <c r="BG88" s="96"/>
      <c r="BH88" s="97"/>
      <c r="BI88" s="96"/>
      <c r="BJ88" s="97"/>
      <c r="BK88" s="96"/>
      <c r="BL88" s="97"/>
      <c r="BM88" s="96"/>
      <c r="BN88" s="97"/>
      <c r="BO88" s="96"/>
      <c r="BP88" s="97"/>
      <c r="BQ88" s="96"/>
      <c r="BR88" s="97"/>
      <c r="BS88" s="96"/>
      <c r="BT88" s="97"/>
      <c r="BU88" s="96"/>
      <c r="BV88" s="97"/>
      <c r="BW88" s="96"/>
      <c r="BX88" s="97"/>
      <c r="BY88" s="100" t="n">
        <f aca="false">AK88+AM88+AO88+AQ88+AS88+AU88+AW88+AY88+BA88+BC88+BE88+BG88+BI88+BK88+BM88+BO88+BQ88+BS88+BU88+BW88</f>
        <v>0</v>
      </c>
      <c r="BZ88" s="101" t="n">
        <f aca="false">IF(AND(BY88=0,CC88=0),0,(ABS(AK88)*AL88+ABS(AM88)*AN88+ABS(AO88)*AP88+ABS(AQ88)*AR88+ABS(AS88)*AT88+ABS(AU88)*AV88+ABS(AW88)*AX88+ABS(AY88)*AZ88+ABS(BA88)*BB88+ABS(BC88)*BD88+ABS(BE88)*BF88+ABS(BG88)*BH88+ABS(BI88)*BJ88+ABS(BK88)*BL88+ABS(BM88)*BN88+ABS(BO88)*BP88+ABS(BQ88)*BR88+ABS(BS88)*BT88+ABS(BU88)*BV88+ABS(BW88)*BX88)/CC88)</f>
        <v>0</v>
      </c>
      <c r="CB88" s="103" t="n">
        <f aca="false">AJ88</f>
        <v>38169</v>
      </c>
      <c r="CC88" s="102" t="n">
        <f aca="false">ABS(AK88)+ABS(AM88)+ABS(AO88)+ABS(AQ88)+ABS(AS88)+ABS(AU88)+ABS(AW88)+ABS(AY88)+ABS(BA88)+ABS(BC88)+ABS(BE88)+ABS(BG88)+ABS(BI88)+ABS(BK88)+ABS(BM88)+ABS(BO88)+ABS(BQ88)+ABS(BS88)+ABS(BU88)+ABS(BW88)</f>
        <v>0</v>
      </c>
      <c r="CD88" s="104" t="n">
        <f aca="false">DK112*24</f>
        <v>744</v>
      </c>
      <c r="CE88" s="102" t="n">
        <f aca="false">DK112*8</f>
        <v>248</v>
      </c>
      <c r="CF88" s="102" t="n">
        <f aca="false">DL112*16</f>
        <v>80</v>
      </c>
      <c r="CG88" s="102" t="n">
        <f aca="false">CG44</f>
        <v>0.905152754496986</v>
      </c>
      <c r="CH88" s="106" t="n">
        <f aca="false">D88*(CE88+CF88)</f>
        <v>0</v>
      </c>
      <c r="CI88" s="106" t="n">
        <f aca="false">IF(YEAR($AJ88)=$CI$10,(($CN88-$AL$92)*$AK$92+($CN88-$AN$92)*$AM$92+($CN88-$AP$92)*$AO$92+($CN88-$AR$92)*$AQ$92+($CN88-$AT$92)*$AS$92+($CN88-$AV$92)*$AU$92+($CN88-$AX$92)*$AW$92+($CN88-$AZ$92)*$AY$92+($CN88-$BB$92)*$BA$92+($CN88-$BD$92)*$BC$92+($CN88-$BF$92)*$BE$92+($CN88-$BH$92)*$BG$92+($CN88-$BJ$92)*$BI$92+($CN88-$BL$92)*$BK$92+($CN88-$BN$92)*$BM$92+($CN88-$BP$92)*$BO$92+($CN88-$BR$92)*$BQ$92+($CN88-$BT$92)*$BS$92+($CN88-$BV$92)*$BU$92+($CN88-$BX$92)*$BW$92)*($CE88+$CF88)*$CG88,0)</f>
        <v>0</v>
      </c>
      <c r="CJ88" s="106" t="n">
        <f aca="false">IF(YEAR($AJ88)=$CJ$10,(($CN88-$AL$93)*$AK$93+($CN88-$AN$93)*$AM$93+($CN88-$AP$93)*$AO$93+($CN88-$AR$93)*$AQ$93+($CN88-$AT$93)*$AS$93+($CN88-$AV$93)*$AU$93+($CN88-$AX$93)*$AW$93+($CN88-$AZ$93)*$AY$93+($CN88-$BB$93)*$BA$93+($CN88-$BD$93)*$BC$93+($CN88-$BF$93)*$BE$93+($CN88-$BH$93)*$BG$93+($CN88-$BJ$93)*$BI$93+($CN88-$BL$93)*$BK$93+($CN88-$BN$93)*$BM$93+($CN88-$BP$93)*$BO$93+($CN88-$BR$93)*$BQ$93+($CN88-$BT$93)*$BS$93+($CN88-$BV$93)*$BU$93+($CN88-$BX$93)*$BW$93)*($CE88+$CF88)*$CG88,0)</f>
        <v>0</v>
      </c>
      <c r="CK88" s="106" t="n">
        <f aca="false">IF(YEAR($AJ88)=$CK$10,(($CN88-$AL$94)*$AK$94+($CN88-$AN$94)*$AM$94+($CN88-$AP$94)*$AO$94+($CN88-$AR$94)*$AQ$94+($CN88-$AT$94)*$AS$94+($CN88-$AV$94)*$AU$94+($CN88-$AX$94)*$AW$94+($CN88-$AZ$94)*$AY$94+($CN88-$BB$94)*$BA$94+($CN88-$BD$94)*$BC$94+($CN88-$BF$94)*$BE$94+($CN88-$BH$94)*$BG$94+($CN88-$BJ$94)*$BI$94+($CN88-$BL$94)*$BK$94+($CN88-$BN$94)*$BM$94+($CN88-$BP$94)*$BO$94+($CN88-$BR$94)*$BQ$94+($CN88-$BT$94)*$BS$94+($CN88-$BV$94)*$BU$94+($CN88-$BX$94)*$BW$94)*($CE88+$CF88)*$CG88,0)</f>
        <v>0</v>
      </c>
      <c r="CL88" s="1" t="n">
        <f aca="false">CC88*CD88</f>
        <v>0</v>
      </c>
      <c r="CN88" s="21" t="n">
        <f aca="false">([2]EnergyCurve!$L66*CE88+[2]EnergyCurve!$AD66*CF88)/(CE88+CF88)</f>
        <v>32.5852331356545</v>
      </c>
      <c r="DJ88" s="107" t="n">
        <f aca="false">DJ20</f>
        <v>37438</v>
      </c>
      <c r="DK88" s="2" t="n">
        <f aca="false">VLOOKUP(DJ88,$DM$13:$DR$252,6)</f>
        <v>31</v>
      </c>
      <c r="DL88" s="2" t="n">
        <f aca="false">IF($L$6=0,VLOOKUP(DJ88,$DM$13:$DQ$252,5)+VLOOKUP(DJ88,$DM$13:$DQ$252,4),VLOOKUP(DJ88,$DU$13:$DY$252,5)+VLOOKUP(DJ88,$DU$13:$DY$252,4))</f>
        <v>5</v>
      </c>
      <c r="DM88" s="130" t="n">
        <v>39173</v>
      </c>
      <c r="DN88" s="22" t="n">
        <v>20</v>
      </c>
      <c r="DO88" s="22" t="n">
        <v>4</v>
      </c>
      <c r="DP88" s="22" t="n">
        <v>5</v>
      </c>
      <c r="DQ88" s="22" t="n">
        <v>1</v>
      </c>
      <c r="DR88" s="22" t="n">
        <v>30</v>
      </c>
      <c r="DS88" s="111"/>
      <c r="DT88" s="111"/>
      <c r="DU88" s="130" t="n">
        <v>39173</v>
      </c>
      <c r="DV88" s="22" t="n">
        <v>21</v>
      </c>
      <c r="DW88" s="22" t="n">
        <v>4</v>
      </c>
      <c r="DX88" s="22" t="n">
        <v>5</v>
      </c>
      <c r="DY88" s="22" t="n">
        <v>0</v>
      </c>
      <c r="DZ88" s="22" t="n">
        <v>30</v>
      </c>
      <c r="EA88" s="111"/>
      <c r="EB88" s="111"/>
    </row>
    <row r="89" customFormat="false" ht="18.75" hidden="false" customHeight="true" outlineLevel="0" collapsed="false">
      <c r="A89" s="168" t="n">
        <f aca="false">A45</f>
        <v>38200</v>
      </c>
      <c r="B89" s="169" t="n">
        <f aca="false">[2]EnergyCurve!$P67+[2]EnergyCurve!$R67+B45</f>
        <v>275570.115234375</v>
      </c>
      <c r="C89" s="170" t="n">
        <f aca="false">B89/(CG89*CD89)</f>
        <v>411.00911240681</v>
      </c>
      <c r="D89" s="170" t="n">
        <f aca="false">BY89+IF(YEAR(A89)=$T$20,$BY$92,0)+IF(YEAR(A89)=$T$21,$BY$93,0)+IF(YEAR(A89)=$T$22,$BY$94,0)</f>
        <v>0</v>
      </c>
      <c r="E89" s="169" t="n">
        <f aca="false">B89+(D89*(CE89+CF89)*CG89)+(D45*CD45*CG45)</f>
        <v>275570.115234375</v>
      </c>
      <c r="F89" s="171" t="n">
        <f aca="false">C89+D89</f>
        <v>411.00911240681</v>
      </c>
      <c r="G89" s="172" t="n">
        <f aca="false">([2]EnergyCurve!$J67*CE89+[2]EnergyCurve!$AB67*CF89+G45*CD45)/CD89</f>
        <v>41.2556470235189</v>
      </c>
      <c r="H89" s="172" t="n">
        <f aca="false">[2]EnergyCurve!$K67</f>
        <v>-0.532727951939926</v>
      </c>
      <c r="I89" s="173" t="n">
        <f aca="false">([2]EnergyCurve!$L67*CE89+[2]EnergyCurve!$AD67*CF89+I45*CD45)/CD89</f>
        <v>40.5368646134178</v>
      </c>
      <c r="J89" s="169" t="n">
        <f aca="false">[2]EnergyCurve!$T67</f>
        <v>-198028.414295014</v>
      </c>
      <c r="K89" s="174" t="n">
        <f aca="false">(((CN89-AL89)*AK89+(CN89-AN89)*AM89+(CN89-AP89)*AO89+(CN89-AR89)*AQ89+(CN89-AT89)*AS89+(CN89-AV89)*AU89+(CN89-AX89)*AW89+(CN89-AZ89)*AY89+(CN89-BB89)*BA89+(CN89-BD89)*BC89+(CN89-BF89)*BE89+(CN89-BH89)*BG89+(CN89-BJ89)*BI89+(CN89-BL89)*BK89+(CN89-BN89)*BM89+(CN89-BP89)*BO89+(CN89-BR89)*BQ89+(CN89-BT89)*BS89+(CN89-BV89)*BU89+(CN89-BX89)*BW89)*(CE89+CF89)*CG89)+CI89+CJ89+CK89</f>
        <v>0</v>
      </c>
      <c r="L89" s="205" t="n">
        <f aca="false">J89+K89</f>
        <v>-198028.414295014</v>
      </c>
      <c r="M89" s="46"/>
      <c r="N89" s="209" t="s">
        <v>76</v>
      </c>
      <c r="O89" s="164" t="n">
        <v>1</v>
      </c>
      <c r="P89" s="164" t="n">
        <v>4</v>
      </c>
      <c r="Q89" s="165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95" t="n">
        <f aca="false">A89</f>
        <v>38200</v>
      </c>
      <c r="AK89" s="96"/>
      <c r="AL89" s="97"/>
      <c r="AM89" s="96"/>
      <c r="AN89" s="97"/>
      <c r="AO89" s="96"/>
      <c r="AP89" s="97"/>
      <c r="AQ89" s="96"/>
      <c r="AR89" s="97"/>
      <c r="AS89" s="96"/>
      <c r="AT89" s="97"/>
      <c r="AU89" s="96"/>
      <c r="AV89" s="97"/>
      <c r="AW89" s="96"/>
      <c r="AX89" s="97"/>
      <c r="AY89" s="96"/>
      <c r="AZ89" s="97"/>
      <c r="BA89" s="96"/>
      <c r="BB89" s="97"/>
      <c r="BC89" s="96"/>
      <c r="BD89" s="97"/>
      <c r="BE89" s="96"/>
      <c r="BF89" s="97"/>
      <c r="BG89" s="96"/>
      <c r="BH89" s="97"/>
      <c r="BI89" s="96"/>
      <c r="BJ89" s="97"/>
      <c r="BK89" s="96"/>
      <c r="BL89" s="97"/>
      <c r="BM89" s="96"/>
      <c r="BN89" s="97"/>
      <c r="BO89" s="96"/>
      <c r="BP89" s="97"/>
      <c r="BQ89" s="96"/>
      <c r="BR89" s="97"/>
      <c r="BS89" s="96"/>
      <c r="BT89" s="97"/>
      <c r="BU89" s="96"/>
      <c r="BV89" s="97"/>
      <c r="BW89" s="96"/>
      <c r="BX89" s="97"/>
      <c r="BY89" s="100" t="n">
        <f aca="false">AK89+AM89+AO89+AQ89+AS89+AU89+AW89+AY89+BA89+BC89+BE89+BG89+BI89+BK89+BM89+BO89+BQ89+BS89+BU89+BW89</f>
        <v>0</v>
      </c>
      <c r="BZ89" s="101" t="n">
        <f aca="false">IF(AND(BY89=0,CC89=0),0,(ABS(AK89)*AL89+ABS(AM89)*AN89+ABS(AO89)*AP89+ABS(AQ89)*AR89+ABS(AS89)*AT89+ABS(AU89)*AV89+ABS(AW89)*AX89+ABS(AY89)*AZ89+ABS(BA89)*BB89+ABS(BC89)*BD89+ABS(BE89)*BF89+ABS(BG89)*BH89+ABS(BI89)*BJ89+ABS(BK89)*BL89+ABS(BM89)*BN89+ABS(BO89)*BP89+ABS(BQ89)*BR89+ABS(BS89)*BT89+ABS(BU89)*BV89+ABS(BW89)*BX89)/CC89)</f>
        <v>0</v>
      </c>
      <c r="CB89" s="103" t="n">
        <f aca="false">AJ89</f>
        <v>38200</v>
      </c>
      <c r="CC89" s="102" t="n">
        <f aca="false">ABS(AK89)+ABS(AM89)+ABS(AO89)+ABS(AQ89)+ABS(AS89)+ABS(AU89)+ABS(AW89)+ABS(AY89)+ABS(BA89)+ABS(BC89)+ABS(BE89)+ABS(BG89)+ABS(BI89)+ABS(BK89)+ABS(BM89)+ABS(BO89)+ABS(BQ89)+ABS(BS89)+ABS(BU89)+ABS(BW89)</f>
        <v>0</v>
      </c>
      <c r="CD89" s="104" t="n">
        <f aca="false">DK113*24</f>
        <v>744</v>
      </c>
      <c r="CE89" s="102" t="n">
        <f aca="false">DK113*8</f>
        <v>248</v>
      </c>
      <c r="CF89" s="102" t="n">
        <f aca="false">DL113*16</f>
        <v>80</v>
      </c>
      <c r="CG89" s="102" t="n">
        <f aca="false">CG45</f>
        <v>0.901172087553484</v>
      </c>
      <c r="CH89" s="106" t="n">
        <f aca="false">D89*(CE89+CF89)</f>
        <v>0</v>
      </c>
      <c r="CI89" s="106" t="n">
        <f aca="false">IF(YEAR($AJ89)=$CI$10,(($CN89-$AL$92)*$AK$92+($CN89-$AN$92)*$AM$92+($CN89-$AP$92)*$AO$92+($CN89-$AR$92)*$AQ$92+($CN89-$AT$92)*$AS$92+($CN89-$AV$92)*$AU$92+($CN89-$AX$92)*$AW$92+($CN89-$AZ$92)*$AY$92+($CN89-$BB$92)*$BA$92+($CN89-$BD$92)*$BC$92+($CN89-$BF$92)*$BE$92+($CN89-$BH$92)*$BG$92+($CN89-$BJ$92)*$BI$92+($CN89-$BL$92)*$BK$92+($CN89-$BN$92)*$BM$92+($CN89-$BP$92)*$BO$92+($CN89-$BR$92)*$BQ$92+($CN89-$BT$92)*$BS$92+($CN89-$BV$92)*$BU$92+($CN89-$BX$92)*$BW$92)*($CE89+$CF89)*$CG89,0)</f>
        <v>0</v>
      </c>
      <c r="CJ89" s="106" t="n">
        <f aca="false">IF(YEAR($AJ89)=$CJ$10,(($CN89-$AL$93)*$AK$93+($CN89-$AN$93)*$AM$93+($CN89-$AP$93)*$AO$93+($CN89-$AR$93)*$AQ$93+($CN89-$AT$93)*$AS$93+($CN89-$AV$93)*$AU$93+($CN89-$AX$93)*$AW$93+($CN89-$AZ$93)*$AY$93+($CN89-$BB$93)*$BA$93+($CN89-$BD$93)*$BC$93+($CN89-$BF$93)*$BE$93+($CN89-$BH$93)*$BG$93+($CN89-$BJ$93)*$BI$93+($CN89-$BL$93)*$BK$93+($CN89-$BN$93)*$BM$93+($CN89-$BP$93)*$BO$93+($CN89-$BR$93)*$BQ$93+($CN89-$BT$93)*$BS$93+($CN89-$BV$93)*$BU$93+($CN89-$BX$93)*$BW$93)*($CE89+$CF89)*$CG89,0)</f>
        <v>0</v>
      </c>
      <c r="CK89" s="106" t="n">
        <f aca="false">IF(YEAR($AJ89)=$CK$10,(($CN89-$AL$94)*$AK$94+($CN89-$AN$94)*$AM$94+($CN89-$AP$94)*$AO$94+($CN89-$AR$94)*$AQ$94+($CN89-$AT$94)*$AS$94+($CN89-$AV$94)*$AU$94+($CN89-$AX$94)*$AW$94+($CN89-$AZ$94)*$AY$94+($CN89-$BB$94)*$BA$94+($CN89-$BD$94)*$BC$94+($CN89-$BF$94)*$BE$94+($CN89-$BH$94)*$BG$94+($CN89-$BJ$94)*$BI$94+($CN89-$BL$94)*$BK$94+($CN89-$BN$94)*$BM$94+($CN89-$BP$94)*$BO$94+($CN89-$BR$94)*$BQ$94+($CN89-$BT$94)*$BS$94+($CN89-$BV$94)*$BU$94+($CN89-$BX$94)*$BW$94)*($CE89+$CF89)*$CG89,0)</f>
        <v>0</v>
      </c>
      <c r="CL89" s="1" t="n">
        <f aca="false">CC89*CD89</f>
        <v>0</v>
      </c>
      <c r="CN89" s="21" t="n">
        <f aca="false">([2]EnergyCurve!$L67*CE89+[2]EnergyCurve!$AD67*CF89)/(CE89+CF89)</f>
        <v>32.9751857077901</v>
      </c>
      <c r="DJ89" s="107" t="n">
        <f aca="false">DJ21</f>
        <v>37469</v>
      </c>
      <c r="DK89" s="2" t="n">
        <f aca="false">VLOOKUP(DJ89,$DM$13:$DR$252,6)</f>
        <v>31</v>
      </c>
      <c r="DL89" s="2" t="n">
        <f aca="false">IF($L$6=0,VLOOKUP(DJ89,$DM$13:$DQ$252,5)+VLOOKUP(DJ89,$DM$13:$DQ$252,4),VLOOKUP(DJ89,$DU$13:$DY$252,5)+VLOOKUP(DJ89,$DU$13:$DY$252,4))</f>
        <v>4</v>
      </c>
      <c r="DM89" s="130" t="n">
        <v>39203</v>
      </c>
      <c r="DN89" s="22" t="n">
        <v>22</v>
      </c>
      <c r="DO89" s="22" t="n">
        <v>4</v>
      </c>
      <c r="DP89" s="22" t="n">
        <v>4</v>
      </c>
      <c r="DQ89" s="22" t="n">
        <v>1</v>
      </c>
      <c r="DR89" s="22" t="n">
        <v>31</v>
      </c>
      <c r="DS89" s="111"/>
      <c r="DT89" s="111"/>
      <c r="DU89" s="130" t="n">
        <v>39203</v>
      </c>
      <c r="DV89" s="22" t="n">
        <v>22</v>
      </c>
      <c r="DW89" s="22" t="n">
        <v>4</v>
      </c>
      <c r="DX89" s="22" t="n">
        <v>4</v>
      </c>
      <c r="DY89" s="22" t="n">
        <v>1</v>
      </c>
      <c r="DZ89" s="22" t="n">
        <v>31</v>
      </c>
      <c r="EA89" s="111"/>
      <c r="EB89" s="111"/>
    </row>
    <row r="90" customFormat="false" ht="18.75" hidden="false" customHeight="true" outlineLevel="0" collapsed="false">
      <c r="A90" s="168" t="n">
        <f aca="false">A46</f>
        <v>38231</v>
      </c>
      <c r="B90" s="169" t="n">
        <f aca="false">[2]EnergyCurve!$P68+[2]EnergyCurve!$R68+B46</f>
        <v>265490.810546875</v>
      </c>
      <c r="C90" s="170" t="n">
        <f aca="false">B90/(CG90*CD90)</f>
        <v>410.974244348673</v>
      </c>
      <c r="D90" s="170" t="n">
        <f aca="false">BY90+IF(YEAR(A90)=$T$20,$BY$92,0)+IF(YEAR(A90)=$T$21,$BY$93,0)+IF(YEAR(A90)=$T$22,$BY$94,0)</f>
        <v>0</v>
      </c>
      <c r="E90" s="169" t="n">
        <f aca="false">B90+(D90*(CE90+CF90)*CG90)+(D46*CD46*CG46)</f>
        <v>265490.810546875</v>
      </c>
      <c r="F90" s="171" t="n">
        <f aca="false">C90+D90</f>
        <v>410.974244348673</v>
      </c>
      <c r="G90" s="172" t="n">
        <f aca="false">([2]EnergyCurve!$J68*CE90+[2]EnergyCurve!$AB68*CF90+G46*CD46)/CD90</f>
        <v>41.1545601738824</v>
      </c>
      <c r="H90" s="172" t="n">
        <f aca="false">[2]EnergyCurve!$K68</f>
        <v>-0.530933862972404</v>
      </c>
      <c r="I90" s="173" t="n">
        <f aca="false">([2]EnergyCurve!$L68*CE90+[2]EnergyCurve!$AD68*CF90+I46*CD46)/CD90</f>
        <v>40.4386262511721</v>
      </c>
      <c r="J90" s="169" t="n">
        <f aca="false">[2]EnergyCurve!$T68</f>
        <v>-190031.473509644</v>
      </c>
      <c r="K90" s="174" t="n">
        <f aca="false">(((CN90-AL90)*AK90+(CN90-AN90)*AM90+(CN90-AP90)*AO90+(CN90-AR90)*AQ90+(CN90-AT90)*AS90+(CN90-AV90)*AU90+(CN90-AX90)*AW90+(CN90-AZ90)*AY90+(CN90-BB90)*BA90+(CN90-BD90)*BC90+(CN90-BF90)*BE90+(CN90-BH90)*BG90+(CN90-BJ90)*BI90+(CN90-BL90)*BK90+(CN90-BN90)*BM90+(CN90-BP90)*BO90+(CN90-BR90)*BQ90+(CN90-BT90)*BS90+(CN90-BV90)*BU90+(CN90-BX90)*BW90)*(CE90+CF90)*CG90)+CI90+CJ90+CK90</f>
        <v>0</v>
      </c>
      <c r="L90" s="205" t="n">
        <f aca="false">J90+K90</f>
        <v>-190031.473509644</v>
      </c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95" t="n">
        <f aca="false">A90</f>
        <v>38231</v>
      </c>
      <c r="AK90" s="96"/>
      <c r="AL90" s="97"/>
      <c r="AM90" s="96"/>
      <c r="AN90" s="97"/>
      <c r="AO90" s="96"/>
      <c r="AP90" s="97"/>
      <c r="AQ90" s="96"/>
      <c r="AR90" s="97"/>
      <c r="AS90" s="96"/>
      <c r="AT90" s="97"/>
      <c r="AU90" s="96"/>
      <c r="AV90" s="97"/>
      <c r="AW90" s="96"/>
      <c r="AX90" s="97"/>
      <c r="AY90" s="96"/>
      <c r="AZ90" s="97"/>
      <c r="BA90" s="96"/>
      <c r="BB90" s="97"/>
      <c r="BC90" s="96"/>
      <c r="BD90" s="97"/>
      <c r="BE90" s="96"/>
      <c r="BF90" s="97"/>
      <c r="BG90" s="96"/>
      <c r="BH90" s="97"/>
      <c r="BI90" s="96"/>
      <c r="BJ90" s="97"/>
      <c r="BK90" s="96"/>
      <c r="BL90" s="97"/>
      <c r="BM90" s="96"/>
      <c r="BN90" s="97"/>
      <c r="BO90" s="96"/>
      <c r="BP90" s="97"/>
      <c r="BQ90" s="96"/>
      <c r="BR90" s="97"/>
      <c r="BS90" s="96"/>
      <c r="BT90" s="97"/>
      <c r="BU90" s="96"/>
      <c r="BV90" s="97"/>
      <c r="BW90" s="96"/>
      <c r="BX90" s="97"/>
      <c r="BY90" s="100" t="n">
        <f aca="false">AK90+AM90+AO90+AQ90+AS90+AU90+AW90+AY90+BA90+BC90+BE90+BG90+BI90+BK90+BM90+BO90+BQ90+BS90+BU90+BW90</f>
        <v>0</v>
      </c>
      <c r="BZ90" s="101" t="n">
        <f aca="false">IF(AND(BY90=0,CC90=0),0,(ABS(AK90)*AL90+ABS(AM90)*AN90+ABS(AO90)*AP90+ABS(AQ90)*AR90+ABS(AS90)*AT90+ABS(AU90)*AV90+ABS(AW90)*AX90+ABS(AY90)*AZ90+ABS(BA90)*BB90+ABS(BC90)*BD90+ABS(BE90)*BF90+ABS(BG90)*BH90+ABS(BI90)*BJ90+ABS(BK90)*BL90+ABS(BM90)*BN90+ABS(BO90)*BP90+ABS(BQ90)*BR90+ABS(BS90)*BT90+ABS(BU90)*BV90+ABS(BW90)*BX90)/CC90)</f>
        <v>0</v>
      </c>
      <c r="CB90" s="103" t="n">
        <f aca="false">AJ90</f>
        <v>38231</v>
      </c>
      <c r="CC90" s="102" t="n">
        <f aca="false">ABS(AK90)+ABS(AM90)+ABS(AO90)+ABS(AQ90)+ABS(AS90)+ABS(AU90)+ABS(AW90)+ABS(AY90)+ABS(BA90)+ABS(BC90)+ABS(BE90)+ABS(BG90)+ABS(BI90)+ABS(BK90)+ABS(BM90)+ABS(BO90)+ABS(BQ90)+ABS(BS90)+ABS(BU90)+ABS(BW90)</f>
        <v>0</v>
      </c>
      <c r="CD90" s="104" t="n">
        <f aca="false">DK114*24</f>
        <v>720</v>
      </c>
      <c r="CE90" s="102" t="n">
        <f aca="false">DK114*8</f>
        <v>240</v>
      </c>
      <c r="CF90" s="102" t="n">
        <f aca="false">DL114*16</f>
        <v>80</v>
      </c>
      <c r="CG90" s="102" t="n">
        <f aca="false">CG46</f>
        <v>0.897227118100911</v>
      </c>
      <c r="CH90" s="106" t="n">
        <f aca="false">D90*(CE90+CF90)</f>
        <v>0</v>
      </c>
      <c r="CI90" s="106" t="n">
        <f aca="false">IF(YEAR($AJ90)=$CI$10,(($CN90-$AL$92)*$AK$92+($CN90-$AN$92)*$AM$92+($CN90-$AP$92)*$AO$92+($CN90-$AR$92)*$AQ$92+($CN90-$AT$92)*$AS$92+($CN90-$AV$92)*$AU$92+($CN90-$AX$92)*$AW$92+($CN90-$AZ$92)*$AY$92+($CN90-$BB$92)*$BA$92+($CN90-$BD$92)*$BC$92+($CN90-$BF$92)*$BE$92+($CN90-$BH$92)*$BG$92+($CN90-$BJ$92)*$BI$92+($CN90-$BL$92)*$BK$92+($CN90-$BN$92)*$BM$92+($CN90-$BP$92)*$BO$92+($CN90-$BR$92)*$BQ$92+($CN90-$BT$92)*$BS$92+($CN90-$BV$92)*$BU$92+($CN90-$BX$92)*$BW$92)*($CE90+$CF90)*$CG90,0)</f>
        <v>0</v>
      </c>
      <c r="CJ90" s="106" t="n">
        <f aca="false">IF(YEAR($AJ90)=$CJ$10,(($CN90-$AL$93)*$AK$93+($CN90-$AN$93)*$AM$93+($CN90-$AP$93)*$AO$93+($CN90-$AR$93)*$AQ$93+($CN90-$AT$93)*$AS$93+($CN90-$AV$93)*$AU$93+($CN90-$AX$93)*$AW$93+($CN90-$AZ$93)*$AY$93+($CN90-$BB$93)*$BA$93+($CN90-$BD$93)*$BC$93+($CN90-$BF$93)*$BE$93+($CN90-$BH$93)*$BG$93+($CN90-$BJ$93)*$BI$93+($CN90-$BL$93)*$BK$93+($CN90-$BN$93)*$BM$93+($CN90-$BP$93)*$BO$93+($CN90-$BR$93)*$BQ$93+($CN90-$BT$93)*$BS$93+($CN90-$BV$93)*$BU$93+($CN90-$BX$93)*$BW$93)*($CE90+$CF90)*$CG90,0)</f>
        <v>0</v>
      </c>
      <c r="CK90" s="106" t="n">
        <f aca="false">IF(YEAR($AJ90)=$CK$10,(($CN90-$AL$94)*$AK$94+($CN90-$AN$94)*$AM$94+($CN90-$AP$94)*$AO$94+($CN90-$AR$94)*$AQ$94+($CN90-$AT$94)*$AS$94+($CN90-$AV$94)*$AU$94+($CN90-$AX$94)*$AW$94+($CN90-$AZ$94)*$AY$94+($CN90-$BB$94)*$BA$94+($CN90-$BD$94)*$BC$94+($CN90-$BF$94)*$BE$94+($CN90-$BH$94)*$BG$94+($CN90-$BJ$94)*$BI$94+($CN90-$BL$94)*$BK$94+($CN90-$BN$94)*$BM$94+($CN90-$BP$94)*$BO$94+($CN90-$BR$94)*$BQ$94+($CN90-$BT$94)*$BS$94+($CN90-$BV$94)*$BU$94+($CN90-$BX$94)*$BW$94)*($CE90+$CF90)*$CG90,0)</f>
        <v>0</v>
      </c>
      <c r="CL90" s="1" t="n">
        <f aca="false">CC90*CD90</f>
        <v>0</v>
      </c>
      <c r="CN90" s="21" t="n">
        <f aca="false">([2]EnergyCurve!$L68*CE90+[2]EnergyCurve!$AD68*CF90)/(CE90+CF90)</f>
        <v>32.9880026274393</v>
      </c>
      <c r="CO90" s="129"/>
      <c r="CP90" s="4" t="s">
        <v>77</v>
      </c>
      <c r="CQ90" s="6" t="s">
        <v>69</v>
      </c>
      <c r="CR90" s="6" t="s">
        <v>70</v>
      </c>
      <c r="DJ90" s="107" t="n">
        <f aca="false">DJ22</f>
        <v>37500</v>
      </c>
      <c r="DK90" s="2" t="n">
        <f aca="false">VLOOKUP(DJ90,$DM$13:$DR$252,6)</f>
        <v>30</v>
      </c>
      <c r="DL90" s="2" t="n">
        <f aca="false">IF($L$6=0,VLOOKUP(DJ90,$DM$13:$DQ$252,5)+VLOOKUP(DJ90,$DM$13:$DQ$252,4),VLOOKUP(DJ90,$DU$13:$DY$252,5)+VLOOKUP(DJ90,$DU$13:$DY$252,4))</f>
        <v>6</v>
      </c>
      <c r="DM90" s="130" t="n">
        <v>39234</v>
      </c>
      <c r="DN90" s="22" t="n">
        <v>21</v>
      </c>
      <c r="DO90" s="22" t="n">
        <v>5</v>
      </c>
      <c r="DP90" s="22" t="n">
        <v>4</v>
      </c>
      <c r="DQ90" s="22" t="n">
        <v>0</v>
      </c>
      <c r="DR90" s="22" t="n">
        <v>30</v>
      </c>
      <c r="DS90" s="111"/>
      <c r="DT90" s="111"/>
      <c r="DU90" s="130" t="n">
        <v>39234</v>
      </c>
      <c r="DV90" s="22" t="n">
        <v>21</v>
      </c>
      <c r="DW90" s="22" t="n">
        <v>5</v>
      </c>
      <c r="DX90" s="22" t="n">
        <v>4</v>
      </c>
      <c r="DY90" s="22" t="n">
        <v>0</v>
      </c>
      <c r="DZ90" s="22" t="n">
        <v>30</v>
      </c>
      <c r="EA90" s="111"/>
      <c r="EB90" s="111"/>
    </row>
    <row r="91" customFormat="false" ht="18.75" hidden="false" customHeight="true" outlineLevel="0" collapsed="false">
      <c r="A91" s="168" t="n">
        <f aca="false">A47</f>
        <v>38261</v>
      </c>
      <c r="B91" s="169" t="n">
        <f aca="false">[2]EnergyCurve!$P69+[2]EnergyCurve!$R69+B47</f>
        <v>273743.65234375</v>
      </c>
      <c r="C91" s="170" t="n">
        <f aca="false">B91/(CG91*CD91)</f>
        <v>411.938153877524</v>
      </c>
      <c r="D91" s="170" t="n">
        <f aca="false">BY91+IF(YEAR(A91)=$T$20,$BY$92,0)+IF(YEAR(A91)=$T$21,$BY$93,0)+IF(YEAR(A91)=$T$22,$BY$94,0)</f>
        <v>0</v>
      </c>
      <c r="E91" s="169" t="n">
        <f aca="false">B91+(D91*(CE91+CF91)*CG91)+(D47*CD47*CG47)</f>
        <v>273743.65234375</v>
      </c>
      <c r="F91" s="171" t="n">
        <f aca="false">C91+D91</f>
        <v>411.938153877524</v>
      </c>
      <c r="G91" s="172" t="n">
        <f aca="false">([2]EnergyCurve!$J69*CE91+[2]EnergyCurve!$AB69*CF91+G47*CD47)/CD91</f>
        <v>41.1276160619592</v>
      </c>
      <c r="H91" s="172" t="n">
        <f aca="false">[2]EnergyCurve!$K69</f>
        <v>-0.529177722625171</v>
      </c>
      <c r="I91" s="173" t="n">
        <f aca="false">([2]EnergyCurve!$L69*CE91+[2]EnergyCurve!$AD69*CF91+I47*CD47)/CD91</f>
        <v>40.414534747226</v>
      </c>
      <c r="J91" s="169" t="n">
        <f aca="false">[2]EnergyCurve!$T69</f>
        <v>-195093.661960027</v>
      </c>
      <c r="K91" s="174" t="n">
        <f aca="false">(((CN91-AL91)*AK91+(CN91-AN91)*AM91+(CN91-AP91)*AO91+(CN91-AR91)*AQ91+(CN91-AT91)*AS91+(CN91-AV91)*AU91+(CN91-AX91)*AW91+(CN91-AZ91)*AY91+(CN91-BB91)*BA91+(CN91-BD91)*BC91+(CN91-BF91)*BE91+(CN91-BH91)*BG91+(CN91-BJ91)*BI91+(CN91-BL91)*BK91+(CN91-BN91)*BM91+(CN91-BP91)*BO91+(CN91-BR91)*BQ91+(CN91-BT91)*BS91+(CN91-BV91)*BU91+(CN91-BX91)*BW91)*(CE91+CF91)*CG91)+CI91+CJ91+CK91</f>
        <v>0</v>
      </c>
      <c r="L91" s="205" t="n">
        <f aca="false">J91+K91</f>
        <v>-195093.661960027</v>
      </c>
      <c r="M91" s="46"/>
      <c r="N91" s="213" t="s">
        <v>78</v>
      </c>
      <c r="O91" s="207" t="n">
        <v>112</v>
      </c>
      <c r="P91" s="207" t="n">
        <v>122</v>
      </c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95" t="n">
        <f aca="false">A91</f>
        <v>38261</v>
      </c>
      <c r="AK91" s="96"/>
      <c r="AL91" s="97"/>
      <c r="AM91" s="96"/>
      <c r="AN91" s="97"/>
      <c r="AO91" s="96"/>
      <c r="AP91" s="97"/>
      <c r="AQ91" s="96"/>
      <c r="AR91" s="97"/>
      <c r="AS91" s="96"/>
      <c r="AT91" s="97"/>
      <c r="AU91" s="96"/>
      <c r="AV91" s="97"/>
      <c r="AW91" s="96"/>
      <c r="AX91" s="97"/>
      <c r="AY91" s="96"/>
      <c r="AZ91" s="97"/>
      <c r="BA91" s="96"/>
      <c r="BB91" s="97"/>
      <c r="BC91" s="96"/>
      <c r="BD91" s="97"/>
      <c r="BE91" s="96"/>
      <c r="BF91" s="97"/>
      <c r="BG91" s="96"/>
      <c r="BH91" s="97"/>
      <c r="BI91" s="96"/>
      <c r="BJ91" s="97"/>
      <c r="BK91" s="96"/>
      <c r="BL91" s="97"/>
      <c r="BM91" s="96"/>
      <c r="BN91" s="97"/>
      <c r="BO91" s="96"/>
      <c r="BP91" s="97"/>
      <c r="BQ91" s="96"/>
      <c r="BR91" s="97"/>
      <c r="BS91" s="96"/>
      <c r="BT91" s="97"/>
      <c r="BU91" s="96"/>
      <c r="BV91" s="97"/>
      <c r="BW91" s="96"/>
      <c r="BX91" s="97"/>
      <c r="BY91" s="100" t="n">
        <f aca="false">AK91+AM91+AO91+AQ91+AS91+AU91+AW91+AY91+BA91+BC91+BE91+BG91+BI91+BK91+BM91+BO91+BQ91+BS91+BU91+BW91</f>
        <v>0</v>
      </c>
      <c r="BZ91" s="101" t="n">
        <f aca="false">IF(AND(BY91=0,CC91=0),0,(ABS(AK91)*AL91+ABS(AM91)*AN91+ABS(AO91)*AP91+ABS(AQ91)*AR91+ABS(AS91)*AT91+ABS(AU91)*AV91+ABS(AW91)*AX91+ABS(AY91)*AZ91+ABS(BA91)*BB91+ABS(BC91)*BD91+ABS(BE91)*BF91+ABS(BG91)*BH91+ABS(BI91)*BJ91+ABS(BK91)*BL91+ABS(BM91)*BN91+ABS(BO91)*BP91+ABS(BQ91)*BR91+ABS(BS91)*BT91+ABS(BU91)*BV91+ABS(BW91)*BX91)/CC91)</f>
        <v>0</v>
      </c>
      <c r="CB91" s="103" t="n">
        <f aca="false">AJ91</f>
        <v>38261</v>
      </c>
      <c r="CC91" s="102" t="n">
        <f aca="false">ABS(AK91)+ABS(AM91)+ABS(AO91)+ABS(AQ91)+ABS(AS91)+ABS(AU91)+ABS(AW91)+ABS(AY91)+ABS(BA91)+ABS(BC91)+ABS(BE91)+ABS(BG91)+ABS(BI91)+ABS(BK91)+ABS(BM91)+ABS(BO91)+ABS(BQ91)+ABS(BS91)+ABS(BU91)+ABS(BW91)</f>
        <v>0</v>
      </c>
      <c r="CD91" s="104" t="n">
        <f aca="false">DK115*24</f>
        <v>744</v>
      </c>
      <c r="CE91" s="102" t="n">
        <f aca="false">DK115*8</f>
        <v>248</v>
      </c>
      <c r="CF91" s="102" t="n">
        <f aca="false">DL115*16</f>
        <v>80</v>
      </c>
      <c r="CG91" s="102" t="n">
        <f aca="false">CG47</f>
        <v>0.893180233799017</v>
      </c>
      <c r="CH91" s="106" t="n">
        <f aca="false">D91*(CE91+CF91)</f>
        <v>0</v>
      </c>
      <c r="CI91" s="106" t="n">
        <f aca="false">IF(YEAR($AJ91)=$CI$10,(($CN91-$AL$92)*$AK$92+($CN91-$AN$92)*$AM$92+($CN91-$AP$92)*$AO$92+($CN91-$AR$92)*$AQ$92+($CN91-$AT$92)*$AS$92+($CN91-$AV$92)*$AU$92+($CN91-$AX$92)*$AW$92+($CN91-$AZ$92)*$AY$92+($CN91-$BB$92)*$BA$92+($CN91-$BD$92)*$BC$92+($CN91-$BF$92)*$BE$92+($CN91-$BH$92)*$BG$92+($CN91-$BJ$92)*$BI$92+($CN91-$BL$92)*$BK$92+($CN91-$BN$92)*$BM$92+($CN91-$BP$92)*$BO$92+($CN91-$BR$92)*$BQ$92+($CN91-$BT$92)*$BS$92+($CN91-$BV$92)*$BU$92+($CN91-$BX$92)*$BW$92)*($CE91+$CF91)*$CG91,0)</f>
        <v>0</v>
      </c>
      <c r="CJ91" s="106" t="n">
        <f aca="false">IF(YEAR($AJ91)=$CJ$10,(($CN91-$AL$93)*$AK$93+($CN91-$AN$93)*$AM$93+($CN91-$AP$93)*$AO$93+($CN91-$AR$93)*$AQ$93+($CN91-$AT$93)*$AS$93+($CN91-$AV$93)*$AU$93+($CN91-$AX$93)*$AW$93+($CN91-$AZ$93)*$AY$93+($CN91-$BB$93)*$BA$93+($CN91-$BD$93)*$BC$93+($CN91-$BF$93)*$BE$93+($CN91-$BH$93)*$BG$93+($CN91-$BJ$93)*$BI$93+($CN91-$BL$93)*$BK$93+($CN91-$BN$93)*$BM$93+($CN91-$BP$93)*$BO$93+($CN91-$BR$93)*$BQ$93+($CN91-$BT$93)*$BS$93+($CN91-$BV$93)*$BU$93+($CN91-$BX$93)*$BW$93)*($CE91+$CF91)*$CG91,0)</f>
        <v>0</v>
      </c>
      <c r="CK91" s="106" t="n">
        <f aca="false">IF(YEAR($AJ91)=$CK$10,(($CN91-$AL$94)*$AK$94+($CN91-$AN$94)*$AM$94+($CN91-$AP$94)*$AO$94+($CN91-$AR$94)*$AQ$94+($CN91-$AT$94)*$AS$94+($CN91-$AV$94)*$AU$94+($CN91-$AX$94)*$AW$94+($CN91-$AZ$94)*$AY$94+($CN91-$BB$94)*$BA$94+($CN91-$BD$94)*$BC$94+($CN91-$BF$94)*$BE$94+($CN91-$BH$94)*$BG$94+($CN91-$BJ$94)*$BI$94+($CN91-$BL$94)*$BK$94+($CN91-$BN$94)*$BM$94+($CN91-$BP$94)*$BO$94+($CN91-$BR$94)*$BQ$94+($CN91-$BT$94)*$BS$94+($CN91-$BV$94)*$BU$94+($CN91-$BX$94)*$BW$94)*($CE91+$CF91)*$CG91,0)</f>
        <v>0</v>
      </c>
      <c r="CL91" s="1" t="n">
        <f aca="false">CC91*CD91</f>
        <v>0</v>
      </c>
      <c r="CN91" s="21" t="n">
        <f aca="false">([2]EnergyCurve!$L69*CE91+[2]EnergyCurve!$AD69*CF91)/(CE91+CF91)</f>
        <v>32.9176484623055</v>
      </c>
      <c r="CO91" s="102" t="s">
        <v>64</v>
      </c>
      <c r="CP91" s="4" t="s">
        <v>53</v>
      </c>
      <c r="CQ91" s="6" t="s">
        <v>53</v>
      </c>
      <c r="CR91" s="6" t="s">
        <v>53</v>
      </c>
      <c r="DJ91" s="107" t="n">
        <f aca="false">DJ23</f>
        <v>37530</v>
      </c>
      <c r="DK91" s="2" t="n">
        <f aca="false">VLOOKUP(DJ91,$DM$13:$DR$252,6)</f>
        <v>31</v>
      </c>
      <c r="DL91" s="2" t="n">
        <f aca="false">IF($L$6=0,VLOOKUP(DJ91,$DM$13:$DQ$252,5)+VLOOKUP(DJ91,$DM$13:$DQ$252,4),VLOOKUP(DJ91,$DU$13:$DY$252,5)+VLOOKUP(DJ91,$DU$13:$DY$252,4))</f>
        <v>4</v>
      </c>
      <c r="DM91" s="130" t="n">
        <v>39264</v>
      </c>
      <c r="DN91" s="22" t="n">
        <v>21</v>
      </c>
      <c r="DO91" s="22" t="n">
        <v>4</v>
      </c>
      <c r="DP91" s="22" t="n">
        <v>5</v>
      </c>
      <c r="DQ91" s="22" t="n">
        <v>1</v>
      </c>
      <c r="DR91" s="22" t="n">
        <v>31</v>
      </c>
      <c r="DS91" s="111"/>
      <c r="DT91" s="111"/>
      <c r="DU91" s="130" t="n">
        <v>39264</v>
      </c>
      <c r="DV91" s="22" t="n">
        <v>21</v>
      </c>
      <c r="DW91" s="22" t="n">
        <v>4</v>
      </c>
      <c r="DX91" s="22" t="n">
        <v>5</v>
      </c>
      <c r="DY91" s="22" t="n">
        <v>1</v>
      </c>
      <c r="DZ91" s="22" t="n">
        <v>31</v>
      </c>
      <c r="EA91" s="111"/>
      <c r="EB91" s="111"/>
    </row>
    <row r="92" customFormat="false" ht="18.75" hidden="false" customHeight="true" outlineLevel="0" collapsed="false">
      <c r="A92" s="168" t="n">
        <f aca="false">A48</f>
        <v>38292</v>
      </c>
      <c r="B92" s="169" t="n">
        <f aca="false">[2]EnergyCurve!$P70+[2]EnergyCurve!$R70+B48</f>
        <v>263797.849609375</v>
      </c>
      <c r="C92" s="170" t="n">
        <f aca="false">B92/(CO92*CP92)</f>
        <v>376.933463149878</v>
      </c>
      <c r="D92" s="170" t="n">
        <f aca="false">IF(YEAR(A92)=$T$20,$BY$92,0)+IF(YEAR(A92)=$T$21,$BY$93,0)+IF(YEAR(A92)=$T$22,$BY$94,0)</f>
        <v>0</v>
      </c>
      <c r="E92" s="169" t="n">
        <f aca="false">B92+(D92*(CE92+CF92)*CG92)+(D48*CD48*CG48)</f>
        <v>263797.849609375</v>
      </c>
      <c r="F92" s="171" t="n">
        <f aca="false">C92+D92</f>
        <v>376.933463149878</v>
      </c>
      <c r="G92" s="172" t="n">
        <f aca="false">([2]EnergyCurve!$J70*CQ92+[2]EnergyCurve!$AB70*CR92+G48*CP48)/CP92</f>
        <v>43.5157117207845</v>
      </c>
      <c r="H92" s="172" t="n">
        <f aca="false">[2]EnergyCurve!$K70</f>
        <v>-0.515395082868192</v>
      </c>
      <c r="I92" s="173" t="n">
        <f aca="false">([2]EnergyCurve!$L70*CQ92+[2]EnergyCurve!$AD70*CR92+I48*CP48)/CP92</f>
        <v>42.8207306339133</v>
      </c>
      <c r="J92" s="169" t="n">
        <f aca="false">[2]EnergyCurve!$T70</f>
        <v>-183299.426093142</v>
      </c>
      <c r="K92" s="174" t="n">
        <f aca="false">(((CN92-AL92)*AK92+(CN92-AN92)*AM92+(CN92-AP92)*AO92+(CN92-AR92)*AQ92+(CN92-AT92)*AS92+(CN92-AV92)*AU92+(CN92-AX92)*AW92+(CN92-AZ92)*AY92+(CN92-BB92)*BA92+(CN92-BD92)*BC92+(CN92-BF92)*BE92+(CN92-BH92)*BG92+(CN92-BJ92)*BI92+(CN92-BL92)*BK92+(CN92-BN92)*BM92+(CN92-BP92)*BO92+(CN92-BR92)*BQ92+(CN92-BT92)*BS92+(CN92-BV92)*BU92+(CN92-BX92)*BW92)*(CE92+CF92)*CG92)+CI92+CJ92+CK92</f>
        <v>0</v>
      </c>
      <c r="L92" s="205" t="n">
        <f aca="false">J92+K92</f>
        <v>-183299.426093142</v>
      </c>
      <c r="M92" s="46"/>
      <c r="N92" s="214" t="s">
        <v>79</v>
      </c>
      <c r="O92" s="164" t="n">
        <v>8</v>
      </c>
      <c r="P92" s="164" t="n">
        <v>12</v>
      </c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184" t="str">
        <f aca="false">V64</f>
        <v>Bal 2002</v>
      </c>
      <c r="AK92" s="96"/>
      <c r="AL92" s="97"/>
      <c r="AM92" s="96"/>
      <c r="AN92" s="97"/>
      <c r="AO92" s="96"/>
      <c r="AP92" s="97"/>
      <c r="AQ92" s="96"/>
      <c r="AR92" s="97"/>
      <c r="AS92" s="96"/>
      <c r="AT92" s="97"/>
      <c r="AU92" s="96"/>
      <c r="AV92" s="97"/>
      <c r="AW92" s="96"/>
      <c r="AX92" s="97"/>
      <c r="AY92" s="96"/>
      <c r="AZ92" s="97"/>
      <c r="BA92" s="96"/>
      <c r="BB92" s="97"/>
      <c r="BC92" s="96"/>
      <c r="BD92" s="97"/>
      <c r="BE92" s="96"/>
      <c r="BF92" s="97"/>
      <c r="BG92" s="96"/>
      <c r="BH92" s="97"/>
      <c r="BI92" s="96"/>
      <c r="BJ92" s="97"/>
      <c r="BK92" s="96"/>
      <c r="BL92" s="97"/>
      <c r="BM92" s="96"/>
      <c r="BN92" s="97"/>
      <c r="BO92" s="96"/>
      <c r="BP92" s="97"/>
      <c r="BQ92" s="96"/>
      <c r="BR92" s="97"/>
      <c r="BS92" s="96"/>
      <c r="BT92" s="97"/>
      <c r="BU92" s="96"/>
      <c r="BV92" s="97"/>
      <c r="BW92" s="96"/>
      <c r="BX92" s="97"/>
      <c r="BY92" s="100" t="n">
        <f aca="false">AK92+AM92+AO92+AQ92+AS92+AU92+AW92+AY92+BA92+BC92+BE92+BG92+BI92+BK92+BM92+BO92+BQ92+BS92+BU92+BW92</f>
        <v>0</v>
      </c>
      <c r="BZ92" s="101" t="n">
        <f aca="false">IF(AND(BY92=0,CC92=0),0,(ABS(AK92)*AL92+ABS(AM92)*AN92+ABS(AO92)*AP92+ABS(AQ92)*AR92+ABS(AS92)*AT92+ABS(AU92)*AV92+ABS(AW92)*AX92+ABS(AY92)*AZ92+ABS(BA92)*BB92+ABS(BC92)*BD92+ABS(BE92)*BF92+ABS(BG92)*BH92+ABS(BI92)*BJ92+ABS(BK92)*BL92+ABS(BM92)*BN92+ABS(BO92)*BP92+ABS(BQ92)*BR92+ABS(BS92)*BT92+ABS(BU92)*BV92+ABS(BW92)*BX92)/CC92)</f>
        <v>0</v>
      </c>
      <c r="CA92" s="102"/>
      <c r="CB92" s="103" t="str">
        <f aca="false">AJ92</f>
        <v>Bal 2002</v>
      </c>
      <c r="CC92" s="102" t="n">
        <f aca="false">ABS(AK92)+ABS(AM92)+ABS(AO92)+ABS(AQ92)+ABS(AS92)+ABS(AU92)+ABS(AW92)+ABS(AY92)+ABS(BA92)+ABS(BC92)+ABS(BE92)+ABS(BG92)+ABS(BI92)+ABS(BK92)+ABS(BM92)+ABS(BO92)+ABS(BQ92)+ABS(BS92)+ABS(BU92)+ABS(BW92)</f>
        <v>0</v>
      </c>
      <c r="CD92" s="104"/>
      <c r="CG92" s="102"/>
      <c r="CH92" s="106"/>
      <c r="CI92" s="215"/>
      <c r="CJ92" s="106"/>
      <c r="CK92" s="106"/>
      <c r="CN92" s="107" t="n">
        <f aca="false">DJ92</f>
        <v>37561</v>
      </c>
      <c r="CO92" s="102" t="n">
        <f aca="false">VLOOKUP(CN92,Interest!$X$8:$AC$367,6)</f>
        <v>0.972017446191978</v>
      </c>
      <c r="CP92" s="1" t="n">
        <f aca="false">24*DK116</f>
        <v>720</v>
      </c>
      <c r="CQ92" s="1" t="n">
        <f aca="false">8*DK116</f>
        <v>240</v>
      </c>
      <c r="CR92" s="1" t="n">
        <f aca="false">16*DL116</f>
        <v>80</v>
      </c>
      <c r="DJ92" s="107" t="n">
        <f aca="false">DJ24</f>
        <v>37561</v>
      </c>
      <c r="DK92" s="2" t="n">
        <f aca="false">VLOOKUP(DJ92,$DM$13:$DR$252,6)</f>
        <v>30</v>
      </c>
      <c r="DL92" s="2" t="n">
        <f aca="false">IF($L$6=0,VLOOKUP(DJ92,$DM$13:$DQ$252,5)+VLOOKUP(DJ92,$DM$13:$DQ$252,4),VLOOKUP(DJ92,$DU$13:$DY$252,5)+VLOOKUP(DJ92,$DU$13:$DY$252,4))</f>
        <v>5</v>
      </c>
      <c r="DM92" s="130" t="n">
        <v>39295</v>
      </c>
      <c r="DN92" s="22" t="n">
        <v>22</v>
      </c>
      <c r="DO92" s="22" t="n">
        <v>4</v>
      </c>
      <c r="DP92" s="22" t="n">
        <v>4</v>
      </c>
      <c r="DQ92" s="22" t="n">
        <v>1</v>
      </c>
      <c r="DR92" s="22" t="n">
        <v>31</v>
      </c>
      <c r="DS92" s="111"/>
      <c r="DT92" s="111"/>
      <c r="DU92" s="130" t="n">
        <v>39295</v>
      </c>
      <c r="DV92" s="22" t="n">
        <v>23</v>
      </c>
      <c r="DW92" s="22" t="n">
        <v>4</v>
      </c>
      <c r="DX92" s="22" t="n">
        <v>4</v>
      </c>
      <c r="DY92" s="22" t="n">
        <v>0</v>
      </c>
      <c r="DZ92" s="22" t="n">
        <v>31</v>
      </c>
      <c r="EA92" s="111"/>
      <c r="EB92" s="111"/>
    </row>
    <row r="93" customFormat="false" ht="18" hidden="false" customHeight="true" outlineLevel="0" collapsed="false">
      <c r="A93" s="168" t="n">
        <f aca="false">A49</f>
        <v>38322</v>
      </c>
      <c r="B93" s="169" t="n">
        <f aca="false">[2]EnergyCurve!$P71+[2]EnergyCurve!$R71+B49</f>
        <v>271431.083984375</v>
      </c>
      <c r="C93" s="170" t="n">
        <f aca="false">B93/(CO93*CP93)</f>
        <v>376.317258819013</v>
      </c>
      <c r="D93" s="170" t="n">
        <f aca="false">IF(YEAR(A93)=$T$20,$BY$92,0)+IF(YEAR(A93)=$T$21,$BY$93,0)+IF(YEAR(A93)=$T$22,$BY$94,0)</f>
        <v>0</v>
      </c>
      <c r="E93" s="169" t="n">
        <f aca="false">B93+(D93*(CE93+CF93)*CG93)+(D49*CD49*CG49)</f>
        <v>271431.083984375</v>
      </c>
      <c r="F93" s="171" t="n">
        <f aca="false">C93+D93</f>
        <v>376.317258819013</v>
      </c>
      <c r="G93" s="172" t="n">
        <f aca="false">([2]EnergyCurve!$J71*CQ93+[2]EnergyCurve!$AB71*CR93+G49*CP49)/CP93</f>
        <v>45.4949496279481</v>
      </c>
      <c r="H93" s="172" t="n">
        <f aca="false">[2]EnergyCurve!$K71</f>
        <v>-0.512113779774047</v>
      </c>
      <c r="I93" s="173" t="n">
        <f aca="false">([2]EnergyCurve!$L71*CQ93+[2]EnergyCurve!$AD71*CR93+I49*CP49)/CP93</f>
        <v>44.8031016454129</v>
      </c>
      <c r="J93" s="169" t="n">
        <f aca="false">[2]EnergyCurve!$T71</f>
        <v>-187758.474318439</v>
      </c>
      <c r="K93" s="174" t="n">
        <f aca="false">(((CN93-AL93)*AK93+(CN93-AN93)*AM93+(CN93-AP93)*AO93+(CN93-AR93)*AQ93+(CN93-AT93)*AS93+(CN93-AV93)*AU93+(CN93-AX93)*AW93+(CN93-AZ93)*AY93+(CN93-BB93)*BA93+(CN93-BD93)*BC93+(CN93-BF93)*BE93+(CN93-BH93)*BG93+(CN93-BJ93)*BI93+(CN93-BL93)*BK93+(CN93-BN93)*BM93+(CN93-BP93)*BO93+(CN93-BR93)*BQ93+(CN93-BT93)*BS93+(CN93-BV93)*BU93+(CN93-BX93)*BW93)*(CE93+CF93)*CG93)+CI93+CJ93+CK93</f>
        <v>0</v>
      </c>
      <c r="L93" s="205" t="n">
        <f aca="false">J93+K93</f>
        <v>-187758.474318439</v>
      </c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185" t="n">
        <f aca="false">V65</f>
        <v>2003</v>
      </c>
      <c r="AK93" s="96"/>
      <c r="AL93" s="97"/>
      <c r="AM93" s="96"/>
      <c r="AN93" s="97"/>
      <c r="AO93" s="96"/>
      <c r="AP93" s="97"/>
      <c r="AQ93" s="96"/>
      <c r="AR93" s="97"/>
      <c r="AS93" s="96"/>
      <c r="AT93" s="97"/>
      <c r="AU93" s="96"/>
      <c r="AV93" s="97"/>
      <c r="AW93" s="96"/>
      <c r="AX93" s="97"/>
      <c r="AY93" s="96"/>
      <c r="AZ93" s="97"/>
      <c r="BA93" s="96"/>
      <c r="BB93" s="97"/>
      <c r="BC93" s="96"/>
      <c r="BD93" s="97"/>
      <c r="BE93" s="96"/>
      <c r="BF93" s="97"/>
      <c r="BG93" s="96"/>
      <c r="BH93" s="97"/>
      <c r="BI93" s="96"/>
      <c r="BJ93" s="97"/>
      <c r="BK93" s="96"/>
      <c r="BL93" s="97"/>
      <c r="BM93" s="96"/>
      <c r="BN93" s="97"/>
      <c r="BO93" s="96"/>
      <c r="BP93" s="97"/>
      <c r="BQ93" s="96"/>
      <c r="BR93" s="97"/>
      <c r="BS93" s="96"/>
      <c r="BT93" s="97"/>
      <c r="BU93" s="96"/>
      <c r="BV93" s="97"/>
      <c r="BW93" s="96"/>
      <c r="BX93" s="97"/>
      <c r="BY93" s="100" t="n">
        <f aca="false">AK93+AM93+AO93+AQ93+AS93+AU93+AW93+AY93+BA93+BC93+BE93+BG93+BI93+BK93+BM93+BO93+BQ93+BS93+BU93+BW93</f>
        <v>0</v>
      </c>
      <c r="BZ93" s="101" t="n">
        <f aca="false">IF(AND(BY93=0,CC93=0),0,(ABS(AK93)*AL93+ABS(AM93)*AN93+ABS(AO93)*AP93+ABS(AQ93)*AR93+ABS(AS93)*AT93+ABS(AU93)*AV93+ABS(AW93)*AX93+ABS(AY93)*AZ93+ABS(BA93)*BB93+ABS(BC93)*BD93+ABS(BE93)*BF93+ABS(BG93)*BH93+ABS(BI93)*BJ93+ABS(BK93)*BL93+ABS(BM93)*BN93+ABS(BO93)*BP93+ABS(BQ93)*BR93+ABS(BS93)*BT93+ABS(BU93)*BV93+ABS(BW93)*BX93)/CC93)</f>
        <v>0</v>
      </c>
      <c r="CA93" s="102"/>
      <c r="CB93" s="186" t="n">
        <f aca="false">AJ93</f>
        <v>2003</v>
      </c>
      <c r="CC93" s="102" t="n">
        <f aca="false">ABS(AK93)+ABS(AM93)+ABS(AO93)+ABS(AQ93)+ABS(AS93)+ABS(AU93)+ABS(AW93)+ABS(AY93)+ABS(BA93)+ABS(BC93)+ABS(BE93)+ABS(BG93)+ABS(BI93)+ABS(BK93)+ABS(BM93)+ABS(BO93)+ABS(BQ93)+ABS(BS93)+ABS(BU93)+ABS(BW93)</f>
        <v>0</v>
      </c>
      <c r="CD93" s="104"/>
      <c r="CG93" s="102"/>
      <c r="CH93" s="106"/>
      <c r="CI93" s="106"/>
      <c r="CJ93" s="106"/>
      <c r="CK93" s="106"/>
      <c r="CN93" s="107" t="n">
        <f aca="false">DJ93</f>
        <v>37591</v>
      </c>
      <c r="CO93" s="102" t="n">
        <f aca="false">VLOOKUP(CN93,Interest!$X$8:$AC$367,6)</f>
        <v>0.969465835636604</v>
      </c>
      <c r="CP93" s="1" t="n">
        <f aca="false">24*DK117</f>
        <v>744</v>
      </c>
      <c r="CQ93" s="1" t="n">
        <f aca="false">8*DK117</f>
        <v>248</v>
      </c>
      <c r="CR93" s="1" t="n">
        <f aca="false">16*DL117</f>
        <v>80</v>
      </c>
      <c r="DJ93" s="107" t="n">
        <f aca="false">DJ25</f>
        <v>37591</v>
      </c>
      <c r="DK93" s="2" t="n">
        <f aca="false">VLOOKUP(DJ93,$DM$13:$DR$252,6)</f>
        <v>31</v>
      </c>
      <c r="DL93" s="2" t="n">
        <f aca="false">IF($L$6=0,VLOOKUP(DJ93,$DM$13:$DQ$252,5)+VLOOKUP(DJ93,$DM$13:$DQ$252,4),VLOOKUP(DJ93,$DU$13:$DY$252,5)+VLOOKUP(DJ93,$DU$13:$DY$252,4))</f>
        <v>6</v>
      </c>
      <c r="DM93" s="130" t="n">
        <v>39326</v>
      </c>
      <c r="DN93" s="22" t="n">
        <v>19</v>
      </c>
      <c r="DO93" s="22" t="n">
        <v>5</v>
      </c>
      <c r="DP93" s="22" t="n">
        <v>5</v>
      </c>
      <c r="DQ93" s="22" t="n">
        <v>1</v>
      </c>
      <c r="DR93" s="22" t="n">
        <v>30</v>
      </c>
      <c r="DS93" s="111"/>
      <c r="DT93" s="111"/>
      <c r="DU93" s="130" t="n">
        <v>39326</v>
      </c>
      <c r="DV93" s="22" t="n">
        <v>19</v>
      </c>
      <c r="DW93" s="22" t="n">
        <v>5</v>
      </c>
      <c r="DX93" s="22" t="n">
        <v>5</v>
      </c>
      <c r="DY93" s="22" t="n">
        <v>1</v>
      </c>
      <c r="DZ93" s="22" t="n">
        <v>30</v>
      </c>
      <c r="EA93" s="111"/>
      <c r="EB93" s="111"/>
    </row>
    <row r="94" customFormat="false" ht="18.75" hidden="false" customHeight="true" outlineLevel="0" collapsed="false">
      <c r="A94" s="168" t="n">
        <f aca="false">A50</f>
        <v>38353</v>
      </c>
      <c r="B94" s="169" t="n">
        <f aca="false">[2]EnergyCurve!$P72+[2]EnergyCurve!$R72+B50</f>
        <v>274219.17578125</v>
      </c>
      <c r="C94" s="170" t="n">
        <f aca="false">B94/(CO94*CP94)</f>
        <v>381.261798923196</v>
      </c>
      <c r="D94" s="170" t="n">
        <f aca="false">IF(YEAR(A94)=$T$20,$BY$92,0)+IF(YEAR(A94)=$T$21,$BY$93,0)+IF(YEAR(A94)=$T$22,$BY$94,0)</f>
        <v>0</v>
      </c>
      <c r="E94" s="169" t="n">
        <f aca="false">B94+(D94*(CE94+CF94)*CG94)+(D50*CD50*CG50)</f>
        <v>274219.17578125</v>
      </c>
      <c r="F94" s="171" t="n">
        <f aca="false">C94+D94</f>
        <v>381.261798923196</v>
      </c>
      <c r="G94" s="172" t="n">
        <f aca="false">([2]EnergyCurve!$J72*CQ94+[2]EnergyCurve!$AB72*CR94+G50*CP50)/CP94</f>
        <v>44.9672938931373</v>
      </c>
      <c r="H94" s="172" t="n">
        <f aca="false">[2]EnergyCurve!$K72</f>
        <v>-0.463707719095339</v>
      </c>
      <c r="I94" s="173" t="n">
        <f aca="false">([2]EnergyCurve!$L72*CQ94+[2]EnergyCurve!$AD72*CR94+I50*CP50)/CP94</f>
        <v>44.3571924229675</v>
      </c>
      <c r="J94" s="169" t="n">
        <f aca="false">[2]EnergyCurve!$T72</f>
        <v>-167279.191337052</v>
      </c>
      <c r="K94" s="174" t="n">
        <f aca="false">(((CN94-AL94)*AK94+(CN94-AN94)*AM94+(CN94-AP94)*AO94+(CN94-AR94)*AQ94+(CN94-AT94)*AS94+(CN94-AV94)*AU94+(CN94-AX94)*AW94+(CN94-AZ94)*AY94+(CN94-BB94)*BA94+(CN94-BD94)*BC94+(CN94-BF94)*BE94+(CN94-BH94)*BG94+(CN94-BJ94)*BI94+(CN94-BL94)*BK94+(CN94-BN94)*BM94+(CN94-BP94)*BO94+(CN94-BR94)*BQ94+(CN94-BT94)*BS94+(CN94-BV94)*BU94+(CN94-BX94)*BW94)*(CE94+CF94)*CG94)+CI94+CJ94+CK94</f>
        <v>0</v>
      </c>
      <c r="L94" s="205" t="n">
        <f aca="false">J94+K94</f>
        <v>-167279.191337052</v>
      </c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187" t="n">
        <f aca="false">V66</f>
        <v>2004</v>
      </c>
      <c r="AK94" s="188"/>
      <c r="AL94" s="189"/>
      <c r="AM94" s="188"/>
      <c r="AN94" s="189"/>
      <c r="AO94" s="188"/>
      <c r="AP94" s="189"/>
      <c r="AQ94" s="188"/>
      <c r="AR94" s="189"/>
      <c r="AS94" s="188"/>
      <c r="AT94" s="189"/>
      <c r="AU94" s="188"/>
      <c r="AV94" s="189"/>
      <c r="AW94" s="188"/>
      <c r="AX94" s="189"/>
      <c r="AY94" s="188"/>
      <c r="AZ94" s="189"/>
      <c r="BA94" s="188"/>
      <c r="BB94" s="189"/>
      <c r="BC94" s="188"/>
      <c r="BD94" s="189"/>
      <c r="BE94" s="188"/>
      <c r="BF94" s="189"/>
      <c r="BG94" s="188"/>
      <c r="BH94" s="189"/>
      <c r="BI94" s="188"/>
      <c r="BJ94" s="189"/>
      <c r="BK94" s="188"/>
      <c r="BL94" s="189"/>
      <c r="BM94" s="188"/>
      <c r="BN94" s="189"/>
      <c r="BO94" s="188"/>
      <c r="BP94" s="189"/>
      <c r="BQ94" s="188"/>
      <c r="BR94" s="189"/>
      <c r="BS94" s="188"/>
      <c r="BT94" s="189"/>
      <c r="BU94" s="188"/>
      <c r="BV94" s="189"/>
      <c r="BW94" s="188"/>
      <c r="BX94" s="189"/>
      <c r="BY94" s="190" t="n">
        <f aca="false">AK94+AM94+AO94+AQ94+AS94+AU94+AW94+AY94+BA94+BC94+BE94+BG94+BI94+BK94+BM94+BO94+BQ94+BS94+BU94+BW94</f>
        <v>0</v>
      </c>
      <c r="BZ94" s="191" t="n">
        <f aca="false">IF(AND(BY94=0,CC94=0),0,(ABS(AK94)*AL94+ABS(AM94)*AN94+ABS(AO94)*AP94+ABS(AQ94)*AR94+ABS(AS94)*AT94+ABS(AU94)*AV94+ABS(AW94)*AX94+ABS(AY94)*AZ94+ABS(BA94)*BB94+ABS(BC94)*BD94+ABS(BE94)*BF94+ABS(BG94)*BH94+ABS(BI94)*BJ94+ABS(BK94)*BL94+ABS(BM94)*BN94+ABS(BO94)*BP94+ABS(BQ94)*BR94+ABS(BS94)*BT94+ABS(BU94)*BV94+ABS(BW94)*BX94)/CC94)</f>
        <v>0</v>
      </c>
      <c r="CB94" s="186" t="n">
        <f aca="false">AJ94</f>
        <v>2004</v>
      </c>
      <c r="CC94" s="102" t="n">
        <f aca="false">ABS(AK94)+ABS(AM94)+ABS(AO94)+ABS(AQ94)+ABS(AS94)+ABS(AU94)+ABS(AW94)+ABS(AY94)+ABS(BA94)+ABS(BC94)+ABS(BE94)+ABS(BG94)+ABS(BI94)+ABS(BK94)+ABS(BM94)+ABS(BO94)+ABS(BQ94)+ABS(BS94)+ABS(BU94)+ABS(BW94)</f>
        <v>0</v>
      </c>
      <c r="CD94" s="104"/>
      <c r="CG94" s="102"/>
      <c r="CH94" s="106"/>
      <c r="CI94" s="106"/>
      <c r="CJ94" s="106"/>
      <c r="CK94" s="106"/>
      <c r="CL94" s="216"/>
      <c r="CN94" s="107" t="n">
        <f aca="false">DJ94</f>
        <v>37622</v>
      </c>
      <c r="CO94" s="102" t="n">
        <f aca="false">VLOOKUP(CN94,Interest!$X$8:$AC$367,6)</f>
        <v>0.966721979587974</v>
      </c>
      <c r="CP94" s="1" t="n">
        <f aca="false">24*DK118</f>
        <v>744</v>
      </c>
      <c r="CQ94" s="1" t="n">
        <f aca="false">8*DK118</f>
        <v>248</v>
      </c>
      <c r="CR94" s="1" t="n">
        <f aca="false">16*DL118</f>
        <v>96</v>
      </c>
      <c r="DJ94" s="107" t="n">
        <f aca="false">DJ26</f>
        <v>37622</v>
      </c>
      <c r="DK94" s="2" t="n">
        <f aca="false">VLOOKUP(DJ94,$DM$13:$DR$252,6)</f>
        <v>31</v>
      </c>
      <c r="DL94" s="2" t="n">
        <f aca="false">IF($L$6=0,VLOOKUP(DJ94,$DM$13:$DQ$252,5)+VLOOKUP(DJ94,$DM$13:$DQ$252,4),VLOOKUP(DJ94,$DU$13:$DY$252,5)+VLOOKUP(DJ94,$DU$13:$DY$252,4))</f>
        <v>5</v>
      </c>
      <c r="DM94" s="130" t="n">
        <v>39356</v>
      </c>
      <c r="DN94" s="22" t="n">
        <v>22</v>
      </c>
      <c r="DO94" s="22" t="n">
        <v>4</v>
      </c>
      <c r="DP94" s="22" t="n">
        <v>4</v>
      </c>
      <c r="DQ94" s="22" t="n">
        <v>1</v>
      </c>
      <c r="DR94" s="22" t="n">
        <v>31</v>
      </c>
      <c r="DS94" s="111"/>
      <c r="DT94" s="111"/>
      <c r="DU94" s="130" t="n">
        <v>39356</v>
      </c>
      <c r="DV94" s="22" t="n">
        <v>23</v>
      </c>
      <c r="DW94" s="22" t="n">
        <v>4</v>
      </c>
      <c r="DX94" s="22" t="n">
        <v>4</v>
      </c>
      <c r="DY94" s="22" t="n">
        <v>0</v>
      </c>
      <c r="DZ94" s="22" t="n">
        <v>31</v>
      </c>
      <c r="EA94" s="111"/>
      <c r="EB94" s="111"/>
    </row>
    <row r="95" customFormat="false" ht="31.5" hidden="false" customHeight="true" outlineLevel="0" collapsed="false">
      <c r="A95" s="193"/>
      <c r="B95" s="193"/>
      <c r="C95" s="193"/>
      <c r="D95" s="193"/>
      <c r="E95" s="193"/>
      <c r="F95" s="193"/>
      <c r="G95" s="193"/>
      <c r="H95" s="193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193"/>
      <c r="W95" s="193"/>
      <c r="X95" s="193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93"/>
      <c r="AL95" s="193"/>
      <c r="AM95" s="193"/>
      <c r="AN95" s="193"/>
      <c r="AO95" s="193"/>
      <c r="AP95" s="193"/>
      <c r="AQ95" s="193"/>
      <c r="AR95" s="193"/>
      <c r="AS95" s="193"/>
      <c r="AT95" s="193"/>
      <c r="AU95" s="193"/>
      <c r="AV95" s="193"/>
      <c r="AW95" s="193"/>
      <c r="AX95" s="193"/>
      <c r="AY95" s="193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3"/>
      <c r="BQ95" s="193"/>
      <c r="BR95" s="193"/>
      <c r="BS95" s="193"/>
      <c r="BT95" s="193"/>
      <c r="BU95" s="193"/>
      <c r="BV95" s="193"/>
      <c r="BW95" s="193"/>
      <c r="BX95" s="193"/>
      <c r="BY95" s="193"/>
      <c r="BZ95" s="193"/>
      <c r="CA95" s="193"/>
      <c r="CB95" s="193"/>
      <c r="CC95" s="193"/>
      <c r="CD95" s="193"/>
      <c r="CE95" s="193"/>
      <c r="CF95" s="193"/>
      <c r="CG95" s="193"/>
      <c r="CH95" s="193"/>
      <c r="CI95" s="193"/>
      <c r="CJ95" s="193"/>
      <c r="CK95" s="194"/>
      <c r="CL95" s="195"/>
      <c r="CM95" s="193"/>
      <c r="CN95" s="193"/>
      <c r="CO95" s="193"/>
      <c r="CP95" s="193"/>
      <c r="CQ95" s="193"/>
      <c r="CR95" s="193"/>
      <c r="CS95" s="193"/>
      <c r="CT95" s="193"/>
      <c r="CU95" s="193"/>
      <c r="CV95" s="193"/>
      <c r="CW95" s="193"/>
      <c r="CX95" s="193"/>
      <c r="CY95" s="193"/>
      <c r="CZ95" s="193"/>
      <c r="DA95" s="193"/>
      <c r="DB95" s="193"/>
      <c r="DC95" s="193"/>
      <c r="DD95" s="193"/>
      <c r="DE95" s="193"/>
      <c r="DF95" s="193"/>
      <c r="DG95" s="193"/>
      <c r="DH95" s="193"/>
      <c r="DI95" s="193"/>
      <c r="DJ95" s="107" t="n">
        <f aca="false">DJ27</f>
        <v>37653</v>
      </c>
      <c r="DK95" s="2" t="n">
        <f aca="false">VLOOKUP(DJ95,$DM$13:$DR$252,6)</f>
        <v>28</v>
      </c>
      <c r="DL95" s="2" t="n">
        <f aca="false">IF($L$6=0,VLOOKUP(DJ95,$DM$13:$DQ$252,5)+VLOOKUP(DJ95,$DM$13:$DQ$252,4),VLOOKUP(DJ95,$DU$13:$DY$252,5)+VLOOKUP(DJ95,$DU$13:$DY$252,4))</f>
        <v>4</v>
      </c>
      <c r="DM95" s="130" t="n">
        <v>39387</v>
      </c>
      <c r="DN95" s="22" t="n">
        <v>21</v>
      </c>
      <c r="DO95" s="22" t="n">
        <v>4</v>
      </c>
      <c r="DP95" s="22" t="n">
        <v>4</v>
      </c>
      <c r="DQ95" s="22" t="n">
        <v>1</v>
      </c>
      <c r="DR95" s="22" t="n">
        <v>30</v>
      </c>
      <c r="DS95" s="111"/>
      <c r="DT95" s="111"/>
      <c r="DU95" s="130" t="n">
        <v>39387</v>
      </c>
      <c r="DV95" s="22" t="n">
        <v>21</v>
      </c>
      <c r="DW95" s="22" t="n">
        <v>4</v>
      </c>
      <c r="DX95" s="22" t="n">
        <v>4</v>
      </c>
      <c r="DY95" s="22" t="n">
        <v>1</v>
      </c>
      <c r="DZ95" s="22" t="n">
        <v>30</v>
      </c>
      <c r="EA95" s="111"/>
      <c r="EB95" s="111"/>
      <c r="EC95" s="193"/>
      <c r="ED95" s="193"/>
      <c r="EE95" s="193"/>
      <c r="EF95" s="193"/>
      <c r="EG95" s="193"/>
      <c r="EH95" s="193"/>
      <c r="EI95" s="193"/>
      <c r="EJ95" s="193"/>
      <c r="EK95" s="193"/>
      <c r="EL95" s="193"/>
      <c r="EM95" s="193"/>
      <c r="EN95" s="193"/>
      <c r="EO95" s="193"/>
      <c r="EP95" s="193"/>
      <c r="EQ95" s="193"/>
      <c r="ER95" s="193"/>
      <c r="ES95" s="193"/>
      <c r="ET95" s="193"/>
      <c r="EU95" s="193"/>
      <c r="EV95" s="193"/>
      <c r="EW95" s="193"/>
      <c r="EX95" s="193"/>
      <c r="EY95" s="193"/>
      <c r="EZ95" s="193"/>
      <c r="FA95" s="193"/>
      <c r="FB95" s="193"/>
      <c r="FC95" s="193"/>
      <c r="FD95" s="193"/>
      <c r="FE95" s="193"/>
      <c r="FF95" s="193"/>
      <c r="FG95" s="193"/>
      <c r="FH95" s="193"/>
      <c r="FI95" s="193"/>
      <c r="FJ95" s="193"/>
      <c r="FK95" s="193"/>
      <c r="FL95" s="193"/>
      <c r="FM95" s="193"/>
      <c r="FN95" s="193"/>
      <c r="FO95" s="193"/>
      <c r="FP95" s="193"/>
      <c r="FQ95" s="193"/>
      <c r="FR95" s="193"/>
      <c r="FS95" s="193"/>
      <c r="FT95" s="193"/>
      <c r="FU95" s="193"/>
      <c r="FV95" s="193"/>
      <c r="FW95" s="193"/>
      <c r="FX95" s="193"/>
      <c r="FY95" s="193"/>
      <c r="FZ95" s="193"/>
      <c r="GA95" s="193"/>
      <c r="GB95" s="193"/>
      <c r="GC95" s="193"/>
      <c r="GD95" s="193"/>
      <c r="GE95" s="193"/>
      <c r="GF95" s="193"/>
      <c r="GG95" s="193"/>
      <c r="GH95" s="193"/>
      <c r="GI95" s="193"/>
      <c r="GJ95" s="193"/>
      <c r="GK95" s="193"/>
      <c r="GL95" s="193"/>
      <c r="GM95" s="193"/>
      <c r="GN95" s="193"/>
      <c r="GO95" s="193"/>
      <c r="GP95" s="193"/>
      <c r="GQ95" s="193"/>
      <c r="GR95" s="193"/>
      <c r="GS95" s="193"/>
      <c r="GT95" s="193"/>
      <c r="GU95" s="193"/>
      <c r="GV95" s="193"/>
      <c r="GW95" s="193"/>
      <c r="GX95" s="193"/>
      <c r="GY95" s="193"/>
      <c r="GZ95" s="193"/>
      <c r="HA95" s="193"/>
      <c r="HB95" s="193"/>
      <c r="HC95" s="193"/>
      <c r="HD95" s="193"/>
      <c r="HE95" s="193"/>
      <c r="HF95" s="193"/>
      <c r="HG95" s="193"/>
      <c r="HH95" s="193"/>
      <c r="HI95" s="193"/>
      <c r="HJ95" s="193"/>
      <c r="HK95" s="193"/>
      <c r="HL95" s="193"/>
      <c r="HM95" s="193"/>
      <c r="HN95" s="193"/>
      <c r="HO95" s="193"/>
      <c r="HP95" s="193"/>
      <c r="HQ95" s="193"/>
      <c r="HR95" s="193"/>
      <c r="HS95" s="193"/>
      <c r="HT95" s="193"/>
      <c r="HU95" s="193"/>
      <c r="HV95" s="193"/>
      <c r="HW95" s="193"/>
      <c r="HX95" s="193"/>
      <c r="HY95" s="193"/>
      <c r="HZ95" s="193"/>
      <c r="IA95" s="193"/>
      <c r="IB95" s="193"/>
      <c r="IC95" s="193"/>
      <c r="ID95" s="193"/>
      <c r="IE95" s="193"/>
      <c r="IF95" s="193"/>
      <c r="IG95" s="193"/>
      <c r="IH95" s="193"/>
      <c r="II95" s="193"/>
      <c r="IJ95" s="193"/>
      <c r="IK95" s="193"/>
      <c r="IL95" s="193"/>
      <c r="IM95" s="193"/>
      <c r="IN95" s="193"/>
      <c r="IO95" s="193"/>
      <c r="IP95" s="193"/>
      <c r="IQ95" s="193"/>
      <c r="IR95" s="193"/>
      <c r="IS95" s="193"/>
      <c r="IT95" s="193"/>
      <c r="IU95" s="193"/>
      <c r="IV95" s="193"/>
      <c r="IW95" s="193"/>
    </row>
    <row r="96" customFormat="false" ht="20.25" hidden="false" customHeight="true" outlineLevel="0" collapsed="false">
      <c r="A96" s="217" t="s">
        <v>80</v>
      </c>
      <c r="B96" s="46"/>
      <c r="C96" s="46"/>
      <c r="D96" s="46"/>
      <c r="E96" s="218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CH96" s="10"/>
      <c r="DJ96" s="107" t="n">
        <f aca="false">DJ28</f>
        <v>37681</v>
      </c>
      <c r="DK96" s="2" t="n">
        <f aca="false">VLOOKUP(DJ96,$DM$13:$DR$252,6)</f>
        <v>31</v>
      </c>
      <c r="DL96" s="2" t="n">
        <f aca="false">IF($L$6=0,VLOOKUP(DJ96,$DM$13:$DQ$252,5)+VLOOKUP(DJ96,$DM$13:$DQ$252,4),VLOOKUP(DJ96,$DU$13:$DY$252,5)+VLOOKUP(DJ96,$DU$13:$DY$252,4))</f>
        <v>5</v>
      </c>
      <c r="DM96" s="130" t="n">
        <v>39417</v>
      </c>
      <c r="DN96" s="22" t="n">
        <v>19</v>
      </c>
      <c r="DO96" s="22" t="n">
        <v>5</v>
      </c>
      <c r="DP96" s="22" t="n">
        <v>5</v>
      </c>
      <c r="DQ96" s="22" t="n">
        <v>2</v>
      </c>
      <c r="DR96" s="22" t="n">
        <v>31</v>
      </c>
      <c r="DS96" s="111"/>
      <c r="DT96" s="111"/>
      <c r="DU96" s="130" t="n">
        <v>39417</v>
      </c>
      <c r="DV96" s="22" t="n">
        <v>20</v>
      </c>
      <c r="DW96" s="22" t="n">
        <v>5</v>
      </c>
      <c r="DX96" s="22" t="n">
        <v>5</v>
      </c>
      <c r="DY96" s="22" t="n">
        <v>1</v>
      </c>
      <c r="DZ96" s="22" t="n">
        <v>31</v>
      </c>
      <c r="EA96" s="111"/>
      <c r="EB96" s="111"/>
    </row>
    <row r="97" customFormat="false" ht="13.5" hidden="false" customHeight="true" outlineLevel="0" collapsed="false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9"/>
      <c r="S97" s="9"/>
      <c r="T97" s="9"/>
      <c r="U97" s="9"/>
      <c r="V97" s="46"/>
      <c r="W97" s="9"/>
      <c r="X97" s="9"/>
      <c r="Y97" s="9"/>
      <c r="Z97" s="143"/>
      <c r="AA97" s="143"/>
      <c r="AB97" s="143"/>
      <c r="AC97" s="143"/>
      <c r="AD97" s="46"/>
      <c r="AE97" s="46"/>
      <c r="AF97" s="46"/>
      <c r="AG97" s="46"/>
      <c r="AH97" s="46"/>
      <c r="AI97" s="46"/>
      <c r="DJ97" s="107" t="n">
        <f aca="false">DJ29</f>
        <v>37712</v>
      </c>
      <c r="DK97" s="2" t="n">
        <f aca="false">VLOOKUP(DJ97,$DM$13:$DR$252,6)</f>
        <v>30</v>
      </c>
      <c r="DL97" s="2" t="n">
        <f aca="false">IF($L$6=0,VLOOKUP(DJ97,$DM$13:$DQ$252,5)+VLOOKUP(DJ97,$DM$13:$DQ$252,4),VLOOKUP(DJ97,$DU$13:$DY$252,5)+VLOOKUP(DJ97,$DU$13:$DY$252,4))</f>
        <v>4</v>
      </c>
      <c r="DM97" s="130" t="n">
        <v>39448</v>
      </c>
      <c r="DN97" s="22" t="n">
        <v>22</v>
      </c>
      <c r="DO97" s="22" t="n">
        <v>4</v>
      </c>
      <c r="DP97" s="22" t="n">
        <v>4</v>
      </c>
      <c r="DQ97" s="22" t="n">
        <v>1</v>
      </c>
      <c r="DR97" s="22" t="n">
        <v>31</v>
      </c>
      <c r="DS97" s="111"/>
      <c r="DT97" s="111"/>
      <c r="DU97" s="130" t="n">
        <v>39448</v>
      </c>
      <c r="DV97" s="22" t="n">
        <v>22</v>
      </c>
      <c r="DW97" s="22" t="n">
        <v>4</v>
      </c>
      <c r="DX97" s="22" t="n">
        <v>4</v>
      </c>
      <c r="DY97" s="22" t="n">
        <v>1</v>
      </c>
      <c r="DZ97" s="22" t="n">
        <v>31</v>
      </c>
      <c r="EA97" s="111"/>
      <c r="EB97" s="111"/>
    </row>
    <row r="98" customFormat="false" ht="20.25" hidden="false" customHeight="true" outlineLevel="0" collapsed="false">
      <c r="A98" s="219"/>
      <c r="B98" s="220" t="n">
        <f aca="false">T20</f>
        <v>2002</v>
      </c>
      <c r="C98" s="220"/>
      <c r="D98" s="220" t="n">
        <f aca="false">T21</f>
        <v>2003</v>
      </c>
      <c r="E98" s="220"/>
      <c r="F98" s="220" t="n">
        <f aca="false">T22</f>
        <v>2004</v>
      </c>
      <c r="G98" s="220"/>
      <c r="H98" s="220" t="n">
        <f aca="false">F98+1</f>
        <v>2005</v>
      </c>
      <c r="I98" s="220"/>
      <c r="J98" s="220" t="n">
        <f aca="false">H98+1</f>
        <v>2006</v>
      </c>
      <c r="K98" s="220"/>
      <c r="L98" s="220" t="n">
        <f aca="false">J98+1</f>
        <v>2007</v>
      </c>
      <c r="M98" s="220"/>
      <c r="N98" s="220" t="n">
        <f aca="false">L98+1</f>
        <v>2008</v>
      </c>
      <c r="O98" s="220"/>
      <c r="P98" s="221" t="s">
        <v>81</v>
      </c>
      <c r="Q98" s="221"/>
      <c r="R98" s="222"/>
      <c r="S98" s="146"/>
      <c r="T98" s="146"/>
      <c r="U98" s="9"/>
      <c r="W98" s="9"/>
      <c r="X98" s="9"/>
      <c r="Y98" s="146"/>
      <c r="Z98" s="145"/>
      <c r="AA98" s="146"/>
      <c r="AB98" s="146"/>
      <c r="AC98" s="143"/>
      <c r="AD98" s="46"/>
      <c r="AE98" s="46"/>
      <c r="AF98" s="46"/>
      <c r="AG98" s="46"/>
      <c r="AH98" s="46"/>
      <c r="AI98" s="46"/>
      <c r="AK98" s="4"/>
      <c r="AL98" s="4"/>
      <c r="AM98" s="4"/>
      <c r="AN98" s="4"/>
      <c r="AO98" s="4"/>
      <c r="AP98" s="4"/>
      <c r="AQ98" s="4"/>
      <c r="DJ98" s="107" t="n">
        <f aca="false">DJ30</f>
        <v>37742</v>
      </c>
      <c r="DK98" s="2" t="n">
        <f aca="false">VLOOKUP(DJ98,$DM$13:$DR$252,6)</f>
        <v>31</v>
      </c>
      <c r="DL98" s="2" t="n">
        <f aca="false">IF($L$6=0,VLOOKUP(DJ98,$DM$13:$DQ$252,5)+VLOOKUP(DJ98,$DM$13:$DQ$252,4),VLOOKUP(DJ98,$DU$13:$DY$252,5)+VLOOKUP(DJ98,$DU$13:$DY$252,4))</f>
        <v>5</v>
      </c>
      <c r="DM98" s="130" t="n">
        <v>39479</v>
      </c>
      <c r="DN98" s="22" t="n">
        <v>20</v>
      </c>
      <c r="DO98" s="22" t="n">
        <v>4</v>
      </c>
      <c r="DP98" s="22" t="n">
        <v>4</v>
      </c>
      <c r="DQ98" s="22" t="n">
        <v>1</v>
      </c>
      <c r="DR98" s="22" t="n">
        <v>29</v>
      </c>
      <c r="DS98" s="111"/>
      <c r="DT98" s="111"/>
      <c r="DU98" s="130" t="n">
        <v>39479</v>
      </c>
      <c r="DV98" s="22" t="n">
        <v>21</v>
      </c>
      <c r="DW98" s="22" t="n">
        <v>4</v>
      </c>
      <c r="DX98" s="22" t="n">
        <v>4</v>
      </c>
      <c r="DY98" s="22" t="n">
        <v>0</v>
      </c>
      <c r="DZ98" s="22" t="n">
        <v>29</v>
      </c>
      <c r="EA98" s="111"/>
      <c r="EB98" s="111"/>
    </row>
    <row r="99" customFormat="false" ht="13.5" hidden="false" customHeight="true" outlineLevel="0" collapsed="false">
      <c r="A99" s="46"/>
      <c r="B99" s="223" t="s">
        <v>82</v>
      </c>
      <c r="C99" s="224" t="s">
        <v>83</v>
      </c>
      <c r="D99" s="223" t="s">
        <v>82</v>
      </c>
      <c r="E99" s="224" t="s">
        <v>83</v>
      </c>
      <c r="F99" s="223" t="s">
        <v>82</v>
      </c>
      <c r="G99" s="224" t="s">
        <v>83</v>
      </c>
      <c r="H99" s="223" t="s">
        <v>82</v>
      </c>
      <c r="I99" s="224" t="s">
        <v>83</v>
      </c>
      <c r="J99" s="223" t="s">
        <v>82</v>
      </c>
      <c r="K99" s="224" t="s">
        <v>83</v>
      </c>
      <c r="L99" s="223" t="s">
        <v>82</v>
      </c>
      <c r="M99" s="224" t="s">
        <v>83</v>
      </c>
      <c r="N99" s="223" t="s">
        <v>82</v>
      </c>
      <c r="O99" s="225" t="s">
        <v>83</v>
      </c>
      <c r="P99" s="223" t="s">
        <v>82</v>
      </c>
      <c r="Q99" s="226" t="s">
        <v>83</v>
      </c>
      <c r="R99" s="146"/>
      <c r="S99" s="146"/>
      <c r="T99" s="146"/>
      <c r="U99" s="9"/>
      <c r="W99" s="9"/>
      <c r="X99" s="9"/>
      <c r="Y99" s="146"/>
      <c r="Z99" s="145"/>
      <c r="AA99" s="146"/>
      <c r="AB99" s="146"/>
      <c r="AC99" s="143"/>
      <c r="AD99" s="46"/>
      <c r="AE99" s="46"/>
      <c r="AF99" s="46"/>
      <c r="AG99" s="46"/>
      <c r="AH99" s="46"/>
      <c r="AI99" s="46"/>
      <c r="DJ99" s="107" t="n">
        <f aca="false">DJ31</f>
        <v>37773</v>
      </c>
      <c r="DK99" s="2" t="n">
        <f aca="false">VLOOKUP(DJ99,$DM$13:$DR$252,6)</f>
        <v>30</v>
      </c>
      <c r="DL99" s="2" t="n">
        <f aca="false">IF($L$6=0,VLOOKUP(DJ99,$DM$13:$DQ$252,5)+VLOOKUP(DJ99,$DM$13:$DQ$252,4),VLOOKUP(DJ99,$DU$13:$DY$252,5)+VLOOKUP(DJ99,$DU$13:$DY$252,4))</f>
        <v>5</v>
      </c>
      <c r="DM99" s="130" t="n">
        <v>39508</v>
      </c>
      <c r="DN99" s="22" t="n">
        <v>20</v>
      </c>
      <c r="DO99" s="22" t="n">
        <v>5</v>
      </c>
      <c r="DP99" s="22" t="n">
        <v>5</v>
      </c>
      <c r="DQ99" s="22" t="n">
        <v>1</v>
      </c>
      <c r="DR99" s="22" t="n">
        <v>31</v>
      </c>
      <c r="DS99" s="111"/>
      <c r="DT99" s="111"/>
      <c r="DU99" s="130" t="n">
        <v>39508</v>
      </c>
      <c r="DV99" s="22" t="n">
        <v>21</v>
      </c>
      <c r="DW99" s="22" t="n">
        <v>5</v>
      </c>
      <c r="DX99" s="22" t="n">
        <v>5</v>
      </c>
      <c r="DY99" s="22" t="n">
        <v>0</v>
      </c>
      <c r="DZ99" s="22" t="n">
        <v>31</v>
      </c>
      <c r="EA99" s="111"/>
      <c r="EB99" s="111"/>
    </row>
    <row r="100" customFormat="false" ht="15" hidden="false" customHeight="true" outlineLevel="0" collapsed="false">
      <c r="A100" s="227" t="n">
        <v>35796</v>
      </c>
      <c r="B100" s="228" t="n">
        <f aca="false" t="array" ref="B100:B100">SUM(IF(MONTH([2]EnergyCurve!$D$3:$D$272)&amp;YEAR([2]EnergyCurve!$D$3:$D$272)=MONTH($A100)&amp;$B$98,[2]EnergyCurve!$O$3:$O$272))+SUM(IF(MONTH([2]EnergyCurve!$D$3:$D$272)&amp;YEAR([2]EnergyCurve!$D$3:$D$272)=MONTH($A100)&amp;$B$98,[2]EnergyCurve!$Q$3:$Q$272))+SUM(IF(MONTH($CB$12:$CB$47)&amp;YEAR($CB$12:$CB$47)=MONTH($A100)&amp;$B$98,$CH$12:$CH$47))</f>
        <v>9117.00606816047</v>
      </c>
      <c r="C100" s="228" t="n">
        <f aca="false" t="array" ref="C100:C100">SUM(IF(MONTH([2]EnergyCurve!$D$3:$D$272)&amp;YEAR([2]EnergyCurve!$D$3:$D$272)=MONTH($A100)&amp;$B$98,[2]EnergyCurve!$P$3:$P$272))+SUM(IF(MONTH([2]EnergyCurve!$D$3:$D$272)&amp;YEAR([2]EnergyCurve!$D$3:$D$272)=MONTH($A100)&amp;$B$98,[2]EnergyCurve!$R$3:$R$272))+SUM(IF(MONTH($CB$56:$CB$91)&amp;YEAR($CB$56:$CB$91)=MONTH($A100)&amp;$B$98,$CH$56:$CH$91))</f>
        <v>104298.486328125</v>
      </c>
      <c r="D100" s="228" t="n">
        <f aca="false" t="array" ref="D100:D100">SUM(IF(MONTH([2]EnergyCurve!$D$3:$D$272)&amp;YEAR([2]EnergyCurve!$D$3:$D$272)=MONTH($A100)&amp;$D$98,[2]EnergyCurve!$O$3:$O$272))+SUM(IF(MONTH([2]EnergyCurve!$D$3:$D$272)&amp;YEAR([2]EnergyCurve!$D$3:$D$272)=MONTH($A100)&amp;$D$98,[2]EnergyCurve!$Q$3:$Q$272))+SUM(IF(MONTH($CB$12:$CB$47)&amp;YEAR($CB$12:$CB$47)=MONTH($A100)&amp;$D$98,$CH$12:$CH$47))</f>
        <v>242733.0078125</v>
      </c>
      <c r="E100" s="228" t="n">
        <f aca="false" t="array" ref="E100:E100">SUM(IF(MONTH([2]EnergyCurve!$D$3:$D$272)&amp;YEAR([2]EnergyCurve!$D$3:$D$272)=MONTH($A100)&amp;$D$98,[2]EnergyCurve!$P$3:$P$272))+SUM(IF(MONTH([2]EnergyCurve!$D$3:$D$272)&amp;YEAR([2]EnergyCurve!$D$3:$D$272)=MONTH($A100)&amp;$D$98,[2]EnergyCurve!$R$3:$R$272))+SUM(IF(MONTH($CB$56:$CB$91)&amp;YEAR($CB$56:$CB$91)=MONTH($A100)&amp;$D$98,$CH$56:$CH$91))</f>
        <v>191926.3984375</v>
      </c>
      <c r="F100" s="228" t="n">
        <f aca="false" t="array" ref="F100:F100">SUM(IF(MONTH([2]EnergyCurve!$D$3:$D$272)&amp;YEAR([2]EnergyCurve!$D$3:$D$272)=MONTH($A100)&amp;$F$98,[2]EnergyCurve!$O$3:$O$272))+SUM(IF(MONTH([2]EnergyCurve!$D$3:$D$272)&amp;YEAR([2]EnergyCurve!$D$3:$D$272)=MONTH($A100)&amp;$F$98,[2]EnergyCurve!$Q$3:$Q$272))+SUM(IF(MONTH($CB$12:$CB$47)&amp;YEAR($CB$12:$CB$47)=MONTH($A100)&amp;$F$98,$CH$12:$CH$47))</f>
        <v>157475.115234375</v>
      </c>
      <c r="G100" s="228" t="n">
        <f aca="false" t="array" ref="G100:G100">SUM(IF(MONTH([2]EnergyCurve!$D$3:$D$272)&amp;YEAR([2]EnergyCurve!$D$3:$D$272)=MONTH($A100)&amp;$F$98,[2]EnergyCurve!$P$3:$P$272))+SUM(IF(MONTH([2]EnergyCurve!$D$3:$D$272)&amp;YEAR([2]EnergyCurve!$D$3:$D$272)=MONTH($A100)&amp;$F$98,[2]EnergyCurve!$R$3:$R$272))+SUM(IF(MONTH($CB$56:$CB$91)&amp;YEAR($CB$56:$CB$91)=MONTH($A100)&amp;$F$98,$CH$56:$CH$91))</f>
        <v>124573.59375</v>
      </c>
      <c r="H100" s="228" t="n">
        <f aca="false" t="array" ref="H100:H100">SUM(IF(MONTH([2]EnergyCurve!$D$3:$D$272)&amp;YEAR([2]EnergyCurve!$D$3:$D$272)=MONTH($A100)&amp;$H$98,[2]EnergyCurve!$O$3:$O$272))+SUM(IF(MONTH([2]EnergyCurve!$D$3:$D$272)&amp;YEAR([2]EnergyCurve!$D$3:$D$272)=MONTH($A100)&amp;$H$98,[2]EnergyCurve!$Q$3:$Q$272))+SUM(IF(MONTH($CB$12:$CB$47)&amp;YEAR($CB$12:$CB$47)=MONTH($A100)&amp;$H$98,$CH$12:$CH$47))</f>
        <v>147326.58984375</v>
      </c>
      <c r="I100" s="228" t="n">
        <f aca="false" t="array" ref="I100:I100">SUM(IF(MONTH([2]EnergyCurve!$D$3:$D$272)&amp;YEAR([2]EnergyCurve!$D$3:$D$272)=MONTH($A100)&amp;$H$98,[2]EnergyCurve!$P$3:$P$272))+SUM(IF(MONTH([2]EnergyCurve!$D$3:$D$272)&amp;YEAR([2]EnergyCurve!$D$3:$D$272)=MONTH($A100)&amp;$H$98,[2]EnergyCurve!$R$3:$R$272))+SUM(IF(MONTH($CB$56:$CB$91)&amp;YEAR($CB$56:$CB$91)=MONTH($A100)&amp;$H$98,$CH$56:$CH$91))</f>
        <v>126892.5859375</v>
      </c>
      <c r="J100" s="228" t="n">
        <f aca="false" t="array" ref="J100:J100">SUM(IF(MONTH([2]EnergyCurve!$D$3:$D$272)&amp;YEAR([2]EnergyCurve!$D$3:$D$272)=MONTH($A100)&amp;$J$98,[2]EnergyCurve!$O$3:$O$272))+SUM(IF(MONTH([2]EnergyCurve!$D$3:$D$272)&amp;YEAR([2]EnergyCurve!$D$3:$D$272)=MONTH($A100)&amp;$J$98,[2]EnergyCurve!$Q$3:$Q$272))+SUM(IF(MONTH($CB$12:$CB$47)&amp;YEAR($CB$12:$CB$47)=MONTH($A100)&amp;$J$98,$CH$12:$CH$47))</f>
        <v>164171.044921875</v>
      </c>
      <c r="K100" s="228" t="n">
        <f aca="false" t="array" ref="K100:K100">SUM(IF(MONTH([2]EnergyCurve!$D$3:$D$272)&amp;YEAR([2]EnergyCurve!$D$3:$D$272)=MONTH($A100)&amp;$J$98,[2]EnergyCurve!$P$3:$P$272))+SUM(IF(MONTH([2]EnergyCurve!$D$3:$D$272)&amp;YEAR([2]EnergyCurve!$D$3:$D$272)=MONTH($A100)&amp;$J$98,[2]EnergyCurve!$R$3:$R$272))+SUM(IF(MONTH($CB$56:$CB$91)&amp;YEAR($CB$56:$CB$91)=MONTH($A100)&amp;$J$98,$CH$56:$CH$91))</f>
        <v>141359.78515625</v>
      </c>
      <c r="L100" s="228" t="n">
        <f aca="false" t="array" ref="L100:L100">SUM(IF(MONTH([2]EnergyCurve!$D$3:$D$272)&amp;YEAR([2]EnergyCurve!$D$3:$D$272)=MONTH($A100)&amp;$L$98,[2]EnergyCurve!$O$3:$O$272))+SUM(IF(MONTH([2]EnergyCurve!$D$3:$D$272)&amp;YEAR([2]EnergyCurve!$D$3:$D$272)=MONTH($A100)&amp;$L$98,[2]EnergyCurve!$Q$3:$Q$272))+SUM(IF(MONTH($CB$12:$CB$47)&amp;YEAR($CB$12:$CB$47)=MONTH($A100)&amp;$L$98,$CH$12:$CH$47))</f>
        <v>161307.419921875</v>
      </c>
      <c r="M100" s="228" t="n">
        <f aca="false" t="array" ref="M100:M100">SUM(IF(MONTH([2]EnergyCurve!$D$3:$D$272)&amp;YEAR([2]EnergyCurve!$D$3:$D$272)=MONTH($A100)&amp;$L$98,[2]EnergyCurve!$P$3:$P$272))+SUM(IF(MONTH([2]EnergyCurve!$D$3:$D$272)&amp;YEAR([2]EnergyCurve!$D$3:$D$272)=MONTH($A100)&amp;$L$98,[2]EnergyCurve!$R$3:$R$272))+SUM(IF(MONTH($CB$56:$CB$91)&amp;YEAR($CB$56:$CB$91)=MONTH($A100)&amp;$L$98,$CH$56:$CH$91))</f>
        <v>127186.30078125</v>
      </c>
      <c r="N100" s="228" t="n">
        <f aca="false" t="array" ref="N100:N100">SUM(IF(MONTH([2]EnergyCurve!$D$3:$D$272)&amp;YEAR([2]EnergyCurve!$D$3:$D$272)=MONTH($A100)&amp;$N$98,[2]EnergyCurve!$O$3:$O$272))+SUM(IF(MONTH([2]EnergyCurve!$D$3:$D$272)&amp;YEAR([2]EnergyCurve!$D$3:$D$272)=MONTH($A100)&amp;$N$98,[2]EnergyCurve!$Q$3:$Q$272))+SUM(IF(MONTH($CB$12:$CB$47)&amp;YEAR($CB$12:$CB$47)=MONTH($A100)&amp;$N$98,$CH$12:$CH$47))</f>
        <v>156297.4296875</v>
      </c>
      <c r="O100" s="228" t="n">
        <f aca="false" t="array" ref="O100:O100">SUM(IF(MONTH([2]EnergyCurve!$D$3:$D$272)&amp;YEAR([2]EnergyCurve!$D$3:$D$272)=MONTH($A100)&amp;$N$98,[2]EnergyCurve!$P$3:$P$272))+SUM(IF(MONTH([2]EnergyCurve!$D$3:$D$272)&amp;YEAR([2]EnergyCurve!$D$3:$D$272)=MONTH($A100)&amp;$N$98,[2]EnergyCurve!$R$3:$R$272))+SUM(IF(MONTH($CB$56:$CB$91)&amp;YEAR($CB$56:$CB$91)=MONTH($A100)&amp;$N$98,$CH$56:$CH$91))</f>
        <v>123234.509765625</v>
      </c>
      <c r="P100" s="228" t="n">
        <f aca="false" t="array" ref="P100:P100">SUM(IF(MONTH([2]EnergyCurve!$D$3:$D$272)=MONTH($A100),[2]EnergyCurve!$O$3:$O$272))+SUM(IF(MONTH([2]EnergyCurve!$D$3:$D$272)=MONTH($A100),[2]EnergyCurve!$Q$3:$Q$272))+SUM(IF(MONTH($CB$12:$CB$47)=MONTH($A100),$CH$12:$CH$47))</f>
        <v>2268827.42794316</v>
      </c>
      <c r="Q100" s="228" t="n">
        <f aca="false" t="array" ref="Q100:Q100">SUM(IF(MONTH([2]EnergyCurve!$D$3:$D$272)=MONTH($A100),[2]EnergyCurve!$P$3:$P$272))+SUM(IF(MONTH([2]EnergyCurve!$D$3:$D$272)=MONTH($A100),[2]EnergyCurve!$R$3:$R$272))+SUM(IF(MONTH($CB$56:$CB$91)=MONTH($A100),$CH$56:$CH$91))</f>
        <v>1984023.25097656</v>
      </c>
      <c r="R100" s="229"/>
      <c r="S100" s="229"/>
      <c r="T100" s="229"/>
      <c r="U100" s="9"/>
      <c r="W100" s="9"/>
      <c r="X100" s="230"/>
      <c r="Y100" s="229"/>
      <c r="Z100" s="231"/>
      <c r="AA100" s="232"/>
      <c r="AB100" s="232"/>
      <c r="AC100" s="143"/>
      <c r="AD100" s="46"/>
      <c r="AE100" s="46"/>
      <c r="AF100" s="46"/>
      <c r="AG100" s="46"/>
      <c r="AH100" s="46"/>
      <c r="AI100" s="46"/>
      <c r="AL100" s="21"/>
      <c r="AR100" s="21"/>
      <c r="DJ100" s="107" t="n">
        <f aca="false">DJ32</f>
        <v>37803</v>
      </c>
      <c r="DK100" s="2" t="n">
        <f aca="false">VLOOKUP(DJ100,$DM$13:$DR$252,6)</f>
        <v>31</v>
      </c>
      <c r="DL100" s="2" t="n">
        <f aca="false">IF($L$6=0,VLOOKUP(DJ100,$DM$13:$DQ$252,5)+VLOOKUP(DJ100,$DM$13:$DQ$252,4),VLOOKUP(DJ100,$DU$13:$DY$252,5)+VLOOKUP(DJ100,$DU$13:$DY$252,4))</f>
        <v>5</v>
      </c>
      <c r="DM100" s="130" t="n">
        <v>39539</v>
      </c>
      <c r="DN100" s="22" t="n">
        <v>22</v>
      </c>
      <c r="DO100" s="22" t="n">
        <v>4</v>
      </c>
      <c r="DP100" s="22" t="n">
        <v>4</v>
      </c>
      <c r="DQ100" s="22" t="n">
        <v>0</v>
      </c>
      <c r="DR100" s="22" t="n">
        <v>30</v>
      </c>
      <c r="DS100" s="111"/>
      <c r="DT100" s="111"/>
      <c r="DU100" s="130" t="n">
        <v>39539</v>
      </c>
      <c r="DV100" s="22" t="n">
        <v>22</v>
      </c>
      <c r="DW100" s="22" t="n">
        <v>4</v>
      </c>
      <c r="DX100" s="22" t="n">
        <v>4</v>
      </c>
      <c r="DY100" s="22" t="n">
        <v>0</v>
      </c>
      <c r="DZ100" s="22" t="n">
        <v>30</v>
      </c>
      <c r="EA100" s="111"/>
      <c r="EB100" s="111"/>
    </row>
    <row r="101" customFormat="false" ht="15.75" hidden="false" customHeight="true" outlineLevel="0" collapsed="false">
      <c r="A101" s="233" t="n">
        <v>35827</v>
      </c>
      <c r="B101" s="234" t="n">
        <f aca="false" t="array" ref="B101:B101">SUM(IF(MONTH([2]EnergyCurve!$D$3:$D$272)&amp;YEAR([2]EnergyCurve!$D$3:$D$272)=MONTH($A101)&amp;$B$98,[2]EnergyCurve!$O$3:$O$272))+SUM(IF(MONTH([2]EnergyCurve!$D$3:$D$272)&amp;YEAR([2]EnergyCurve!$D$3:$D$272)=MONTH($A101)&amp;$B$98,[2]EnergyCurve!$Q$3:$Q$272))+SUM(IF(MONTH($CB$12:$CB$47)&amp;YEAR($CB$12:$CB$47)=MONTH($A101)&amp;$B$98,$CH$12:$CH$47))</f>
        <v>8119.18254500594</v>
      </c>
      <c r="C101" s="234" t="n">
        <f aca="false" t="array" ref="C101:C101">SUM(IF(MONTH([2]EnergyCurve!$D$3:$D$272)&amp;YEAR([2]EnergyCurve!$D$3:$D$272)=MONTH($A101)&amp;$B$98,[2]EnergyCurve!$P$3:$P$272))+SUM(IF(MONTH([2]EnergyCurve!$D$3:$D$272)&amp;YEAR([2]EnergyCurve!$D$3:$D$272)=MONTH($A101)&amp;$B$98,[2]EnergyCurve!$R$3:$R$272))+SUM(IF(MONTH($CB$56:$CB$91)&amp;YEAR($CB$56:$CB$91)=MONTH($A101)&amp;$B$98,$CH$56:$CH$91))</f>
        <v>91388.037109375</v>
      </c>
      <c r="D101" s="234" t="n">
        <f aca="false" t="array" ref="D101:D101">SUM(IF(MONTH([2]EnergyCurve!$D$3:$D$272)&amp;YEAR([2]EnergyCurve!$D$3:$D$272)=MONTH($A101)&amp;$D$98,[2]EnergyCurve!$O$3:$O$272))+SUM(IF(MONTH([2]EnergyCurve!$D$3:$D$272)&amp;YEAR([2]EnergyCurve!$D$3:$D$272)=MONTH($A101)&amp;$D$98,[2]EnergyCurve!$Q$3:$Q$272))+SUM(IF(MONTH($CB$12:$CB$47)&amp;YEAR($CB$12:$CB$47)=MONTH($A101)&amp;$D$98,$CH$12:$CH$47))</f>
        <v>223342.76171875</v>
      </c>
      <c r="E101" s="234" t="n">
        <f aca="false" t="array" ref="E101:E101">SUM(IF(MONTH([2]EnergyCurve!$D$3:$D$272)&amp;YEAR([2]EnergyCurve!$D$3:$D$272)=MONTH($A101)&amp;$D$98,[2]EnergyCurve!$P$3:$P$272))+SUM(IF(MONTH([2]EnergyCurve!$D$3:$D$272)&amp;YEAR([2]EnergyCurve!$D$3:$D$272)=MONTH($A101)&amp;$D$98,[2]EnergyCurve!$R$3:$R$272))+SUM(IF(MONTH($CB$56:$CB$91)&amp;YEAR($CB$56:$CB$91)=MONTH($A101)&amp;$D$98,$CH$56:$CH$91))</f>
        <v>168044.44921875</v>
      </c>
      <c r="F101" s="234" t="n">
        <f aca="false" t="array" ref="F101:F101">SUM(IF(MONTH([2]EnergyCurve!$D$3:$D$272)&amp;YEAR([2]EnergyCurve!$D$3:$D$272)=MONTH($A101)&amp;$F$98,[2]EnergyCurve!$O$3:$O$272))+SUM(IF(MONTH([2]EnergyCurve!$D$3:$D$272)&amp;YEAR([2]EnergyCurve!$D$3:$D$272)=MONTH($A101)&amp;$F$98,[2]EnergyCurve!$Q$3:$Q$272))+SUM(IF(MONTH($CB$12:$CB$47)&amp;YEAR($CB$12:$CB$47)=MONTH($A101)&amp;$F$98,$CH$12:$CH$47))</f>
        <v>144689.158203125</v>
      </c>
      <c r="G101" s="234" t="n">
        <f aca="false" t="array" ref="G101:G101">SUM(IF(MONTH([2]EnergyCurve!$D$3:$D$272)&amp;YEAR([2]EnergyCurve!$D$3:$D$272)=MONTH($A101)&amp;$F$98,[2]EnergyCurve!$P$3:$P$272))+SUM(IF(MONTH([2]EnergyCurve!$D$3:$D$272)&amp;YEAR([2]EnergyCurve!$D$3:$D$272)=MONTH($A101)&amp;$F$98,[2]EnergyCurve!$R$3:$R$272))+SUM(IF(MONTH($CB$56:$CB$91)&amp;YEAR($CB$56:$CB$91)=MONTH($A101)&amp;$F$98,$CH$56:$CH$91))</f>
        <v>117994.921875</v>
      </c>
      <c r="H101" s="234" t="n">
        <f aca="false" t="array" ref="H101:H101">SUM(IF(MONTH([2]EnergyCurve!$D$3:$D$272)&amp;YEAR([2]EnergyCurve!$D$3:$D$272)=MONTH($A101)&amp;$H$98,[2]EnergyCurve!$O$3:$O$272))+SUM(IF(MONTH([2]EnergyCurve!$D$3:$D$272)&amp;YEAR([2]EnergyCurve!$D$3:$D$272)=MONTH($A101)&amp;$H$98,[2]EnergyCurve!$Q$3:$Q$272))+SUM(IF(MONTH($CB$12:$CB$47)&amp;YEAR($CB$12:$CB$47)=MONTH($A101)&amp;$H$98,$CH$12:$CH$47))</f>
        <v>140839.65234375</v>
      </c>
      <c r="I101" s="234" t="n">
        <f aca="false" t="array" ref="I101:I101">SUM(IF(MONTH([2]EnergyCurve!$D$3:$D$272)&amp;YEAR([2]EnergyCurve!$D$3:$D$272)=MONTH($A101)&amp;$H$98,[2]EnergyCurve!$P$3:$P$272))+SUM(IF(MONTH([2]EnergyCurve!$D$3:$D$272)&amp;YEAR([2]EnergyCurve!$D$3:$D$272)=MONTH($A101)&amp;$H$98,[2]EnergyCurve!$R$3:$R$272))+SUM(IF(MONTH($CB$56:$CB$91)&amp;YEAR($CB$56:$CB$91)=MONTH($A101)&amp;$H$98,$CH$56:$CH$91))</f>
        <v>105809.10546875</v>
      </c>
      <c r="J101" s="234" t="n">
        <f aca="false" t="array" ref="J101:J101">SUM(IF(MONTH([2]EnergyCurve!$D$3:$D$272)&amp;YEAR([2]EnergyCurve!$D$3:$D$272)=MONTH($A101)&amp;$J$98,[2]EnergyCurve!$O$3:$O$272))+SUM(IF(MONTH([2]EnergyCurve!$D$3:$D$272)&amp;YEAR([2]EnergyCurve!$D$3:$D$272)=MONTH($A101)&amp;$J$98,[2]EnergyCurve!$Q$3:$Q$272))+SUM(IF(MONTH($CB$12:$CB$47)&amp;YEAR($CB$12:$CB$47)=MONTH($A101)&amp;$J$98,$CH$12:$CH$47))</f>
        <v>156848.7578125</v>
      </c>
      <c r="K101" s="234" t="n">
        <f aca="false" t="array" ref="K101:K101">SUM(IF(MONTH([2]EnergyCurve!$D$3:$D$272)&amp;YEAR([2]EnergyCurve!$D$3:$D$272)=MONTH($A101)&amp;$J$98,[2]EnergyCurve!$P$3:$P$272))+SUM(IF(MONTH([2]EnergyCurve!$D$3:$D$272)&amp;YEAR([2]EnergyCurve!$D$3:$D$272)=MONTH($A101)&amp;$J$98,[2]EnergyCurve!$R$3:$R$272))+SUM(IF(MONTH($CB$56:$CB$91)&amp;YEAR($CB$56:$CB$91)=MONTH($A101)&amp;$J$98,$CH$56:$CH$91))</f>
        <v>117806.0234375</v>
      </c>
      <c r="L101" s="234" t="n">
        <f aca="false" t="array" ref="L101:L101">SUM(IF(MONTH([2]EnergyCurve!$D$3:$D$272)&amp;YEAR([2]EnergyCurve!$D$3:$D$272)=MONTH($A101)&amp;$L$98,[2]EnergyCurve!$O$3:$O$272))+SUM(IF(MONTH([2]EnergyCurve!$D$3:$D$272)&amp;YEAR([2]EnergyCurve!$D$3:$D$272)=MONTH($A101)&amp;$L$98,[2]EnergyCurve!$Q$3:$Q$272))+SUM(IF(MONTH($CB$12:$CB$47)&amp;YEAR($CB$12:$CB$47)=MONTH($A101)&amp;$L$98,$CH$12:$CH$47))</f>
        <v>148248</v>
      </c>
      <c r="M101" s="234" t="n">
        <f aca="false" t="array" ref="M101:M101">SUM(IF(MONTH([2]EnergyCurve!$D$3:$D$272)&amp;YEAR([2]EnergyCurve!$D$3:$D$272)=MONTH($A101)&amp;$L$98,[2]EnergyCurve!$P$3:$P$272))+SUM(IF(MONTH([2]EnergyCurve!$D$3:$D$272)&amp;YEAR([2]EnergyCurve!$D$3:$D$272)=MONTH($A101)&amp;$L$98,[2]EnergyCurve!$R$3:$R$272))+SUM(IF(MONTH($CB$56:$CB$91)&amp;YEAR($CB$56:$CB$91)=MONTH($A101)&amp;$L$98,$CH$56:$CH$91))</f>
        <v>111186</v>
      </c>
      <c r="N101" s="234" t="n">
        <f aca="false" t="array" ref="N101:N101">SUM(IF(MONTH([2]EnergyCurve!$D$3:$D$272)&amp;YEAR([2]EnergyCurve!$D$3:$D$272)=MONTH($A101)&amp;$N$98,[2]EnergyCurve!$O$3:$O$272))+SUM(IF(MONTH([2]EnergyCurve!$D$3:$D$272)&amp;YEAR([2]EnergyCurve!$D$3:$D$272)=MONTH($A101)&amp;$N$98,[2]EnergyCurve!$Q$3:$Q$272))+SUM(IF(MONTH($CB$12:$CB$47)&amp;YEAR($CB$12:$CB$47)=MONTH($A101)&amp;$N$98,$CH$12:$CH$47))</f>
        <v>149545.08984375</v>
      </c>
      <c r="O101" s="235" t="n">
        <f aca="false" t="array" ref="O101:O101">SUM(IF(MONTH([2]EnergyCurve!$D$3:$D$272)&amp;YEAR([2]EnergyCurve!$D$3:$D$272)=MONTH($A101)&amp;$N$98,[2]EnergyCurve!$P$3:$P$272))+SUM(IF(MONTH([2]EnergyCurve!$D$3:$D$272)&amp;YEAR([2]EnergyCurve!$D$3:$D$272)=MONTH($A101)&amp;$N$98,[2]EnergyCurve!$R$3:$R$272))+SUM(IF(MONTH($CB$56:$CB$91)&amp;YEAR($CB$56:$CB$91)=MONTH($A101)&amp;$N$98,$CH$56:$CH$91))</f>
        <v>110663.37109375</v>
      </c>
      <c r="P101" s="234" t="n">
        <f aca="false" t="array" ref="P101:P101">SUM(IF(MONTH([2]EnergyCurve!$D$3:$D$272)=MONTH($A101),[2]EnergyCurve!$O$3:$O$272))+SUM(IF(MONTH([2]EnergyCurve!$D$3:$D$272)=MONTH($A101),[2]EnergyCurve!$Q$3:$Q$272))+SUM(IF(MONTH($CB$12:$CB$47)=MONTH($A101),$CH$12:$CH$47))</f>
        <v>2133888.84074813</v>
      </c>
      <c r="Q101" s="234" t="n">
        <f aca="false" t="array" ref="Q101:Q101">SUM(IF(MONTH([2]EnergyCurve!$D$3:$D$272)=MONTH($A101),[2]EnergyCurve!$P$3:$P$272))+SUM(IF(MONTH([2]EnergyCurve!$D$3:$D$272)=MONTH($A101),[2]EnergyCurve!$R$3:$R$272))+SUM(IF(MONTH($CB$56:$CB$91)=MONTH($A101),$CH$56:$CH$91))</f>
        <v>1725710.79492188</v>
      </c>
      <c r="R101" s="229"/>
      <c r="S101" s="229"/>
      <c r="T101" s="229"/>
      <c r="U101" s="9"/>
      <c r="W101" s="9"/>
      <c r="X101" s="230"/>
      <c r="Y101" s="229"/>
      <c r="Z101" s="146"/>
      <c r="AA101" s="236"/>
      <c r="AB101" s="236"/>
      <c r="AC101" s="143"/>
      <c r="AD101" s="46"/>
      <c r="AE101" s="46"/>
      <c r="AF101" s="46"/>
      <c r="AG101" s="46"/>
      <c r="AH101" s="46"/>
      <c r="AI101" s="46"/>
      <c r="AL101" s="21"/>
      <c r="AR101" s="21"/>
      <c r="DJ101" s="107" t="n">
        <f aca="false">DJ33</f>
        <v>37834</v>
      </c>
      <c r="DK101" s="2" t="n">
        <f aca="false">VLOOKUP(DJ101,$DM$13:$DR$252,6)</f>
        <v>31</v>
      </c>
      <c r="DL101" s="2" t="n">
        <f aca="false">IF($L$6=0,VLOOKUP(DJ101,$DM$13:$DQ$252,5)+VLOOKUP(DJ101,$DM$13:$DQ$252,4),VLOOKUP(DJ101,$DU$13:$DY$252,5)+VLOOKUP(DJ101,$DU$13:$DY$252,4))</f>
        <v>5</v>
      </c>
      <c r="DM101" s="130" t="n">
        <v>39569</v>
      </c>
      <c r="DN101" s="22" t="n">
        <v>21</v>
      </c>
      <c r="DO101" s="22" t="n">
        <v>5</v>
      </c>
      <c r="DP101" s="22" t="n">
        <v>4</v>
      </c>
      <c r="DQ101" s="22" t="n">
        <v>1</v>
      </c>
      <c r="DR101" s="22" t="n">
        <v>31</v>
      </c>
      <c r="DS101" s="111"/>
      <c r="DT101" s="111"/>
      <c r="DU101" s="130" t="n">
        <v>39569</v>
      </c>
      <c r="DV101" s="22" t="n">
        <v>21</v>
      </c>
      <c r="DW101" s="22" t="n">
        <v>5</v>
      </c>
      <c r="DX101" s="22" t="n">
        <v>4</v>
      </c>
      <c r="DY101" s="22" t="n">
        <v>1</v>
      </c>
      <c r="DZ101" s="22" t="n">
        <v>31</v>
      </c>
      <c r="EA101" s="111"/>
      <c r="EB101" s="111"/>
    </row>
    <row r="102" customFormat="false" ht="15.75" hidden="false" customHeight="true" outlineLevel="0" collapsed="false">
      <c r="A102" s="233" t="n">
        <v>36586</v>
      </c>
      <c r="B102" s="234" t="n">
        <f aca="false" t="array" ref="B102:B102">SUM(IF(MONTH([2]EnergyCurve!$D$3:$D$272)&amp;YEAR([2]EnergyCurve!$D$3:$D$272)=MONTH($A102)&amp;$B$98,[2]EnergyCurve!$O$3:$O$272))+SUM(IF(MONTH([2]EnergyCurve!$D$3:$D$272)&amp;YEAR([2]EnergyCurve!$D$3:$D$272)=MONTH($A102)&amp;$B$98,[2]EnergyCurve!$Q$3:$Q$272))+SUM(IF(MONTH($CB$12:$CB$47)&amp;YEAR($CB$12:$CB$47)=MONTH($A102)&amp;$B$98,$CH$12:$CH$47))</f>
        <v>8614.32955731441</v>
      </c>
      <c r="C102" s="234" t="n">
        <f aca="false" t="array" ref="C102:C102">SUM(IF(MONTH([2]EnergyCurve!$D$3:$D$272)&amp;YEAR([2]EnergyCurve!$D$3:$D$272)=MONTH($A102)&amp;$B$98,[2]EnergyCurve!$P$3:$P$272))+SUM(IF(MONTH([2]EnergyCurve!$D$3:$D$272)&amp;YEAR([2]EnergyCurve!$D$3:$D$272)=MONTH($A102)&amp;$B$98,[2]EnergyCurve!$R$3:$R$272))+SUM(IF(MONTH($CB$56:$CB$91)&amp;YEAR($CB$56:$CB$91)=MONTH($A102)&amp;$B$98,$CH$56:$CH$91))</f>
        <v>103632.287109375</v>
      </c>
      <c r="D102" s="234" t="n">
        <f aca="false" t="array" ref="D102:D102">SUM(IF(MONTH([2]EnergyCurve!$D$3:$D$272)&amp;YEAR([2]EnergyCurve!$D$3:$D$272)=MONTH($A102)&amp;$D$98,[2]EnergyCurve!$O$3:$O$272))+SUM(IF(MONTH([2]EnergyCurve!$D$3:$D$272)&amp;YEAR([2]EnergyCurve!$D$3:$D$272)=MONTH($A102)&amp;$D$98,[2]EnergyCurve!$Q$3:$Q$272))+SUM(IF(MONTH($CB$12:$CB$47)&amp;YEAR($CB$12:$CB$47)=MONTH($A102)&amp;$D$98,$CH$12:$CH$47))</f>
        <v>241321.66796875</v>
      </c>
      <c r="E102" s="234" t="n">
        <f aca="false" t="array" ref="E102:E102">SUM(IF(MONTH([2]EnergyCurve!$D$3:$D$272)&amp;YEAR([2]EnergyCurve!$D$3:$D$272)=MONTH($A102)&amp;$D$98,[2]EnergyCurve!$P$3:$P$272))+SUM(IF(MONTH([2]EnergyCurve!$D$3:$D$272)&amp;YEAR([2]EnergyCurve!$D$3:$D$272)=MONTH($A102)&amp;$D$98,[2]EnergyCurve!$R$3:$R$272))+SUM(IF(MONTH($CB$56:$CB$91)&amp;YEAR($CB$56:$CB$91)=MONTH($A102)&amp;$D$98,$CH$56:$CH$91))</f>
        <v>190880.69921875</v>
      </c>
      <c r="F102" s="234" t="n">
        <f aca="false" t="array" ref="F102:F102">SUM(IF(MONTH([2]EnergyCurve!$D$3:$D$272)&amp;YEAR([2]EnergyCurve!$D$3:$D$272)=MONTH($A102)&amp;$F$98,[2]EnergyCurve!$O$3:$O$272))+SUM(IF(MONTH([2]EnergyCurve!$D$3:$D$272)&amp;YEAR([2]EnergyCurve!$D$3:$D$272)=MONTH($A102)&amp;$F$98,[2]EnergyCurve!$Q$3:$Q$272))+SUM(IF(MONTH($CB$12:$CB$47)&amp;YEAR($CB$12:$CB$47)=MONTH($A102)&amp;$F$98,$CH$12:$CH$47))</f>
        <v>162228.8515625</v>
      </c>
      <c r="G102" s="234" t="n">
        <f aca="false" t="array" ref="G102:G102">SUM(IF(MONTH([2]EnergyCurve!$D$3:$D$272)&amp;YEAR([2]EnergyCurve!$D$3:$D$272)=MONTH($A102)&amp;$F$98,[2]EnergyCurve!$P$3:$P$272))+SUM(IF(MONTH([2]EnergyCurve!$D$3:$D$272)&amp;YEAR([2]EnergyCurve!$D$3:$D$272)=MONTH($A102)&amp;$F$98,[2]EnergyCurve!$R$3:$R$272))+SUM(IF(MONTH($CB$56:$CB$91)&amp;YEAR($CB$56:$CB$91)=MONTH($A102)&amp;$F$98,$CH$56:$CH$91))</f>
        <v>117600.7265625</v>
      </c>
      <c r="H102" s="234" t="n">
        <f aca="false" t="array" ref="H102:H102">SUM(IF(MONTH([2]EnergyCurve!$D$3:$D$272)&amp;YEAR([2]EnergyCurve!$D$3:$D$272)=MONTH($A102)&amp;$H$98,[2]EnergyCurve!$O$3:$O$272))+SUM(IF(MONTH([2]EnergyCurve!$D$3:$D$272)&amp;YEAR([2]EnergyCurve!$D$3:$D$272)=MONTH($A102)&amp;$H$98,[2]EnergyCurve!$Q$3:$Q$272))+SUM(IF(MONTH($CB$12:$CB$47)&amp;YEAR($CB$12:$CB$47)=MONTH($A102)&amp;$H$98,$CH$12:$CH$47))</f>
        <v>157708.306640625</v>
      </c>
      <c r="I102" s="234" t="n">
        <f aca="false" t="array" ref="I102:I102">SUM(IF(MONTH([2]EnergyCurve!$D$3:$D$272)&amp;YEAR([2]EnergyCurve!$D$3:$D$272)=MONTH($A102)&amp;$H$98,[2]EnergyCurve!$P$3:$P$272))+SUM(IF(MONTH([2]EnergyCurve!$D$3:$D$272)&amp;YEAR([2]EnergyCurve!$D$3:$D$272)=MONTH($A102)&amp;$H$98,[2]EnergyCurve!$R$3:$R$272))+SUM(IF(MONTH($CB$56:$CB$91)&amp;YEAR($CB$56:$CB$91)=MONTH($A102)&amp;$H$98,$CH$56:$CH$91))</f>
        <v>114099.978515625</v>
      </c>
      <c r="J102" s="234" t="n">
        <f aca="false" t="array" ref="J102:J102">SUM(IF(MONTH([2]EnergyCurve!$D$3:$D$272)&amp;YEAR([2]EnergyCurve!$D$3:$D$272)=MONTH($A102)&amp;$J$98,[2]EnergyCurve!$O$3:$O$272))+SUM(IF(MONTH([2]EnergyCurve!$D$3:$D$272)&amp;YEAR([2]EnergyCurve!$D$3:$D$272)=MONTH($A102)&amp;$J$98,[2]EnergyCurve!$Q$3:$Q$272))+SUM(IF(MONTH($CB$12:$CB$47)&amp;YEAR($CB$12:$CB$47)=MONTH($A102)&amp;$J$98,$CH$12:$CH$47))</f>
        <v>175518.142578125</v>
      </c>
      <c r="K102" s="234" t="n">
        <f aca="false" t="array" ref="K102:K102">SUM(IF(MONTH([2]EnergyCurve!$D$3:$D$272)&amp;YEAR([2]EnergyCurve!$D$3:$D$272)=MONTH($A102)&amp;$J$98,[2]EnergyCurve!$P$3:$P$272))+SUM(IF(MONTH([2]EnergyCurve!$D$3:$D$272)&amp;YEAR([2]EnergyCurve!$D$3:$D$272)=MONTH($A102)&amp;$J$98,[2]EnergyCurve!$R$3:$R$272))+SUM(IF(MONTH($CB$56:$CB$91)&amp;YEAR($CB$56:$CB$91)=MONTH($A102)&amp;$J$98,$CH$56:$CH$91))</f>
        <v>126951.494140625</v>
      </c>
      <c r="L102" s="234" t="n">
        <f aca="false" t="array" ref="L102:L102">SUM(IF(MONTH([2]EnergyCurve!$D$3:$D$272)&amp;YEAR([2]EnergyCurve!$D$3:$D$272)=MONTH($A102)&amp;$L$98,[2]EnergyCurve!$O$3:$O$272))+SUM(IF(MONTH([2]EnergyCurve!$D$3:$D$272)&amp;YEAR([2]EnergyCurve!$D$3:$D$272)=MONTH($A102)&amp;$L$98,[2]EnergyCurve!$Q$3:$Q$272))+SUM(IF(MONTH($CB$12:$CB$47)&amp;YEAR($CB$12:$CB$47)=MONTH($A102)&amp;$L$98,$CH$12:$CH$47))</f>
        <v>165949.326171875</v>
      </c>
      <c r="M102" s="234" t="n">
        <f aca="false" t="array" ref="M102:M102">SUM(IF(MONTH([2]EnergyCurve!$D$3:$D$272)&amp;YEAR([2]EnergyCurve!$D$3:$D$272)=MONTH($A102)&amp;$L$98,[2]EnergyCurve!$P$3:$P$272))+SUM(IF(MONTH([2]EnergyCurve!$D$3:$D$272)&amp;YEAR([2]EnergyCurve!$D$3:$D$272)=MONTH($A102)&amp;$L$98,[2]EnergyCurve!$R$3:$R$272))+SUM(IF(MONTH($CB$56:$CB$91)&amp;YEAR($CB$56:$CB$91)=MONTH($A102)&amp;$L$98,$CH$56:$CH$91))</f>
        <v>119852.2890625</v>
      </c>
      <c r="N102" s="234" t="n">
        <f aca="false" t="array" ref="N102:N102">SUM(IF(MONTH([2]EnergyCurve!$D$3:$D$272)&amp;YEAR([2]EnergyCurve!$D$3:$D$272)=MONTH($A102)&amp;$N$98,[2]EnergyCurve!$O$3:$O$272))+SUM(IF(MONTH([2]EnergyCurve!$D$3:$D$272)&amp;YEAR([2]EnergyCurve!$D$3:$D$272)=MONTH($A102)&amp;$N$98,[2]EnergyCurve!$Q$3:$Q$272))+SUM(IF(MONTH($CB$12:$CB$47)&amp;YEAR($CB$12:$CB$47)=MONTH($A102)&amp;$N$98,$CH$12:$CH$47))</f>
        <v>154702.84375</v>
      </c>
      <c r="O102" s="235" t="n">
        <f aca="false" t="array" ref="O102:O102">SUM(IF(MONTH([2]EnergyCurve!$D$3:$D$272)&amp;YEAR([2]EnergyCurve!$D$3:$D$272)=MONTH($A102)&amp;$N$98,[2]EnergyCurve!$P$3:$P$272))+SUM(IF(MONTH([2]EnergyCurve!$D$3:$D$272)&amp;YEAR([2]EnergyCurve!$D$3:$D$272)=MONTH($A102)&amp;$N$98,[2]EnergyCurve!$R$3:$R$272))+SUM(IF(MONTH($CB$56:$CB$91)&amp;YEAR($CB$56:$CB$91)=MONTH($A102)&amp;$N$98,$CH$56:$CH$91))</f>
        <v>121977.2421875</v>
      </c>
      <c r="P102" s="234" t="n">
        <f aca="false" t="array" ref="P102:P102">SUM(IF(MONTH([2]EnergyCurve!$D$3:$D$272)=MONTH($A102),[2]EnergyCurve!$O$3:$O$272))+SUM(IF(MONTH([2]EnergyCurve!$D$3:$D$272)=MONTH($A102),[2]EnergyCurve!$Q$3:$Q$272))+SUM(IF(MONTH($CB$12:$CB$47)=MONTH($A102),$CH$12:$CH$47))</f>
        <v>2342224.97799481</v>
      </c>
      <c r="Q102" s="234" t="n">
        <f aca="false" t="array" ref="Q102:Q102">SUM(IF(MONTH([2]EnergyCurve!$D$3:$D$272)=MONTH($A102),[2]EnergyCurve!$P$3:$P$272))+SUM(IF(MONTH([2]EnergyCurve!$D$3:$D$272)=MONTH($A102),[2]EnergyCurve!$R$3:$R$272))+SUM(IF(MONTH($CB$56:$CB$91)=MONTH($A102),$CH$56:$CH$91))</f>
        <v>1868405.25195313</v>
      </c>
      <c r="R102" s="229"/>
      <c r="S102" s="229"/>
      <c r="T102" s="229"/>
      <c r="U102" s="9"/>
      <c r="W102" s="9"/>
      <c r="X102" s="230"/>
      <c r="Y102" s="229"/>
      <c r="Z102" s="146"/>
      <c r="AA102" s="16"/>
      <c r="AB102" s="16"/>
      <c r="AC102" s="143"/>
      <c r="AD102" s="46"/>
      <c r="AE102" s="46"/>
      <c r="AF102" s="46"/>
      <c r="AG102" s="46"/>
      <c r="AH102" s="46"/>
      <c r="AI102" s="46"/>
      <c r="AL102" s="21"/>
      <c r="AR102" s="21"/>
      <c r="DJ102" s="107" t="n">
        <f aca="false">DJ34</f>
        <v>37865</v>
      </c>
      <c r="DK102" s="2" t="n">
        <f aca="false">VLOOKUP(DJ102,$DM$13:$DR$252,6)</f>
        <v>30</v>
      </c>
      <c r="DL102" s="2" t="n">
        <f aca="false">IF($L$6=0,VLOOKUP(DJ102,$DM$13:$DQ$252,5)+VLOOKUP(DJ102,$DM$13:$DQ$252,4),VLOOKUP(DJ102,$DU$13:$DY$252,5)+VLOOKUP(DJ102,$DU$13:$DY$252,4))</f>
        <v>5</v>
      </c>
      <c r="DM102" s="130" t="n">
        <v>39600</v>
      </c>
      <c r="DN102" s="22" t="n">
        <v>21</v>
      </c>
      <c r="DO102" s="22" t="n">
        <v>4</v>
      </c>
      <c r="DP102" s="22" t="n">
        <v>5</v>
      </c>
      <c r="DQ102" s="22" t="n">
        <v>0</v>
      </c>
      <c r="DR102" s="22" t="n">
        <v>30</v>
      </c>
      <c r="DS102" s="111"/>
      <c r="DT102" s="111"/>
      <c r="DU102" s="130" t="n">
        <v>39600</v>
      </c>
      <c r="DV102" s="22" t="n">
        <v>21</v>
      </c>
      <c r="DW102" s="22" t="n">
        <v>4</v>
      </c>
      <c r="DX102" s="22" t="n">
        <v>5</v>
      </c>
      <c r="DY102" s="22" t="n">
        <v>0</v>
      </c>
      <c r="DZ102" s="22" t="n">
        <v>30</v>
      </c>
      <c r="EA102" s="111"/>
      <c r="EB102" s="111"/>
    </row>
    <row r="103" customFormat="false" ht="15" hidden="false" customHeight="true" outlineLevel="0" collapsed="false">
      <c r="A103" s="233" t="n">
        <v>36617</v>
      </c>
      <c r="B103" s="234" t="n">
        <f aca="false" t="array" ref="B103:B103">SUM(IF(MONTH([2]EnergyCurve!$D$3:$D$272)&amp;YEAR([2]EnergyCurve!$D$3:$D$272)=MONTH($A103)&amp;$B$98,[2]EnergyCurve!$O$3:$O$272))+SUM(IF(MONTH([2]EnergyCurve!$D$3:$D$272)&amp;YEAR([2]EnergyCurve!$D$3:$D$272)=MONTH($A103)&amp;$B$98,[2]EnergyCurve!$Q$3:$Q$272))+SUM(IF(MONTH($CB$12:$CB$47)&amp;YEAR($CB$12:$CB$47)=MONTH($A103)&amp;$B$98,$CH$12:$CH$47))</f>
        <v>28387.2065973415</v>
      </c>
      <c r="C103" s="234" t="n">
        <f aca="false" t="array" ref="C103:C103">SUM(IF(MONTH([2]EnergyCurve!$D$3:$D$272)&amp;YEAR([2]EnergyCurve!$D$3:$D$272)=MONTH($A103)&amp;$B$98,[2]EnergyCurve!$P$3:$P$272))+SUM(IF(MONTH([2]EnergyCurve!$D$3:$D$272)&amp;YEAR([2]EnergyCurve!$D$3:$D$272)=MONTH($A103)&amp;$B$98,[2]EnergyCurve!$R$3:$R$272))+SUM(IF(MONTH($CB$56:$CB$91)&amp;YEAR($CB$56:$CB$91)=MONTH($A103)&amp;$B$98,$CH$56:$CH$91))</f>
        <v>90668.173828125</v>
      </c>
      <c r="D103" s="234" t="n">
        <f aca="false" t="array" ref="D103:D103">SUM(IF(MONTH([2]EnergyCurve!$D$3:$D$272)&amp;YEAR([2]EnergyCurve!$D$3:$D$272)=MONTH($A103)&amp;$D$98,[2]EnergyCurve!$O$3:$O$272))+SUM(IF(MONTH([2]EnergyCurve!$D$3:$D$272)&amp;YEAR([2]EnergyCurve!$D$3:$D$272)=MONTH($A103)&amp;$D$98,[2]EnergyCurve!$Q$3:$Q$272))+SUM(IF(MONTH($CB$12:$CB$47)&amp;YEAR($CB$12:$CB$47)=MONTH($A103)&amp;$D$98,$CH$12:$CH$47))</f>
        <v>240614.51171875</v>
      </c>
      <c r="E103" s="234" t="n">
        <f aca="false" t="array" ref="E103:E103">SUM(IF(MONTH([2]EnergyCurve!$D$3:$D$272)&amp;YEAR([2]EnergyCurve!$D$3:$D$272)=MONTH($A103)&amp;$D$98,[2]EnergyCurve!$P$3:$P$272))+SUM(IF(MONTH([2]EnergyCurve!$D$3:$D$272)&amp;YEAR([2]EnergyCurve!$D$3:$D$272)=MONTH($A103)&amp;$D$98,[2]EnergyCurve!$R$3:$R$272))+SUM(IF(MONTH($CB$56:$CB$91)&amp;YEAR($CB$56:$CB$91)=MONTH($A103)&amp;$D$98,$CH$56:$CH$91))</f>
        <v>175802.33984375</v>
      </c>
      <c r="F103" s="234" t="n">
        <f aca="false" t="array" ref="F103:F103">SUM(IF(MONTH([2]EnergyCurve!$D$3:$D$272)&amp;YEAR([2]EnergyCurve!$D$3:$D$272)=MONTH($A103)&amp;$F$98,[2]EnergyCurve!$O$3:$O$272))+SUM(IF(MONTH([2]EnergyCurve!$D$3:$D$272)&amp;YEAR([2]EnergyCurve!$D$3:$D$272)=MONTH($A103)&amp;$F$98,[2]EnergyCurve!$Q$3:$Q$272))+SUM(IF(MONTH($CB$12:$CB$47)&amp;YEAR($CB$12:$CB$47)=MONTH($A103)&amp;$F$98,$CH$12:$CH$47))</f>
        <v>156026.548828125</v>
      </c>
      <c r="G103" s="234" t="n">
        <f aca="false" t="array" ref="G103:G103">SUM(IF(MONTH([2]EnergyCurve!$D$3:$D$272)&amp;YEAR([2]EnergyCurve!$D$3:$D$272)=MONTH($A103)&amp;$F$98,[2]EnergyCurve!$P$3:$P$272))+SUM(IF(MONTH([2]EnergyCurve!$D$3:$D$272)&amp;YEAR([2]EnergyCurve!$D$3:$D$272)=MONTH($A103)&amp;$F$98,[2]EnergyCurve!$R$3:$R$272))+SUM(IF(MONTH($CB$56:$CB$91)&amp;YEAR($CB$56:$CB$91)=MONTH($A103)&amp;$F$98,$CH$56:$CH$91))</f>
        <v>114047.125</v>
      </c>
      <c r="H103" s="234" t="n">
        <f aca="false" t="array" ref="H103:H103">SUM(IF(MONTH([2]EnergyCurve!$D$3:$D$272)&amp;YEAR([2]EnergyCurve!$D$3:$D$272)=MONTH($A103)&amp;$H$98,[2]EnergyCurve!$O$3:$O$272))+SUM(IF(MONTH([2]EnergyCurve!$D$3:$D$272)&amp;YEAR([2]EnergyCurve!$D$3:$D$272)=MONTH($A103)&amp;$H$98,[2]EnergyCurve!$Q$3:$Q$272))+SUM(IF(MONTH($CB$12:$CB$47)&amp;YEAR($CB$12:$CB$47)=MONTH($A103)&amp;$H$98,$CH$12:$CH$47))</f>
        <v>151217.45703125</v>
      </c>
      <c r="I103" s="234" t="n">
        <f aca="false" t="array" ref="I103:I103">SUM(IF(MONTH([2]EnergyCurve!$D$3:$D$272)&amp;YEAR([2]EnergyCurve!$D$3:$D$272)=MONTH($A103)&amp;$H$98,[2]EnergyCurve!$P$3:$P$272))+SUM(IF(MONTH([2]EnergyCurve!$D$3:$D$272)&amp;YEAR([2]EnergyCurve!$D$3:$D$272)=MONTH($A103)&amp;$H$98,[2]EnergyCurve!$R$3:$R$272))+SUM(IF(MONTH($CB$56:$CB$91)&amp;YEAR($CB$56:$CB$91)=MONTH($A103)&amp;$H$98,$CH$56:$CH$91))</f>
        <v>110324.71484375</v>
      </c>
      <c r="J103" s="234" t="n">
        <f aca="false" t="array" ref="J103:J103">SUM(IF(MONTH([2]EnergyCurve!$D$3:$D$272)&amp;YEAR([2]EnergyCurve!$D$3:$D$272)=MONTH($A103)&amp;$J$98,[2]EnergyCurve!$O$3:$O$272))+SUM(IF(MONTH([2]EnergyCurve!$D$3:$D$272)&amp;YEAR([2]EnergyCurve!$D$3:$D$272)=MONTH($A103)&amp;$J$98,[2]EnergyCurve!$Q$3:$Q$272))+SUM(IF(MONTH($CB$12:$CB$47)&amp;YEAR($CB$12:$CB$47)=MONTH($A103)&amp;$J$98,$CH$12:$CH$47))</f>
        <v>161706.744140625</v>
      </c>
      <c r="K103" s="234" t="n">
        <f aca="false" t="array" ref="K103:K103">SUM(IF(MONTH([2]EnergyCurve!$D$3:$D$272)&amp;YEAR([2]EnergyCurve!$D$3:$D$272)=MONTH($A103)&amp;$J$98,[2]EnergyCurve!$P$3:$P$272))+SUM(IF(MONTH([2]EnergyCurve!$D$3:$D$272)&amp;YEAR([2]EnergyCurve!$D$3:$D$272)=MONTH($A103)&amp;$J$98,[2]EnergyCurve!$R$3:$R$272))+SUM(IF(MONTH($CB$56:$CB$91)&amp;YEAR($CB$56:$CB$91)=MONTH($A103)&amp;$J$98,$CH$56:$CH$91))</f>
        <v>129143.048828125</v>
      </c>
      <c r="L103" s="234" t="n">
        <f aca="false" t="array" ref="L103:L103">SUM(IF(MONTH([2]EnergyCurve!$D$3:$D$272)&amp;YEAR([2]EnergyCurve!$D$3:$D$272)=MONTH($A103)&amp;$L$98,[2]EnergyCurve!$O$3:$O$272))+SUM(IF(MONTH([2]EnergyCurve!$D$3:$D$272)&amp;YEAR([2]EnergyCurve!$D$3:$D$272)=MONTH($A103)&amp;$L$98,[2]EnergyCurve!$Q$3:$Q$272))+SUM(IF(MONTH($CB$12:$CB$47)&amp;YEAR($CB$12:$CB$47)=MONTH($A103)&amp;$L$98,$CH$12:$CH$47))</f>
        <v>152923.306640625</v>
      </c>
      <c r="M103" s="234" t="n">
        <f aca="false" t="array" ref="M103:M103">SUM(IF(MONTH([2]EnergyCurve!$D$3:$D$272)&amp;YEAR([2]EnergyCurve!$D$3:$D$272)=MONTH($A103)&amp;$L$98,[2]EnergyCurve!$P$3:$P$272))+SUM(IF(MONTH([2]EnergyCurve!$D$3:$D$272)&amp;YEAR([2]EnergyCurve!$D$3:$D$272)=MONTH($A103)&amp;$L$98,[2]EnergyCurve!$R$3:$R$272))+SUM(IF(MONTH($CB$56:$CB$91)&amp;YEAR($CB$56:$CB$91)=MONTH($A103)&amp;$L$98,$CH$56:$CH$91))</f>
        <v>121956.341796875</v>
      </c>
      <c r="N103" s="234" t="n">
        <f aca="false" t="array" ref="N103:N103">SUM(IF(MONTH([2]EnergyCurve!$D$3:$D$272)&amp;YEAR([2]EnergyCurve!$D$3:$D$272)=MONTH($A103)&amp;$N$98,[2]EnergyCurve!$O$3:$O$272))+SUM(IF(MONTH([2]EnergyCurve!$D$3:$D$272)&amp;YEAR([2]EnergyCurve!$D$3:$D$272)=MONTH($A103)&amp;$N$98,[2]EnergyCurve!$Q$3:$Q$272))+SUM(IF(MONTH($CB$12:$CB$47)&amp;YEAR($CB$12:$CB$47)=MONTH($A103)&amp;$N$98,$CH$12:$CH$47))</f>
        <v>153905.04296875</v>
      </c>
      <c r="O103" s="235" t="n">
        <f aca="false" t="array" ref="O103:O103">SUM(IF(MONTH([2]EnergyCurve!$D$3:$D$272)&amp;YEAR([2]EnergyCurve!$D$3:$D$272)=MONTH($A103)&amp;$N$98,[2]EnergyCurve!$P$3:$P$272))+SUM(IF(MONTH([2]EnergyCurve!$D$3:$D$272)&amp;YEAR([2]EnergyCurve!$D$3:$D$272)=MONTH($A103)&amp;$N$98,[2]EnergyCurve!$R$3:$R$272))+SUM(IF(MONTH($CB$56:$CB$91)&amp;YEAR($CB$56:$CB$91)=MONTH($A103)&amp;$N$98,$CH$56:$CH$91))</f>
        <v>112099.10546875</v>
      </c>
      <c r="P103" s="234" t="n">
        <f aca="false" t="array" ref="P103:P103">SUM(IF(MONTH([2]EnergyCurve!$D$3:$D$272)=MONTH($A103),[2]EnergyCurve!$O$3:$O$272))+SUM(IF(MONTH([2]EnergyCurve!$D$3:$D$272)=MONTH($A103),[2]EnergyCurve!$Q$3:$Q$272))+SUM(IF(MONTH($CB$12:$CB$47)=MONTH($A103),$CH$12:$CH$47))</f>
        <v>2274496.26421453</v>
      </c>
      <c r="Q103" s="234" t="n">
        <f aca="false" t="array" ref="Q103:Q103">SUM(IF(MONTH([2]EnergyCurve!$D$3:$D$272)=MONTH($A103),[2]EnergyCurve!$P$3:$P$272))+SUM(IF(MONTH([2]EnergyCurve!$D$3:$D$272)=MONTH($A103),[2]EnergyCurve!$R$3:$R$272))+SUM(IF(MONTH($CB$56:$CB$91)=MONTH($A103),$CH$56:$CH$91))</f>
        <v>1790523.23046875</v>
      </c>
      <c r="R103" s="229"/>
      <c r="S103" s="229"/>
      <c r="T103" s="229"/>
      <c r="U103" s="9"/>
      <c r="W103" s="9"/>
      <c r="X103" s="230"/>
      <c r="Y103" s="229"/>
      <c r="Z103" s="231"/>
      <c r="AA103" s="232"/>
      <c r="AB103" s="232"/>
      <c r="AC103" s="143"/>
      <c r="AD103" s="46"/>
      <c r="AE103" s="46"/>
      <c r="AF103" s="46"/>
      <c r="AG103" s="46"/>
      <c r="AH103" s="46"/>
      <c r="AI103" s="46"/>
      <c r="AL103" s="21"/>
      <c r="AR103" s="21"/>
      <c r="DJ103" s="107" t="n">
        <f aca="false">DJ35</f>
        <v>37895</v>
      </c>
      <c r="DK103" s="2" t="n">
        <f aca="false">VLOOKUP(DJ103,$DM$13:$DR$252,6)</f>
        <v>31</v>
      </c>
      <c r="DL103" s="2" t="n">
        <f aca="false">IF($L$6=0,VLOOKUP(DJ103,$DM$13:$DQ$252,5)+VLOOKUP(DJ103,$DM$13:$DQ$252,4),VLOOKUP(DJ103,$DU$13:$DY$252,5)+VLOOKUP(DJ103,$DU$13:$DY$252,4))</f>
        <v>4</v>
      </c>
      <c r="DM103" s="130" t="n">
        <v>39630</v>
      </c>
      <c r="DN103" s="22" t="n">
        <v>22</v>
      </c>
      <c r="DO103" s="22" t="n">
        <v>4</v>
      </c>
      <c r="DP103" s="22" t="n">
        <v>4</v>
      </c>
      <c r="DQ103" s="22" t="n">
        <v>1</v>
      </c>
      <c r="DR103" s="22" t="n">
        <v>31</v>
      </c>
      <c r="DS103" s="111"/>
      <c r="DT103" s="111"/>
      <c r="DU103" s="130" t="n">
        <v>39630</v>
      </c>
      <c r="DV103" s="22" t="n">
        <v>22</v>
      </c>
      <c r="DW103" s="22" t="n">
        <v>4</v>
      </c>
      <c r="DX103" s="22" t="n">
        <v>4</v>
      </c>
      <c r="DY103" s="22" t="n">
        <v>1</v>
      </c>
      <c r="DZ103" s="22" t="n">
        <v>31</v>
      </c>
      <c r="EA103" s="111"/>
      <c r="EB103" s="111"/>
    </row>
    <row r="104" customFormat="false" ht="15.75" hidden="false" customHeight="true" outlineLevel="0" collapsed="false">
      <c r="A104" s="233" t="n">
        <v>36647</v>
      </c>
      <c r="B104" s="234" t="n">
        <f aca="false" t="array" ref="B104:B104">SUM(IF(MONTH([2]EnergyCurve!$D$3:$D$272)&amp;YEAR([2]EnergyCurve!$D$3:$D$272)=MONTH($A104)&amp;$B$98,[2]EnergyCurve!$O$3:$O$272))+SUM(IF(MONTH([2]EnergyCurve!$D$3:$D$272)&amp;YEAR([2]EnergyCurve!$D$3:$D$272)=MONTH($A104)&amp;$B$98,[2]EnergyCurve!$Q$3:$Q$272))+SUM(IF(MONTH($CB$12:$CB$47)&amp;YEAR($CB$12:$CB$47)=MONTH($A104)&amp;$B$98,$CH$12:$CH$47))</f>
        <v>28718.754137267</v>
      </c>
      <c r="C104" s="234" t="n">
        <f aca="false" t="array" ref="C104:C104">SUM(IF(MONTH([2]EnergyCurve!$D$3:$D$272)&amp;YEAR([2]EnergyCurve!$D$3:$D$272)=MONTH($A104)&amp;$B$98,[2]EnergyCurve!$P$3:$P$272))+SUM(IF(MONTH([2]EnergyCurve!$D$3:$D$272)&amp;YEAR([2]EnergyCurve!$D$3:$D$272)=MONTH($A104)&amp;$B$98,[2]EnergyCurve!$R$3:$R$272))+SUM(IF(MONTH($CB$56:$CB$91)&amp;YEAR($CB$56:$CB$91)=MONTH($A104)&amp;$B$98,$CH$56:$CH$91))</f>
        <v>97851.353515625</v>
      </c>
      <c r="D104" s="234" t="n">
        <f aca="false" t="array" ref="D104:D104">SUM(IF(MONTH([2]EnergyCurve!$D$3:$D$272)&amp;YEAR([2]EnergyCurve!$D$3:$D$272)=MONTH($A104)&amp;$D$98,[2]EnergyCurve!$O$3:$O$272))+SUM(IF(MONTH([2]EnergyCurve!$D$3:$D$272)&amp;YEAR([2]EnergyCurve!$D$3:$D$272)=MONTH($A104)&amp;$D$98,[2]EnergyCurve!$Q$3:$Q$272))+SUM(IF(MONTH($CB$12:$CB$47)&amp;YEAR($CB$12:$CB$47)=MONTH($A104)&amp;$D$98,$CH$12:$CH$47))</f>
        <v>239842.81640625</v>
      </c>
      <c r="E104" s="234" t="n">
        <f aca="false" t="array" ref="E104:E104">SUM(IF(MONTH([2]EnergyCurve!$D$3:$D$272)&amp;YEAR([2]EnergyCurve!$D$3:$D$272)=MONTH($A104)&amp;$D$98,[2]EnergyCurve!$P$3:$P$272))+SUM(IF(MONTH([2]EnergyCurve!$D$3:$D$272)&amp;YEAR([2]EnergyCurve!$D$3:$D$272)=MONTH($A104)&amp;$D$98,[2]EnergyCurve!$R$3:$R$272))+SUM(IF(MONTH($CB$56:$CB$91)&amp;YEAR($CB$56:$CB$91)=MONTH($A104)&amp;$D$98,$CH$56:$CH$91))</f>
        <v>189608.7265625</v>
      </c>
      <c r="F104" s="234" t="n">
        <f aca="false" t="array" ref="F104:F104">SUM(IF(MONTH([2]EnergyCurve!$D$3:$D$272)&amp;YEAR([2]EnergyCurve!$D$3:$D$272)=MONTH($A104)&amp;$F$98,[2]EnergyCurve!$O$3:$O$272))+SUM(IF(MONTH([2]EnergyCurve!$D$3:$D$272)&amp;YEAR([2]EnergyCurve!$D$3:$D$272)=MONTH($A104)&amp;$F$98,[2]EnergyCurve!$Q$3:$Q$272))+SUM(IF(MONTH($CB$12:$CB$47)&amp;YEAR($CB$12:$CB$47)=MONTH($A104)&amp;$F$98,$CH$12:$CH$47))</f>
        <v>149467.173828125</v>
      </c>
      <c r="G104" s="234" t="n">
        <f aca="false" t="array" ref="G104:G104">SUM(IF(MONTH([2]EnergyCurve!$D$3:$D$272)&amp;YEAR([2]EnergyCurve!$D$3:$D$272)=MONTH($A104)&amp;$F$98,[2]EnergyCurve!$P$3:$P$272))+SUM(IF(MONTH([2]EnergyCurve!$D$3:$D$272)&amp;YEAR([2]EnergyCurve!$D$3:$D$272)=MONTH($A104)&amp;$F$98,[2]EnergyCurve!$R$3:$R$272))+SUM(IF(MONTH($CB$56:$CB$91)&amp;YEAR($CB$56:$CB$91)=MONTH($A104)&amp;$F$98,$CH$56:$CH$91))</f>
        <v>128938.9765625</v>
      </c>
      <c r="H104" s="234" t="n">
        <f aca="false" t="array" ref="H104:H104">SUM(IF(MONTH([2]EnergyCurve!$D$3:$D$272)&amp;YEAR([2]EnergyCurve!$D$3:$D$272)=MONTH($A104)&amp;$H$98,[2]EnergyCurve!$O$3:$O$272))+SUM(IF(MONTH([2]EnergyCurve!$D$3:$D$272)&amp;YEAR([2]EnergyCurve!$D$3:$D$272)=MONTH($A104)&amp;$H$98,[2]EnergyCurve!$Q$3:$Q$272))+SUM(IF(MONTH($CB$12:$CB$47)&amp;YEAR($CB$12:$CB$47)=MONTH($A104)&amp;$H$98,$CH$12:$CH$47))</f>
        <v>144734.66015625</v>
      </c>
      <c r="I104" s="234" t="n">
        <f aca="false" t="array" ref="I104:I104">SUM(IF(MONTH([2]EnergyCurve!$D$3:$D$272)&amp;YEAR([2]EnergyCurve!$D$3:$D$272)=MONTH($A104)&amp;$H$98,[2]EnergyCurve!$P$3:$P$272))+SUM(IF(MONTH([2]EnergyCurve!$D$3:$D$272)&amp;YEAR([2]EnergyCurve!$D$3:$D$272)=MONTH($A104)&amp;$H$98,[2]EnergyCurve!$R$3:$R$272))+SUM(IF(MONTH($CB$56:$CB$91)&amp;YEAR($CB$56:$CB$91)=MONTH($A104)&amp;$H$98,$CH$56:$CH$91))</f>
        <v>124655.1171875</v>
      </c>
      <c r="J104" s="234" t="n">
        <f aca="false" t="array" ref="J104:J104">SUM(IF(MONTH([2]EnergyCurve!$D$3:$D$272)&amp;YEAR([2]EnergyCurve!$D$3:$D$272)=MONTH($A104)&amp;$J$98,[2]EnergyCurve!$O$3:$O$272))+SUM(IF(MONTH([2]EnergyCurve!$D$3:$D$272)&amp;YEAR([2]EnergyCurve!$D$3:$D$272)=MONTH($A104)&amp;$J$98,[2]EnergyCurve!$Q$3:$Q$272))+SUM(IF(MONTH($CB$12:$CB$47)&amp;YEAR($CB$12:$CB$47)=MONTH($A104)&amp;$J$98,$CH$12:$CH$47))</f>
        <v>167290.7421875</v>
      </c>
      <c r="K104" s="234" t="n">
        <f aca="false" t="array" ref="K104:K104">SUM(IF(MONTH([2]EnergyCurve!$D$3:$D$272)&amp;YEAR([2]EnergyCurve!$D$3:$D$272)=MONTH($A104)&amp;$J$98,[2]EnergyCurve!$P$3:$P$272))+SUM(IF(MONTH([2]EnergyCurve!$D$3:$D$272)&amp;YEAR([2]EnergyCurve!$D$3:$D$272)=MONTH($A104)&amp;$J$98,[2]EnergyCurve!$R$3:$R$272))+SUM(IF(MONTH($CB$56:$CB$91)&amp;YEAR($CB$56:$CB$91)=MONTH($A104)&amp;$J$98,$CH$56:$CH$91))</f>
        <v>132065.046875</v>
      </c>
      <c r="L104" s="234" t="n">
        <f aca="false" t="array" ref="L104:L104">SUM(IF(MONTH([2]EnergyCurve!$D$3:$D$272)&amp;YEAR([2]EnergyCurve!$D$3:$D$272)=MONTH($A104)&amp;$L$98,[2]EnergyCurve!$O$3:$O$272))+SUM(IF(MONTH([2]EnergyCurve!$D$3:$D$272)&amp;YEAR([2]EnergyCurve!$D$3:$D$272)=MONTH($A104)&amp;$L$98,[2]EnergyCurve!$Q$3:$Q$272))+SUM(IF(MONTH($CB$12:$CB$47)&amp;YEAR($CB$12:$CB$47)=MONTH($A104)&amp;$L$98,$CH$12:$CH$47))</f>
        <v>158245.1953125</v>
      </c>
      <c r="M104" s="234" t="n">
        <f aca="false" t="array" ref="M104:M104">SUM(IF(MONTH([2]EnergyCurve!$D$3:$D$272)&amp;YEAR([2]EnergyCurve!$D$3:$D$272)=MONTH($A104)&amp;$L$98,[2]EnergyCurve!$P$3:$P$272))+SUM(IF(MONTH([2]EnergyCurve!$D$3:$D$272)&amp;YEAR([2]EnergyCurve!$D$3:$D$272)=MONTH($A104)&amp;$L$98,[2]EnergyCurve!$R$3:$R$272))+SUM(IF(MONTH($CB$56:$CB$91)&amp;YEAR($CB$56:$CB$91)=MONTH($A104)&amp;$L$98,$CH$56:$CH$91))</f>
        <v>124770.244140625</v>
      </c>
      <c r="N104" s="234" t="n">
        <f aca="false" t="array" ref="N104:N104">SUM(IF(MONTH([2]EnergyCurve!$D$3:$D$272)&amp;YEAR([2]EnergyCurve!$D$3:$D$272)=MONTH($A104)&amp;$N$98,[2]EnergyCurve!$O$3:$O$272))+SUM(IF(MONTH([2]EnergyCurve!$D$3:$D$272)&amp;YEAR([2]EnergyCurve!$D$3:$D$272)=MONTH($A104)&amp;$N$98,[2]EnergyCurve!$Q$3:$Q$272))+SUM(IF(MONTH($CB$12:$CB$47)&amp;YEAR($CB$12:$CB$47)=MONTH($A104)&amp;$N$98,$CH$12:$CH$47))</f>
        <v>153075.310546875</v>
      </c>
      <c r="O104" s="235" t="n">
        <f aca="false" t="array" ref="O104:O104">SUM(IF(MONTH([2]EnergyCurve!$D$3:$D$272)&amp;YEAR([2]EnergyCurve!$D$3:$D$272)=MONTH($A104)&amp;$N$98,[2]EnergyCurve!$P$3:$P$272))+SUM(IF(MONTH([2]EnergyCurve!$D$3:$D$272)&amp;YEAR([2]EnergyCurve!$D$3:$D$272)=MONTH($A104)&amp;$N$98,[2]EnergyCurve!$R$3:$R$272))+SUM(IF(MONTH($CB$56:$CB$91)&amp;YEAR($CB$56:$CB$91)=MONTH($A104)&amp;$N$98,$CH$56:$CH$91))</f>
        <v>120693.998046875</v>
      </c>
      <c r="P104" s="234" t="n">
        <f aca="false" t="array" ref="P104:P104">SUM(IF(MONTH([2]EnergyCurve!$D$3:$D$272)=MONTH($A104),[2]EnergyCurve!$O$3:$O$272))+SUM(IF(MONTH([2]EnergyCurve!$D$3:$D$272)=MONTH($A104),[2]EnergyCurve!$Q$3:$Q$272))+SUM(IF(MONTH($CB$12:$CB$47)=MONTH($A104),$CH$12:$CH$47))</f>
        <v>2261671.93870758</v>
      </c>
      <c r="Q104" s="234" t="n">
        <f aca="false" t="array" ref="Q104:Q104">SUM(IF(MONTH([2]EnergyCurve!$D$3:$D$272)=MONTH($A104),[2]EnergyCurve!$P$3:$P$272))+SUM(IF(MONTH([2]EnergyCurve!$D$3:$D$272)=MONTH($A104),[2]EnergyCurve!$R$3:$R$272))+SUM(IF(MONTH($CB$56:$CB$91)=MONTH($A104),$CH$56:$CH$91))</f>
        <v>1926569.70117188</v>
      </c>
      <c r="R104" s="229"/>
      <c r="S104" s="229"/>
      <c r="T104" s="229"/>
      <c r="U104" s="9"/>
      <c r="W104" s="9"/>
      <c r="X104" s="230"/>
      <c r="Y104" s="229"/>
      <c r="Z104" s="146"/>
      <c r="AA104" s="236"/>
      <c r="AB104" s="236"/>
      <c r="AC104" s="143"/>
      <c r="AD104" s="46"/>
      <c r="AE104" s="46"/>
      <c r="AF104" s="46"/>
      <c r="AG104" s="46"/>
      <c r="AH104" s="46"/>
      <c r="AI104" s="46"/>
      <c r="AL104" s="21"/>
      <c r="AR104" s="21"/>
      <c r="DJ104" s="107" t="n">
        <f aca="false">DJ36</f>
        <v>37926</v>
      </c>
      <c r="DK104" s="2" t="n">
        <f aca="false">VLOOKUP(DJ104,$DM$13:$DR$252,6)</f>
        <v>30</v>
      </c>
      <c r="DL104" s="2" t="n">
        <f aca="false">IF($L$6=0,VLOOKUP(DJ104,$DM$13:$DQ$252,5)+VLOOKUP(DJ104,$DM$13:$DQ$252,4),VLOOKUP(DJ104,$DU$13:$DY$252,5)+VLOOKUP(DJ104,$DU$13:$DY$252,4))</f>
        <v>6</v>
      </c>
      <c r="DM104" s="130" t="n">
        <v>39661</v>
      </c>
      <c r="DN104" s="22" t="n">
        <v>20</v>
      </c>
      <c r="DO104" s="22" t="n">
        <v>5</v>
      </c>
      <c r="DP104" s="22" t="n">
        <v>5</v>
      </c>
      <c r="DQ104" s="22" t="n">
        <v>1</v>
      </c>
      <c r="DR104" s="22" t="n">
        <v>31</v>
      </c>
      <c r="DS104" s="111"/>
      <c r="DT104" s="111"/>
      <c r="DU104" s="130" t="n">
        <v>39661</v>
      </c>
      <c r="DV104" s="22" t="n">
        <v>21</v>
      </c>
      <c r="DW104" s="22" t="n">
        <v>5</v>
      </c>
      <c r="DX104" s="22" t="n">
        <v>5</v>
      </c>
      <c r="DY104" s="22" t="n">
        <v>0</v>
      </c>
      <c r="DZ104" s="22" t="n">
        <v>31</v>
      </c>
      <c r="EA104" s="111"/>
      <c r="EB104" s="111"/>
    </row>
    <row r="105" customFormat="false" ht="15.75" hidden="false" customHeight="true" outlineLevel="0" collapsed="false">
      <c r="A105" s="233" t="n">
        <v>36678</v>
      </c>
      <c r="B105" s="234" t="n">
        <f aca="false" t="array" ref="B105:B105">SUM(IF(MONTH([2]EnergyCurve!$D$3:$D$272)&amp;YEAR([2]EnergyCurve!$D$3:$D$272)=MONTH($A105)&amp;$B$98,[2]EnergyCurve!$O$3:$O$272))+SUM(IF(MONTH([2]EnergyCurve!$D$3:$D$272)&amp;YEAR([2]EnergyCurve!$D$3:$D$272)=MONTH($A105)&amp;$B$98,[2]EnergyCurve!$Q$3:$Q$272))+SUM(IF(MONTH($CB$12:$CB$47)&amp;YEAR($CB$12:$CB$47)=MONTH($A105)&amp;$B$98,$CH$12:$CH$47))</f>
        <v>27665.7436245938</v>
      </c>
      <c r="C105" s="234" t="n">
        <f aca="false" t="array" ref="C105:C105">SUM(IF(MONTH([2]EnergyCurve!$D$3:$D$272)&amp;YEAR([2]EnergyCurve!$D$3:$D$272)=MONTH($A105)&amp;$B$98,[2]EnergyCurve!$P$3:$P$272))+SUM(IF(MONTH([2]EnergyCurve!$D$3:$D$272)&amp;YEAR([2]EnergyCurve!$D$3:$D$272)=MONTH($A105)&amp;$B$98,[2]EnergyCurve!$R$3:$R$272))+SUM(IF(MONTH($CB$56:$CB$91)&amp;YEAR($CB$56:$CB$91)=MONTH($A105)&amp;$B$98,$CH$56:$CH$91))</f>
        <v>95391.732421875</v>
      </c>
      <c r="D105" s="234" t="n">
        <f aca="false" t="array" ref="D105:D105">SUM(IF(MONTH([2]EnergyCurve!$D$3:$D$272)&amp;YEAR([2]EnergyCurve!$D$3:$D$272)=MONTH($A105)&amp;$D$98,[2]EnergyCurve!$O$3:$O$272))+SUM(IF(MONTH([2]EnergyCurve!$D$3:$D$272)&amp;YEAR([2]EnergyCurve!$D$3:$D$272)=MONTH($A105)&amp;$D$98,[2]EnergyCurve!$Q$3:$Q$272))+SUM(IF(MONTH($CB$12:$CB$47)&amp;YEAR($CB$12:$CB$47)=MONTH($A105)&amp;$D$98,$CH$12:$CH$47))</f>
        <v>229732.7578125</v>
      </c>
      <c r="E105" s="234" t="n">
        <f aca="false" t="array" ref="E105:E105">SUM(IF(MONTH([2]EnergyCurve!$D$3:$D$272)&amp;YEAR([2]EnergyCurve!$D$3:$D$272)=MONTH($A105)&amp;$D$98,[2]EnergyCurve!$P$3:$P$272))+SUM(IF(MONTH([2]EnergyCurve!$D$3:$D$272)&amp;YEAR([2]EnergyCurve!$D$3:$D$272)=MONTH($A105)&amp;$D$98,[2]EnergyCurve!$R$3:$R$272))+SUM(IF(MONTH($CB$56:$CB$91)&amp;YEAR($CB$56:$CB$91)=MONTH($A105)&amp;$D$98,$CH$56:$CH$91))</f>
        <v>184321.9453125</v>
      </c>
      <c r="F105" s="234" t="n">
        <f aca="false" t="array" ref="F105:F105">SUM(IF(MONTH([2]EnergyCurve!$D$3:$D$272)&amp;YEAR([2]EnergyCurve!$D$3:$D$272)=MONTH($A105)&amp;$F$98,[2]EnergyCurve!$O$3:$O$272))+SUM(IF(MONTH([2]EnergyCurve!$D$3:$D$272)&amp;YEAR([2]EnergyCurve!$D$3:$D$272)=MONTH($A105)&amp;$F$98,[2]EnergyCurve!$Q$3:$Q$272))+SUM(IF(MONTH($CB$12:$CB$47)&amp;YEAR($CB$12:$CB$47)=MONTH($A105)&amp;$F$98,$CH$12:$CH$47))</f>
        <v>154917.5859375</v>
      </c>
      <c r="G105" s="234" t="n">
        <f aca="false" t="array" ref="G105:G105">SUM(IF(MONTH([2]EnergyCurve!$D$3:$D$272)&amp;YEAR([2]EnergyCurve!$D$3:$D$272)=MONTH($A105)&amp;$F$98,[2]EnergyCurve!$P$3:$P$272))+SUM(IF(MONTH([2]EnergyCurve!$D$3:$D$272)&amp;YEAR([2]EnergyCurve!$D$3:$D$272)=MONTH($A105)&amp;$F$98,[2]EnergyCurve!$R$3:$R$272))+SUM(IF(MONTH($CB$56:$CB$91)&amp;YEAR($CB$56:$CB$91)=MONTH($A105)&amp;$F$98,$CH$56:$CH$91))</f>
        <v>113559.0859375</v>
      </c>
      <c r="H105" s="234" t="n">
        <f aca="false" t="array" ref="H105:H105">SUM(IF(MONTH([2]EnergyCurve!$D$3:$D$272)&amp;YEAR([2]EnergyCurve!$D$3:$D$272)=MONTH($A105)&amp;$H$98,[2]EnergyCurve!$O$3:$O$272))+SUM(IF(MONTH([2]EnergyCurve!$D$3:$D$272)&amp;YEAR([2]EnergyCurve!$D$3:$D$272)=MONTH($A105)&amp;$H$98,[2]EnergyCurve!$Q$3:$Q$272))+SUM(IF(MONTH($CB$12:$CB$47)&amp;YEAR($CB$12:$CB$47)=MONTH($A105)&amp;$H$98,$CH$12:$CH$47))</f>
        <v>149826.53515625</v>
      </c>
      <c r="I105" s="234" t="n">
        <f aca="false" t="array" ref="I105:I105">SUM(IF(MONTH([2]EnergyCurve!$D$3:$D$272)&amp;YEAR([2]EnergyCurve!$D$3:$D$272)=MONTH($A105)&amp;$H$98,[2]EnergyCurve!$P$3:$P$272))+SUM(IF(MONTH([2]EnergyCurve!$D$3:$D$272)&amp;YEAR([2]EnergyCurve!$D$3:$D$272)=MONTH($A105)&amp;$H$98,[2]EnergyCurve!$R$3:$R$272))+SUM(IF(MONTH($CB$56:$CB$91)&amp;YEAR($CB$56:$CB$91)=MONTH($A105)&amp;$H$98,$CH$56:$CH$91))</f>
        <v>109664.51171875</v>
      </c>
      <c r="J105" s="234" t="n">
        <f aca="false" t="array" ref="J105:J105">SUM(IF(MONTH([2]EnergyCurve!$D$3:$D$272)&amp;YEAR([2]EnergyCurve!$D$3:$D$272)=MONTH($A105)&amp;$J$98,[2]EnergyCurve!$O$3:$O$272))+SUM(IF(MONTH([2]EnergyCurve!$D$3:$D$272)&amp;YEAR([2]EnergyCurve!$D$3:$D$272)=MONTH($A105)&amp;$J$98,[2]EnergyCurve!$Q$3:$Q$272))+SUM(IF(MONTH($CB$12:$CB$47)&amp;YEAR($CB$12:$CB$47)=MONTH($A105)&amp;$J$98,$CH$12:$CH$47))</f>
        <v>166421.83203125</v>
      </c>
      <c r="K105" s="234" t="n">
        <f aca="false" t="array" ref="K105:K105">SUM(IF(MONTH([2]EnergyCurve!$D$3:$D$272)&amp;YEAR([2]EnergyCurve!$D$3:$D$272)=MONTH($A105)&amp;$J$98,[2]EnergyCurve!$P$3:$P$272))+SUM(IF(MONTH([2]EnergyCurve!$D$3:$D$272)&amp;YEAR([2]EnergyCurve!$D$3:$D$272)=MONTH($A105)&amp;$J$98,[2]EnergyCurve!$R$3:$R$272))+SUM(IF(MONTH($CB$56:$CB$91)&amp;YEAR($CB$56:$CB$91)=MONTH($A105)&amp;$J$98,$CH$56:$CH$91))</f>
        <v>121781.62890625</v>
      </c>
      <c r="L105" s="234" t="n">
        <f aca="false" t="array" ref="L105:L105">SUM(IF(MONTH([2]EnergyCurve!$D$3:$D$272)&amp;YEAR([2]EnergyCurve!$D$3:$D$272)=MONTH($A105)&amp;$L$98,[2]EnergyCurve!$O$3:$O$272))+SUM(IF(MONTH([2]EnergyCurve!$D$3:$D$272)&amp;YEAR([2]EnergyCurve!$D$3:$D$272)=MONTH($A105)&amp;$L$98,[2]EnergyCurve!$Q$3:$Q$272))+SUM(IF(MONTH($CB$12:$CB$47)&amp;YEAR($CB$12:$CB$47)=MONTH($A105)&amp;$L$98,$CH$12:$CH$47))</f>
        <v>157486.46875</v>
      </c>
      <c r="M105" s="234" t="n">
        <f aca="false" t="array" ref="M105:M105">SUM(IF(MONTH([2]EnergyCurve!$D$3:$D$272)&amp;YEAR([2]EnergyCurve!$D$3:$D$272)=MONTH($A105)&amp;$L$98,[2]EnergyCurve!$P$3:$P$272))+SUM(IF(MONTH([2]EnergyCurve!$D$3:$D$272)&amp;YEAR([2]EnergyCurve!$D$3:$D$272)=MONTH($A105)&amp;$L$98,[2]EnergyCurve!$R$3:$R$272))+SUM(IF(MONTH($CB$56:$CB$91)&amp;YEAR($CB$56:$CB$91)=MONTH($A105)&amp;$L$98,$CH$56:$CH$91))</f>
        <v>115086.265625</v>
      </c>
      <c r="N105" s="234" t="n">
        <f aca="false" t="array" ref="N105:N105">SUM(IF(MONTH([2]EnergyCurve!$D$3:$D$272)&amp;YEAR([2]EnergyCurve!$D$3:$D$272)=MONTH($A105)&amp;$N$98,[2]EnergyCurve!$O$3:$O$272))+SUM(IF(MONTH([2]EnergyCurve!$D$3:$D$272)&amp;YEAR([2]EnergyCurve!$D$3:$D$272)=MONTH($A105)&amp;$N$98,[2]EnergyCurve!$Q$3:$Q$272))+SUM(IF(MONTH($CB$12:$CB$47)&amp;YEAR($CB$12:$CB$47)=MONTH($A105)&amp;$N$98,$CH$12:$CH$47))</f>
        <v>146429.91015625</v>
      </c>
      <c r="O105" s="235" t="n">
        <f aca="false" t="array" ref="O105:O105">SUM(IF(MONTH([2]EnergyCurve!$D$3:$D$272)&amp;YEAR([2]EnergyCurve!$D$3:$D$272)=MONTH($A105)&amp;$N$98,[2]EnergyCurve!$P$3:$P$272))+SUM(IF(MONTH([2]EnergyCurve!$D$3:$D$272)&amp;YEAR([2]EnergyCurve!$D$3:$D$272)=MONTH($A105)&amp;$N$98,[2]EnergyCurve!$R$3:$R$272))+SUM(IF(MONTH($CB$56:$CB$91)&amp;YEAR($CB$56:$CB$91)=MONTH($A105)&amp;$N$98,$CH$56:$CH$91))</f>
        <v>117143.935546875</v>
      </c>
      <c r="P105" s="234" t="n">
        <f aca="false" t="array" ref="P105:P105">SUM(IF(MONTH([2]EnergyCurve!$D$3:$D$272)=MONTH($A105),[2]EnergyCurve!$O$3:$O$272))+SUM(IF(MONTH([2]EnergyCurve!$D$3:$D$272)=MONTH($A105),[2]EnergyCurve!$Q$3:$Q$272))+SUM(IF(MONTH($CB$12:$CB$47)=MONTH($A105),$CH$12:$CH$47))</f>
        <v>2260151.80514803</v>
      </c>
      <c r="Q105" s="234" t="n">
        <f aca="false" t="array" ref="Q105:Q105">SUM(IF(MONTH([2]EnergyCurve!$D$3:$D$272)=MONTH($A105),[2]EnergyCurve!$P$3:$P$272))+SUM(IF(MONTH([2]EnergyCurve!$D$3:$D$272)=MONTH($A105),[2]EnergyCurve!$R$3:$R$272))+SUM(IF(MONTH($CB$56:$CB$91)=MONTH($A105),$CH$56:$CH$91))</f>
        <v>1773436.62988281</v>
      </c>
      <c r="R105" s="229"/>
      <c r="S105" s="229"/>
      <c r="T105" s="229"/>
      <c r="U105" s="9"/>
      <c r="W105" s="9"/>
      <c r="X105" s="230"/>
      <c r="Y105" s="229"/>
      <c r="Z105" s="146"/>
      <c r="AA105" s="16"/>
      <c r="AB105" s="16"/>
      <c r="AC105" s="143"/>
      <c r="AD105" s="46"/>
      <c r="AE105" s="46"/>
      <c r="AF105" s="46"/>
      <c r="AG105" s="46"/>
      <c r="AH105" s="46"/>
      <c r="AI105" s="46"/>
      <c r="AL105" s="21"/>
      <c r="AR105" s="21"/>
      <c r="DJ105" s="107" t="n">
        <f aca="false">DJ37</f>
        <v>37956</v>
      </c>
      <c r="DK105" s="2" t="n">
        <f aca="false">VLOOKUP(DJ105,$DM$13:$DR$252,6)</f>
        <v>31</v>
      </c>
      <c r="DL105" s="2" t="n">
        <f aca="false">IF($L$6=0,VLOOKUP(DJ105,$DM$13:$DQ$252,5)+VLOOKUP(DJ105,$DM$13:$DQ$252,4),VLOOKUP(DJ105,$DU$13:$DY$252,5)+VLOOKUP(DJ105,$DU$13:$DY$252,4))</f>
        <v>5</v>
      </c>
      <c r="DM105" s="130" t="n">
        <v>39692</v>
      </c>
      <c r="DN105" s="22" t="n">
        <v>21</v>
      </c>
      <c r="DO105" s="22" t="n">
        <v>4</v>
      </c>
      <c r="DP105" s="22" t="n">
        <v>4</v>
      </c>
      <c r="DQ105" s="22" t="n">
        <v>1</v>
      </c>
      <c r="DR105" s="22" t="n">
        <v>30</v>
      </c>
      <c r="DS105" s="111"/>
      <c r="DT105" s="111"/>
      <c r="DU105" s="130" t="n">
        <v>39692</v>
      </c>
      <c r="DV105" s="22" t="n">
        <v>21</v>
      </c>
      <c r="DW105" s="22" t="n">
        <v>4</v>
      </c>
      <c r="DX105" s="22" t="n">
        <v>4</v>
      </c>
      <c r="DY105" s="22" t="n">
        <v>1</v>
      </c>
      <c r="DZ105" s="22" t="n">
        <v>30</v>
      </c>
      <c r="EA105" s="111"/>
      <c r="EB105" s="111"/>
    </row>
    <row r="106" customFormat="false" ht="15" hidden="false" customHeight="true" outlineLevel="0" collapsed="false">
      <c r="A106" s="233" t="n">
        <v>36708</v>
      </c>
      <c r="B106" s="234" t="n">
        <f aca="false" t="array" ref="B106:B106">SUM(IF(MONTH([2]EnergyCurve!$D$3:$D$272)&amp;YEAR([2]EnergyCurve!$D$3:$D$272)=MONTH($A106)&amp;$B$98,[2]EnergyCurve!$O$3:$O$272))+SUM(IF(MONTH([2]EnergyCurve!$D$3:$D$272)&amp;YEAR([2]EnergyCurve!$D$3:$D$272)=MONTH($A106)&amp;$B$98,[2]EnergyCurve!$Q$3:$Q$272))+SUM(IF(MONTH($CB$12:$CB$47)&amp;YEAR($CB$12:$CB$47)=MONTH($A106)&amp;$B$98,$CH$12:$CH$47))</f>
        <v>150097.607134238</v>
      </c>
      <c r="C106" s="234" t="n">
        <f aca="false" t="array" ref="C106:C106">SUM(IF(MONTH([2]EnergyCurve!$D$3:$D$272)&amp;YEAR([2]EnergyCurve!$D$3:$D$272)=MONTH($A106)&amp;$B$98,[2]EnergyCurve!$P$3:$P$272))+SUM(IF(MONTH([2]EnergyCurve!$D$3:$D$272)&amp;YEAR([2]EnergyCurve!$D$3:$D$272)=MONTH($A106)&amp;$B$98,[2]EnergyCurve!$R$3:$R$272))+SUM(IF(MONTH($CB$56:$CB$91)&amp;YEAR($CB$56:$CB$91)=MONTH($A106)&amp;$B$98,$CH$56:$CH$91))</f>
        <v>193649.109375</v>
      </c>
      <c r="D106" s="234" t="n">
        <f aca="false" t="array" ref="D106:D106">SUM(IF(MONTH([2]EnergyCurve!$D$3:$D$272)&amp;YEAR([2]EnergyCurve!$D$3:$D$272)=MONTH($A106)&amp;$D$98,[2]EnergyCurve!$O$3:$O$272))+SUM(IF(MONTH([2]EnergyCurve!$D$3:$D$272)&amp;YEAR([2]EnergyCurve!$D$3:$D$272)=MONTH($A106)&amp;$D$98,[2]EnergyCurve!$Q$3:$Q$272))+SUM(IF(MONTH($CB$12:$CB$47)&amp;YEAR($CB$12:$CB$47)=MONTH($A106)&amp;$D$98,$CH$12:$CH$47))</f>
        <v>237937.58203125</v>
      </c>
      <c r="E106" s="234" t="n">
        <f aca="false" t="array" ref="E106:E106">SUM(IF(MONTH([2]EnergyCurve!$D$3:$D$272)&amp;YEAR([2]EnergyCurve!$D$3:$D$272)=MONTH($A106)&amp;$D$98,[2]EnergyCurve!$P$3:$P$272))+SUM(IF(MONTH([2]EnergyCurve!$D$3:$D$272)&amp;YEAR([2]EnergyCurve!$D$3:$D$272)=MONTH($A106)&amp;$D$98,[2]EnergyCurve!$R$3:$R$272))+SUM(IF(MONTH($CB$56:$CB$91)&amp;YEAR($CB$56:$CB$91)=MONTH($A106)&amp;$D$98,$CH$56:$CH$91))</f>
        <v>188094.50390625</v>
      </c>
      <c r="F106" s="234" t="n">
        <f aca="false" t="array" ref="F106:F106">SUM(IF(MONTH([2]EnergyCurve!$D$3:$D$272)&amp;YEAR([2]EnergyCurve!$D$3:$D$272)=MONTH($A106)&amp;$F$98,[2]EnergyCurve!$O$3:$O$272))+SUM(IF(MONTH([2]EnergyCurve!$D$3:$D$272)&amp;YEAR([2]EnergyCurve!$D$3:$D$272)=MONTH($A106)&amp;$F$98,[2]EnergyCurve!$Q$3:$Q$272))+SUM(IF(MONTH($CB$12:$CB$47)&amp;YEAR($CB$12:$CB$47)=MONTH($A106)&amp;$F$98,$CH$12:$CH$47))</f>
        <v>154457.75390625</v>
      </c>
      <c r="G106" s="234" t="n">
        <f aca="false" t="array" ref="G106:G106">SUM(IF(MONTH([2]EnergyCurve!$D$3:$D$272)&amp;YEAR([2]EnergyCurve!$D$3:$D$272)=MONTH($A106)&amp;$F$98,[2]EnergyCurve!$P$3:$P$272))+SUM(IF(MONTH([2]EnergyCurve!$D$3:$D$272)&amp;YEAR([2]EnergyCurve!$D$3:$D$272)=MONTH($A106)&amp;$F$98,[2]EnergyCurve!$R$3:$R$272))+SUM(IF(MONTH($CB$56:$CB$91)&amp;YEAR($CB$56:$CB$91)=MONTH($A106)&amp;$F$98,$CH$56:$CH$91))</f>
        <v>122116.138671875</v>
      </c>
      <c r="H106" s="234" t="n">
        <f aca="false" t="array" ref="H106:H106">SUM(IF(MONTH([2]EnergyCurve!$D$3:$D$272)&amp;YEAR([2]EnergyCurve!$D$3:$D$272)=MONTH($A106)&amp;$H$98,[2]EnergyCurve!$O$3:$O$272))+SUM(IF(MONTH([2]EnergyCurve!$D$3:$D$272)&amp;YEAR([2]EnergyCurve!$D$3:$D$272)=MONTH($A106)&amp;$H$98,[2]EnergyCurve!$Q$3:$Q$272))+SUM(IF(MONTH($CB$12:$CB$47)&amp;YEAR($CB$12:$CB$47)=MONTH($A106)&amp;$H$98,$CH$12:$CH$47))</f>
        <v>143344.423828125</v>
      </c>
      <c r="I106" s="234" t="n">
        <f aca="false" t="array" ref="I106:I106">SUM(IF(MONTH([2]EnergyCurve!$D$3:$D$272)&amp;YEAR([2]EnergyCurve!$D$3:$D$272)=MONTH($A106)&amp;$H$98,[2]EnergyCurve!$P$3:$P$272))+SUM(IF(MONTH([2]EnergyCurve!$D$3:$D$272)&amp;YEAR([2]EnergyCurve!$D$3:$D$272)=MONTH($A106)&amp;$H$98,[2]EnergyCurve!$R$3:$R$272))+SUM(IF(MONTH($CB$56:$CB$91)&amp;YEAR($CB$56:$CB$91)=MONTH($A106)&amp;$H$98,$CH$56:$CH$91))</f>
        <v>123466.390625</v>
      </c>
      <c r="J106" s="234" t="n">
        <f aca="false" t="array" ref="J106:J106">SUM(IF(MONTH([2]EnergyCurve!$D$3:$D$272)&amp;YEAR([2]EnergyCurve!$D$3:$D$272)=MONTH($A106)&amp;$J$98,[2]EnergyCurve!$O$3:$O$272))+SUM(IF(MONTH([2]EnergyCurve!$D$3:$D$272)&amp;YEAR([2]EnergyCurve!$D$3:$D$272)=MONTH($A106)&amp;$J$98,[2]EnergyCurve!$Q$3:$Q$272))+SUM(IF(MONTH($CB$12:$CB$47)&amp;YEAR($CB$12:$CB$47)=MONTH($A106)&amp;$J$98,$CH$12:$CH$47))</f>
        <v>159605.708984375</v>
      </c>
      <c r="K106" s="234" t="n">
        <f aca="false" t="array" ref="K106:K106">SUM(IF(MONTH([2]EnergyCurve!$D$3:$D$272)&amp;YEAR([2]EnergyCurve!$D$3:$D$272)=MONTH($A106)&amp;$J$98,[2]EnergyCurve!$P$3:$P$272))+SUM(IF(MONTH([2]EnergyCurve!$D$3:$D$272)&amp;YEAR([2]EnergyCurve!$D$3:$D$272)=MONTH($A106)&amp;$J$98,[2]EnergyCurve!$R$3:$R$272))+SUM(IF(MONTH($CB$56:$CB$91)&amp;YEAR($CB$56:$CB$91)=MONTH($A106)&amp;$J$98,$CH$56:$CH$91))</f>
        <v>137267.72265625</v>
      </c>
      <c r="L106" s="234" t="n">
        <f aca="false" t="array" ref="L106:L106">SUM(IF(MONTH([2]EnergyCurve!$D$3:$D$272)&amp;YEAR([2]EnergyCurve!$D$3:$D$272)=MONTH($A106)&amp;$L$98,[2]EnergyCurve!$O$3:$O$272))+SUM(IF(MONTH([2]EnergyCurve!$D$3:$D$272)&amp;YEAR([2]EnergyCurve!$D$3:$D$272)=MONTH($A106)&amp;$L$98,[2]EnergyCurve!$Q$3:$Q$272))+SUM(IF(MONTH($CB$12:$CB$47)&amp;YEAR($CB$12:$CB$47)=MONTH($A106)&amp;$L$98,$CH$12:$CH$47))</f>
        <v>150652.205078125</v>
      </c>
      <c r="M106" s="234" t="n">
        <f aca="false" t="array" ref="M106:M106">SUM(IF(MONTH([2]EnergyCurve!$D$3:$D$272)&amp;YEAR([2]EnergyCurve!$D$3:$D$272)=MONTH($A106)&amp;$L$98,[2]EnergyCurve!$P$3:$P$272))+SUM(IF(MONTH([2]EnergyCurve!$D$3:$D$272)&amp;YEAR([2]EnergyCurve!$D$3:$D$272)=MONTH($A106)&amp;$L$98,[2]EnergyCurve!$R$3:$R$272))+SUM(IF(MONTH($CB$56:$CB$91)&amp;YEAR($CB$56:$CB$91)=MONTH($A106)&amp;$L$98,$CH$56:$CH$91))</f>
        <v>129560.8984375</v>
      </c>
      <c r="N106" s="234" t="n">
        <f aca="false" t="array" ref="N106:N106">SUM(IF(MONTH([2]EnergyCurve!$D$3:$D$272)&amp;YEAR([2]EnergyCurve!$D$3:$D$272)=MONTH($A106)&amp;$N$98,[2]EnergyCurve!$O$3:$O$272))+SUM(IF(MONTH([2]EnergyCurve!$D$3:$D$272)&amp;YEAR([2]EnergyCurve!$D$3:$D$272)=MONTH($A106)&amp;$N$98,[2]EnergyCurve!$Q$3:$Q$272))+SUM(IF(MONTH($CB$12:$CB$47)&amp;YEAR($CB$12:$CB$47)=MONTH($A106)&amp;$N$98,$CH$12:$CH$47))</f>
        <v>151456.953125</v>
      </c>
      <c r="O106" s="235" t="n">
        <f aca="false" t="array" ref="O106:O106">SUM(IF(MONTH([2]EnergyCurve!$D$3:$D$272)&amp;YEAR([2]EnergyCurve!$D$3:$D$272)=MONTH($A106)&amp;$N$98,[2]EnergyCurve!$P$3:$P$272))+SUM(IF(MONTH([2]EnergyCurve!$D$3:$D$272)&amp;YEAR([2]EnergyCurve!$D$3:$D$272)=MONTH($A106)&amp;$N$98,[2]EnergyCurve!$R$3:$R$272))+SUM(IF(MONTH($CB$56:$CB$91)&amp;YEAR($CB$56:$CB$91)=MONTH($A106)&amp;$N$98,$CH$56:$CH$91))</f>
        <v>119417.986328125</v>
      </c>
      <c r="P106" s="234" t="n">
        <f aca="false" t="array" ref="P106:P106">SUM(IF(MONTH([2]EnergyCurve!$D$3:$D$272)=MONTH($A106),[2]EnergyCurve!$O$3:$O$272))+SUM(IF(MONTH([2]EnergyCurve!$D$3:$D$272)=MONTH($A106),[2]EnergyCurve!$Q$3:$Q$272))+SUM(IF(MONTH($CB$12:$CB$47)=MONTH($A106),$CH$12:$CH$47))</f>
        <v>2359629.05879439</v>
      </c>
      <c r="Q106" s="234" t="n">
        <f aca="false" t="array" ref="Q106:Q106">SUM(IF(MONTH([2]EnergyCurve!$D$3:$D$272)=MONTH($A106),[2]EnergyCurve!$P$3:$P$272))+SUM(IF(MONTH([2]EnergyCurve!$D$3:$D$272)=MONTH($A106),[2]EnergyCurve!$R$3:$R$272))+SUM(IF(MONTH($CB$56:$CB$91)=MONTH($A106),$CH$56:$CH$91))</f>
        <v>2003906.72363281</v>
      </c>
      <c r="R106" s="229"/>
      <c r="S106" s="229"/>
      <c r="T106" s="229"/>
      <c r="U106" s="9"/>
      <c r="W106" s="9"/>
      <c r="X106" s="230"/>
      <c r="Y106" s="229"/>
      <c r="Z106" s="231"/>
      <c r="AA106" s="232"/>
      <c r="AB106" s="232"/>
      <c r="AC106" s="143"/>
      <c r="AD106" s="46"/>
      <c r="AE106" s="46"/>
      <c r="AF106" s="46"/>
      <c r="AG106" s="46"/>
      <c r="AH106" s="46"/>
      <c r="AI106" s="46"/>
      <c r="AL106" s="21"/>
      <c r="AR106" s="21"/>
      <c r="DJ106" s="107" t="n">
        <f aca="false">DJ38</f>
        <v>37987</v>
      </c>
      <c r="DK106" s="2" t="n">
        <f aca="false">VLOOKUP(DJ106,$DM$13:$DR$252,6)</f>
        <v>31</v>
      </c>
      <c r="DL106" s="2" t="n">
        <f aca="false">IF($L$6=0,VLOOKUP(DJ106,$DM$13:$DQ$252,5)+VLOOKUP(DJ106,$DM$13:$DQ$252,4),VLOOKUP(DJ106,$DU$13:$DY$252,5)+VLOOKUP(DJ106,$DU$13:$DY$252,4))</f>
        <v>5</v>
      </c>
      <c r="DM106" s="130" t="n">
        <v>39722</v>
      </c>
      <c r="DN106" s="22" t="n">
        <v>22</v>
      </c>
      <c r="DO106" s="22" t="n">
        <v>4</v>
      </c>
      <c r="DP106" s="22" t="n">
        <v>4</v>
      </c>
      <c r="DQ106" s="22" t="n">
        <v>1</v>
      </c>
      <c r="DR106" s="22" t="n">
        <v>31</v>
      </c>
      <c r="DS106" s="111"/>
      <c r="DT106" s="111"/>
      <c r="DU106" s="130" t="n">
        <v>39722</v>
      </c>
      <c r="DV106" s="22" t="n">
        <v>23</v>
      </c>
      <c r="DW106" s="22" t="n">
        <v>4</v>
      </c>
      <c r="DX106" s="22" t="n">
        <v>4</v>
      </c>
      <c r="DY106" s="22" t="n">
        <v>0</v>
      </c>
      <c r="DZ106" s="22" t="n">
        <v>31</v>
      </c>
      <c r="EA106" s="111"/>
      <c r="EB106" s="111"/>
    </row>
    <row r="107" customFormat="false" ht="15.75" hidden="false" customHeight="true" outlineLevel="0" collapsed="false">
      <c r="A107" s="233" t="n">
        <v>36739</v>
      </c>
      <c r="B107" s="234" t="n">
        <f aca="false" t="array" ref="B107:B107">SUM(IF(MONTH([2]EnergyCurve!$D$3:$D$272)&amp;YEAR([2]EnergyCurve!$D$3:$D$272)=MONTH($A107)&amp;$B$98,[2]EnergyCurve!$O$3:$O$272))+SUM(IF(MONTH([2]EnergyCurve!$D$3:$D$272)&amp;YEAR([2]EnergyCurve!$D$3:$D$272)=MONTH($A107)&amp;$B$98,[2]EnergyCurve!$Q$3:$Q$272))+SUM(IF(MONTH($CB$12:$CB$47)&amp;YEAR($CB$12:$CB$47)=MONTH($A107)&amp;$B$98,$CH$12:$CH$47))</f>
        <v>156457.125725389</v>
      </c>
      <c r="C107" s="234" t="n">
        <f aca="false" t="array" ref="C107:C107">SUM(IF(MONTH([2]EnergyCurve!$D$3:$D$272)&amp;YEAR([2]EnergyCurve!$D$3:$D$272)=MONTH($A107)&amp;$B$98,[2]EnergyCurve!$P$3:$P$272))+SUM(IF(MONTH([2]EnergyCurve!$D$3:$D$272)&amp;YEAR([2]EnergyCurve!$D$3:$D$272)=MONTH($A107)&amp;$B$98,[2]EnergyCurve!$R$3:$R$272))+SUM(IF(MONTH($CB$56:$CB$91)&amp;YEAR($CB$56:$CB$91)=MONTH($A107)&amp;$B$98,$CH$56:$CH$91))</f>
        <v>184485.0625</v>
      </c>
      <c r="D107" s="234" t="n">
        <f aca="false" t="array" ref="D107:D107">SUM(IF(MONTH([2]EnergyCurve!$D$3:$D$272)&amp;YEAR([2]EnergyCurve!$D$3:$D$272)=MONTH($A107)&amp;$D$98,[2]EnergyCurve!$O$3:$O$272))+SUM(IF(MONTH([2]EnergyCurve!$D$3:$D$272)&amp;YEAR([2]EnergyCurve!$D$3:$D$272)=MONTH($A107)&amp;$D$98,[2]EnergyCurve!$Q$3:$Q$272))+SUM(IF(MONTH($CB$12:$CB$47)&amp;YEAR($CB$12:$CB$47)=MONTH($A107)&amp;$D$98,$CH$12:$CH$47))</f>
        <v>237134.0703125</v>
      </c>
      <c r="E107" s="234" t="n">
        <f aca="false" t="array" ref="E107:E107">SUM(IF(MONTH([2]EnergyCurve!$D$3:$D$272)&amp;YEAR([2]EnergyCurve!$D$3:$D$272)=MONTH($A107)&amp;$D$98,[2]EnergyCurve!$P$3:$P$272))+SUM(IF(MONTH([2]EnergyCurve!$D$3:$D$272)&amp;YEAR([2]EnergyCurve!$D$3:$D$272)=MONTH($A107)&amp;$D$98,[2]EnergyCurve!$R$3:$R$272))+SUM(IF(MONTH($CB$56:$CB$91)&amp;YEAR($CB$56:$CB$91)=MONTH($A107)&amp;$D$98,$CH$56:$CH$91))</f>
        <v>187491.2890625</v>
      </c>
      <c r="F107" s="234" t="n">
        <f aca="false" t="array" ref="F107:F107">SUM(IF(MONTH([2]EnergyCurve!$D$3:$D$272)&amp;YEAR([2]EnergyCurve!$D$3:$D$272)=MONTH($A107)&amp;$F$98,[2]EnergyCurve!$O$3:$O$272))+SUM(IF(MONTH([2]EnergyCurve!$D$3:$D$272)&amp;YEAR([2]EnergyCurve!$D$3:$D$272)=MONTH($A107)&amp;$F$98,[2]EnergyCurve!$Q$3:$Q$272))+SUM(IF(MONTH($CB$12:$CB$47)&amp;YEAR($CB$12:$CB$47)=MONTH($A107)&amp;$F$98,$CH$12:$CH$47))</f>
        <v>153906.947265625</v>
      </c>
      <c r="G107" s="234" t="n">
        <f aca="false" t="array" ref="G107:G107">SUM(IF(MONTH([2]EnergyCurve!$D$3:$D$272)&amp;YEAR([2]EnergyCurve!$D$3:$D$272)=MONTH($A107)&amp;$F$98,[2]EnergyCurve!$P$3:$P$272))+SUM(IF(MONTH([2]EnergyCurve!$D$3:$D$272)&amp;YEAR([2]EnergyCurve!$D$3:$D$272)=MONTH($A107)&amp;$F$98,[2]EnergyCurve!$R$3:$R$272))+SUM(IF(MONTH($CB$56:$CB$91)&amp;YEAR($CB$56:$CB$91)=MONTH($A107)&amp;$F$98,$CH$56:$CH$91))</f>
        <v>121663.16796875</v>
      </c>
      <c r="H107" s="234" t="n">
        <f aca="false" t="array" ref="H107:H107">SUM(IF(MONTH([2]EnergyCurve!$D$3:$D$272)&amp;YEAR([2]EnergyCurve!$D$3:$D$272)=MONTH($A107)&amp;$H$98,[2]EnergyCurve!$O$3:$O$272))+SUM(IF(MONTH([2]EnergyCurve!$D$3:$D$272)&amp;YEAR([2]EnergyCurve!$D$3:$D$272)=MONTH($A107)&amp;$H$98,[2]EnergyCurve!$Q$3:$Q$272))+SUM(IF(MONTH($CB$12:$CB$47)&amp;YEAR($CB$12:$CB$47)=MONTH($A107)&amp;$H$98,$CH$12:$CH$47))</f>
        <v>154101.7578125</v>
      </c>
      <c r="I107" s="234" t="n">
        <f aca="false" t="array" ref="I107:I107">SUM(IF(MONTH([2]EnergyCurve!$D$3:$D$272)&amp;YEAR([2]EnergyCurve!$D$3:$D$272)=MONTH($A107)&amp;$H$98,[2]EnergyCurve!$P$3:$P$272))+SUM(IF(MONTH([2]EnergyCurve!$D$3:$D$272)&amp;YEAR([2]EnergyCurve!$D$3:$D$272)=MONTH($A107)&amp;$H$98,[2]EnergyCurve!$R$3:$R$272))+SUM(IF(MONTH($CB$56:$CB$91)&amp;YEAR($CB$56:$CB$91)=MONTH($A107)&amp;$H$98,$CH$56:$CH$91))</f>
        <v>111469.4375</v>
      </c>
      <c r="J107" s="234" t="n">
        <f aca="false" t="array" ref="J107:J107">SUM(IF(MONTH([2]EnergyCurve!$D$3:$D$272)&amp;YEAR([2]EnergyCurve!$D$3:$D$272)=MONTH($A107)&amp;$J$98,[2]EnergyCurve!$O$3:$O$272))+SUM(IF(MONTH([2]EnergyCurve!$D$3:$D$272)&amp;YEAR([2]EnergyCurve!$D$3:$D$272)=MONTH($A107)&amp;$J$98,[2]EnergyCurve!$Q$3:$Q$272))+SUM(IF(MONTH($CB$12:$CB$47)&amp;YEAR($CB$12:$CB$47)=MONTH($A107)&amp;$J$98,$CH$12:$CH$47))</f>
        <v>171465.564453125</v>
      </c>
      <c r="K107" s="234" t="n">
        <f aca="false" t="array" ref="K107:K107">SUM(IF(MONTH([2]EnergyCurve!$D$3:$D$272)&amp;YEAR([2]EnergyCurve!$D$3:$D$272)=MONTH($A107)&amp;$J$98,[2]EnergyCurve!$P$3:$P$272))+SUM(IF(MONTH([2]EnergyCurve!$D$3:$D$272)&amp;YEAR([2]EnergyCurve!$D$3:$D$272)=MONTH($A107)&amp;$J$98,[2]EnergyCurve!$R$3:$R$272))+SUM(IF(MONTH($CB$56:$CB$91)&amp;YEAR($CB$56:$CB$91)=MONTH($A107)&amp;$J$98,$CH$56:$CH$91))</f>
        <v>123847.908203125</v>
      </c>
      <c r="L107" s="234" t="n">
        <f aca="false" t="array" ref="L107:L107">SUM(IF(MONTH([2]EnergyCurve!$D$3:$D$272)&amp;YEAR([2]EnergyCurve!$D$3:$D$272)=MONTH($A107)&amp;$L$98,[2]EnergyCurve!$O$3:$O$272))+SUM(IF(MONTH([2]EnergyCurve!$D$3:$D$272)&amp;YEAR([2]EnergyCurve!$D$3:$D$272)=MONTH($A107)&amp;$L$98,[2]EnergyCurve!$Q$3:$Q$272))+SUM(IF(MONTH($CB$12:$CB$47)&amp;YEAR($CB$12:$CB$47)=MONTH($A107)&amp;$L$98,$CH$12:$CH$47))</f>
        <v>161894.236328125</v>
      </c>
      <c r="M107" s="234" t="n">
        <f aca="false" t="array" ref="M107:M107">SUM(IF(MONTH([2]EnergyCurve!$D$3:$D$272)&amp;YEAR([2]EnergyCurve!$D$3:$D$272)=MONTH($A107)&amp;$L$98,[2]EnergyCurve!$P$3:$P$272))+SUM(IF(MONTH([2]EnergyCurve!$D$3:$D$272)&amp;YEAR([2]EnergyCurve!$D$3:$D$272)=MONTH($A107)&amp;$L$98,[2]EnergyCurve!$R$3:$R$272))+SUM(IF(MONTH($CB$56:$CB$91)&amp;YEAR($CB$56:$CB$91)=MONTH($A107)&amp;$L$98,$CH$56:$CH$91))</f>
        <v>116923.611328125</v>
      </c>
      <c r="N107" s="234" t="n">
        <f aca="false" t="array" ref="N107:N107">SUM(IF(MONTH([2]EnergyCurve!$D$3:$D$272)&amp;YEAR([2]EnergyCurve!$D$3:$D$272)=MONTH($A107)&amp;$N$98,[2]EnergyCurve!$O$3:$O$272))+SUM(IF(MONTH([2]EnergyCurve!$D$3:$D$272)&amp;YEAR([2]EnergyCurve!$D$3:$D$272)=MONTH($A107)&amp;$N$98,[2]EnergyCurve!$Q$3:$Q$272))+SUM(IF(MONTH($CB$12:$CB$47)&amp;YEAR($CB$12:$CB$47)=MONTH($A107)&amp;$N$98,$CH$12:$CH$47))</f>
        <v>150636.765625</v>
      </c>
      <c r="O107" s="235" t="n">
        <f aca="false" t="array" ref="O107:O107">SUM(IF(MONTH([2]EnergyCurve!$D$3:$D$272)&amp;YEAR([2]EnergyCurve!$D$3:$D$272)=MONTH($A107)&amp;$N$98,[2]EnergyCurve!$P$3:$P$272))+SUM(IF(MONTH([2]EnergyCurve!$D$3:$D$272)&amp;YEAR([2]EnergyCurve!$D$3:$D$272)=MONTH($A107)&amp;$N$98,[2]EnergyCurve!$R$3:$R$272))+SUM(IF(MONTH($CB$56:$CB$91)&amp;YEAR($CB$56:$CB$91)=MONTH($A107)&amp;$N$98,$CH$56:$CH$91))</f>
        <v>118771.296875</v>
      </c>
      <c r="P107" s="234" t="n">
        <f aca="false" t="array" ref="P107:P107">SUM(IF(MONTH([2]EnergyCurve!$D$3:$D$272)=MONTH($A107),[2]EnergyCurve!$O$3:$O$272))+SUM(IF(MONTH([2]EnergyCurve!$D$3:$D$272)=MONTH($A107),[2]EnergyCurve!$Q$3:$Q$272))+SUM(IF(MONTH($CB$12:$CB$47)=MONTH($A107),$CH$12:$CH$47))</f>
        <v>2436096.60131133</v>
      </c>
      <c r="Q107" s="234" t="n">
        <f aca="false" t="array" ref="Q107:Q107">SUM(IF(MONTH([2]EnergyCurve!$D$3:$D$272)=MONTH($A107),[2]EnergyCurve!$P$3:$P$272))+SUM(IF(MONTH([2]EnergyCurve!$D$3:$D$272)=MONTH($A107),[2]EnergyCurve!$R$3:$R$272))+SUM(IF(MONTH($CB$56:$CB$91)=MONTH($A107),$CH$56:$CH$91))</f>
        <v>1903583.03710938</v>
      </c>
      <c r="R107" s="229"/>
      <c r="S107" s="229"/>
      <c r="T107" s="229"/>
      <c r="U107" s="9"/>
      <c r="W107" s="9"/>
      <c r="X107" s="230"/>
      <c r="Y107" s="229"/>
      <c r="Z107" s="146"/>
      <c r="AA107" s="236"/>
      <c r="AB107" s="236"/>
      <c r="AC107" s="143"/>
      <c r="AD107" s="46"/>
      <c r="AE107" s="46"/>
      <c r="AF107" s="46"/>
      <c r="AG107" s="46"/>
      <c r="AH107" s="46"/>
      <c r="AI107" s="46"/>
      <c r="AL107" s="21"/>
      <c r="AR107" s="21"/>
      <c r="DJ107" s="107" t="n">
        <f aca="false">DJ39</f>
        <v>38018</v>
      </c>
      <c r="DK107" s="2" t="n">
        <f aca="false">VLOOKUP(DJ107,$DM$13:$DR$252,6)</f>
        <v>29</v>
      </c>
      <c r="DL107" s="2" t="n">
        <f aca="false">IF($L$6=0,VLOOKUP(DJ107,$DM$13:$DQ$252,5)+VLOOKUP(DJ107,$DM$13:$DQ$252,4),VLOOKUP(DJ107,$DU$13:$DY$252,5)+VLOOKUP(DJ107,$DU$13:$DY$252,4))</f>
        <v>5</v>
      </c>
      <c r="DM107" s="130" t="n">
        <v>39753</v>
      </c>
      <c r="DN107" s="22" t="n">
        <v>19</v>
      </c>
      <c r="DO107" s="22" t="n">
        <v>5</v>
      </c>
      <c r="DP107" s="22" t="n">
        <v>5</v>
      </c>
      <c r="DQ107" s="22" t="n">
        <v>1</v>
      </c>
      <c r="DR107" s="22" t="n">
        <v>30</v>
      </c>
      <c r="DS107" s="111"/>
      <c r="DT107" s="111"/>
      <c r="DU107" s="130" t="n">
        <v>39753</v>
      </c>
      <c r="DV107" s="22" t="n">
        <v>19</v>
      </c>
      <c r="DW107" s="22" t="n">
        <v>5</v>
      </c>
      <c r="DX107" s="22" t="n">
        <v>5</v>
      </c>
      <c r="DY107" s="22" t="n">
        <v>1</v>
      </c>
      <c r="DZ107" s="22" t="n">
        <v>30</v>
      </c>
      <c r="EA107" s="111"/>
      <c r="EB107" s="111"/>
    </row>
    <row r="108" customFormat="false" ht="15.75" hidden="false" customHeight="true" outlineLevel="0" collapsed="false">
      <c r="A108" s="233" t="n">
        <v>36770</v>
      </c>
      <c r="B108" s="234" t="n">
        <f aca="false" t="array" ref="B108:B108">SUM(IF(MONTH([2]EnergyCurve!$D$3:$D$272)&amp;YEAR([2]EnergyCurve!$D$3:$D$272)=MONTH($A108)&amp;$B$98,[2]EnergyCurve!$O$3:$O$272))+SUM(IF(MONTH([2]EnergyCurve!$D$3:$D$272)&amp;YEAR([2]EnergyCurve!$D$3:$D$272)=MONTH($A108)&amp;$B$98,[2]EnergyCurve!$Q$3:$Q$272))+SUM(IF(MONTH($CB$12:$CB$47)&amp;YEAR($CB$12:$CB$47)=MONTH($A108)&amp;$B$98,$CH$12:$CH$47))</f>
        <v>138723.753644597</v>
      </c>
      <c r="C108" s="234" t="n">
        <f aca="false" t="array" ref="C108:C108">SUM(IF(MONTH([2]EnergyCurve!$D$3:$D$272)&amp;YEAR([2]EnergyCurve!$D$3:$D$272)=MONTH($A108)&amp;$B$98,[2]EnergyCurve!$P$3:$P$272))+SUM(IF(MONTH([2]EnergyCurve!$D$3:$D$272)&amp;YEAR([2]EnergyCurve!$D$3:$D$272)=MONTH($A108)&amp;$B$98,[2]EnergyCurve!$R$3:$R$272))+SUM(IF(MONTH($CB$56:$CB$91)&amp;YEAR($CB$56:$CB$91)=MONTH($A108)&amp;$B$98,$CH$56:$CH$91))</f>
        <v>197866.28125</v>
      </c>
      <c r="D108" s="234" t="n">
        <f aca="false" t="array" ref="D108:D108">SUM(IF(MONTH([2]EnergyCurve!$D$3:$D$272)&amp;YEAR([2]EnergyCurve!$D$3:$D$272)=MONTH($A108)&amp;$D$98,[2]EnergyCurve!$O$3:$O$272))+SUM(IF(MONTH([2]EnergyCurve!$D$3:$D$272)&amp;YEAR([2]EnergyCurve!$D$3:$D$272)=MONTH($A108)&amp;$D$98,[2]EnergyCurve!$Q$3:$Q$272))+SUM(IF(MONTH($CB$12:$CB$47)&amp;YEAR($CB$12:$CB$47)=MONTH($A108)&amp;$D$98,$CH$12:$CH$47))</f>
        <v>227422.33984375</v>
      </c>
      <c r="E108" s="234" t="n">
        <f aca="false" t="array" ref="E108:E108">SUM(IF(MONTH([2]EnergyCurve!$D$3:$D$272)&amp;YEAR([2]EnergyCurve!$D$3:$D$272)=MONTH($A108)&amp;$D$98,[2]EnergyCurve!$P$3:$P$272))+SUM(IF(MONTH([2]EnergyCurve!$D$3:$D$272)&amp;YEAR([2]EnergyCurve!$D$3:$D$272)=MONTH($A108)&amp;$D$98,[2]EnergyCurve!$R$3:$R$272))+SUM(IF(MONTH($CB$56:$CB$91)&amp;YEAR($CB$56:$CB$91)=MONTH($A108)&amp;$D$98,$CH$56:$CH$91))</f>
        <v>182275.29296875</v>
      </c>
      <c r="F108" s="234" t="n">
        <f aca="false" t="array" ref="F108:F108">SUM(IF(MONTH([2]EnergyCurve!$D$3:$D$272)&amp;YEAR([2]EnergyCurve!$D$3:$D$272)=MONTH($A108)&amp;$F$98,[2]EnergyCurve!$O$3:$O$272))+SUM(IF(MONTH([2]EnergyCurve!$D$3:$D$272)&amp;YEAR([2]EnergyCurve!$D$3:$D$272)=MONTH($A108)&amp;$F$98,[2]EnergyCurve!$Q$3:$Q$272))+SUM(IF(MONTH($CB$12:$CB$47)&amp;YEAR($CB$12:$CB$47)=MONTH($A108)&amp;$F$98,$CH$12:$CH$47))</f>
        <v>147341.408203125</v>
      </c>
      <c r="G108" s="234" t="n">
        <f aca="false" t="array" ref="G108:G108">SUM(IF(MONTH([2]EnergyCurve!$D$3:$D$272)&amp;YEAR([2]EnergyCurve!$D$3:$D$272)=MONTH($A108)&amp;$F$98,[2]EnergyCurve!$P$3:$P$272))+SUM(IF(MONTH([2]EnergyCurve!$D$3:$D$272)&amp;YEAR([2]EnergyCurve!$D$3:$D$272)=MONTH($A108)&amp;$F$98,[2]EnergyCurve!$R$3:$R$272))+SUM(IF(MONTH($CB$56:$CB$91)&amp;YEAR($CB$56:$CB$91)=MONTH($A108)&amp;$F$98,$CH$56:$CH$91))</f>
        <v>118149.40234375</v>
      </c>
      <c r="H108" s="234" t="n">
        <f aca="false" t="array" ref="H108:H108">SUM(IF(MONTH([2]EnergyCurve!$D$3:$D$272)&amp;YEAR([2]EnergyCurve!$D$3:$D$272)=MONTH($A108)&amp;$H$98,[2]EnergyCurve!$O$3:$O$272))+SUM(IF(MONTH([2]EnergyCurve!$D$3:$D$272)&amp;YEAR([2]EnergyCurve!$D$3:$D$272)=MONTH($A108)&amp;$H$98,[2]EnergyCurve!$Q$3:$Q$272))+SUM(IF(MONTH($CB$12:$CB$47)&amp;YEAR($CB$12:$CB$47)=MONTH($A108)&amp;$H$98,$CH$12:$CH$47))</f>
        <v>141998.04296875</v>
      </c>
      <c r="I108" s="234" t="n">
        <f aca="false" t="array" ref="I108:I108">SUM(IF(MONTH([2]EnergyCurve!$D$3:$D$272)&amp;YEAR([2]EnergyCurve!$D$3:$D$272)=MONTH($A108)&amp;$H$98,[2]EnergyCurve!$P$3:$P$272))+SUM(IF(MONTH([2]EnergyCurve!$D$3:$D$272)&amp;YEAR([2]EnergyCurve!$D$3:$D$272)=MONTH($A108)&amp;$H$98,[2]EnergyCurve!$R$3:$R$272))+SUM(IF(MONTH($CB$56:$CB$91)&amp;YEAR($CB$56:$CB$91)=MONTH($A108)&amp;$H$98,$CH$56:$CH$91))</f>
        <v>113753.56640625</v>
      </c>
      <c r="J108" s="234" t="n">
        <f aca="false" t="array" ref="J108:J108">SUM(IF(MONTH([2]EnergyCurve!$D$3:$D$272)&amp;YEAR([2]EnergyCurve!$D$3:$D$272)=MONTH($A108)&amp;$J$98,[2]EnergyCurve!$O$3:$O$272))+SUM(IF(MONTH([2]EnergyCurve!$D$3:$D$272)&amp;YEAR([2]EnergyCurve!$D$3:$D$272)=MONTH($A108)&amp;$J$98,[2]EnergyCurve!$Q$3:$Q$272))+SUM(IF(MONTH($CB$12:$CB$47)&amp;YEAR($CB$12:$CB$47)=MONTH($A108)&amp;$J$98,$CH$12:$CH$47))</f>
        <v>157942.451171875</v>
      </c>
      <c r="K108" s="234" t="n">
        <f aca="false" t="array" ref="K108:K108">SUM(IF(MONTH([2]EnergyCurve!$D$3:$D$272)&amp;YEAR([2]EnergyCurve!$D$3:$D$272)=MONTH($A108)&amp;$J$98,[2]EnergyCurve!$P$3:$P$272))+SUM(IF(MONTH([2]EnergyCurve!$D$3:$D$272)&amp;YEAR([2]EnergyCurve!$D$3:$D$272)=MONTH($A108)&amp;$J$98,[2]EnergyCurve!$R$3:$R$272))+SUM(IF(MONTH($CB$56:$CB$91)&amp;YEAR($CB$56:$CB$91)=MONTH($A108)&amp;$J$98,$CH$56:$CH$91))</f>
        <v>126361.03515625</v>
      </c>
      <c r="L108" s="234" t="n">
        <f aca="false" t="array" ref="L108:L108">SUM(IF(MONTH([2]EnergyCurve!$D$3:$D$272)&amp;YEAR([2]EnergyCurve!$D$3:$D$272)=MONTH($A108)&amp;$L$98,[2]EnergyCurve!$O$3:$O$272))+SUM(IF(MONTH([2]EnergyCurve!$D$3:$D$272)&amp;YEAR([2]EnergyCurve!$D$3:$D$272)=MONTH($A108)&amp;$L$98,[2]EnergyCurve!$Q$3:$Q$272))+SUM(IF(MONTH($CB$12:$CB$47)&amp;YEAR($CB$12:$CB$47)=MONTH($A108)&amp;$L$98,$CH$12:$CH$47))</f>
        <v>143166.4453125</v>
      </c>
      <c r="M108" s="234" t="n">
        <f aca="false" t="array" ref="M108:M108">SUM(IF(MONTH([2]EnergyCurve!$D$3:$D$272)&amp;YEAR([2]EnergyCurve!$D$3:$D$272)=MONTH($A108)&amp;$L$98,[2]EnergyCurve!$P$3:$P$272))+SUM(IF(MONTH([2]EnergyCurve!$D$3:$D$272)&amp;YEAR([2]EnergyCurve!$D$3:$D$272)=MONTH($A108)&amp;$L$98,[2]EnergyCurve!$R$3:$R$272))+SUM(IF(MONTH($CB$56:$CB$91)&amp;YEAR($CB$56:$CB$91)=MONTH($A108)&amp;$L$98,$CH$56:$CH$91))</f>
        <v>125270.64453125</v>
      </c>
      <c r="N108" s="234" t="n">
        <f aca="false" t="array" ref="N108:N108">SUM(IF(MONTH([2]EnergyCurve!$D$3:$D$272)&amp;YEAR([2]EnergyCurve!$D$3:$D$272)=MONTH($A108)&amp;$N$98,[2]EnergyCurve!$O$3:$O$272))+SUM(IF(MONTH([2]EnergyCurve!$D$3:$D$272)&amp;YEAR([2]EnergyCurve!$D$3:$D$272)=MONTH($A108)&amp;$N$98,[2]EnergyCurve!$Q$3:$Q$272))+SUM(IF(MONTH($CB$12:$CB$47)&amp;YEAR($CB$12:$CB$47)=MONTH($A108)&amp;$N$98,$CH$12:$CH$47))</f>
        <v>144070.201171875</v>
      </c>
      <c r="O108" s="235" t="n">
        <f aca="false" t="array" ref="O108:O108">SUM(IF(MONTH([2]EnergyCurve!$D$3:$D$272)&amp;YEAR([2]EnergyCurve!$D$3:$D$272)=MONTH($A108)&amp;$N$98,[2]EnergyCurve!$P$3:$P$272))+SUM(IF(MONTH([2]EnergyCurve!$D$3:$D$272)&amp;YEAR([2]EnergyCurve!$D$3:$D$272)=MONTH($A108)&amp;$N$98,[2]EnergyCurve!$R$3:$R$272))+SUM(IF(MONTH($CB$56:$CB$91)&amp;YEAR($CB$56:$CB$91)=MONTH($A108)&amp;$N$98,$CH$56:$CH$91))</f>
        <v>115256.158203125</v>
      </c>
      <c r="P108" s="234" t="n">
        <f aca="false" t="array" ref="P108:P108">SUM(IF(MONTH([2]EnergyCurve!$D$3:$D$272)=MONTH($A108),[2]EnergyCurve!$O$3:$O$272))+SUM(IF(MONTH([2]EnergyCurve!$D$3:$D$272)=MONTH($A108),[2]EnergyCurve!$Q$3:$Q$272))+SUM(IF(MONTH($CB$12:$CB$47)=MONTH($A108),$CH$12:$CH$47))</f>
        <v>2256371.64231647</v>
      </c>
      <c r="Q108" s="234" t="n">
        <f aca="false" t="array" ref="Q108:Q108">SUM(IF(MONTH([2]EnergyCurve!$D$3:$D$272)=MONTH($A108),[2]EnergyCurve!$P$3:$P$272))+SUM(IF(MONTH([2]EnergyCurve!$D$3:$D$272)=MONTH($A108),[2]EnergyCurve!$R$3:$R$272))+SUM(IF(MONTH($CB$56:$CB$91)=MONTH($A108),$CH$56:$CH$91))</f>
        <v>1929765.88964844</v>
      </c>
      <c r="R108" s="229"/>
      <c r="S108" s="229"/>
      <c r="T108" s="229"/>
      <c r="U108" s="9"/>
      <c r="W108" s="9"/>
      <c r="X108" s="230"/>
      <c r="Y108" s="229"/>
      <c r="Z108" s="146"/>
      <c r="AA108" s="16"/>
      <c r="AB108" s="16"/>
      <c r="AC108" s="143"/>
      <c r="AD108" s="46"/>
      <c r="AE108" s="46"/>
      <c r="AF108" s="46"/>
      <c r="AG108" s="46"/>
      <c r="AH108" s="46"/>
      <c r="AI108" s="46"/>
      <c r="AL108" s="21"/>
      <c r="AR108" s="21"/>
      <c r="DJ108" s="107" t="n">
        <f aca="false">DJ40</f>
        <v>38047</v>
      </c>
      <c r="DK108" s="2" t="n">
        <f aca="false">VLOOKUP(DJ108,$DM$13:$DR$252,6)</f>
        <v>31</v>
      </c>
      <c r="DL108" s="2" t="n">
        <f aca="false">IF($L$6=0,VLOOKUP(DJ108,$DM$13:$DQ$252,5)+VLOOKUP(DJ108,$DM$13:$DQ$252,4),VLOOKUP(DJ108,$DU$13:$DY$252,5)+VLOOKUP(DJ108,$DU$13:$DY$252,4))</f>
        <v>4</v>
      </c>
      <c r="DM108" s="130" t="n">
        <v>39783</v>
      </c>
      <c r="DN108" s="22" t="n">
        <v>21</v>
      </c>
      <c r="DO108" s="22" t="n">
        <v>4</v>
      </c>
      <c r="DP108" s="22" t="n">
        <v>4</v>
      </c>
      <c r="DQ108" s="22" t="n">
        <v>2</v>
      </c>
      <c r="DR108" s="22" t="n">
        <v>31</v>
      </c>
      <c r="DS108" s="111"/>
      <c r="DT108" s="111"/>
      <c r="DU108" s="130" t="n">
        <v>39783</v>
      </c>
      <c r="DV108" s="22" t="n">
        <v>22</v>
      </c>
      <c r="DW108" s="22" t="n">
        <v>4</v>
      </c>
      <c r="DX108" s="22" t="n">
        <v>4</v>
      </c>
      <c r="DY108" s="22" t="n">
        <v>1</v>
      </c>
      <c r="DZ108" s="22" t="n">
        <v>31</v>
      </c>
      <c r="EA108" s="111"/>
      <c r="EB108" s="111"/>
    </row>
    <row r="109" customFormat="false" ht="15" hidden="false" customHeight="true" outlineLevel="0" collapsed="false">
      <c r="A109" s="233" t="n">
        <v>36800</v>
      </c>
      <c r="B109" s="234" t="n">
        <f aca="false" t="array" ref="B109:B109">SUM(IF(MONTH([2]EnergyCurve!$D$3:$D$272)&amp;YEAR([2]EnergyCurve!$D$3:$D$272)=MONTH($A109)&amp;$B$98,[2]EnergyCurve!$O$3:$O$272))+SUM(IF(MONTH([2]EnergyCurve!$D$3:$D$272)&amp;YEAR([2]EnergyCurve!$D$3:$D$272)=MONTH($A109)&amp;$B$98,[2]EnergyCurve!$Q$3:$Q$272))+SUM(IF(MONTH($CB$12:$CB$47)&amp;YEAR($CB$12:$CB$47)=MONTH($A109)&amp;$B$98,$CH$12:$CH$47))</f>
        <v>40400.5664808228</v>
      </c>
      <c r="C109" s="234" t="n">
        <f aca="false" t="array" ref="C109:C109">SUM(IF(MONTH([2]EnergyCurve!$D$3:$D$272)&amp;YEAR([2]EnergyCurve!$D$3:$D$272)=MONTH($A109)&amp;$B$98,[2]EnergyCurve!$P$3:$P$272))+SUM(IF(MONTH([2]EnergyCurve!$D$3:$D$272)&amp;YEAR([2]EnergyCurve!$D$3:$D$272)=MONTH($A109)&amp;$B$98,[2]EnergyCurve!$R$3:$R$272))+SUM(IF(MONTH($CB$56:$CB$91)&amp;YEAR($CB$56:$CB$91)=MONTH($A109)&amp;$B$98,$CH$56:$CH$91))</f>
        <v>100566.421875</v>
      </c>
      <c r="D109" s="234" t="n">
        <f aca="false" t="array" ref="D109:D109">SUM(IF(MONTH([2]EnergyCurve!$D$3:$D$272)&amp;YEAR([2]EnergyCurve!$D$3:$D$272)=MONTH($A109)&amp;$D$98,[2]EnergyCurve!$O$3:$O$272))+SUM(IF(MONTH([2]EnergyCurve!$D$3:$D$272)&amp;YEAR([2]EnergyCurve!$D$3:$D$272)=MONTH($A109)&amp;$D$98,[2]EnergyCurve!$Q$3:$Q$272))+SUM(IF(MONTH($CB$12:$CB$47)&amp;YEAR($CB$12:$CB$47)=MONTH($A109)&amp;$D$98,$CH$12:$CH$47))</f>
        <v>244443.58984375</v>
      </c>
      <c r="E109" s="234" t="n">
        <f aca="false" t="array" ref="E109:E109">SUM(IF(MONTH([2]EnergyCurve!$D$3:$D$272)&amp;YEAR([2]EnergyCurve!$D$3:$D$272)=MONTH($A109)&amp;$D$98,[2]EnergyCurve!$P$3:$P$272))+SUM(IF(MONTH([2]EnergyCurve!$D$3:$D$272)&amp;YEAR([2]EnergyCurve!$D$3:$D$272)=MONTH($A109)&amp;$D$98,[2]EnergyCurve!$R$3:$R$272))+SUM(IF(MONTH($CB$56:$CB$91)&amp;YEAR($CB$56:$CB$91)=MONTH($A109)&amp;$D$98,$CH$56:$CH$91))</f>
        <v>177512.69140625</v>
      </c>
      <c r="F109" s="234" t="n">
        <f aca="false" t="array" ref="F109:F109">SUM(IF(MONTH([2]EnergyCurve!$D$3:$D$272)&amp;YEAR([2]EnergyCurve!$D$3:$D$272)=MONTH($A109)&amp;$F$98,[2]EnergyCurve!$O$3:$O$272))+SUM(IF(MONTH([2]EnergyCurve!$D$3:$D$272)&amp;YEAR([2]EnergyCurve!$D$3:$D$272)=MONTH($A109)&amp;$F$98,[2]EnergyCurve!$Q$3:$Q$272))+SUM(IF(MONTH($CB$12:$CB$47)&amp;YEAR($CB$12:$CB$47)=MONTH($A109)&amp;$F$98,$CH$12:$CH$47))</f>
        <v>152704.443359375</v>
      </c>
      <c r="G109" s="234" t="n">
        <f aca="false" t="array" ref="G109:G109">SUM(IF(MONTH([2]EnergyCurve!$D$3:$D$272)&amp;YEAR([2]EnergyCurve!$D$3:$D$272)=MONTH($A109)&amp;$F$98,[2]EnergyCurve!$P$3:$P$272))+SUM(IF(MONTH([2]EnergyCurve!$D$3:$D$272)&amp;YEAR([2]EnergyCurve!$D$3:$D$272)=MONTH($A109)&amp;$F$98,[2]EnergyCurve!$R$3:$R$272))+SUM(IF(MONTH($CB$56:$CB$91)&amp;YEAR($CB$56:$CB$91)=MONTH($A109)&amp;$F$98,$CH$56:$CH$91))</f>
        <v>121039.208984375</v>
      </c>
      <c r="H109" s="234" t="n">
        <f aca="false" t="array" ref="H109:H109">SUM(IF(MONTH([2]EnergyCurve!$D$3:$D$272)&amp;YEAR([2]EnergyCurve!$D$3:$D$272)=MONTH($A109)&amp;$H$98,[2]EnergyCurve!$O$3:$O$272))+SUM(IF(MONTH([2]EnergyCurve!$D$3:$D$272)&amp;YEAR([2]EnergyCurve!$D$3:$D$272)=MONTH($A109)&amp;$H$98,[2]EnergyCurve!$Q$3:$Q$272))+SUM(IF(MONTH($CB$12:$CB$47)&amp;YEAR($CB$12:$CB$47)=MONTH($A109)&amp;$H$98,$CH$12:$CH$47))</f>
        <v>146601.298828125</v>
      </c>
      <c r="I109" s="234" t="n">
        <f aca="false" t="array" ref="I109:I109">SUM(IF(MONTH([2]EnergyCurve!$D$3:$D$272)&amp;YEAR([2]EnergyCurve!$D$3:$D$272)=MONTH($A109)&amp;$H$98,[2]EnergyCurve!$P$3:$P$272))+SUM(IF(MONTH([2]EnergyCurve!$D$3:$D$272)&amp;YEAR([2]EnergyCurve!$D$3:$D$272)=MONTH($A109)&amp;$H$98,[2]EnergyCurve!$R$3:$R$272))+SUM(IF(MONTH($CB$56:$CB$91)&amp;YEAR($CB$56:$CB$91)=MONTH($A109)&amp;$H$98,$CH$56:$CH$91))</f>
        <v>116138.650390625</v>
      </c>
      <c r="J109" s="234" t="n">
        <f aca="false" t="array" ref="J109:J109">SUM(IF(MONTH([2]EnergyCurve!$D$3:$D$272)&amp;YEAR([2]EnergyCurve!$D$3:$D$272)=MONTH($A109)&amp;$J$98,[2]EnergyCurve!$O$3:$O$272))+SUM(IF(MONTH([2]EnergyCurve!$D$3:$D$272)&amp;YEAR([2]EnergyCurve!$D$3:$D$272)=MONTH($A109)&amp;$J$98,[2]EnergyCurve!$Q$3:$Q$272))+SUM(IF(MONTH($CB$12:$CB$47)&amp;YEAR($CB$12:$CB$47)=MONTH($A109)&amp;$J$98,$CH$12:$CH$47))</f>
        <v>163472.796875</v>
      </c>
      <c r="K109" s="234" t="n">
        <f aca="false" t="array" ref="K109:K109">SUM(IF(MONTH([2]EnergyCurve!$D$3:$D$272)&amp;YEAR([2]EnergyCurve!$D$3:$D$272)=MONTH($A109)&amp;$J$98,[2]EnergyCurve!$P$3:$P$272))+SUM(IF(MONTH([2]EnergyCurve!$D$3:$D$272)&amp;YEAR([2]EnergyCurve!$D$3:$D$272)=MONTH($A109)&amp;$J$98,[2]EnergyCurve!$R$3:$R$272))+SUM(IF(MONTH($CB$56:$CB$91)&amp;YEAR($CB$56:$CB$91)=MONTH($A109)&amp;$J$98,$CH$56:$CH$91))</f>
        <v>129289.65234375</v>
      </c>
      <c r="L109" s="234" t="n">
        <f aca="false" t="array" ref="L109:L109">SUM(IF(MONTH([2]EnergyCurve!$D$3:$D$272)&amp;YEAR([2]EnergyCurve!$D$3:$D$272)=MONTH($A109)&amp;$L$98,[2]EnergyCurve!$O$3:$O$272))+SUM(IF(MONTH([2]EnergyCurve!$D$3:$D$272)&amp;YEAR([2]EnergyCurve!$D$3:$D$272)=MONTH($A109)&amp;$L$98,[2]EnergyCurve!$Q$3:$Q$272))+SUM(IF(MONTH($CB$12:$CB$47)&amp;YEAR($CB$12:$CB$47)=MONTH($A109)&amp;$L$98,$CH$12:$CH$47))</f>
        <v>160244.76171875</v>
      </c>
      <c r="M109" s="234" t="n">
        <f aca="false" t="array" ref="M109:M109">SUM(IF(MONTH([2]EnergyCurve!$D$3:$D$272)&amp;YEAR([2]EnergyCurve!$D$3:$D$272)=MONTH($A109)&amp;$L$98,[2]EnergyCurve!$P$3:$P$272))+SUM(IF(MONTH([2]EnergyCurve!$D$3:$D$272)&amp;YEAR([2]EnergyCurve!$D$3:$D$272)=MONTH($A109)&amp;$L$98,[2]EnergyCurve!$R$3:$R$272))+SUM(IF(MONTH($CB$56:$CB$91)&amp;YEAR($CB$56:$CB$91)=MONTH($A109)&amp;$L$98,$CH$56:$CH$91))</f>
        <v>116103.26171875</v>
      </c>
      <c r="N109" s="234" t="n">
        <f aca="false" t="array" ref="N109:N109">SUM(IF(MONTH([2]EnergyCurve!$D$3:$D$272)&amp;YEAR([2]EnergyCurve!$D$3:$D$272)=MONTH($A109)&amp;$N$98,[2]EnergyCurve!$O$3:$O$272))+SUM(IF(MONTH([2]EnergyCurve!$D$3:$D$272)&amp;YEAR([2]EnergyCurve!$D$3:$D$272)=MONTH($A109)&amp;$N$98,[2]EnergyCurve!$Q$3:$Q$272))+SUM(IF(MONTH($CB$12:$CB$47)&amp;YEAR($CB$12:$CB$47)=MONTH($A109)&amp;$N$98,$CH$12:$CH$47))</f>
        <v>154738.70703125</v>
      </c>
      <c r="O109" s="235" t="n">
        <f aca="false" t="array" ref="O109:O109">SUM(IF(MONTH([2]EnergyCurve!$D$3:$D$272)&amp;YEAR([2]EnergyCurve!$D$3:$D$272)=MONTH($A109)&amp;$N$98,[2]EnergyCurve!$P$3:$P$272))+SUM(IF(MONTH([2]EnergyCurve!$D$3:$D$272)&amp;YEAR([2]EnergyCurve!$D$3:$D$272)=MONTH($A109)&amp;$N$98,[2]EnergyCurve!$R$3:$R$272))+SUM(IF(MONTH($CB$56:$CB$91)&amp;YEAR($CB$56:$CB$91)=MONTH($A109)&amp;$N$98,$CH$56:$CH$91))</f>
        <v>112113.92578125</v>
      </c>
      <c r="P109" s="234" t="n">
        <f aca="false" t="array" ref="P109:P109">SUM(IF(MONTH([2]EnergyCurve!$D$3:$D$272)=MONTH($A109),[2]EnergyCurve!$O$3:$O$272))+SUM(IF(MONTH([2]EnergyCurve!$D$3:$D$272)=MONTH($A109),[2]EnergyCurve!$Q$3:$Q$272))+SUM(IF(MONTH($CB$12:$CB$47)=MONTH($A109),$CH$12:$CH$47))</f>
        <v>2310487.48298473</v>
      </c>
      <c r="Q109" s="234" t="n">
        <f aca="false" t="array" ref="Q109:Q109">SUM(IF(MONTH([2]EnergyCurve!$D$3:$D$272)=MONTH($A109),[2]EnergyCurve!$P$3:$P$272))+SUM(IF(MONTH([2]EnergyCurve!$D$3:$D$272)=MONTH($A109),[2]EnergyCurve!$R$3:$R$272))+SUM(IF(MONTH($CB$56:$CB$91)=MONTH($A109),$CH$56:$CH$91))</f>
        <v>1837988.43896484</v>
      </c>
      <c r="R109" s="229"/>
      <c r="S109" s="229"/>
      <c r="T109" s="229"/>
      <c r="U109" s="9"/>
      <c r="W109" s="9"/>
      <c r="X109" s="230"/>
      <c r="Y109" s="229"/>
      <c r="Z109" s="231"/>
      <c r="AA109" s="232"/>
      <c r="AB109" s="232"/>
      <c r="AC109" s="143"/>
      <c r="AD109" s="46"/>
      <c r="AE109" s="46"/>
      <c r="AF109" s="46"/>
      <c r="AG109" s="46"/>
      <c r="AH109" s="46"/>
      <c r="AI109" s="46"/>
      <c r="AL109" s="21"/>
      <c r="AR109" s="21"/>
      <c r="DJ109" s="107" t="n">
        <f aca="false">DJ41</f>
        <v>38078</v>
      </c>
      <c r="DK109" s="2" t="n">
        <f aca="false">VLOOKUP(DJ109,$DM$13:$DR$252,6)</f>
        <v>30</v>
      </c>
      <c r="DL109" s="2" t="n">
        <f aca="false">IF($L$6=0,VLOOKUP(DJ109,$DM$13:$DQ$252,5)+VLOOKUP(DJ109,$DM$13:$DQ$252,4),VLOOKUP(DJ109,$DU$13:$DY$252,5)+VLOOKUP(DJ109,$DU$13:$DY$252,4))</f>
        <v>4</v>
      </c>
      <c r="DM109" s="130" t="n">
        <v>39814</v>
      </c>
      <c r="DN109" s="22" t="n">
        <v>21</v>
      </c>
      <c r="DO109" s="22" t="n">
        <v>5</v>
      </c>
      <c r="DP109" s="22" t="n">
        <v>4</v>
      </c>
      <c r="DQ109" s="22" t="n">
        <v>1</v>
      </c>
      <c r="DR109" s="22" t="n">
        <v>31</v>
      </c>
      <c r="DS109" s="111"/>
      <c r="DT109" s="111"/>
      <c r="DU109" s="130" t="n">
        <v>39814</v>
      </c>
      <c r="DV109" s="22" t="n">
        <v>21</v>
      </c>
      <c r="DW109" s="22" t="n">
        <v>5</v>
      </c>
      <c r="DX109" s="22" t="n">
        <v>4</v>
      </c>
      <c r="DY109" s="22" t="n">
        <v>1</v>
      </c>
      <c r="DZ109" s="22" t="n">
        <v>31</v>
      </c>
      <c r="EA109" s="111"/>
      <c r="EB109" s="111"/>
    </row>
    <row r="110" customFormat="false" ht="15.75" hidden="false" customHeight="true" outlineLevel="0" collapsed="false">
      <c r="A110" s="233" t="n">
        <v>36831</v>
      </c>
      <c r="B110" s="234" t="n">
        <f aca="false" t="array" ref="B110:B110">SUM(IF(MONTH([2]EnergyCurve!$D$3:$D$272)&amp;YEAR([2]EnergyCurve!$D$3:$D$272)=MONTH($A110)&amp;$B$98,[2]EnergyCurve!$O$3:$O$272))+SUM(IF(MONTH([2]EnergyCurve!$D$3:$D$272)&amp;YEAR([2]EnergyCurve!$D$3:$D$272)=MONTH($A110)&amp;$B$98,[2]EnergyCurve!$Q$3:$Q$272))+SUM(IF(MONTH($CB$12:$CB$47)&amp;YEAR($CB$12:$CB$47)=MONTH($A110)&amp;$B$98,$CH$12:$CH$47))</f>
        <v>38491.1260554642</v>
      </c>
      <c r="C110" s="234" t="n">
        <f aca="false" t="array" ref="C110:C110">SUM(IF(MONTH([2]EnergyCurve!$D$3:$D$272)&amp;YEAR([2]EnergyCurve!$D$3:$D$272)=MONTH($A110)&amp;$B$98,[2]EnergyCurve!$P$3:$P$272))+SUM(IF(MONTH([2]EnergyCurve!$D$3:$D$272)&amp;YEAR([2]EnergyCurve!$D$3:$D$272)=MONTH($A110)&amp;$B$98,[2]EnergyCurve!$R$3:$R$272))+SUM(IF(MONTH($CB$56:$CB$91)&amp;YEAR($CB$56:$CB$91)=MONTH($A110)&amp;$B$98,$CH$56:$CH$91))</f>
        <v>103332.533203125</v>
      </c>
      <c r="D110" s="234" t="n">
        <f aca="false" t="array" ref="D110:D110">SUM(IF(MONTH([2]EnergyCurve!$D$3:$D$272)&amp;YEAR([2]EnergyCurve!$D$3:$D$272)=MONTH($A110)&amp;$D$98,[2]EnergyCurve!$O$3:$O$272))+SUM(IF(MONTH([2]EnergyCurve!$D$3:$D$272)&amp;YEAR([2]EnergyCurve!$D$3:$D$272)=MONTH($A110)&amp;$D$98,[2]EnergyCurve!$Q$3:$Q$272))+SUM(IF(MONTH($CB$12:$CB$47)&amp;YEAR($CB$12:$CB$47)=MONTH($A110)&amp;$D$98,$CH$12:$CH$47))</f>
        <v>216987.4453125</v>
      </c>
      <c r="E110" s="234" t="n">
        <f aca="false" t="array" ref="E110:E110">SUM(IF(MONTH([2]EnergyCurve!$D$3:$D$272)&amp;YEAR([2]EnergyCurve!$D$3:$D$272)=MONTH($A110)&amp;$D$98,[2]EnergyCurve!$P$3:$P$272))+SUM(IF(MONTH([2]EnergyCurve!$D$3:$D$272)&amp;YEAR([2]EnergyCurve!$D$3:$D$272)=MONTH($A110)&amp;$D$98,[2]EnergyCurve!$R$3:$R$272))+SUM(IF(MONTH($CB$56:$CB$91)&amp;YEAR($CB$56:$CB$91)=MONTH($A110)&amp;$D$98,$CH$56:$CH$91))</f>
        <v>190292.1015625</v>
      </c>
      <c r="F110" s="234" t="n">
        <f aca="false" t="array" ref="F110:F110">SUM(IF(MONTH([2]EnergyCurve!$D$3:$D$272)&amp;YEAR([2]EnergyCurve!$D$3:$D$272)=MONTH($A110)&amp;$F$98,[2]EnergyCurve!$O$3:$O$272))+SUM(IF(MONTH([2]EnergyCurve!$D$3:$D$272)&amp;YEAR([2]EnergyCurve!$D$3:$D$272)=MONTH($A110)&amp;$F$98,[2]EnergyCurve!$Q$3:$Q$272))+SUM(IF(MONTH($CB$12:$CB$47)&amp;YEAR($CB$12:$CB$47)=MONTH($A110)&amp;$F$98,$CH$12:$CH$47))</f>
        <v>146425.515625</v>
      </c>
      <c r="G110" s="234" t="n">
        <f aca="false" t="array" ref="G110:G110">SUM(IF(MONTH([2]EnergyCurve!$D$3:$D$272)&amp;YEAR([2]EnergyCurve!$D$3:$D$272)=MONTH($A110)&amp;$F$98,[2]EnergyCurve!$P$3:$P$272))+SUM(IF(MONTH([2]EnergyCurve!$D$3:$D$272)&amp;YEAR([2]EnergyCurve!$D$3:$D$272)=MONTH($A110)&amp;$F$98,[2]EnergyCurve!$R$3:$R$272))+SUM(IF(MONTH($CB$56:$CB$91)&amp;YEAR($CB$56:$CB$91)=MONTH($A110)&amp;$F$98,$CH$56:$CH$91))</f>
        <v>117372.333984375</v>
      </c>
      <c r="H110" s="234" t="n">
        <f aca="false" t="array" ref="H110:H110">SUM(IF(MONTH([2]EnergyCurve!$D$3:$D$272)&amp;YEAR([2]EnergyCurve!$D$3:$D$272)=MONTH($A110)&amp;$H$98,[2]EnergyCurve!$O$3:$O$272))+SUM(IF(MONTH([2]EnergyCurve!$D$3:$D$272)&amp;YEAR([2]EnergyCurve!$D$3:$D$272)=MONTH($A110)&amp;$H$98,[2]EnergyCurve!$Q$3:$Q$272))+SUM(IF(MONTH($CB$12:$CB$47)&amp;YEAR($CB$12:$CB$47)=MONTH($A110)&amp;$H$98,$CH$12:$CH$47))</f>
        <v>140591.33984375</v>
      </c>
      <c r="I110" s="234" t="n">
        <f aca="false" t="array" ref="I110:I110">SUM(IF(MONTH([2]EnergyCurve!$D$3:$D$272)&amp;YEAR([2]EnergyCurve!$D$3:$D$272)=MONTH($A110)&amp;$H$98,[2]EnergyCurve!$P$3:$P$272))+SUM(IF(MONTH([2]EnergyCurve!$D$3:$D$272)&amp;YEAR([2]EnergyCurve!$D$3:$D$272)=MONTH($A110)&amp;$H$98,[2]EnergyCurve!$R$3:$R$272))+SUM(IF(MONTH($CB$56:$CB$91)&amp;YEAR($CB$56:$CB$91)=MONTH($A110)&amp;$H$98,$CH$56:$CH$91))</f>
        <v>112692.283203125</v>
      </c>
      <c r="J110" s="234" t="n">
        <f aca="false" t="array" ref="J110:J110">SUM(IF(MONTH([2]EnergyCurve!$D$3:$D$272)&amp;YEAR([2]EnergyCurve!$D$3:$D$272)=MONTH($A110)&amp;$J$98,[2]EnergyCurve!$O$3:$O$272))+SUM(IF(MONTH([2]EnergyCurve!$D$3:$D$272)&amp;YEAR([2]EnergyCurve!$D$3:$D$272)=MONTH($A110)&amp;$J$98,[2]EnergyCurve!$Q$3:$Q$272))+SUM(IF(MONTH($CB$12:$CB$47)&amp;YEAR($CB$12:$CB$47)=MONTH($A110)&amp;$J$98,$CH$12:$CH$47))</f>
        <v>156452.1953125</v>
      </c>
      <c r="K110" s="234" t="n">
        <f aca="false" t="array" ref="K110:K110">SUM(IF(MONTH([2]EnergyCurve!$D$3:$D$272)&amp;YEAR([2]EnergyCurve!$D$3:$D$272)=MONTH($A110)&amp;$J$98,[2]EnergyCurve!$P$3:$P$272))+SUM(IF(MONTH([2]EnergyCurve!$D$3:$D$272)&amp;YEAR([2]EnergyCurve!$D$3:$D$272)=MONTH($A110)&amp;$J$98,[2]EnergyCurve!$R$3:$R$272))+SUM(IF(MONTH($CB$56:$CB$91)&amp;YEAR($CB$56:$CB$91)=MONTH($A110)&amp;$J$98,$CH$56:$CH$91))</f>
        <v>125166.8828125</v>
      </c>
      <c r="L110" s="234" t="n">
        <f aca="false" t="array" ref="L110:L110">SUM(IF(MONTH([2]EnergyCurve!$D$3:$D$272)&amp;YEAR([2]EnergyCurve!$D$3:$D$272)=MONTH($A110)&amp;$L$98,[2]EnergyCurve!$O$3:$O$272))+SUM(IF(MONTH([2]EnergyCurve!$D$3:$D$272)&amp;YEAR([2]EnergyCurve!$D$3:$D$272)=MONTH($A110)&amp;$L$98,[2]EnergyCurve!$Q$3:$Q$272))+SUM(IF(MONTH($CB$12:$CB$47)&amp;YEAR($CB$12:$CB$47)=MONTH($A110)&amp;$L$98,$CH$12:$CH$47))</f>
        <v>147631</v>
      </c>
      <c r="M110" s="234" t="n">
        <f aca="false" t="array" ref="M110:M110">SUM(IF(MONTH([2]EnergyCurve!$D$3:$D$272)&amp;YEAR([2]EnergyCurve!$D$3:$D$272)=MONTH($A110)&amp;$L$98,[2]EnergyCurve!$P$3:$P$272))+SUM(IF(MONTH([2]EnergyCurve!$D$3:$D$272)&amp;YEAR([2]EnergyCurve!$D$3:$D$272)=MONTH($A110)&amp;$L$98,[2]EnergyCurve!$R$3:$R$272))+SUM(IF(MONTH($CB$56:$CB$91)&amp;YEAR($CB$56:$CB$91)=MONTH($A110)&amp;$L$98,$CH$56:$CH$91))</f>
        <v>118104.802734375</v>
      </c>
      <c r="N110" s="234" t="n">
        <f aca="false" t="array" ref="N110:N110">SUM(IF(MONTH([2]EnergyCurve!$D$3:$D$272)&amp;YEAR([2]EnergyCurve!$D$3:$D$272)=MONTH($A110)&amp;$N$98,[2]EnergyCurve!$O$3:$O$272))+SUM(IF(MONTH([2]EnergyCurve!$D$3:$D$272)&amp;YEAR([2]EnergyCurve!$D$3:$D$272)=MONTH($A110)&amp;$N$98,[2]EnergyCurve!$Q$3:$Q$272))+SUM(IF(MONTH($CB$12:$CB$47)&amp;YEAR($CB$12:$CB$47)=MONTH($A110)&amp;$N$98,$CH$12:$CH$47))</f>
        <v>136798.90625</v>
      </c>
      <c r="O110" s="235" t="n">
        <f aca="false" t="array" ref="O110:O110">SUM(IF(MONTH([2]EnergyCurve!$D$3:$D$272)&amp;YEAR([2]EnergyCurve!$D$3:$D$272)=MONTH($A110)&amp;$N$98,[2]EnergyCurve!$P$3:$P$272))+SUM(IF(MONTH([2]EnergyCurve!$D$3:$D$272)&amp;YEAR([2]EnergyCurve!$D$3:$D$272)=MONTH($A110)&amp;$N$98,[2]EnergyCurve!$R$3:$R$272))+SUM(IF(MONTH($CB$56:$CB$91)&amp;YEAR($CB$56:$CB$91)=MONTH($A110)&amp;$N$98,$CH$56:$CH$91))</f>
        <v>119699.046875</v>
      </c>
      <c r="P110" s="234" t="n">
        <f aca="false" t="array" ref="P110:P110">SUM(IF(MONTH([2]EnergyCurve!$D$3:$D$272)=MONTH($A110),[2]EnergyCurve!$O$3:$O$272))+SUM(IF(MONTH([2]EnergyCurve!$D$3:$D$272)=MONTH($A110),[2]EnergyCurve!$Q$3:$Q$272))+SUM(IF(MONTH($CB$12:$CB$47)=MONTH($A110),$CH$12:$CH$47))</f>
        <v>2222718.39656328</v>
      </c>
      <c r="Q110" s="234" t="n">
        <f aca="false" t="array" ref="Q110:Q110">SUM(IF(MONTH([2]EnergyCurve!$D$3:$D$272)=MONTH($A110),[2]EnergyCurve!$P$3:$P$272))+SUM(IF(MONTH([2]EnergyCurve!$D$3:$D$272)=MONTH($A110),[2]EnergyCurve!$R$3:$R$272))+SUM(IF(MONTH($CB$56:$CB$91)=MONTH($A110),$CH$56:$CH$91))</f>
        <v>1925915.1763916</v>
      </c>
      <c r="R110" s="229"/>
      <c r="S110" s="229"/>
      <c r="T110" s="229"/>
      <c r="U110" s="9"/>
      <c r="W110" s="9"/>
      <c r="X110" s="230"/>
      <c r="Y110" s="229"/>
      <c r="Z110" s="146"/>
      <c r="AA110" s="236"/>
      <c r="AB110" s="236"/>
      <c r="AC110" s="9"/>
      <c r="AD110" s="46"/>
      <c r="AE110" s="46"/>
      <c r="AF110" s="46"/>
      <c r="AG110" s="46"/>
      <c r="AH110" s="46"/>
      <c r="AI110" s="46"/>
      <c r="AL110" s="21"/>
      <c r="AR110" s="21"/>
      <c r="DJ110" s="107" t="n">
        <f aca="false">DJ42</f>
        <v>38108</v>
      </c>
      <c r="DK110" s="2" t="n">
        <f aca="false">VLOOKUP(DJ110,$DM$13:$DR$252,6)</f>
        <v>31</v>
      </c>
      <c r="DL110" s="2" t="n">
        <f aca="false">IF($L$6=0,VLOOKUP(DJ110,$DM$13:$DQ$252,5)+VLOOKUP(DJ110,$DM$13:$DQ$252,4),VLOOKUP(DJ110,$DU$13:$DY$252,5)+VLOOKUP(DJ110,$DU$13:$DY$252,4))</f>
        <v>6</v>
      </c>
      <c r="DM110" s="130" t="n">
        <v>39845</v>
      </c>
      <c r="DN110" s="22" t="n">
        <v>19</v>
      </c>
      <c r="DO110" s="22" t="n">
        <v>4</v>
      </c>
      <c r="DP110" s="22" t="n">
        <v>4</v>
      </c>
      <c r="DQ110" s="22" t="n">
        <v>1</v>
      </c>
      <c r="DR110" s="22" t="n">
        <v>28</v>
      </c>
      <c r="DS110" s="111"/>
      <c r="DT110" s="111"/>
      <c r="DU110" s="130" t="n">
        <v>39845</v>
      </c>
      <c r="DV110" s="22" t="n">
        <v>20</v>
      </c>
      <c r="DW110" s="22" t="n">
        <v>4</v>
      </c>
      <c r="DX110" s="22" t="n">
        <v>4</v>
      </c>
      <c r="DY110" s="22" t="n">
        <v>0</v>
      </c>
      <c r="DZ110" s="22" t="n">
        <v>28</v>
      </c>
      <c r="EA110" s="111"/>
      <c r="EB110" s="111"/>
    </row>
    <row r="111" customFormat="false" ht="15.75" hidden="false" customHeight="true" outlineLevel="0" collapsed="false">
      <c r="A111" s="233" t="n">
        <v>36861</v>
      </c>
      <c r="B111" s="234" t="n">
        <f aca="false" t="array" ref="B111:B111">SUM(IF(MONTH([2]EnergyCurve!$D$3:$D$272)&amp;YEAR([2]EnergyCurve!$D$3:$D$272)=MONTH($A111)&amp;$B$98,[2]EnergyCurve!$O$3:$O$272))+SUM(IF(MONTH([2]EnergyCurve!$D$3:$D$272)&amp;YEAR([2]EnergyCurve!$D$3:$D$272)=MONTH($A111)&amp;$B$98,[2]EnergyCurve!$Q$3:$Q$272))+SUM(IF(MONTH($CB$12:$CB$47)&amp;YEAR($CB$12:$CB$47)=MONTH($A111)&amp;$B$98,$CH$12:$CH$47))</f>
        <v>39137.7034906884</v>
      </c>
      <c r="C111" s="234" t="n">
        <f aca="false" t="array" ref="C111:C111">SUM(IF(MONTH([2]EnergyCurve!$D$3:$D$272)&amp;YEAR([2]EnergyCurve!$D$3:$D$272)=MONTH($A111)&amp;$B$98,[2]EnergyCurve!$P$3:$P$272))+SUM(IF(MONTH([2]EnergyCurve!$D$3:$D$272)&amp;YEAR([2]EnergyCurve!$D$3:$D$272)=MONTH($A111)&amp;$B$98,[2]EnergyCurve!$R$3:$R$272))+SUM(IF(MONTH($CB$56:$CB$91)&amp;YEAR($CB$56:$CB$91)=MONTH($A111)&amp;$B$98,$CH$56:$CH$91))</f>
        <v>111279.060546875</v>
      </c>
      <c r="D111" s="234" t="n">
        <f aca="false" t="array" ref="D111:D111">SUM(IF(MONTH([2]EnergyCurve!$D$3:$D$272)&amp;YEAR([2]EnergyCurve!$D$3:$D$272)=MONTH($A111)&amp;$D$98,[2]EnergyCurve!$O$3:$O$272))+SUM(IF(MONTH([2]EnergyCurve!$D$3:$D$272)&amp;YEAR([2]EnergyCurve!$D$3:$D$272)=MONTH($A111)&amp;$D$98,[2]EnergyCurve!$Q$3:$Q$272))+SUM(IF(MONTH($CB$12:$CB$47)&amp;YEAR($CB$12:$CB$47)=MONTH($A111)&amp;$D$98,$CH$12:$CH$47))</f>
        <v>234211.484375</v>
      </c>
      <c r="E111" s="234" t="n">
        <f aca="false" t="array" ref="E111:E111">SUM(IF(MONTH([2]EnergyCurve!$D$3:$D$272)&amp;YEAR([2]EnergyCurve!$D$3:$D$272)=MONTH($A111)&amp;$D$98,[2]EnergyCurve!$P$3:$P$272))+SUM(IF(MONTH([2]EnergyCurve!$D$3:$D$272)&amp;YEAR([2]EnergyCurve!$D$3:$D$272)=MONTH($A111)&amp;$D$98,[2]EnergyCurve!$R$3:$R$272))+SUM(IF(MONTH($CB$56:$CB$91)&amp;YEAR($CB$56:$CB$91)=MONTH($A111)&amp;$D$98,$CH$56:$CH$91))</f>
        <v>185068.765625</v>
      </c>
      <c r="F111" s="234" t="n">
        <f aca="false" t="array" ref="F111:F111">SUM(IF(MONTH([2]EnergyCurve!$D$3:$D$272)&amp;YEAR([2]EnergyCurve!$D$3:$D$272)=MONTH($A111)&amp;$F$98,[2]EnergyCurve!$O$3:$O$272))+SUM(IF(MONTH([2]EnergyCurve!$D$3:$D$272)&amp;YEAR([2]EnergyCurve!$D$3:$D$272)=MONTH($A111)&amp;$F$98,[2]EnergyCurve!$Q$3:$Q$272))+SUM(IF(MONTH($CB$12:$CB$47)&amp;YEAR($CB$12:$CB$47)=MONTH($A111)&amp;$F$98,$CH$12:$CH$47))</f>
        <v>151648.408203125</v>
      </c>
      <c r="G111" s="234" t="n">
        <f aca="false" t="array" ref="G111:G111">SUM(IF(MONTH([2]EnergyCurve!$D$3:$D$272)&amp;YEAR([2]EnergyCurve!$D$3:$D$272)=MONTH($A111)&amp;$F$98,[2]EnergyCurve!$P$3:$P$272))+SUM(IF(MONTH([2]EnergyCurve!$D$3:$D$272)&amp;YEAR([2]EnergyCurve!$D$3:$D$272)=MONTH($A111)&amp;$F$98,[2]EnergyCurve!$R$3:$R$272))+SUM(IF(MONTH($CB$56:$CB$91)&amp;YEAR($CB$56:$CB$91)=MONTH($A111)&amp;$F$98,$CH$56:$CH$91))</f>
        <v>119782.67578125</v>
      </c>
      <c r="H111" s="234" t="n">
        <f aca="false" t="array" ref="H111:H111">SUM(IF(MONTH([2]EnergyCurve!$D$3:$D$272)&amp;YEAR([2]EnergyCurve!$D$3:$D$272)=MONTH($A111)&amp;$H$98,[2]EnergyCurve!$O$3:$O$272))+SUM(IF(MONTH([2]EnergyCurve!$D$3:$D$272)&amp;YEAR([2]EnergyCurve!$D$3:$D$272)=MONTH($A111)&amp;$H$98,[2]EnergyCurve!$Q$3:$Q$272))+SUM(IF(MONTH($CB$12:$CB$47)&amp;YEAR($CB$12:$CB$47)=MONTH($A111)&amp;$H$98,$CH$12:$CH$47))</f>
        <v>145540.431640625</v>
      </c>
      <c r="I111" s="234" t="n">
        <f aca="false" t="array" ref="I111:I111">SUM(IF(MONTH([2]EnergyCurve!$D$3:$D$272)&amp;YEAR([2]EnergyCurve!$D$3:$D$272)=MONTH($A111)&amp;$H$98,[2]EnergyCurve!$P$3:$P$272))+SUM(IF(MONTH([2]EnergyCurve!$D$3:$D$272)&amp;YEAR([2]EnergyCurve!$D$3:$D$272)=MONTH($A111)&amp;$H$98,[2]EnergyCurve!$R$3:$R$272))+SUM(IF(MONTH($CB$56:$CB$91)&amp;YEAR($CB$56:$CB$91)=MONTH($A111)&amp;$H$98,$CH$56:$CH$91))</f>
        <v>114932.00390625</v>
      </c>
      <c r="J111" s="234" t="n">
        <f aca="false" t="array" ref="J111:J111">SUM(IF(MONTH([2]EnergyCurve!$D$3:$D$272)&amp;YEAR([2]EnergyCurve!$D$3:$D$272)=MONTH($A111)&amp;$J$98,[2]EnergyCurve!$O$3:$O$272))+SUM(IF(MONTH([2]EnergyCurve!$D$3:$D$272)&amp;YEAR([2]EnergyCurve!$D$3:$D$272)=MONTH($A111)&amp;$J$98,[2]EnergyCurve!$Q$3:$Q$272))+SUM(IF(MONTH($CB$12:$CB$47)&amp;YEAR($CB$12:$CB$47)=MONTH($A111)&amp;$J$98,$CH$12:$CH$47))</f>
        <v>155703.619140625</v>
      </c>
      <c r="K111" s="234" t="n">
        <f aca="false" t="array" ref="K111:K111">SUM(IF(MONTH([2]EnergyCurve!$D$3:$D$272)&amp;YEAR([2]EnergyCurve!$D$3:$D$272)=MONTH($A111)&amp;$J$98,[2]EnergyCurve!$P$3:$P$272))+SUM(IF(MONTH([2]EnergyCurve!$D$3:$D$272)&amp;YEAR([2]EnergyCurve!$D$3:$D$272)=MONTH($A111)&amp;$J$98,[2]EnergyCurve!$R$3:$R$272))+SUM(IF(MONTH($CB$56:$CB$91)&amp;YEAR($CB$56:$CB$91)=MONTH($A111)&amp;$J$98,$CH$56:$CH$91))</f>
        <v>133909.296875</v>
      </c>
      <c r="L111" s="234" t="n">
        <f aca="false" t="array" ref="L111:L111">SUM(IF(MONTH([2]EnergyCurve!$D$3:$D$272)&amp;YEAR([2]EnergyCurve!$D$3:$D$272)=MONTH($A111)&amp;$L$98,[2]EnergyCurve!$O$3:$O$272))+SUM(IF(MONTH([2]EnergyCurve!$D$3:$D$272)&amp;YEAR([2]EnergyCurve!$D$3:$D$272)=MONTH($A111)&amp;$L$98,[2]EnergyCurve!$Q$3:$Q$272))+SUM(IF(MONTH($CB$12:$CB$47)&amp;YEAR($CB$12:$CB$47)=MONTH($A111)&amp;$L$98,$CH$12:$CH$47))</f>
        <v>146867.470703125</v>
      </c>
      <c r="M111" s="234" t="n">
        <f aca="false" t="array" ref="M111:M111">SUM(IF(MONTH([2]EnergyCurve!$D$3:$D$272)&amp;YEAR([2]EnergyCurve!$D$3:$D$272)=MONTH($A111)&amp;$L$98,[2]EnergyCurve!$P$3:$P$272))+SUM(IF(MONTH([2]EnergyCurve!$D$3:$D$272)&amp;YEAR([2]EnergyCurve!$D$3:$D$272)=MONTH($A111)&amp;$L$98,[2]EnergyCurve!$R$3:$R$272))+SUM(IF(MONTH($CB$56:$CB$91)&amp;YEAR($CB$56:$CB$91)=MONTH($A111)&amp;$L$98,$CH$56:$CH$91))</f>
        <v>126306.03125</v>
      </c>
      <c r="N111" s="234" t="n">
        <f aca="false" t="array" ref="N111:N111">SUM(IF(MONTH([2]EnergyCurve!$D$3:$D$272)&amp;YEAR([2]EnergyCurve!$D$3:$D$272)=MONTH($A111)&amp;$N$98,[2]EnergyCurve!$O$3:$O$272))+SUM(IF(MONTH([2]EnergyCurve!$D$3:$D$272)&amp;YEAR([2]EnergyCurve!$D$3:$D$272)=MONTH($A111)&amp;$N$98,[2]EnergyCurve!$Q$3:$Q$272))+SUM(IF(MONTH($CB$12:$CB$47)&amp;YEAR($CB$12:$CB$47)=MONTH($A111)&amp;$N$98,$CH$12:$CH$47))</f>
        <v>147388.69140625</v>
      </c>
      <c r="O111" s="235" t="n">
        <f aca="false" t="array" ref="O111:O111">SUM(IF(MONTH([2]EnergyCurve!$D$3:$D$272)&amp;YEAR([2]EnergyCurve!$D$3:$D$272)=MONTH($A111)&amp;$N$98,[2]EnergyCurve!$P$3:$P$272))+SUM(IF(MONTH([2]EnergyCurve!$D$3:$D$272)&amp;YEAR([2]EnergyCurve!$D$3:$D$272)=MONTH($A111)&amp;$N$98,[2]EnergyCurve!$R$3:$R$272))+SUM(IF(MONTH($CB$56:$CB$91)&amp;YEAR($CB$56:$CB$91)=MONTH($A111)&amp;$N$98,$CH$56:$CH$91))</f>
        <v>116210.32421875</v>
      </c>
      <c r="P111" s="234" t="n">
        <f aca="false" t="array" ref="P111:P111">SUM(IF(MONTH([2]EnergyCurve!$D$3:$D$272)=MONTH($A111),[2]EnergyCurve!$O$3:$O$272))+SUM(IF(MONTH([2]EnergyCurve!$D$3:$D$272)=MONTH($A111),[2]EnergyCurve!$Q$3:$Q$272))+SUM(IF(MONTH($CB$12:$CB$47)=MONTH($A111),$CH$12:$CH$47))</f>
        <v>2146513.08435006</v>
      </c>
      <c r="Q111" s="234" t="n">
        <f aca="false" t="array" ref="Q111:Q111">SUM(IF(MONTH([2]EnergyCurve!$D$3:$D$272)=MONTH($A111),[2]EnergyCurve!$P$3:$P$272))+SUM(IF(MONTH([2]EnergyCurve!$D$3:$D$272)=MONTH($A111),[2]EnergyCurve!$R$3:$R$272))+SUM(IF(MONTH($CB$56:$CB$91)=MONTH($A111),$CH$56:$CH$91))</f>
        <v>1813531.4375</v>
      </c>
      <c r="R111" s="229"/>
      <c r="S111" s="229"/>
      <c r="T111" s="229"/>
      <c r="U111" s="9"/>
      <c r="W111" s="9"/>
      <c r="X111" s="230"/>
      <c r="Y111" s="229"/>
      <c r="Z111" s="237"/>
      <c r="AA111" s="238"/>
      <c r="AB111" s="238"/>
      <c r="AC111" s="9"/>
      <c r="AD111" s="46"/>
      <c r="AE111" s="46"/>
      <c r="AF111" s="46"/>
      <c r="AG111" s="46"/>
      <c r="AH111" s="46"/>
      <c r="AI111" s="46"/>
      <c r="AR111" s="21"/>
      <c r="DJ111" s="107" t="n">
        <f aca="false">DJ43</f>
        <v>38139</v>
      </c>
      <c r="DK111" s="2" t="n">
        <f aca="false">VLOOKUP(DJ111,$DM$13:$DR$252,6)</f>
        <v>30</v>
      </c>
      <c r="DL111" s="2" t="n">
        <f aca="false">IF($L$6=0,VLOOKUP(DJ111,$DM$13:$DQ$252,5)+VLOOKUP(DJ111,$DM$13:$DQ$252,4),VLOOKUP(DJ111,$DU$13:$DY$252,5)+VLOOKUP(DJ111,$DU$13:$DY$252,4))</f>
        <v>4</v>
      </c>
      <c r="DM111" s="130" t="n">
        <v>39873</v>
      </c>
      <c r="DN111" s="22" t="n">
        <v>22</v>
      </c>
      <c r="DO111" s="22" t="n">
        <v>4</v>
      </c>
      <c r="DP111" s="22" t="n">
        <v>5</v>
      </c>
      <c r="DQ111" s="22" t="n">
        <v>0</v>
      </c>
      <c r="DR111" s="22" t="n">
        <v>31</v>
      </c>
      <c r="DS111" s="111"/>
      <c r="DT111" s="111"/>
      <c r="DU111" s="130" t="n">
        <v>39873</v>
      </c>
      <c r="DV111" s="22" t="n">
        <v>22</v>
      </c>
      <c r="DW111" s="22" t="n">
        <v>4</v>
      </c>
      <c r="DX111" s="22" t="n">
        <v>5</v>
      </c>
      <c r="DY111" s="22" t="n">
        <v>0</v>
      </c>
      <c r="DZ111" s="22" t="n">
        <v>31</v>
      </c>
      <c r="EA111" s="111"/>
      <c r="EB111" s="111"/>
    </row>
    <row r="112" customFormat="false" ht="16.5" hidden="false" customHeight="true" outlineLevel="0" collapsed="false">
      <c r="A112" s="239" t="s">
        <v>62</v>
      </c>
      <c r="B112" s="240" t="n">
        <f aca="false">SUM(B100:B111)</f>
        <v>673930.105060883</v>
      </c>
      <c r="C112" s="240" t="n">
        <f aca="false">SUM(C100:C111)</f>
        <v>1474408.5390625</v>
      </c>
      <c r="D112" s="240" t="n">
        <f aca="false">SUM(D100:D111)</f>
        <v>2815724.03515625</v>
      </c>
      <c r="E112" s="240" t="n">
        <f aca="false">SUM(E100:E111)</f>
        <v>2211319.203125</v>
      </c>
      <c r="F112" s="240" t="n">
        <f aca="false">SUM(F100:F111)</f>
        <v>1831288.91015625</v>
      </c>
      <c r="G112" s="240" t="n">
        <f aca="false">SUM(G100:G111)</f>
        <v>1436837.35742188</v>
      </c>
      <c r="H112" s="240" t="n">
        <f aca="false">SUM(H100:H111)</f>
        <v>1763830.49609375</v>
      </c>
      <c r="I112" s="240" t="n">
        <f aca="false">SUM(I100:I111)</f>
        <v>1383898.34570313</v>
      </c>
      <c r="J112" s="240" t="n">
        <f aca="false">SUM(J100:J111)</f>
        <v>1956599.59960938</v>
      </c>
      <c r="K112" s="240" t="n">
        <f aca="false">SUM(K100:K111)</f>
        <v>1544949.52539063</v>
      </c>
      <c r="L112" s="240" t="n">
        <f aca="false">SUM(L100:L111)</f>
        <v>1854615.8359375</v>
      </c>
      <c r="M112" s="240" t="n">
        <f aca="false">SUM(M100:M111)</f>
        <v>1452306.69140625</v>
      </c>
      <c r="N112" s="240" t="n">
        <f aca="false">SUM(N100:N111)</f>
        <v>1799045.8515625</v>
      </c>
      <c r="O112" s="241" t="n">
        <f aca="false">SUM(O100:O111)</f>
        <v>1407280.90039063</v>
      </c>
      <c r="P112" s="241" t="n">
        <f aca="false">SUM(P100:P111)</f>
        <v>27273077.5210765</v>
      </c>
      <c r="Q112" s="242" t="n">
        <f aca="false">SUM(Q100:Q111)</f>
        <v>22483359.5626221</v>
      </c>
      <c r="R112" s="236"/>
      <c r="S112" s="236"/>
      <c r="T112" s="236"/>
      <c r="U112" s="9"/>
      <c r="W112" s="9"/>
      <c r="X112" s="243"/>
      <c r="Y112" s="236"/>
      <c r="Z112" s="9"/>
      <c r="AA112" s="237"/>
      <c r="AB112" s="237"/>
      <c r="AC112" s="9"/>
      <c r="AD112" s="46"/>
      <c r="AE112" s="46"/>
      <c r="AF112" s="46"/>
      <c r="AG112" s="46"/>
      <c r="AH112" s="46"/>
      <c r="AI112" s="46"/>
      <c r="AR112" s="21"/>
      <c r="DJ112" s="107" t="n">
        <f aca="false">DJ44</f>
        <v>38169</v>
      </c>
      <c r="DK112" s="2" t="n">
        <f aca="false">VLOOKUP(DJ112,$DM$13:$DR$252,6)</f>
        <v>31</v>
      </c>
      <c r="DL112" s="2" t="n">
        <f aca="false">IF($L$6=0,VLOOKUP(DJ112,$DM$13:$DQ$252,5)+VLOOKUP(DJ112,$DM$13:$DQ$252,4),VLOOKUP(DJ112,$DU$13:$DY$252,5)+VLOOKUP(DJ112,$DU$13:$DY$252,4))</f>
        <v>5</v>
      </c>
      <c r="DM112" s="130" t="n">
        <v>39904</v>
      </c>
      <c r="DN112" s="22" t="n">
        <v>21</v>
      </c>
      <c r="DO112" s="22" t="n">
        <v>4</v>
      </c>
      <c r="DP112" s="22" t="n">
        <v>4</v>
      </c>
      <c r="DQ112" s="22" t="n">
        <v>1</v>
      </c>
      <c r="DR112" s="22" t="n">
        <v>30</v>
      </c>
      <c r="DS112" s="111"/>
      <c r="DT112" s="111"/>
      <c r="DU112" s="130" t="n">
        <v>39904</v>
      </c>
      <c r="DV112" s="22" t="n">
        <v>22</v>
      </c>
      <c r="DW112" s="22" t="n">
        <v>4</v>
      </c>
      <c r="DX112" s="22" t="n">
        <v>4</v>
      </c>
      <c r="DY112" s="22" t="n">
        <v>0</v>
      </c>
      <c r="DZ112" s="22" t="n">
        <v>30</v>
      </c>
      <c r="EA112" s="111"/>
      <c r="EB112" s="111"/>
    </row>
    <row r="113" customFormat="false" ht="13.5" hidden="false" customHeight="true" outlineLevel="0" collapsed="false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9"/>
      <c r="S113" s="9"/>
      <c r="T113" s="9"/>
      <c r="U113" s="9"/>
      <c r="V113" s="46"/>
      <c r="W113" s="9"/>
      <c r="X113" s="9"/>
      <c r="Y113" s="9"/>
      <c r="Z113" s="9"/>
      <c r="AA113" s="237"/>
      <c r="AB113" s="237"/>
      <c r="AC113" s="9"/>
      <c r="AD113" s="46"/>
      <c r="AE113" s="46"/>
      <c r="AF113" s="46"/>
      <c r="AG113" s="46"/>
      <c r="AH113" s="46"/>
      <c r="AI113" s="46"/>
      <c r="AR113" s="21"/>
      <c r="DJ113" s="107" t="n">
        <f aca="false">DJ45</f>
        <v>38200</v>
      </c>
      <c r="DK113" s="2" t="n">
        <f aca="false">VLOOKUP(DJ113,$DM$13:$DR$252,6)</f>
        <v>31</v>
      </c>
      <c r="DL113" s="2" t="n">
        <f aca="false">IF($L$6=0,VLOOKUP(DJ113,$DM$13:$DQ$252,5)+VLOOKUP(DJ113,$DM$13:$DQ$252,4),VLOOKUP(DJ113,$DU$13:$DY$252,5)+VLOOKUP(DJ113,$DU$13:$DY$252,4))</f>
        <v>5</v>
      </c>
      <c r="DM113" s="130" t="n">
        <v>39934</v>
      </c>
      <c r="DN113" s="22" t="n">
        <v>20</v>
      </c>
      <c r="DO113" s="22" t="n">
        <v>5</v>
      </c>
      <c r="DP113" s="22" t="n">
        <v>5</v>
      </c>
      <c r="DQ113" s="22" t="n">
        <v>1</v>
      </c>
      <c r="DR113" s="22" t="n">
        <v>31</v>
      </c>
      <c r="DS113" s="111"/>
      <c r="DT113" s="111"/>
      <c r="DU113" s="130" t="n">
        <v>39934</v>
      </c>
      <c r="DV113" s="22" t="n">
        <v>20</v>
      </c>
      <c r="DW113" s="22" t="n">
        <v>5</v>
      </c>
      <c r="DX113" s="22" t="n">
        <v>5</v>
      </c>
      <c r="DY113" s="22" t="n">
        <v>1</v>
      </c>
      <c r="DZ113" s="22" t="n">
        <v>31</v>
      </c>
      <c r="EA113" s="111"/>
      <c r="EB113" s="111"/>
    </row>
    <row r="114" customFormat="false" ht="16.5" hidden="false" customHeight="true" outlineLevel="0" collapsed="false">
      <c r="A114" s="239" t="s">
        <v>84</v>
      </c>
      <c r="B114" s="244"/>
      <c r="C114" s="240" t="n">
        <f aca="false">C112+B112</f>
        <v>2148338.64412338</v>
      </c>
      <c r="D114" s="244"/>
      <c r="E114" s="240" t="n">
        <f aca="false">E112+D112</f>
        <v>5027043.23828125</v>
      </c>
      <c r="F114" s="244"/>
      <c r="G114" s="240" t="n">
        <f aca="false">G112+F112</f>
        <v>3268126.26757813</v>
      </c>
      <c r="H114" s="244"/>
      <c r="I114" s="240" t="n">
        <f aca="false">I112+H112</f>
        <v>3147728.84179688</v>
      </c>
      <c r="J114" s="244"/>
      <c r="K114" s="240" t="n">
        <f aca="false">K112+J112</f>
        <v>3501549.125</v>
      </c>
      <c r="L114" s="244"/>
      <c r="M114" s="240" t="n">
        <f aca="false">M112+L112</f>
        <v>3306922.52734375</v>
      </c>
      <c r="N114" s="244"/>
      <c r="O114" s="241" t="n">
        <f aca="false">O112+N112</f>
        <v>3206326.75195313</v>
      </c>
      <c r="P114" s="244"/>
      <c r="Q114" s="242" t="n">
        <f aca="false">Q112+P112</f>
        <v>49756437.0836986</v>
      </c>
      <c r="R114" s="9"/>
      <c r="S114" s="9"/>
      <c r="T114" s="9"/>
      <c r="U114" s="9"/>
      <c r="V114" s="9"/>
      <c r="W114" s="9"/>
      <c r="X114" s="9"/>
      <c r="Y114" s="236"/>
      <c r="Z114" s="146"/>
      <c r="AA114" s="237"/>
      <c r="AB114" s="237"/>
      <c r="AC114" s="9"/>
      <c r="AD114" s="9"/>
      <c r="AE114" s="9"/>
      <c r="AF114" s="9"/>
      <c r="AG114" s="9"/>
      <c r="AH114" s="9"/>
      <c r="AI114" s="9"/>
      <c r="AJ114" s="9"/>
      <c r="AK114" s="245"/>
      <c r="AL114" s="245"/>
      <c r="AM114" s="245"/>
      <c r="AN114" s="245"/>
      <c r="AO114" s="245"/>
      <c r="AP114" s="245"/>
      <c r="AQ114" s="245"/>
      <c r="AR114" s="245"/>
      <c r="AS114" s="245"/>
      <c r="AT114" s="9"/>
      <c r="AU114" s="9"/>
      <c r="AV114" s="9"/>
      <c r="AW114" s="9"/>
      <c r="AX114" s="9"/>
      <c r="AY114" s="9"/>
      <c r="AZ114" s="9"/>
      <c r="BA114" s="9"/>
      <c r="BB114" s="9"/>
      <c r="BC114" s="9"/>
      <c r="BD114" s="9"/>
      <c r="BE114" s="9"/>
      <c r="BF114" s="9"/>
      <c r="BG114" s="9"/>
      <c r="BH114" s="9"/>
      <c r="BI114" s="9"/>
      <c r="BJ114" s="9"/>
      <c r="BK114" s="9"/>
      <c r="BL114" s="9"/>
      <c r="BM114" s="9"/>
      <c r="BN114" s="9"/>
      <c r="BO114" s="9"/>
      <c r="BP114" s="9"/>
      <c r="BQ114" s="9"/>
      <c r="BR114" s="9"/>
      <c r="BS114" s="9"/>
      <c r="BT114" s="9"/>
      <c r="BU114" s="9"/>
      <c r="BV114" s="9"/>
      <c r="BW114" s="9"/>
      <c r="BX114" s="9"/>
      <c r="BY114" s="9"/>
      <c r="BZ114" s="9"/>
      <c r="CA114" s="9"/>
      <c r="CB114" s="9"/>
      <c r="CC114" s="9"/>
      <c r="CD114" s="9"/>
      <c r="CE114" s="9"/>
      <c r="DJ114" s="107" t="n">
        <f aca="false">DJ46</f>
        <v>38231</v>
      </c>
      <c r="DK114" s="2" t="n">
        <f aca="false">VLOOKUP(DJ114,$DM$13:$DR$252,6)</f>
        <v>30</v>
      </c>
      <c r="DL114" s="2" t="n">
        <f aca="false">IF($L$6=0,VLOOKUP(DJ114,$DM$13:$DQ$252,5)+VLOOKUP(DJ114,$DM$13:$DQ$252,4),VLOOKUP(DJ114,$DU$13:$DY$252,5)+VLOOKUP(DJ114,$DU$13:$DY$252,4))</f>
        <v>5</v>
      </c>
      <c r="DM114" s="130" t="n">
        <v>39965</v>
      </c>
      <c r="DN114" s="22" t="n">
        <v>22</v>
      </c>
      <c r="DO114" s="22" t="n">
        <v>4</v>
      </c>
      <c r="DP114" s="22" t="n">
        <v>4</v>
      </c>
      <c r="DQ114" s="22" t="n">
        <v>0</v>
      </c>
      <c r="DR114" s="22" t="n">
        <v>30</v>
      </c>
      <c r="DS114" s="111"/>
      <c r="DT114" s="111"/>
      <c r="DU114" s="130" t="n">
        <v>39965</v>
      </c>
      <c r="DV114" s="22" t="n">
        <v>22</v>
      </c>
      <c r="DW114" s="22" t="n">
        <v>4</v>
      </c>
      <c r="DX114" s="22" t="n">
        <v>4</v>
      </c>
      <c r="DY114" s="22" t="n">
        <v>0</v>
      </c>
      <c r="DZ114" s="22" t="n">
        <v>30</v>
      </c>
      <c r="EA114" s="111"/>
      <c r="EB114" s="111"/>
    </row>
    <row r="115" customFormat="false" ht="12.75" hidden="false" customHeight="true" outlineLevel="0" collapsed="false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237"/>
      <c r="AB115" s="237"/>
      <c r="AC115" s="9"/>
      <c r="AD115" s="9"/>
      <c r="AE115" s="9"/>
      <c r="AF115" s="9"/>
      <c r="AG115" s="9"/>
      <c r="AH115" s="9"/>
      <c r="AI115" s="9"/>
      <c r="AJ115" s="9"/>
      <c r="AK115" s="245"/>
      <c r="AL115" s="245"/>
      <c r="AM115" s="245"/>
      <c r="AN115" s="245"/>
      <c r="AO115" s="245"/>
      <c r="AP115" s="245"/>
      <c r="AQ115" s="245"/>
      <c r="AR115" s="245"/>
      <c r="AS115" s="245"/>
      <c r="AT115" s="9"/>
      <c r="AU115" s="9"/>
      <c r="AV115" s="9"/>
      <c r="AW115" s="9"/>
      <c r="AX115" s="9"/>
      <c r="AY115" s="9"/>
      <c r="AZ115" s="9"/>
      <c r="BA115" s="9"/>
      <c r="BB115" s="9"/>
      <c r="BC115" s="9"/>
      <c r="BD115" s="9"/>
      <c r="BE115" s="9"/>
      <c r="BF115" s="9"/>
      <c r="BG115" s="9"/>
      <c r="BH115" s="9"/>
      <c r="BI115" s="9"/>
      <c r="BJ115" s="9"/>
      <c r="BK115" s="9"/>
      <c r="BL115" s="9"/>
      <c r="BM115" s="9"/>
      <c r="BN115" s="9"/>
      <c r="BO115" s="9"/>
      <c r="BP115" s="9"/>
      <c r="BQ115" s="9"/>
      <c r="BR115" s="9"/>
      <c r="BS115" s="9"/>
      <c r="BT115" s="9"/>
      <c r="BU115" s="9"/>
      <c r="BV115" s="9"/>
      <c r="BW115" s="9"/>
      <c r="BX115" s="9"/>
      <c r="BY115" s="9"/>
      <c r="BZ115" s="9"/>
      <c r="CA115" s="9"/>
      <c r="CB115" s="9"/>
      <c r="CC115" s="9"/>
      <c r="CD115" s="9"/>
      <c r="CE115" s="9"/>
      <c r="DJ115" s="107" t="n">
        <f aca="false">DJ47</f>
        <v>38261</v>
      </c>
      <c r="DK115" s="2" t="n">
        <f aca="false">VLOOKUP(DJ115,$DM$13:$DR$252,6)</f>
        <v>31</v>
      </c>
      <c r="DL115" s="2" t="n">
        <f aca="false">IF($L$6=0,VLOOKUP(DJ115,$DM$13:$DQ$252,5)+VLOOKUP(DJ115,$DM$13:$DQ$252,4),VLOOKUP(DJ115,$DU$13:$DY$252,5)+VLOOKUP(DJ115,$DU$13:$DY$252,4))</f>
        <v>5</v>
      </c>
      <c r="DM115" s="130" t="n">
        <v>39995</v>
      </c>
      <c r="DN115" s="22" t="n">
        <v>22</v>
      </c>
      <c r="DO115" s="22" t="n">
        <v>4</v>
      </c>
      <c r="DP115" s="22" t="n">
        <v>4</v>
      </c>
      <c r="DQ115" s="22" t="n">
        <v>1</v>
      </c>
      <c r="DR115" s="22" t="n">
        <v>31</v>
      </c>
      <c r="DS115" s="111"/>
      <c r="DT115" s="111"/>
      <c r="DU115" s="130" t="n">
        <v>39995</v>
      </c>
      <c r="DV115" s="22" t="n">
        <v>23</v>
      </c>
      <c r="DW115" s="22" t="n">
        <v>3</v>
      </c>
      <c r="DX115" s="22" t="n">
        <v>4</v>
      </c>
      <c r="DY115" s="22" t="n">
        <v>1</v>
      </c>
      <c r="DZ115" s="22" t="n">
        <v>31</v>
      </c>
      <c r="EA115" s="111"/>
      <c r="EB115" s="111"/>
    </row>
    <row r="116" customFormat="false" ht="20.25" hidden="false" customHeight="true" outlineLevel="0" collapsed="false">
      <c r="A116" s="246"/>
      <c r="B116" s="9"/>
      <c r="C116" s="9"/>
      <c r="D116" s="9"/>
      <c r="E116" s="247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237"/>
      <c r="AB116" s="237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  <c r="BB116" s="9"/>
      <c r="BC116" s="9"/>
      <c r="BD116" s="9"/>
      <c r="BE116" s="9"/>
      <c r="BF116" s="9"/>
      <c r="BG116" s="9"/>
      <c r="BH116" s="9"/>
      <c r="BI116" s="9"/>
      <c r="BJ116" s="9"/>
      <c r="BK116" s="9"/>
      <c r="BL116" s="9"/>
      <c r="BM116" s="9"/>
      <c r="BN116" s="9"/>
      <c r="BO116" s="9"/>
      <c r="BP116" s="9"/>
      <c r="BQ116" s="9"/>
      <c r="BR116" s="9"/>
      <c r="BS116" s="9"/>
      <c r="BT116" s="9"/>
      <c r="BU116" s="9"/>
      <c r="BV116" s="9"/>
      <c r="BW116" s="9"/>
      <c r="BX116" s="9"/>
      <c r="BY116" s="9"/>
      <c r="BZ116" s="9"/>
      <c r="CA116" s="9"/>
      <c r="CB116" s="9"/>
      <c r="CC116" s="9"/>
      <c r="CD116" s="9"/>
      <c r="CE116" s="9"/>
      <c r="DJ116" s="107" t="n">
        <f aca="false">DJ48</f>
        <v>38292</v>
      </c>
      <c r="DK116" s="2" t="n">
        <f aca="false">VLOOKUP(DJ116,$DM$13:$DR$252,6)</f>
        <v>30</v>
      </c>
      <c r="DL116" s="2" t="n">
        <f aca="false">IF($L$6=0,VLOOKUP(DJ116,$DM$13:$DQ$252,5)+VLOOKUP(DJ116,$DM$13:$DQ$252,4),VLOOKUP(DJ116,$DU$13:$DY$252,5)+VLOOKUP(DJ116,$DU$13:$DY$252,4))</f>
        <v>5</v>
      </c>
      <c r="DM116" s="130" t="n">
        <v>40026</v>
      </c>
      <c r="DN116" s="22" t="n">
        <v>20</v>
      </c>
      <c r="DO116" s="22" t="n">
        <v>5</v>
      </c>
      <c r="DP116" s="22" t="n">
        <v>5</v>
      </c>
      <c r="DQ116" s="22" t="n">
        <v>1</v>
      </c>
      <c r="DR116" s="22" t="n">
        <v>31</v>
      </c>
      <c r="DS116" s="111"/>
      <c r="DT116" s="111"/>
      <c r="DU116" s="130" t="n">
        <v>40026</v>
      </c>
      <c r="DV116" s="22" t="n">
        <v>21</v>
      </c>
      <c r="DW116" s="22" t="n">
        <v>5</v>
      </c>
      <c r="DX116" s="22" t="n">
        <v>5</v>
      </c>
      <c r="DY116" s="22" t="n">
        <v>0</v>
      </c>
      <c r="DZ116" s="22" t="n">
        <v>31</v>
      </c>
      <c r="EA116" s="111"/>
      <c r="EB116" s="111"/>
    </row>
    <row r="117" customFormat="false" ht="12.75" hidden="false" customHeight="true" outlineLevel="0" collapsed="false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237"/>
      <c r="AB117" s="237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  <c r="BB117" s="9"/>
      <c r="BC117" s="9"/>
      <c r="BD117" s="9"/>
      <c r="BE117" s="9"/>
      <c r="BF117" s="9"/>
      <c r="BG117" s="9"/>
      <c r="BH117" s="9"/>
      <c r="BI117" s="9"/>
      <c r="BJ117" s="9"/>
      <c r="BK117" s="9"/>
      <c r="BL117" s="9"/>
      <c r="BM117" s="9"/>
      <c r="BN117" s="9"/>
      <c r="BO117" s="9"/>
      <c r="BP117" s="9"/>
      <c r="BQ117" s="9"/>
      <c r="BR117" s="9"/>
      <c r="BS117" s="9"/>
      <c r="BT117" s="9"/>
      <c r="BU117" s="9"/>
      <c r="BV117" s="9"/>
      <c r="BW117" s="9"/>
      <c r="BX117" s="9"/>
      <c r="BY117" s="9"/>
      <c r="BZ117" s="9"/>
      <c r="CA117" s="9"/>
      <c r="CB117" s="9"/>
      <c r="CC117" s="9"/>
      <c r="CD117" s="9"/>
      <c r="CE117" s="9"/>
      <c r="DJ117" s="107" t="n">
        <f aca="false">DJ49</f>
        <v>38322</v>
      </c>
      <c r="DK117" s="2" t="n">
        <f aca="false">VLOOKUP(DJ117,$DM$13:$DR$252,6)</f>
        <v>31</v>
      </c>
      <c r="DL117" s="2" t="n">
        <f aca="false">IF($L$6=0,VLOOKUP(DJ117,$DM$13:$DQ$252,5)+VLOOKUP(DJ117,$DM$13:$DQ$252,4),VLOOKUP(DJ117,$DU$13:$DY$252,5)+VLOOKUP(DJ117,$DU$13:$DY$252,4))</f>
        <v>5</v>
      </c>
      <c r="DM117" s="130" t="n">
        <v>40057</v>
      </c>
      <c r="DN117" s="22" t="n">
        <v>21</v>
      </c>
      <c r="DO117" s="22" t="n">
        <v>4</v>
      </c>
      <c r="DP117" s="22" t="n">
        <v>4</v>
      </c>
      <c r="DQ117" s="22" t="n">
        <v>1</v>
      </c>
      <c r="DR117" s="22" t="n">
        <v>30</v>
      </c>
      <c r="DS117" s="111"/>
      <c r="DT117" s="111"/>
      <c r="DU117" s="130" t="n">
        <v>40057</v>
      </c>
      <c r="DV117" s="22" t="n">
        <v>21</v>
      </c>
      <c r="DW117" s="22" t="n">
        <v>4</v>
      </c>
      <c r="DX117" s="22" t="n">
        <v>4</v>
      </c>
      <c r="DY117" s="22" t="n">
        <v>1</v>
      </c>
      <c r="DZ117" s="22" t="n">
        <v>30</v>
      </c>
      <c r="EA117" s="111"/>
      <c r="EB117" s="111"/>
    </row>
    <row r="118" customFormat="false" ht="20.25" hidden="false" customHeight="true" outlineLevel="0" collapsed="false">
      <c r="A118" s="248"/>
      <c r="B118" s="222"/>
      <c r="C118" s="249"/>
      <c r="D118" s="249"/>
      <c r="E118" s="249"/>
      <c r="F118" s="249"/>
      <c r="G118" s="222"/>
      <c r="H118" s="146"/>
      <c r="I118" s="146"/>
      <c r="J118" s="222"/>
      <c r="K118" s="146"/>
      <c r="L118" s="222"/>
      <c r="M118" s="146"/>
      <c r="N118" s="146"/>
      <c r="O118" s="146"/>
      <c r="P118" s="146"/>
      <c r="Q118" s="249"/>
      <c r="R118" s="146"/>
      <c r="S118" s="146"/>
      <c r="T118" s="9"/>
      <c r="U118" s="9"/>
      <c r="V118" s="146"/>
      <c r="W118" s="146"/>
      <c r="X118" s="9"/>
      <c r="Y118" s="9"/>
      <c r="Z118" s="145"/>
      <c r="AA118" s="146"/>
      <c r="AB118" s="146"/>
      <c r="AC118" s="143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  <c r="BM118" s="9"/>
      <c r="BN118" s="9"/>
      <c r="BO118" s="9"/>
      <c r="BP118" s="9"/>
      <c r="BQ118" s="9"/>
      <c r="BR118" s="9"/>
      <c r="BS118" s="9"/>
      <c r="BT118" s="9"/>
      <c r="BU118" s="9"/>
      <c r="BV118" s="9"/>
      <c r="BW118" s="9"/>
      <c r="BX118" s="9"/>
      <c r="BY118" s="9"/>
      <c r="BZ118" s="9"/>
      <c r="CA118" s="9"/>
      <c r="CB118" s="9"/>
      <c r="CC118" s="9"/>
      <c r="CD118" s="9"/>
      <c r="CE118" s="9"/>
      <c r="DJ118" s="107" t="n">
        <f aca="false">DJ50</f>
        <v>38353</v>
      </c>
      <c r="DK118" s="2" t="n">
        <f aca="false">VLOOKUP(DJ118,$DM$13:$DR$252,6)</f>
        <v>31</v>
      </c>
      <c r="DL118" s="2" t="n">
        <f aca="false">IF($L$6=0,VLOOKUP(DJ118,$DM$13:$DQ$252,5)+VLOOKUP(DJ118,$DM$13:$DQ$252,4),VLOOKUP(DJ118,$DU$13:$DY$252,5)+VLOOKUP(DJ118,$DU$13:$DY$252,4))</f>
        <v>6</v>
      </c>
      <c r="DM118" s="130" t="n">
        <v>40087</v>
      </c>
      <c r="DN118" s="22" t="n">
        <v>21</v>
      </c>
      <c r="DO118" s="22" t="n">
        <v>5</v>
      </c>
      <c r="DP118" s="22" t="n">
        <v>4</v>
      </c>
      <c r="DQ118" s="22" t="n">
        <v>1</v>
      </c>
      <c r="DR118" s="22" t="n">
        <v>31</v>
      </c>
      <c r="DS118" s="111"/>
      <c r="DT118" s="111"/>
      <c r="DU118" s="130" t="n">
        <v>40087</v>
      </c>
      <c r="DV118" s="22" t="n">
        <v>22</v>
      </c>
      <c r="DW118" s="22" t="n">
        <v>5</v>
      </c>
      <c r="DX118" s="22" t="n">
        <v>4</v>
      </c>
      <c r="DY118" s="22" t="n">
        <v>0</v>
      </c>
      <c r="DZ118" s="22" t="n">
        <v>31</v>
      </c>
      <c r="EA118" s="111"/>
      <c r="EB118" s="111"/>
    </row>
    <row r="119" customFormat="false" ht="12.75" hidden="false" customHeight="true" outlineLevel="0" collapsed="false">
      <c r="A119" s="9"/>
      <c r="B119" s="146"/>
      <c r="C119" s="146"/>
      <c r="D119" s="146"/>
      <c r="E119" s="146"/>
      <c r="F119" s="146"/>
      <c r="G119" s="146"/>
      <c r="H119" s="146"/>
      <c r="I119" s="146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9"/>
      <c r="U119" s="9"/>
      <c r="V119" s="146"/>
      <c r="W119" s="146"/>
      <c r="X119" s="9"/>
      <c r="Y119" s="9"/>
      <c r="Z119" s="145"/>
      <c r="AA119" s="146"/>
      <c r="AB119" s="146"/>
      <c r="AC119" s="143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  <c r="BB119" s="9"/>
      <c r="BC119" s="9"/>
      <c r="BD119" s="9"/>
      <c r="BE119" s="9"/>
      <c r="BF119" s="9"/>
      <c r="BG119" s="9"/>
      <c r="BH119" s="9"/>
      <c r="BI119" s="9"/>
      <c r="BJ119" s="9"/>
      <c r="BK119" s="9"/>
      <c r="BL119" s="9"/>
      <c r="BM119" s="9"/>
      <c r="BN119" s="9"/>
      <c r="BO119" s="9"/>
      <c r="BP119" s="9"/>
      <c r="BQ119" s="9"/>
      <c r="BR119" s="9"/>
      <c r="BS119" s="9"/>
      <c r="BT119" s="9"/>
      <c r="BU119" s="9"/>
      <c r="BV119" s="9"/>
      <c r="BW119" s="9"/>
      <c r="BX119" s="9"/>
      <c r="BY119" s="9"/>
      <c r="BZ119" s="9"/>
      <c r="CA119" s="9"/>
      <c r="CB119" s="9"/>
      <c r="CC119" s="9"/>
      <c r="CD119" s="9"/>
      <c r="CE119" s="9"/>
      <c r="DJ119" s="107"/>
      <c r="DM119" s="130" t="n">
        <v>40118</v>
      </c>
      <c r="DN119" s="22" t="n">
        <v>20</v>
      </c>
      <c r="DO119" s="22" t="n">
        <v>4</v>
      </c>
      <c r="DP119" s="22" t="n">
        <v>5</v>
      </c>
      <c r="DQ119" s="22" t="n">
        <v>1</v>
      </c>
      <c r="DR119" s="22" t="n">
        <v>30</v>
      </c>
      <c r="DS119" s="111"/>
      <c r="DT119" s="111"/>
      <c r="DU119" s="130" t="n">
        <v>40118</v>
      </c>
      <c r="DV119" s="22" t="n">
        <v>20</v>
      </c>
      <c r="DW119" s="22" t="n">
        <v>4</v>
      </c>
      <c r="DX119" s="22" t="n">
        <v>5</v>
      </c>
      <c r="DY119" s="22" t="n">
        <v>1</v>
      </c>
      <c r="DZ119" s="22" t="n">
        <v>30</v>
      </c>
      <c r="EA119" s="111"/>
      <c r="EB119" s="111"/>
    </row>
    <row r="120" customFormat="false" ht="15" hidden="false" customHeight="true" outlineLevel="0" collapsed="false">
      <c r="A120" s="230"/>
      <c r="B120" s="229"/>
      <c r="C120" s="229"/>
      <c r="D120" s="229"/>
      <c r="E120" s="229"/>
      <c r="F120" s="229"/>
      <c r="G120" s="229"/>
      <c r="H120" s="229"/>
      <c r="I120" s="229"/>
      <c r="J120" s="229"/>
      <c r="K120" s="229"/>
      <c r="L120" s="229"/>
      <c r="M120" s="229"/>
      <c r="N120" s="229"/>
      <c r="O120" s="229"/>
      <c r="P120" s="229"/>
      <c r="Q120" s="229"/>
      <c r="R120" s="229"/>
      <c r="S120" s="229"/>
      <c r="T120" s="243"/>
      <c r="U120" s="243"/>
      <c r="V120" s="229"/>
      <c r="W120" s="229"/>
      <c r="X120" s="230"/>
      <c r="Y120" s="9"/>
      <c r="Z120" s="231"/>
      <c r="AA120" s="232"/>
      <c r="AB120" s="232"/>
      <c r="AC120" s="143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  <c r="BB120" s="9"/>
      <c r="BC120" s="9"/>
      <c r="BD120" s="9"/>
      <c r="BE120" s="9"/>
      <c r="BF120" s="9"/>
      <c r="BG120" s="9"/>
      <c r="BH120" s="9"/>
      <c r="BI120" s="9"/>
      <c r="BJ120" s="9"/>
      <c r="BK120" s="9"/>
      <c r="BL120" s="9"/>
      <c r="BM120" s="9"/>
      <c r="BN120" s="9"/>
      <c r="BO120" s="9"/>
      <c r="BP120" s="9"/>
      <c r="BQ120" s="9"/>
      <c r="BR120" s="9"/>
      <c r="BS120" s="9"/>
      <c r="BT120" s="9"/>
      <c r="BU120" s="9"/>
      <c r="BV120" s="9"/>
      <c r="BW120" s="9"/>
      <c r="BX120" s="9"/>
      <c r="BY120" s="9"/>
      <c r="BZ120" s="9"/>
      <c r="CA120" s="9"/>
      <c r="CB120" s="9"/>
      <c r="CC120" s="9"/>
      <c r="CD120" s="9"/>
      <c r="CE120" s="9"/>
      <c r="DJ120" s="107"/>
      <c r="DM120" s="130" t="n">
        <v>40148</v>
      </c>
      <c r="DN120" s="22" t="n">
        <v>21</v>
      </c>
      <c r="DO120" s="22" t="n">
        <v>4</v>
      </c>
      <c r="DP120" s="22" t="n">
        <v>4</v>
      </c>
      <c r="DQ120" s="22" t="n">
        <v>2</v>
      </c>
      <c r="DR120" s="22" t="n">
        <v>31</v>
      </c>
      <c r="DS120" s="111"/>
      <c r="DT120" s="111"/>
      <c r="DU120" s="130" t="n">
        <v>40148</v>
      </c>
      <c r="DV120" s="22" t="n">
        <v>22</v>
      </c>
      <c r="DW120" s="22" t="n">
        <v>4</v>
      </c>
      <c r="DX120" s="22" t="n">
        <v>4</v>
      </c>
      <c r="DY120" s="22" t="n">
        <v>1</v>
      </c>
      <c r="DZ120" s="22" t="n">
        <v>31</v>
      </c>
    </row>
    <row r="121" customFormat="false" ht="15.75" hidden="false" customHeight="true" outlineLevel="0" collapsed="false">
      <c r="A121" s="230"/>
      <c r="B121" s="229"/>
      <c r="C121" s="229"/>
      <c r="D121" s="229"/>
      <c r="E121" s="229"/>
      <c r="F121" s="229"/>
      <c r="G121" s="229"/>
      <c r="H121" s="229"/>
      <c r="I121" s="229"/>
      <c r="J121" s="229"/>
      <c r="K121" s="229"/>
      <c r="L121" s="229"/>
      <c r="M121" s="229"/>
      <c r="N121" s="229"/>
      <c r="O121" s="229"/>
      <c r="P121" s="229"/>
      <c r="Q121" s="229"/>
      <c r="R121" s="229"/>
      <c r="S121" s="229"/>
      <c r="T121" s="243"/>
      <c r="U121" s="243"/>
      <c r="V121" s="229"/>
      <c r="W121" s="229"/>
      <c r="X121" s="230"/>
      <c r="Y121" s="9"/>
      <c r="Z121" s="146"/>
      <c r="AA121" s="236"/>
      <c r="AB121" s="236"/>
      <c r="AC121" s="143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  <c r="BB121" s="9"/>
      <c r="BC121" s="9"/>
      <c r="BD121" s="9"/>
      <c r="BE121" s="9"/>
      <c r="BF121" s="9"/>
      <c r="BG121" s="9"/>
      <c r="BH121" s="9"/>
      <c r="BI121" s="9"/>
      <c r="BJ121" s="9"/>
      <c r="BK121" s="9"/>
      <c r="BL121" s="9"/>
      <c r="BM121" s="9"/>
      <c r="BN121" s="9"/>
      <c r="BO121" s="9"/>
      <c r="BP121" s="9"/>
      <c r="BQ121" s="9"/>
      <c r="BR121" s="9"/>
      <c r="BS121" s="9"/>
      <c r="BT121" s="9"/>
      <c r="BU121" s="9"/>
      <c r="BV121" s="9"/>
      <c r="BW121" s="9"/>
      <c r="BX121" s="9"/>
      <c r="BY121" s="9"/>
      <c r="BZ121" s="9"/>
      <c r="CA121" s="9"/>
      <c r="CB121" s="9"/>
      <c r="CC121" s="9"/>
      <c r="CD121" s="9"/>
      <c r="CE121" s="9"/>
      <c r="DJ121" s="107"/>
      <c r="DM121" s="130" t="n">
        <v>40179</v>
      </c>
      <c r="DN121" s="22" t="n">
        <v>20</v>
      </c>
      <c r="DO121" s="22" t="n">
        <v>5</v>
      </c>
      <c r="DP121" s="22" t="n">
        <v>5</v>
      </c>
      <c r="DQ121" s="22" t="n">
        <v>1</v>
      </c>
      <c r="DR121" s="22" t="n">
        <v>31</v>
      </c>
      <c r="DS121" s="111"/>
      <c r="DT121" s="111"/>
      <c r="DU121" s="130" t="n">
        <v>40179</v>
      </c>
      <c r="DV121" s="22" t="n">
        <v>20</v>
      </c>
      <c r="DW121" s="22" t="n">
        <v>5</v>
      </c>
      <c r="DX121" s="22" t="n">
        <v>5</v>
      </c>
      <c r="DY121" s="22" t="n">
        <v>1</v>
      </c>
      <c r="DZ121" s="22" t="n">
        <v>31</v>
      </c>
    </row>
    <row r="122" customFormat="false" ht="15.75" hidden="false" customHeight="true" outlineLevel="0" collapsed="false">
      <c r="A122" s="230"/>
      <c r="B122" s="229"/>
      <c r="C122" s="229"/>
      <c r="D122" s="229"/>
      <c r="E122" s="229"/>
      <c r="F122" s="229"/>
      <c r="G122" s="229"/>
      <c r="H122" s="229"/>
      <c r="I122" s="229"/>
      <c r="J122" s="229"/>
      <c r="K122" s="229"/>
      <c r="L122" s="229"/>
      <c r="M122" s="229"/>
      <c r="N122" s="229"/>
      <c r="O122" s="229"/>
      <c r="P122" s="229"/>
      <c r="Q122" s="229"/>
      <c r="R122" s="229"/>
      <c r="S122" s="229"/>
      <c r="T122" s="243"/>
      <c r="U122" s="243"/>
      <c r="V122" s="229"/>
      <c r="W122" s="229"/>
      <c r="X122" s="230"/>
      <c r="Y122" s="9"/>
      <c r="Z122" s="146"/>
      <c r="AA122" s="16"/>
      <c r="AB122" s="16"/>
      <c r="AC122" s="143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  <c r="BB122" s="9"/>
      <c r="BC122" s="9"/>
      <c r="BD122" s="9"/>
      <c r="BE122" s="9"/>
      <c r="BF122" s="9"/>
      <c r="BG122" s="9"/>
      <c r="BH122" s="9"/>
      <c r="BI122" s="9"/>
      <c r="BJ122" s="9"/>
      <c r="BK122" s="9"/>
      <c r="BL122" s="9"/>
      <c r="BM122" s="9"/>
      <c r="BN122" s="9"/>
      <c r="BO122" s="9"/>
      <c r="BP122" s="9"/>
      <c r="BQ122" s="9"/>
      <c r="BR122" s="9"/>
      <c r="BS122" s="9"/>
      <c r="BT122" s="9"/>
      <c r="BU122" s="9"/>
      <c r="BV122" s="9"/>
      <c r="BW122" s="9"/>
      <c r="BX122" s="9"/>
      <c r="BY122" s="9"/>
      <c r="BZ122" s="9"/>
      <c r="CA122" s="9"/>
      <c r="CB122" s="9"/>
      <c r="CC122" s="9"/>
      <c r="CD122" s="9"/>
      <c r="CE122" s="9"/>
      <c r="DJ122" s="107"/>
      <c r="DM122" s="130" t="n">
        <v>40210</v>
      </c>
      <c r="DN122" s="22" t="n">
        <v>19</v>
      </c>
      <c r="DO122" s="22" t="n">
        <v>4</v>
      </c>
      <c r="DP122" s="22" t="n">
        <v>4</v>
      </c>
      <c r="DQ122" s="22" t="n">
        <v>1</v>
      </c>
      <c r="DR122" s="22" t="n">
        <v>28</v>
      </c>
      <c r="DS122" s="111"/>
      <c r="DT122" s="111"/>
      <c r="DU122" s="130" t="n">
        <v>40210</v>
      </c>
      <c r="DV122" s="22" t="n">
        <v>20</v>
      </c>
      <c r="DW122" s="22" t="n">
        <v>4</v>
      </c>
      <c r="DX122" s="22" t="n">
        <v>4</v>
      </c>
      <c r="DY122" s="22" t="n">
        <v>0</v>
      </c>
      <c r="DZ122" s="22" t="n">
        <v>28</v>
      </c>
    </row>
    <row r="123" customFormat="false" ht="15" hidden="false" customHeight="true" outlineLevel="0" collapsed="false">
      <c r="A123" s="230"/>
      <c r="B123" s="229"/>
      <c r="C123" s="229"/>
      <c r="D123" s="229"/>
      <c r="E123" s="229"/>
      <c r="F123" s="229"/>
      <c r="G123" s="229"/>
      <c r="H123" s="229"/>
      <c r="I123" s="229"/>
      <c r="J123" s="229"/>
      <c r="K123" s="229"/>
      <c r="L123" s="229"/>
      <c r="M123" s="229"/>
      <c r="N123" s="229"/>
      <c r="O123" s="229"/>
      <c r="P123" s="229"/>
      <c r="Q123" s="229"/>
      <c r="R123" s="229"/>
      <c r="S123" s="229"/>
      <c r="T123" s="243"/>
      <c r="U123" s="243"/>
      <c r="V123" s="229"/>
      <c r="W123" s="229"/>
      <c r="X123" s="230"/>
      <c r="Y123" s="9"/>
      <c r="Z123" s="231"/>
      <c r="AA123" s="232"/>
      <c r="AB123" s="232"/>
      <c r="AC123" s="143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  <c r="BB123" s="9"/>
      <c r="BC123" s="9"/>
      <c r="BD123" s="9"/>
      <c r="BE123" s="9"/>
      <c r="BF123" s="9"/>
      <c r="BG123" s="9"/>
      <c r="BH123" s="9"/>
      <c r="BI123" s="9"/>
      <c r="BJ123" s="9"/>
      <c r="BK123" s="9"/>
      <c r="BL123" s="9"/>
      <c r="BM123" s="9"/>
      <c r="BN123" s="9"/>
      <c r="BO123" s="9"/>
      <c r="BP123" s="9"/>
      <c r="BQ123" s="9"/>
      <c r="BR123" s="9"/>
      <c r="BS123" s="9"/>
      <c r="BT123" s="9"/>
      <c r="BU123" s="9"/>
      <c r="BV123" s="9"/>
      <c r="BW123" s="9"/>
      <c r="BX123" s="9"/>
      <c r="BY123" s="9"/>
      <c r="BZ123" s="9"/>
      <c r="CA123" s="9"/>
      <c r="CB123" s="9"/>
      <c r="CC123" s="9"/>
      <c r="CD123" s="9"/>
      <c r="CE123" s="9"/>
      <c r="DJ123" s="107"/>
      <c r="DM123" s="130" t="n">
        <v>40238</v>
      </c>
      <c r="DN123" s="22" t="n">
        <v>23</v>
      </c>
      <c r="DO123" s="22" t="n">
        <v>4</v>
      </c>
      <c r="DP123" s="22" t="n">
        <v>4</v>
      </c>
      <c r="DQ123" s="22" t="n">
        <v>0</v>
      </c>
      <c r="DR123" s="22" t="n">
        <v>31</v>
      </c>
      <c r="DS123" s="111"/>
      <c r="DT123" s="111"/>
      <c r="DU123" s="130" t="n">
        <v>40238</v>
      </c>
      <c r="DV123" s="22" t="n">
        <v>23</v>
      </c>
      <c r="DW123" s="22" t="n">
        <v>4</v>
      </c>
      <c r="DX123" s="22" t="n">
        <v>4</v>
      </c>
      <c r="DY123" s="22" t="n">
        <v>0</v>
      </c>
      <c r="DZ123" s="22" t="n">
        <v>31</v>
      </c>
    </row>
    <row r="124" customFormat="false" ht="15.75" hidden="false" customHeight="true" outlineLevel="0" collapsed="false">
      <c r="A124" s="230"/>
      <c r="B124" s="229"/>
      <c r="C124" s="229"/>
      <c r="D124" s="229"/>
      <c r="E124" s="229"/>
      <c r="F124" s="229"/>
      <c r="G124" s="229"/>
      <c r="H124" s="229"/>
      <c r="I124" s="229"/>
      <c r="J124" s="229"/>
      <c r="K124" s="229"/>
      <c r="L124" s="229"/>
      <c r="M124" s="229"/>
      <c r="N124" s="229"/>
      <c r="O124" s="229"/>
      <c r="P124" s="229"/>
      <c r="Q124" s="229"/>
      <c r="R124" s="229"/>
      <c r="S124" s="229"/>
      <c r="T124" s="243"/>
      <c r="U124" s="243"/>
      <c r="V124" s="229"/>
      <c r="W124" s="229"/>
      <c r="X124" s="230"/>
      <c r="Y124" s="9"/>
      <c r="Z124" s="146"/>
      <c r="AA124" s="236"/>
      <c r="AB124" s="236"/>
      <c r="AC124" s="143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  <c r="BB124" s="9"/>
      <c r="BC124" s="9"/>
      <c r="BD124" s="9"/>
      <c r="BE124" s="9"/>
      <c r="BF124" s="9"/>
      <c r="BG124" s="9"/>
      <c r="BH124" s="9"/>
      <c r="BI124" s="9"/>
      <c r="BJ124" s="9"/>
      <c r="BK124" s="9"/>
      <c r="BL124" s="9"/>
      <c r="BM124" s="9"/>
      <c r="BN124" s="9"/>
      <c r="BO124" s="9"/>
      <c r="BP124" s="9"/>
      <c r="BQ124" s="9"/>
      <c r="BR124" s="9"/>
      <c r="BS124" s="9"/>
      <c r="BT124" s="9"/>
      <c r="BU124" s="9"/>
      <c r="BV124" s="9"/>
      <c r="BW124" s="9"/>
      <c r="BX124" s="9"/>
      <c r="BY124" s="9"/>
      <c r="BZ124" s="9"/>
      <c r="CA124" s="9"/>
      <c r="CB124" s="9"/>
      <c r="CC124" s="9"/>
      <c r="CD124" s="9"/>
      <c r="CE124" s="9"/>
      <c r="DJ124" s="107"/>
      <c r="DM124" s="130" t="n">
        <v>40269</v>
      </c>
      <c r="DN124" s="22" t="n">
        <v>21</v>
      </c>
      <c r="DO124" s="22" t="n">
        <v>4</v>
      </c>
      <c r="DP124" s="22" t="n">
        <v>4</v>
      </c>
      <c r="DQ124" s="22" t="n">
        <v>1</v>
      </c>
      <c r="DR124" s="22" t="n">
        <v>30</v>
      </c>
      <c r="DS124" s="111"/>
      <c r="DT124" s="111"/>
      <c r="DU124" s="130" t="n">
        <v>40269</v>
      </c>
      <c r="DV124" s="22" t="n">
        <v>22</v>
      </c>
      <c r="DW124" s="22" t="n">
        <v>4</v>
      </c>
      <c r="DX124" s="22" t="n">
        <v>4</v>
      </c>
      <c r="DY124" s="22" t="n">
        <v>0</v>
      </c>
      <c r="DZ124" s="22" t="n">
        <v>30</v>
      </c>
    </row>
    <row r="125" customFormat="false" ht="15.75" hidden="false" customHeight="true" outlineLevel="0" collapsed="false">
      <c r="A125" s="230"/>
      <c r="B125" s="229"/>
      <c r="C125" s="229"/>
      <c r="D125" s="229"/>
      <c r="E125" s="229"/>
      <c r="F125" s="229"/>
      <c r="G125" s="229"/>
      <c r="H125" s="229"/>
      <c r="I125" s="229"/>
      <c r="J125" s="229"/>
      <c r="K125" s="229"/>
      <c r="L125" s="229"/>
      <c r="M125" s="229"/>
      <c r="N125" s="229"/>
      <c r="O125" s="229"/>
      <c r="P125" s="229"/>
      <c r="Q125" s="229"/>
      <c r="R125" s="229"/>
      <c r="S125" s="229"/>
      <c r="T125" s="243"/>
      <c r="U125" s="243"/>
      <c r="V125" s="229"/>
      <c r="W125" s="229"/>
      <c r="X125" s="230"/>
      <c r="Y125" s="9"/>
      <c r="Z125" s="146"/>
      <c r="AA125" s="16"/>
      <c r="AB125" s="16"/>
      <c r="AC125" s="143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  <c r="BB125" s="9"/>
      <c r="BC125" s="9"/>
      <c r="BD125" s="9"/>
      <c r="BE125" s="9"/>
      <c r="BF125" s="9"/>
      <c r="BG125" s="9"/>
      <c r="BH125" s="9"/>
      <c r="BI125" s="9"/>
      <c r="BJ125" s="9"/>
      <c r="BK125" s="9"/>
      <c r="BL125" s="9"/>
      <c r="BM125" s="9"/>
      <c r="BN125" s="9"/>
      <c r="BO125" s="9"/>
      <c r="BP125" s="9"/>
      <c r="BQ125" s="9"/>
      <c r="BR125" s="9"/>
      <c r="BS125" s="9"/>
      <c r="BT125" s="9"/>
      <c r="BU125" s="9"/>
      <c r="BV125" s="9"/>
      <c r="BW125" s="9"/>
      <c r="BX125" s="9"/>
      <c r="BY125" s="9"/>
      <c r="BZ125" s="9"/>
      <c r="CA125" s="9"/>
      <c r="CB125" s="9"/>
      <c r="CC125" s="9"/>
      <c r="CD125" s="9"/>
      <c r="CE125" s="9"/>
      <c r="DJ125" s="107"/>
      <c r="DM125" s="130" t="n">
        <v>40299</v>
      </c>
      <c r="DN125" s="22" t="n">
        <v>20</v>
      </c>
      <c r="DO125" s="22" t="n">
        <v>5</v>
      </c>
      <c r="DP125" s="22" t="n">
        <v>5</v>
      </c>
      <c r="DQ125" s="22" t="n">
        <v>1</v>
      </c>
      <c r="DR125" s="22" t="n">
        <v>31</v>
      </c>
      <c r="DS125" s="111"/>
      <c r="DT125" s="111"/>
      <c r="DU125" s="130" t="n">
        <v>40299</v>
      </c>
      <c r="DV125" s="22" t="n">
        <v>20</v>
      </c>
      <c r="DW125" s="22" t="n">
        <v>5</v>
      </c>
      <c r="DX125" s="22" t="n">
        <v>5</v>
      </c>
      <c r="DY125" s="22" t="n">
        <v>1</v>
      </c>
      <c r="DZ125" s="22" t="n">
        <v>31</v>
      </c>
    </row>
    <row r="126" customFormat="false" ht="15" hidden="false" customHeight="true" outlineLevel="0" collapsed="false">
      <c r="A126" s="230"/>
      <c r="B126" s="229"/>
      <c r="C126" s="229"/>
      <c r="D126" s="229"/>
      <c r="E126" s="229"/>
      <c r="F126" s="229"/>
      <c r="G126" s="229"/>
      <c r="H126" s="229"/>
      <c r="I126" s="229"/>
      <c r="J126" s="229"/>
      <c r="K126" s="229"/>
      <c r="L126" s="229"/>
      <c r="M126" s="229"/>
      <c r="N126" s="229"/>
      <c r="O126" s="229"/>
      <c r="P126" s="229"/>
      <c r="Q126" s="229"/>
      <c r="R126" s="229"/>
      <c r="S126" s="229"/>
      <c r="T126" s="243"/>
      <c r="U126" s="243"/>
      <c r="V126" s="229"/>
      <c r="W126" s="229"/>
      <c r="X126" s="230"/>
      <c r="Y126" s="9"/>
      <c r="Z126" s="231"/>
      <c r="AA126" s="232"/>
      <c r="AB126" s="232"/>
      <c r="AC126" s="143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  <c r="BB126" s="9"/>
      <c r="BC126" s="9"/>
      <c r="BD126" s="9"/>
      <c r="BE126" s="9"/>
      <c r="BF126" s="9"/>
      <c r="BG126" s="9"/>
      <c r="BH126" s="9"/>
      <c r="BI126" s="9"/>
      <c r="BJ126" s="9"/>
      <c r="BK126" s="9"/>
      <c r="BL126" s="9"/>
      <c r="BM126" s="9"/>
      <c r="BN126" s="9"/>
      <c r="BO126" s="9"/>
      <c r="BP126" s="9"/>
      <c r="BQ126" s="9"/>
      <c r="BR126" s="9"/>
      <c r="BS126" s="9"/>
      <c r="BT126" s="9"/>
      <c r="BU126" s="9"/>
      <c r="BV126" s="9"/>
      <c r="BW126" s="9"/>
      <c r="BX126" s="9"/>
      <c r="BY126" s="9"/>
      <c r="BZ126" s="9"/>
      <c r="CA126" s="9"/>
      <c r="CB126" s="9"/>
      <c r="CC126" s="9"/>
      <c r="CD126" s="9"/>
      <c r="CE126" s="9"/>
      <c r="DJ126" s="107"/>
      <c r="DM126" s="130" t="n">
        <v>40330</v>
      </c>
      <c r="DN126" s="22" t="n">
        <v>22</v>
      </c>
      <c r="DO126" s="22" t="n">
        <v>4</v>
      </c>
      <c r="DP126" s="22" t="n">
        <v>4</v>
      </c>
      <c r="DQ126" s="22" t="n">
        <v>0</v>
      </c>
      <c r="DR126" s="22" t="n">
        <v>30</v>
      </c>
      <c r="DS126" s="111"/>
      <c r="DT126" s="111"/>
      <c r="DU126" s="130" t="n">
        <v>40330</v>
      </c>
      <c r="DV126" s="22" t="n">
        <v>22</v>
      </c>
      <c r="DW126" s="22" t="n">
        <v>4</v>
      </c>
      <c r="DX126" s="22" t="n">
        <v>4</v>
      </c>
      <c r="DY126" s="22" t="n">
        <v>0</v>
      </c>
      <c r="DZ126" s="22" t="n">
        <v>30</v>
      </c>
    </row>
    <row r="127" customFormat="false" ht="15.75" hidden="false" customHeight="true" outlineLevel="0" collapsed="false">
      <c r="A127" s="230"/>
      <c r="B127" s="229"/>
      <c r="C127" s="229"/>
      <c r="D127" s="229"/>
      <c r="E127" s="229"/>
      <c r="F127" s="229"/>
      <c r="G127" s="229"/>
      <c r="H127" s="229"/>
      <c r="I127" s="229"/>
      <c r="J127" s="229"/>
      <c r="K127" s="229"/>
      <c r="L127" s="229"/>
      <c r="M127" s="229"/>
      <c r="N127" s="229"/>
      <c r="O127" s="229"/>
      <c r="P127" s="229"/>
      <c r="Q127" s="229"/>
      <c r="R127" s="229"/>
      <c r="S127" s="229"/>
      <c r="T127" s="243"/>
      <c r="U127" s="243"/>
      <c r="V127" s="229"/>
      <c r="W127" s="229"/>
      <c r="X127" s="230"/>
      <c r="Y127" s="9"/>
      <c r="Z127" s="146"/>
      <c r="AA127" s="236"/>
      <c r="AB127" s="236"/>
      <c r="AC127" s="143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  <c r="BB127" s="9"/>
      <c r="BC127" s="9"/>
      <c r="BD127" s="9"/>
      <c r="BE127" s="9"/>
      <c r="BF127" s="9"/>
      <c r="BG127" s="9"/>
      <c r="BH127" s="9"/>
      <c r="BI127" s="9"/>
      <c r="BJ127" s="9"/>
      <c r="BK127" s="9"/>
      <c r="BL127" s="9"/>
      <c r="BM127" s="9"/>
      <c r="BN127" s="9"/>
      <c r="BO127" s="9"/>
      <c r="BP127" s="9"/>
      <c r="BQ127" s="9"/>
      <c r="BR127" s="9"/>
      <c r="BS127" s="9"/>
      <c r="BT127" s="9"/>
      <c r="BU127" s="9"/>
      <c r="BV127" s="9"/>
      <c r="BW127" s="9"/>
      <c r="BX127" s="9"/>
      <c r="BY127" s="9"/>
      <c r="BZ127" s="9"/>
      <c r="CA127" s="9"/>
      <c r="CB127" s="9"/>
      <c r="CC127" s="9"/>
      <c r="CD127" s="9"/>
      <c r="CE127" s="9"/>
      <c r="DJ127" s="107"/>
      <c r="DM127" s="130" t="n">
        <v>40360</v>
      </c>
      <c r="DN127" s="22" t="n">
        <v>21</v>
      </c>
      <c r="DO127" s="22" t="n">
        <v>5</v>
      </c>
      <c r="DP127" s="22" t="n">
        <v>4</v>
      </c>
      <c r="DQ127" s="22" t="n">
        <v>1</v>
      </c>
      <c r="DR127" s="22" t="n">
        <v>31</v>
      </c>
      <c r="DS127" s="111"/>
      <c r="DT127" s="111"/>
      <c r="DU127" s="130" t="n">
        <v>40360</v>
      </c>
      <c r="DV127" s="22" t="n">
        <v>21</v>
      </c>
      <c r="DW127" s="22" t="n">
        <v>5</v>
      </c>
      <c r="DX127" s="22" t="n">
        <v>4</v>
      </c>
      <c r="DY127" s="22" t="n">
        <v>1</v>
      </c>
      <c r="DZ127" s="22" t="n">
        <v>31</v>
      </c>
    </row>
    <row r="128" customFormat="false" ht="15.75" hidden="false" customHeight="true" outlineLevel="0" collapsed="false">
      <c r="A128" s="230"/>
      <c r="B128" s="229"/>
      <c r="C128" s="229"/>
      <c r="D128" s="229"/>
      <c r="E128" s="229"/>
      <c r="F128" s="229"/>
      <c r="G128" s="229"/>
      <c r="H128" s="229"/>
      <c r="I128" s="229"/>
      <c r="J128" s="229"/>
      <c r="K128" s="229"/>
      <c r="L128" s="229"/>
      <c r="M128" s="229"/>
      <c r="N128" s="229"/>
      <c r="O128" s="229"/>
      <c r="P128" s="229"/>
      <c r="Q128" s="229"/>
      <c r="R128" s="229"/>
      <c r="S128" s="229"/>
      <c r="T128" s="243"/>
      <c r="U128" s="243"/>
      <c r="V128" s="229"/>
      <c r="W128" s="229"/>
      <c r="X128" s="230"/>
      <c r="Y128" s="9"/>
      <c r="Z128" s="146"/>
      <c r="AA128" s="16"/>
      <c r="AB128" s="16"/>
      <c r="AC128" s="143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  <c r="BB128" s="9"/>
      <c r="BC128" s="9"/>
      <c r="BD128" s="9"/>
      <c r="BE128" s="9"/>
      <c r="BF128" s="9"/>
      <c r="BG128" s="9"/>
      <c r="BH128" s="9"/>
      <c r="BI128" s="9"/>
      <c r="BJ128" s="9"/>
      <c r="BK128" s="9"/>
      <c r="BL128" s="9"/>
      <c r="BM128" s="9"/>
      <c r="BN128" s="9"/>
      <c r="BO128" s="9"/>
      <c r="BP128" s="9"/>
      <c r="BQ128" s="9"/>
      <c r="BR128" s="9"/>
      <c r="BS128" s="9"/>
      <c r="BT128" s="9"/>
      <c r="BU128" s="9"/>
      <c r="BV128" s="9"/>
      <c r="BW128" s="9"/>
      <c r="BX128" s="9"/>
      <c r="BY128" s="9"/>
      <c r="BZ128" s="9"/>
      <c r="CA128" s="9"/>
      <c r="CB128" s="9"/>
      <c r="CC128" s="9"/>
      <c r="CD128" s="9"/>
      <c r="CE128" s="9"/>
      <c r="DJ128" s="107"/>
      <c r="DM128" s="130" t="n">
        <v>40391</v>
      </c>
      <c r="DN128" s="22" t="n">
        <v>21</v>
      </c>
      <c r="DO128" s="22" t="n">
        <v>4</v>
      </c>
      <c r="DP128" s="22" t="n">
        <v>5</v>
      </c>
      <c r="DQ128" s="22" t="n">
        <v>1</v>
      </c>
      <c r="DR128" s="22" t="n">
        <v>31</v>
      </c>
      <c r="DS128" s="111"/>
      <c r="DT128" s="111"/>
      <c r="DU128" s="130" t="n">
        <v>40391</v>
      </c>
      <c r="DV128" s="22" t="n">
        <v>22</v>
      </c>
      <c r="DW128" s="22" t="n">
        <v>4</v>
      </c>
      <c r="DX128" s="22" t="n">
        <v>5</v>
      </c>
      <c r="DY128" s="22" t="n">
        <v>0</v>
      </c>
      <c r="DZ128" s="22" t="n">
        <v>31</v>
      </c>
    </row>
    <row r="129" customFormat="false" ht="15" hidden="false" customHeight="true" outlineLevel="0" collapsed="false">
      <c r="A129" s="230"/>
      <c r="B129" s="229"/>
      <c r="C129" s="229"/>
      <c r="D129" s="229"/>
      <c r="E129" s="229"/>
      <c r="F129" s="229"/>
      <c r="G129" s="229"/>
      <c r="H129" s="229"/>
      <c r="I129" s="229"/>
      <c r="J129" s="229"/>
      <c r="K129" s="229"/>
      <c r="L129" s="229"/>
      <c r="M129" s="229"/>
      <c r="N129" s="229"/>
      <c r="O129" s="229"/>
      <c r="P129" s="229"/>
      <c r="Q129" s="229"/>
      <c r="R129" s="229"/>
      <c r="S129" s="229"/>
      <c r="T129" s="243"/>
      <c r="U129" s="243"/>
      <c r="V129" s="229"/>
      <c r="W129" s="229"/>
      <c r="X129" s="230"/>
      <c r="Y129" s="9"/>
      <c r="Z129" s="231"/>
      <c r="AA129" s="232"/>
      <c r="AB129" s="232"/>
      <c r="AC129" s="143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DJ129" s="107"/>
      <c r="DM129" s="130" t="n">
        <v>40422</v>
      </c>
      <c r="DN129" s="22" t="n">
        <v>21</v>
      </c>
      <c r="DO129" s="22" t="n">
        <v>4</v>
      </c>
      <c r="DP129" s="22" t="n">
        <v>4</v>
      </c>
      <c r="DQ129" s="22" t="n">
        <v>1</v>
      </c>
      <c r="DR129" s="22" t="n">
        <v>30</v>
      </c>
      <c r="DS129" s="111"/>
      <c r="DT129" s="111"/>
      <c r="DU129" s="130" t="n">
        <v>40422</v>
      </c>
      <c r="DV129" s="22" t="n">
        <v>21</v>
      </c>
      <c r="DW129" s="22" t="n">
        <v>4</v>
      </c>
      <c r="DX129" s="22" t="n">
        <v>4</v>
      </c>
      <c r="DY129" s="22" t="n">
        <v>1</v>
      </c>
      <c r="DZ129" s="22" t="n">
        <v>30</v>
      </c>
    </row>
    <row r="130" customFormat="false" ht="15.75" hidden="false" customHeight="true" outlineLevel="0" collapsed="false">
      <c r="A130" s="230"/>
      <c r="B130" s="229"/>
      <c r="C130" s="229"/>
      <c r="D130" s="229"/>
      <c r="E130" s="229"/>
      <c r="F130" s="229"/>
      <c r="G130" s="229"/>
      <c r="H130" s="229"/>
      <c r="I130" s="229"/>
      <c r="J130" s="229"/>
      <c r="K130" s="229"/>
      <c r="L130" s="229"/>
      <c r="M130" s="229"/>
      <c r="N130" s="229"/>
      <c r="O130" s="229"/>
      <c r="P130" s="229"/>
      <c r="Q130" s="229"/>
      <c r="R130" s="229"/>
      <c r="S130" s="229"/>
      <c r="T130" s="243"/>
      <c r="U130" s="243"/>
      <c r="V130" s="229"/>
      <c r="W130" s="229"/>
      <c r="X130" s="230"/>
      <c r="Y130" s="9"/>
      <c r="Z130" s="146"/>
      <c r="AA130" s="236"/>
      <c r="AB130" s="236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  <c r="BB130" s="9"/>
      <c r="BC130" s="9"/>
      <c r="BD130" s="9"/>
      <c r="BE130" s="9"/>
      <c r="BF130" s="9"/>
      <c r="BG130" s="9"/>
      <c r="BH130" s="9"/>
      <c r="BI130" s="9"/>
      <c r="BJ130" s="9"/>
      <c r="BK130" s="9"/>
      <c r="BL130" s="9"/>
      <c r="BM130" s="9"/>
      <c r="BN130" s="9"/>
      <c r="BO130" s="9"/>
      <c r="BP130" s="9"/>
      <c r="BQ130" s="9"/>
      <c r="BR130" s="9"/>
      <c r="BS130" s="9"/>
      <c r="BT130" s="9"/>
      <c r="BU130" s="9"/>
      <c r="BV130" s="9"/>
      <c r="BW130" s="9"/>
      <c r="BX130" s="9"/>
      <c r="BY130" s="9"/>
      <c r="BZ130" s="9"/>
      <c r="CA130" s="9"/>
      <c r="CB130" s="9"/>
      <c r="CC130" s="9"/>
      <c r="CD130" s="9"/>
      <c r="CE130" s="9"/>
      <c r="DJ130" s="107"/>
      <c r="DM130" s="130" t="n">
        <v>40452</v>
      </c>
      <c r="DN130" s="22" t="n">
        <v>20</v>
      </c>
      <c r="DO130" s="22" t="n">
        <v>5</v>
      </c>
      <c r="DP130" s="22" t="n">
        <v>5</v>
      </c>
      <c r="DQ130" s="22" t="n">
        <v>1</v>
      </c>
      <c r="DR130" s="22" t="n">
        <v>31</v>
      </c>
      <c r="DS130" s="111"/>
      <c r="DT130" s="111"/>
      <c r="DU130" s="130" t="n">
        <v>40452</v>
      </c>
      <c r="DV130" s="22" t="n">
        <v>21</v>
      </c>
      <c r="DW130" s="22" t="n">
        <v>5</v>
      </c>
      <c r="DX130" s="22" t="n">
        <v>5</v>
      </c>
      <c r="DY130" s="22" t="n">
        <v>0</v>
      </c>
      <c r="DZ130" s="22" t="n">
        <v>31</v>
      </c>
    </row>
    <row r="131" customFormat="false" ht="15" hidden="false" customHeight="true" outlineLevel="0" collapsed="false">
      <c r="A131" s="230"/>
      <c r="B131" s="229"/>
      <c r="C131" s="229"/>
      <c r="D131" s="229"/>
      <c r="E131" s="229"/>
      <c r="F131" s="229"/>
      <c r="G131" s="229"/>
      <c r="H131" s="229"/>
      <c r="I131" s="229"/>
      <c r="J131" s="229"/>
      <c r="K131" s="229"/>
      <c r="L131" s="229"/>
      <c r="M131" s="229"/>
      <c r="N131" s="229"/>
      <c r="O131" s="229"/>
      <c r="P131" s="229"/>
      <c r="Q131" s="229"/>
      <c r="R131" s="229"/>
      <c r="S131" s="229"/>
      <c r="T131" s="243"/>
      <c r="U131" s="243"/>
      <c r="V131" s="229"/>
      <c r="W131" s="229"/>
      <c r="X131" s="230"/>
      <c r="Y131" s="9"/>
      <c r="Z131" s="237"/>
      <c r="AA131" s="238"/>
      <c r="AB131" s="238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  <c r="BB131" s="9"/>
      <c r="BC131" s="9"/>
      <c r="BD131" s="9"/>
      <c r="BE131" s="9"/>
      <c r="BF131" s="9"/>
      <c r="BG131" s="9"/>
      <c r="BH131" s="9"/>
      <c r="BI131" s="9"/>
      <c r="BJ131" s="9"/>
      <c r="BK131" s="9"/>
      <c r="BL131" s="9"/>
      <c r="BM131" s="9"/>
      <c r="BN131" s="9"/>
      <c r="BO131" s="9"/>
      <c r="BP131" s="9"/>
      <c r="BQ131" s="9"/>
      <c r="BR131" s="9"/>
      <c r="BS131" s="9"/>
      <c r="BT131" s="9"/>
      <c r="BU131" s="9"/>
      <c r="BV131" s="9"/>
      <c r="BW131" s="9"/>
      <c r="BX131" s="9"/>
      <c r="BY131" s="9"/>
      <c r="BZ131" s="9"/>
      <c r="CA131" s="9"/>
      <c r="CB131" s="9"/>
      <c r="CC131" s="9"/>
      <c r="CD131" s="9"/>
      <c r="CE131" s="9"/>
      <c r="DJ131" s="107"/>
      <c r="DM131" s="130" t="n">
        <v>40483</v>
      </c>
      <c r="DN131" s="22" t="n">
        <v>21</v>
      </c>
      <c r="DO131" s="22" t="n">
        <v>4</v>
      </c>
      <c r="DP131" s="22" t="n">
        <v>4</v>
      </c>
      <c r="DQ131" s="22" t="n">
        <v>1</v>
      </c>
      <c r="DR131" s="22" t="n">
        <v>30</v>
      </c>
      <c r="DS131" s="111"/>
      <c r="DT131" s="111"/>
      <c r="DU131" s="130" t="n">
        <v>40483</v>
      </c>
      <c r="DV131" s="22" t="n">
        <v>21</v>
      </c>
      <c r="DW131" s="22" t="n">
        <v>4</v>
      </c>
      <c r="DX131" s="22" t="n">
        <v>4</v>
      </c>
      <c r="DY131" s="22" t="n">
        <v>1</v>
      </c>
      <c r="DZ131" s="22" t="n">
        <v>30</v>
      </c>
    </row>
    <row r="132" customFormat="false" ht="15.75" hidden="false" customHeight="true" outlineLevel="0" collapsed="false">
      <c r="A132" s="145"/>
      <c r="B132" s="236"/>
      <c r="C132" s="236"/>
      <c r="D132" s="236"/>
      <c r="E132" s="236"/>
      <c r="F132" s="236"/>
      <c r="G132" s="236"/>
      <c r="H132" s="236"/>
      <c r="I132" s="236"/>
      <c r="J132" s="236"/>
      <c r="K132" s="236"/>
      <c r="L132" s="236"/>
      <c r="M132" s="236"/>
      <c r="N132" s="236"/>
      <c r="O132" s="236"/>
      <c r="P132" s="236"/>
      <c r="Q132" s="236"/>
      <c r="R132" s="236"/>
      <c r="S132" s="236"/>
      <c r="T132" s="250"/>
      <c r="U132" s="250"/>
      <c r="V132" s="236"/>
      <c r="W132" s="236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  <c r="BK132" s="9"/>
      <c r="BL132" s="9"/>
      <c r="BM132" s="9"/>
      <c r="BN132" s="9"/>
      <c r="BO132" s="9"/>
      <c r="BP132" s="9"/>
      <c r="BQ132" s="9"/>
      <c r="BR132" s="9"/>
      <c r="BS132" s="9"/>
      <c r="BT132" s="9"/>
      <c r="BU132" s="9"/>
      <c r="BV132" s="9"/>
      <c r="BW132" s="9"/>
      <c r="BX132" s="9"/>
      <c r="BY132" s="9"/>
      <c r="BZ132" s="9"/>
      <c r="CA132" s="9"/>
      <c r="CB132" s="9"/>
      <c r="CC132" s="9"/>
      <c r="CD132" s="9"/>
      <c r="CE132" s="9"/>
      <c r="DJ132" s="107"/>
      <c r="DM132" s="130" t="n">
        <v>40513</v>
      </c>
      <c r="DN132" s="22" t="n">
        <v>22</v>
      </c>
      <c r="DO132" s="22" t="n">
        <v>3</v>
      </c>
      <c r="DP132" s="22" t="n">
        <v>4</v>
      </c>
      <c r="DQ132" s="22" t="n">
        <v>2</v>
      </c>
      <c r="DR132" s="22" t="n">
        <v>31</v>
      </c>
      <c r="DS132" s="111"/>
      <c r="DT132" s="111"/>
      <c r="DU132" s="130" t="n">
        <v>40513</v>
      </c>
      <c r="DV132" s="22" t="n">
        <v>23</v>
      </c>
      <c r="DW132" s="22" t="n">
        <v>3</v>
      </c>
      <c r="DX132" s="22" t="n">
        <v>4</v>
      </c>
      <c r="DY132" s="22" t="n">
        <v>1</v>
      </c>
      <c r="DZ132" s="22" t="n">
        <v>31</v>
      </c>
    </row>
    <row r="133" customFormat="false" ht="12.75" hidden="false" customHeight="true" outlineLevel="0" collapsed="false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  <c r="BB133" s="9"/>
      <c r="BC133" s="9"/>
      <c r="BD133" s="9"/>
      <c r="BE133" s="9"/>
      <c r="BF133" s="9"/>
      <c r="BG133" s="9"/>
      <c r="BH133" s="9"/>
      <c r="BI133" s="9"/>
      <c r="BJ133" s="9"/>
      <c r="BK133" s="9"/>
      <c r="BL133" s="9"/>
      <c r="BM133" s="9"/>
      <c r="BN133" s="9"/>
      <c r="BO133" s="9"/>
      <c r="BP133" s="9"/>
      <c r="BQ133" s="9"/>
      <c r="BR133" s="9"/>
      <c r="BS133" s="9"/>
      <c r="BT133" s="9"/>
      <c r="BU133" s="9"/>
      <c r="BV133" s="9"/>
      <c r="BW133" s="9"/>
      <c r="BX133" s="9"/>
      <c r="BY133" s="9"/>
      <c r="BZ133" s="9"/>
      <c r="CA133" s="9"/>
      <c r="CB133" s="9"/>
      <c r="CC133" s="9"/>
      <c r="CD133" s="9"/>
      <c r="CE133" s="9"/>
      <c r="DJ133" s="107"/>
      <c r="DM133" s="130" t="n">
        <v>40544</v>
      </c>
      <c r="DN133" s="22" t="n">
        <v>21</v>
      </c>
      <c r="DO133" s="22" t="n">
        <v>4</v>
      </c>
      <c r="DP133" s="22" t="n">
        <v>5</v>
      </c>
      <c r="DQ133" s="22" t="n">
        <v>1</v>
      </c>
      <c r="DR133" s="22" t="n">
        <v>31</v>
      </c>
      <c r="DS133" s="111"/>
      <c r="DT133" s="111"/>
      <c r="DU133" s="130" t="n">
        <v>40544</v>
      </c>
      <c r="DV133" s="22" t="n">
        <v>21</v>
      </c>
      <c r="DW133" s="22" t="n">
        <v>4</v>
      </c>
      <c r="DX133" s="22" t="n">
        <v>5</v>
      </c>
      <c r="DY133" s="22" t="n">
        <v>1</v>
      </c>
      <c r="DZ133" s="22" t="n">
        <v>31</v>
      </c>
    </row>
    <row r="134" customFormat="false" ht="12.75" hidden="false" customHeight="true" outlineLevel="0" collapsed="false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  <c r="BB134" s="9"/>
      <c r="BC134" s="9"/>
      <c r="BD134" s="9"/>
      <c r="BE134" s="9"/>
      <c r="BF134" s="9"/>
      <c r="BG134" s="9"/>
      <c r="BH134" s="9"/>
      <c r="BI134" s="9"/>
      <c r="BJ134" s="9"/>
      <c r="BK134" s="9"/>
      <c r="BL134" s="9"/>
      <c r="BM134" s="9"/>
      <c r="BN134" s="9"/>
      <c r="BO134" s="9"/>
      <c r="BP134" s="9"/>
      <c r="BQ134" s="9"/>
      <c r="BR134" s="9"/>
      <c r="BS134" s="9"/>
      <c r="BT134" s="9"/>
      <c r="BU134" s="9"/>
      <c r="BV134" s="9"/>
      <c r="BW134" s="9"/>
      <c r="BX134" s="9"/>
      <c r="BY134" s="9"/>
      <c r="BZ134" s="9"/>
      <c r="CA134" s="9"/>
      <c r="CB134" s="9"/>
      <c r="CC134" s="9"/>
      <c r="CD134" s="9"/>
      <c r="CE134" s="9"/>
      <c r="DJ134" s="107"/>
      <c r="DM134" s="130" t="n">
        <v>40575</v>
      </c>
      <c r="DN134" s="22" t="n">
        <v>19</v>
      </c>
      <c r="DO134" s="22" t="n">
        <v>4</v>
      </c>
      <c r="DP134" s="22" t="n">
        <v>4</v>
      </c>
      <c r="DQ134" s="22" t="n">
        <v>1</v>
      </c>
      <c r="DR134" s="22" t="n">
        <v>28</v>
      </c>
      <c r="DS134" s="111"/>
      <c r="DT134" s="111"/>
      <c r="DU134" s="130" t="n">
        <v>40575</v>
      </c>
      <c r="DV134" s="22" t="n">
        <v>20</v>
      </c>
      <c r="DW134" s="22" t="n">
        <v>4</v>
      </c>
      <c r="DX134" s="22" t="n">
        <v>4</v>
      </c>
      <c r="DY134" s="22" t="n">
        <v>0</v>
      </c>
      <c r="DZ134" s="22" t="n">
        <v>28</v>
      </c>
    </row>
    <row r="135" customFormat="false" ht="12.75" hidden="false" customHeight="true" outlineLevel="0" collapsed="false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  <c r="BB135" s="9"/>
      <c r="BC135" s="9"/>
      <c r="BD135" s="9"/>
      <c r="BE135" s="9"/>
      <c r="BF135" s="9"/>
      <c r="BG135" s="9"/>
      <c r="BH135" s="9"/>
      <c r="BI135" s="9"/>
      <c r="BJ135" s="9"/>
      <c r="BK135" s="9"/>
      <c r="BL135" s="9"/>
      <c r="BM135" s="9"/>
      <c r="BN135" s="9"/>
      <c r="BO135" s="9"/>
      <c r="BP135" s="9"/>
      <c r="BQ135" s="9"/>
      <c r="BR135" s="9"/>
      <c r="BS135" s="9"/>
      <c r="BT135" s="9"/>
      <c r="BU135" s="9"/>
      <c r="BV135" s="9"/>
      <c r="BW135" s="9"/>
      <c r="BX135" s="9"/>
      <c r="BY135" s="9"/>
      <c r="BZ135" s="9"/>
      <c r="CA135" s="9"/>
      <c r="CB135" s="9"/>
      <c r="CC135" s="9"/>
      <c r="CD135" s="9"/>
      <c r="CE135" s="9"/>
      <c r="CF135" s="9"/>
      <c r="CG135" s="9"/>
      <c r="CH135" s="9"/>
      <c r="CI135" s="9"/>
      <c r="CJ135" s="9"/>
      <c r="CK135" s="9"/>
      <c r="CL135" s="9"/>
      <c r="CM135" s="9"/>
      <c r="CN135" s="9"/>
      <c r="CO135" s="9"/>
      <c r="DJ135" s="107"/>
      <c r="DM135" s="130" t="n">
        <v>40603</v>
      </c>
      <c r="DN135" s="22" t="n">
        <v>23</v>
      </c>
      <c r="DO135" s="22" t="n">
        <v>4</v>
      </c>
      <c r="DP135" s="22" t="n">
        <v>4</v>
      </c>
      <c r="DQ135" s="22" t="n">
        <v>0</v>
      </c>
      <c r="DR135" s="22" t="n">
        <v>31</v>
      </c>
      <c r="DS135" s="111"/>
      <c r="DT135" s="111"/>
      <c r="DU135" s="130" t="n">
        <v>40603</v>
      </c>
      <c r="DV135" s="22" t="n">
        <v>23</v>
      </c>
      <c r="DW135" s="22" t="n">
        <v>4</v>
      </c>
      <c r="DX135" s="22" t="n">
        <v>4</v>
      </c>
      <c r="DY135" s="22" t="n">
        <v>0</v>
      </c>
      <c r="DZ135" s="22" t="n">
        <v>31</v>
      </c>
    </row>
    <row r="136" customFormat="false" ht="20.25" hidden="false" customHeight="true" outlineLevel="0" collapsed="false">
      <c r="A136" s="246"/>
      <c r="B136" s="9"/>
      <c r="C136" s="9"/>
      <c r="D136" s="9"/>
      <c r="E136" s="247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  <c r="BB136" s="9"/>
      <c r="BC136" s="9"/>
      <c r="BD136" s="9"/>
      <c r="BE136" s="9"/>
      <c r="BF136" s="9"/>
      <c r="BG136" s="9"/>
      <c r="BH136" s="9"/>
      <c r="BI136" s="9"/>
      <c r="BJ136" s="9"/>
      <c r="BK136" s="9"/>
      <c r="BL136" s="9"/>
      <c r="BM136" s="9"/>
      <c r="BN136" s="9"/>
      <c r="BO136" s="9"/>
      <c r="BP136" s="9"/>
      <c r="BQ136" s="9"/>
      <c r="BR136" s="9"/>
      <c r="BS136" s="9"/>
      <c r="BT136" s="9"/>
      <c r="BU136" s="9"/>
      <c r="BV136" s="9"/>
      <c r="BW136" s="9"/>
      <c r="BX136" s="9"/>
      <c r="BY136" s="9"/>
      <c r="BZ136" s="9"/>
      <c r="CA136" s="9"/>
      <c r="CB136" s="9"/>
      <c r="CC136" s="9"/>
      <c r="CD136" s="9"/>
      <c r="CE136" s="9"/>
      <c r="CF136" s="9"/>
      <c r="CG136" s="9"/>
      <c r="CH136" s="9"/>
      <c r="CI136" s="9"/>
      <c r="CJ136" s="9"/>
      <c r="CK136" s="9"/>
      <c r="CL136" s="9"/>
      <c r="CM136" s="9"/>
      <c r="CN136" s="9"/>
      <c r="CO136" s="9"/>
      <c r="DJ136" s="107"/>
      <c r="DM136" s="130" t="n">
        <v>40634</v>
      </c>
      <c r="DN136" s="22" t="n">
        <v>20</v>
      </c>
      <c r="DO136" s="22" t="n">
        <v>5</v>
      </c>
      <c r="DP136" s="22" t="n">
        <v>4</v>
      </c>
      <c r="DQ136" s="22" t="n">
        <v>1</v>
      </c>
      <c r="DR136" s="22" t="n">
        <v>30</v>
      </c>
      <c r="DS136" s="111"/>
      <c r="DT136" s="111"/>
      <c r="DU136" s="130" t="n">
        <v>40634</v>
      </c>
      <c r="DV136" s="22" t="n">
        <v>21</v>
      </c>
      <c r="DW136" s="22" t="n">
        <v>5</v>
      </c>
      <c r="DX136" s="22" t="n">
        <v>4</v>
      </c>
      <c r="DY136" s="22" t="n">
        <v>0</v>
      </c>
      <c r="DZ136" s="22" t="n">
        <v>30</v>
      </c>
    </row>
    <row r="137" customFormat="false" ht="12.75" hidden="false" customHeight="true" outlineLevel="0" collapsed="false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  <c r="BB137" s="9"/>
      <c r="BC137" s="9"/>
      <c r="BD137" s="9"/>
      <c r="BE137" s="9"/>
      <c r="BF137" s="9"/>
      <c r="BG137" s="9"/>
      <c r="BH137" s="9"/>
      <c r="BI137" s="9"/>
      <c r="BJ137" s="9"/>
      <c r="BK137" s="9"/>
      <c r="BL137" s="9"/>
      <c r="BM137" s="9"/>
      <c r="BN137" s="9"/>
      <c r="BO137" s="9"/>
      <c r="BP137" s="9"/>
      <c r="BQ137" s="9"/>
      <c r="BR137" s="9"/>
      <c r="BS137" s="9"/>
      <c r="BT137" s="9"/>
      <c r="BU137" s="9"/>
      <c r="BV137" s="9"/>
      <c r="BW137" s="9"/>
      <c r="BX137" s="9"/>
      <c r="BY137" s="9"/>
      <c r="BZ137" s="9"/>
      <c r="CA137" s="9"/>
      <c r="CB137" s="9"/>
      <c r="CC137" s="9"/>
      <c r="CD137" s="9"/>
      <c r="CE137" s="9"/>
      <c r="CF137" s="9"/>
      <c r="CG137" s="9"/>
      <c r="CH137" s="9"/>
      <c r="CI137" s="9"/>
      <c r="CJ137" s="9"/>
      <c r="CK137" s="9"/>
      <c r="CL137" s="9"/>
      <c r="CM137" s="9"/>
      <c r="CN137" s="9"/>
      <c r="CO137" s="9"/>
      <c r="DJ137" s="107"/>
      <c r="DM137" s="130" t="n">
        <v>40664</v>
      </c>
      <c r="DN137" s="22" t="n">
        <v>21</v>
      </c>
      <c r="DO137" s="22" t="n">
        <v>4</v>
      </c>
      <c r="DP137" s="22" t="n">
        <v>5</v>
      </c>
      <c r="DQ137" s="22" t="n">
        <v>1</v>
      </c>
      <c r="DR137" s="22" t="n">
        <v>31</v>
      </c>
      <c r="DS137" s="111"/>
      <c r="DT137" s="111"/>
      <c r="DU137" s="130" t="n">
        <v>40664</v>
      </c>
      <c r="DV137" s="22" t="n">
        <v>21</v>
      </c>
      <c r="DW137" s="22" t="n">
        <v>4</v>
      </c>
      <c r="DX137" s="22" t="n">
        <v>5</v>
      </c>
      <c r="DY137" s="22" t="n">
        <v>1</v>
      </c>
      <c r="DZ137" s="22" t="n">
        <v>31</v>
      </c>
    </row>
    <row r="138" customFormat="false" ht="31.5" hidden="false" customHeight="true" outlineLevel="0" collapsed="false">
      <c r="A138" s="248"/>
      <c r="B138" s="222"/>
      <c r="C138" s="249"/>
      <c r="D138" s="249"/>
      <c r="E138" s="249"/>
      <c r="F138" s="249"/>
      <c r="G138" s="222"/>
      <c r="H138" s="146"/>
      <c r="I138" s="146"/>
      <c r="J138" s="222"/>
      <c r="K138" s="146"/>
      <c r="L138" s="222"/>
      <c r="M138" s="146"/>
      <c r="N138" s="146"/>
      <c r="O138" s="146"/>
      <c r="P138" s="146"/>
      <c r="Q138" s="249"/>
      <c r="R138" s="146"/>
      <c r="S138" s="146"/>
      <c r="T138" s="9"/>
      <c r="U138" s="9"/>
      <c r="V138" s="146"/>
      <c r="W138" s="146"/>
      <c r="X138" s="9"/>
      <c r="Y138" s="9"/>
      <c r="Z138" s="145"/>
      <c r="AA138" s="146"/>
      <c r="AB138" s="146"/>
      <c r="AC138" s="146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  <c r="BB138" s="9"/>
      <c r="BC138" s="9"/>
      <c r="BD138" s="9"/>
      <c r="BE138" s="9"/>
      <c r="BF138" s="9"/>
      <c r="BG138" s="9"/>
      <c r="BH138" s="9"/>
      <c r="BI138" s="9"/>
      <c r="BJ138" s="9"/>
      <c r="BK138" s="9"/>
      <c r="BL138" s="9"/>
      <c r="BM138" s="9"/>
      <c r="BN138" s="9"/>
      <c r="BO138" s="9"/>
      <c r="BP138" s="9"/>
      <c r="BQ138" s="9"/>
      <c r="BR138" s="9"/>
      <c r="BS138" s="9"/>
      <c r="BT138" s="9"/>
      <c r="BU138" s="9"/>
      <c r="BV138" s="9"/>
      <c r="BW138" s="9"/>
      <c r="BX138" s="9"/>
      <c r="BY138" s="9"/>
      <c r="BZ138" s="9"/>
      <c r="CA138" s="9"/>
      <c r="CB138" s="9"/>
      <c r="CC138" s="9"/>
      <c r="CD138" s="9"/>
      <c r="CE138" s="9"/>
      <c r="CF138" s="9"/>
      <c r="CG138" s="9"/>
      <c r="CH138" s="9"/>
      <c r="CI138" s="251"/>
      <c r="CJ138" s="145"/>
      <c r="CK138" s="9"/>
      <c r="CL138" s="9"/>
      <c r="CM138" s="9"/>
      <c r="CN138" s="9"/>
      <c r="CO138" s="9"/>
      <c r="CP138" s="46"/>
      <c r="CQ138" s="46"/>
      <c r="CR138" s="46"/>
      <c r="CS138" s="46"/>
      <c r="CT138" s="46"/>
      <c r="CU138" s="46"/>
      <c r="CV138" s="46"/>
      <c r="CW138" s="46"/>
      <c r="CX138" s="46"/>
      <c r="CY138" s="46"/>
      <c r="CZ138" s="46"/>
      <c r="DA138" s="46"/>
      <c r="DB138" s="46"/>
      <c r="DC138" s="46"/>
      <c r="DD138" s="46"/>
      <c r="DE138" s="46"/>
      <c r="DF138" s="46"/>
      <c r="DG138" s="46"/>
      <c r="DH138" s="46"/>
      <c r="DI138" s="46"/>
      <c r="DJ138" s="252"/>
      <c r="DK138" s="9"/>
      <c r="DL138" s="46"/>
      <c r="DM138" s="253" t="n">
        <v>40695</v>
      </c>
      <c r="DN138" s="143" t="n">
        <v>22</v>
      </c>
      <c r="DO138" s="143" t="n">
        <v>4</v>
      </c>
      <c r="DP138" s="143" t="n">
        <v>4</v>
      </c>
      <c r="DQ138" s="143" t="n">
        <v>0</v>
      </c>
      <c r="DR138" s="143" t="n">
        <v>30</v>
      </c>
      <c r="DS138" s="111"/>
      <c r="DT138" s="111"/>
      <c r="DU138" s="253" t="n">
        <v>40695</v>
      </c>
      <c r="DV138" s="143" t="n">
        <v>22</v>
      </c>
      <c r="DW138" s="143" t="n">
        <v>4</v>
      </c>
      <c r="DX138" s="143" t="n">
        <v>4</v>
      </c>
      <c r="DY138" s="143" t="n">
        <v>0</v>
      </c>
      <c r="DZ138" s="143" t="n">
        <v>30</v>
      </c>
      <c r="EA138" s="111"/>
      <c r="EB138" s="111"/>
      <c r="EC138" s="46"/>
      <c r="ED138" s="46"/>
      <c r="EE138" s="46"/>
      <c r="EF138" s="46"/>
      <c r="EG138" s="46"/>
      <c r="EH138" s="46"/>
      <c r="EI138" s="46"/>
      <c r="EJ138" s="46"/>
      <c r="EK138" s="46"/>
      <c r="EL138" s="46"/>
      <c r="EM138" s="46"/>
      <c r="EN138" s="46"/>
      <c r="EO138" s="46"/>
      <c r="EP138" s="46"/>
      <c r="EQ138" s="46"/>
      <c r="ER138" s="46"/>
      <c r="ES138" s="46"/>
      <c r="ET138" s="46"/>
      <c r="EU138" s="46"/>
      <c r="EV138" s="46"/>
      <c r="EW138" s="46"/>
      <c r="EX138" s="46"/>
      <c r="EY138" s="46"/>
      <c r="EZ138" s="46"/>
      <c r="FA138" s="46"/>
      <c r="FB138" s="46"/>
      <c r="FC138" s="46"/>
      <c r="FD138" s="46"/>
      <c r="FE138" s="46"/>
      <c r="FF138" s="46"/>
      <c r="FG138" s="46"/>
      <c r="FH138" s="46"/>
      <c r="FI138" s="46"/>
      <c r="FJ138" s="46"/>
      <c r="FK138" s="46"/>
      <c r="FL138" s="46"/>
      <c r="FM138" s="46"/>
      <c r="FN138" s="46"/>
      <c r="FO138" s="46"/>
      <c r="FP138" s="46"/>
      <c r="FQ138" s="46"/>
      <c r="FR138" s="46"/>
      <c r="FS138" s="46"/>
      <c r="FT138" s="46"/>
      <c r="FU138" s="46"/>
      <c r="FV138" s="46"/>
      <c r="FW138" s="46"/>
      <c r="FX138" s="46"/>
      <c r="FY138" s="46"/>
      <c r="FZ138" s="46"/>
      <c r="GA138" s="46"/>
      <c r="GB138" s="46"/>
      <c r="GC138" s="46"/>
      <c r="GD138" s="46"/>
      <c r="GE138" s="46"/>
      <c r="GF138" s="46"/>
      <c r="GG138" s="46"/>
      <c r="GH138" s="46"/>
      <c r="GI138" s="46"/>
      <c r="GJ138" s="46"/>
      <c r="GK138" s="46"/>
      <c r="GL138" s="46"/>
      <c r="GM138" s="46"/>
      <c r="GN138" s="46"/>
      <c r="GO138" s="46"/>
      <c r="GP138" s="46"/>
      <c r="GQ138" s="46"/>
      <c r="GR138" s="46"/>
      <c r="GS138" s="46"/>
      <c r="GT138" s="46"/>
      <c r="GU138" s="46"/>
      <c r="GV138" s="46"/>
      <c r="GW138" s="46"/>
      <c r="GX138" s="46"/>
      <c r="GY138" s="46"/>
      <c r="GZ138" s="46"/>
      <c r="HA138" s="46"/>
      <c r="HB138" s="46"/>
      <c r="HC138" s="46"/>
      <c r="HD138" s="46"/>
      <c r="HE138" s="46"/>
      <c r="HF138" s="46"/>
      <c r="HG138" s="46"/>
      <c r="HH138" s="46"/>
      <c r="HI138" s="46"/>
      <c r="HJ138" s="46"/>
      <c r="HK138" s="46"/>
      <c r="HL138" s="46"/>
      <c r="HM138" s="46"/>
      <c r="HN138" s="46"/>
      <c r="HO138" s="46"/>
      <c r="HP138" s="46"/>
      <c r="HQ138" s="46"/>
      <c r="HR138" s="46"/>
      <c r="HS138" s="46"/>
      <c r="HT138" s="46"/>
      <c r="HU138" s="46"/>
      <c r="HV138" s="46"/>
      <c r="HW138" s="46"/>
      <c r="HX138" s="46"/>
      <c r="HY138" s="46"/>
      <c r="HZ138" s="46"/>
      <c r="IA138" s="46"/>
      <c r="IB138" s="46"/>
      <c r="IC138" s="46"/>
      <c r="ID138" s="46"/>
      <c r="IE138" s="46"/>
      <c r="IF138" s="46"/>
      <c r="IG138" s="46"/>
      <c r="IH138" s="46"/>
      <c r="II138" s="46"/>
      <c r="IJ138" s="46"/>
      <c r="IK138" s="46"/>
      <c r="IL138" s="46"/>
      <c r="IM138" s="46"/>
      <c r="IN138" s="46"/>
      <c r="IO138" s="46"/>
      <c r="IP138" s="46"/>
      <c r="IQ138" s="46"/>
      <c r="IR138" s="46"/>
      <c r="IS138" s="46"/>
      <c r="IT138" s="46"/>
      <c r="IU138" s="46"/>
      <c r="IV138" s="46"/>
      <c r="IW138" s="46"/>
    </row>
    <row r="139" customFormat="false" ht="12.75" hidden="false" customHeight="true" outlineLevel="0" collapsed="false">
      <c r="A139" s="9"/>
      <c r="B139" s="146"/>
      <c r="C139" s="146"/>
      <c r="D139" s="146"/>
      <c r="E139" s="146"/>
      <c r="F139" s="146"/>
      <c r="G139" s="146"/>
      <c r="H139" s="146"/>
      <c r="I139" s="146"/>
      <c r="J139" s="146"/>
      <c r="K139" s="146"/>
      <c r="L139" s="146"/>
      <c r="M139" s="146"/>
      <c r="N139" s="146"/>
      <c r="O139" s="146"/>
      <c r="P139" s="146"/>
      <c r="Q139" s="146"/>
      <c r="R139" s="146"/>
      <c r="S139" s="146"/>
      <c r="T139" s="9"/>
      <c r="U139" s="9"/>
      <c r="V139" s="146"/>
      <c r="W139" s="146"/>
      <c r="X139" s="9"/>
      <c r="Y139" s="9"/>
      <c r="Z139" s="145"/>
      <c r="AA139" s="146"/>
      <c r="AB139" s="146"/>
      <c r="AC139" s="146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  <c r="BB139" s="9"/>
      <c r="BC139" s="9"/>
      <c r="BD139" s="9"/>
      <c r="BE139" s="9"/>
      <c r="BF139" s="9"/>
      <c r="BG139" s="9"/>
      <c r="BH139" s="9"/>
      <c r="BI139" s="9"/>
      <c r="BJ139" s="9"/>
      <c r="BK139" s="9"/>
      <c r="BL139" s="9"/>
      <c r="BM139" s="9"/>
      <c r="BN139" s="9"/>
      <c r="BO139" s="9"/>
      <c r="BP139" s="9"/>
      <c r="BQ139" s="9"/>
      <c r="BR139" s="9"/>
      <c r="BS139" s="9"/>
      <c r="BT139" s="9"/>
      <c r="BU139" s="9"/>
      <c r="BV139" s="9"/>
      <c r="BW139" s="9"/>
      <c r="BX139" s="9"/>
      <c r="BY139" s="9"/>
      <c r="BZ139" s="9"/>
      <c r="CA139" s="9"/>
      <c r="CB139" s="9"/>
      <c r="CC139" s="9"/>
      <c r="CD139" s="9"/>
      <c r="CE139" s="9"/>
      <c r="DJ139" s="107"/>
      <c r="DM139" s="130" t="n">
        <v>40725</v>
      </c>
      <c r="DN139" s="22" t="n">
        <v>20</v>
      </c>
      <c r="DO139" s="22" t="n">
        <v>5</v>
      </c>
      <c r="DP139" s="22" t="n">
        <v>5</v>
      </c>
      <c r="DQ139" s="22" t="n">
        <v>1</v>
      </c>
      <c r="DR139" s="22" t="n">
        <v>31</v>
      </c>
      <c r="DS139" s="111"/>
      <c r="DT139" s="111"/>
      <c r="DU139" s="130" t="n">
        <v>40725</v>
      </c>
      <c r="DV139" s="22" t="n">
        <v>20</v>
      </c>
      <c r="DW139" s="22" t="n">
        <v>5</v>
      </c>
      <c r="DX139" s="22" t="n">
        <v>5</v>
      </c>
      <c r="DY139" s="22" t="n">
        <v>1</v>
      </c>
      <c r="DZ139" s="22" t="n">
        <v>31</v>
      </c>
    </row>
    <row r="140" customFormat="false" ht="15" hidden="false" customHeight="true" outlineLevel="0" collapsed="false">
      <c r="A140" s="230"/>
      <c r="B140" s="229"/>
      <c r="C140" s="229"/>
      <c r="D140" s="229"/>
      <c r="E140" s="229"/>
      <c r="F140" s="229"/>
      <c r="G140" s="229"/>
      <c r="H140" s="229"/>
      <c r="I140" s="229"/>
      <c r="J140" s="229"/>
      <c r="K140" s="229"/>
      <c r="L140" s="229"/>
      <c r="M140" s="229"/>
      <c r="N140" s="229"/>
      <c r="O140" s="229"/>
      <c r="P140" s="229"/>
      <c r="Q140" s="229"/>
      <c r="R140" s="229"/>
      <c r="S140" s="229"/>
      <c r="T140" s="243"/>
      <c r="U140" s="243"/>
      <c r="V140" s="229"/>
      <c r="W140" s="229"/>
      <c r="X140" s="230"/>
      <c r="Y140" s="9"/>
      <c r="Z140" s="231"/>
      <c r="AA140" s="232"/>
      <c r="AB140" s="232"/>
      <c r="AC140" s="182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  <c r="BB140" s="9"/>
      <c r="BC140" s="9"/>
      <c r="BD140" s="9"/>
      <c r="BE140" s="9"/>
      <c r="BF140" s="9"/>
      <c r="BG140" s="9"/>
      <c r="BH140" s="9"/>
      <c r="BI140" s="9"/>
      <c r="BJ140" s="9"/>
      <c r="BK140" s="9"/>
      <c r="BL140" s="9"/>
      <c r="BM140" s="9"/>
      <c r="BN140" s="9"/>
      <c r="BO140" s="9"/>
      <c r="BP140" s="9"/>
      <c r="BQ140" s="9"/>
      <c r="BR140" s="9"/>
      <c r="BS140" s="9"/>
      <c r="BT140" s="9"/>
      <c r="BU140" s="9"/>
      <c r="BV140" s="9"/>
      <c r="BW140" s="9"/>
      <c r="BX140" s="9"/>
      <c r="BY140" s="9"/>
      <c r="BZ140" s="9"/>
      <c r="CA140" s="9"/>
      <c r="CB140" s="9"/>
      <c r="CC140" s="9"/>
      <c r="CD140" s="9"/>
      <c r="CE140" s="9"/>
      <c r="DJ140" s="107"/>
      <c r="DM140" s="130" t="n">
        <v>40756</v>
      </c>
      <c r="DN140" s="22" t="n">
        <v>22</v>
      </c>
      <c r="DO140" s="22" t="n">
        <v>4</v>
      </c>
      <c r="DP140" s="22" t="n">
        <v>4</v>
      </c>
      <c r="DQ140" s="22" t="n">
        <v>1</v>
      </c>
      <c r="DR140" s="22" t="n">
        <v>31</v>
      </c>
      <c r="DS140" s="111"/>
      <c r="DT140" s="111"/>
      <c r="DU140" s="130" t="n">
        <v>40756</v>
      </c>
      <c r="DV140" s="22" t="n">
        <v>23</v>
      </c>
      <c r="DW140" s="22" t="n">
        <v>4</v>
      </c>
      <c r="DX140" s="22" t="n">
        <v>4</v>
      </c>
      <c r="DY140" s="22" t="n">
        <v>0</v>
      </c>
      <c r="DZ140" s="22" t="n">
        <v>31</v>
      </c>
    </row>
    <row r="141" customFormat="false" ht="15.75" hidden="false" customHeight="true" outlineLevel="0" collapsed="false">
      <c r="A141" s="230"/>
      <c r="B141" s="229"/>
      <c r="C141" s="229"/>
      <c r="D141" s="229"/>
      <c r="E141" s="229"/>
      <c r="F141" s="229"/>
      <c r="G141" s="229"/>
      <c r="H141" s="229"/>
      <c r="I141" s="229"/>
      <c r="J141" s="229"/>
      <c r="K141" s="229"/>
      <c r="L141" s="229"/>
      <c r="M141" s="229"/>
      <c r="N141" s="229"/>
      <c r="O141" s="229"/>
      <c r="P141" s="229"/>
      <c r="Q141" s="229"/>
      <c r="R141" s="229"/>
      <c r="S141" s="229"/>
      <c r="T141" s="243"/>
      <c r="U141" s="243"/>
      <c r="V141" s="229"/>
      <c r="W141" s="229"/>
      <c r="X141" s="230"/>
      <c r="Y141" s="9"/>
      <c r="Z141" s="146"/>
      <c r="AA141" s="236"/>
      <c r="AB141" s="236"/>
      <c r="AC141" s="145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  <c r="BB141" s="9"/>
      <c r="BC141" s="9"/>
      <c r="BD141" s="9"/>
      <c r="BE141" s="9"/>
      <c r="BF141" s="9"/>
      <c r="BG141" s="9"/>
      <c r="BH141" s="9"/>
      <c r="BI141" s="9"/>
      <c r="BJ141" s="9"/>
      <c r="BK141" s="9"/>
      <c r="BL141" s="9"/>
      <c r="BM141" s="9"/>
      <c r="BN141" s="9"/>
      <c r="BO141" s="9"/>
      <c r="BP141" s="9"/>
      <c r="BQ141" s="9"/>
      <c r="BR141" s="9"/>
      <c r="BS141" s="9"/>
      <c r="BT141" s="9"/>
      <c r="BU141" s="9"/>
      <c r="BV141" s="9"/>
      <c r="BW141" s="9"/>
      <c r="BX141" s="9"/>
      <c r="BY141" s="9"/>
      <c r="BZ141" s="9"/>
      <c r="CA141" s="9"/>
      <c r="CB141" s="9"/>
      <c r="CC141" s="9"/>
      <c r="CD141" s="9"/>
      <c r="CE141" s="9"/>
      <c r="DJ141" s="107"/>
      <c r="DM141" s="130" t="n">
        <v>40787</v>
      </c>
      <c r="DN141" s="22" t="n">
        <v>21</v>
      </c>
      <c r="DO141" s="22" t="n">
        <v>4</v>
      </c>
      <c r="DP141" s="22" t="n">
        <v>4</v>
      </c>
      <c r="DQ141" s="22" t="n">
        <v>1</v>
      </c>
      <c r="DR141" s="22" t="n">
        <v>30</v>
      </c>
      <c r="DS141" s="111"/>
      <c r="DT141" s="111"/>
      <c r="DU141" s="130" t="n">
        <v>40787</v>
      </c>
      <c r="DV141" s="22" t="n">
        <v>21</v>
      </c>
      <c r="DW141" s="22" t="n">
        <v>4</v>
      </c>
      <c r="DX141" s="22" t="n">
        <v>4</v>
      </c>
      <c r="DY141" s="22" t="n">
        <v>1</v>
      </c>
      <c r="DZ141" s="22" t="n">
        <v>30</v>
      </c>
    </row>
    <row r="142" customFormat="false" ht="15.75" hidden="false" customHeight="true" outlineLevel="0" collapsed="false">
      <c r="A142" s="230"/>
      <c r="B142" s="229"/>
      <c r="C142" s="229"/>
      <c r="D142" s="229"/>
      <c r="E142" s="229"/>
      <c r="F142" s="229"/>
      <c r="G142" s="229"/>
      <c r="H142" s="229"/>
      <c r="I142" s="229"/>
      <c r="J142" s="229"/>
      <c r="K142" s="229"/>
      <c r="L142" s="229"/>
      <c r="M142" s="229"/>
      <c r="N142" s="229"/>
      <c r="O142" s="229"/>
      <c r="P142" s="229"/>
      <c r="Q142" s="229"/>
      <c r="R142" s="229"/>
      <c r="S142" s="229"/>
      <c r="T142" s="243"/>
      <c r="U142" s="243"/>
      <c r="V142" s="229"/>
      <c r="W142" s="229"/>
      <c r="X142" s="230"/>
      <c r="Y142" s="9"/>
      <c r="Z142" s="146"/>
      <c r="AA142" s="16"/>
      <c r="AB142" s="16"/>
      <c r="AC142" s="145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  <c r="BB142" s="9"/>
      <c r="BC142" s="9"/>
      <c r="BD142" s="9"/>
      <c r="BE142" s="9"/>
      <c r="BF142" s="9"/>
      <c r="BG142" s="9"/>
      <c r="BH142" s="9"/>
      <c r="BI142" s="9"/>
      <c r="BJ142" s="9"/>
      <c r="BK142" s="9"/>
      <c r="BL142" s="9"/>
      <c r="BM142" s="9"/>
      <c r="BN142" s="9"/>
      <c r="BO142" s="9"/>
      <c r="BP142" s="9"/>
      <c r="BQ142" s="9"/>
      <c r="BR142" s="9"/>
      <c r="BS142" s="9"/>
      <c r="BT142" s="9"/>
      <c r="BU142" s="9"/>
      <c r="BV142" s="9"/>
      <c r="BW142" s="9"/>
      <c r="BX142" s="9"/>
      <c r="BY142" s="9"/>
      <c r="BZ142" s="9"/>
      <c r="CA142" s="9"/>
      <c r="CB142" s="9"/>
      <c r="CC142" s="9"/>
      <c r="CD142" s="9"/>
      <c r="CE142" s="9"/>
      <c r="DJ142" s="107"/>
      <c r="DM142" s="130" t="n">
        <v>40817</v>
      </c>
      <c r="DN142" s="22" t="n">
        <v>20</v>
      </c>
      <c r="DO142" s="22" t="n">
        <v>5</v>
      </c>
      <c r="DP142" s="22" t="n">
        <v>5</v>
      </c>
      <c r="DQ142" s="22" t="n">
        <v>1</v>
      </c>
      <c r="DR142" s="22" t="n">
        <v>31</v>
      </c>
      <c r="DS142" s="111"/>
      <c r="DT142" s="111"/>
      <c r="DU142" s="130" t="n">
        <v>40817</v>
      </c>
      <c r="DV142" s="22" t="n">
        <v>21</v>
      </c>
      <c r="DW142" s="22" t="n">
        <v>5</v>
      </c>
      <c r="DX142" s="22" t="n">
        <v>5</v>
      </c>
      <c r="DY142" s="22" t="n">
        <v>0</v>
      </c>
      <c r="DZ142" s="22" t="n">
        <v>31</v>
      </c>
    </row>
    <row r="143" customFormat="false" ht="15" hidden="false" customHeight="true" outlineLevel="0" collapsed="false">
      <c r="A143" s="230"/>
      <c r="B143" s="229"/>
      <c r="C143" s="229"/>
      <c r="D143" s="229"/>
      <c r="E143" s="229"/>
      <c r="F143" s="229"/>
      <c r="G143" s="229"/>
      <c r="H143" s="229"/>
      <c r="I143" s="229"/>
      <c r="J143" s="229"/>
      <c r="K143" s="229"/>
      <c r="L143" s="229"/>
      <c r="M143" s="229"/>
      <c r="N143" s="229"/>
      <c r="O143" s="229"/>
      <c r="P143" s="229"/>
      <c r="Q143" s="229"/>
      <c r="R143" s="229"/>
      <c r="S143" s="229"/>
      <c r="T143" s="243"/>
      <c r="U143" s="243"/>
      <c r="V143" s="229"/>
      <c r="W143" s="229"/>
      <c r="X143" s="230"/>
      <c r="Y143" s="9"/>
      <c r="Z143" s="231"/>
      <c r="AA143" s="232"/>
      <c r="AB143" s="232"/>
      <c r="AC143" s="182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  <c r="BM143" s="9"/>
      <c r="BN143" s="9"/>
      <c r="BO143" s="9"/>
      <c r="BP143" s="9"/>
      <c r="BQ143" s="9"/>
      <c r="BR143" s="9"/>
      <c r="BS143" s="9"/>
      <c r="BT143" s="9"/>
      <c r="BU143" s="9"/>
      <c r="BV143" s="9"/>
      <c r="BW143" s="9"/>
      <c r="BX143" s="9"/>
      <c r="BY143" s="9"/>
      <c r="BZ143" s="9"/>
      <c r="CA143" s="9"/>
      <c r="CB143" s="9"/>
      <c r="CC143" s="9"/>
      <c r="CD143" s="9"/>
      <c r="CE143" s="9"/>
      <c r="DJ143" s="107"/>
      <c r="DM143" s="130" t="n">
        <v>40848</v>
      </c>
      <c r="DN143" s="22" t="n">
        <v>21</v>
      </c>
      <c r="DO143" s="22" t="n">
        <v>4</v>
      </c>
      <c r="DP143" s="22" t="n">
        <v>4</v>
      </c>
      <c r="DQ143" s="22" t="n">
        <v>1</v>
      </c>
      <c r="DR143" s="22" t="n">
        <v>30</v>
      </c>
      <c r="DS143" s="111"/>
      <c r="DT143" s="111"/>
      <c r="DU143" s="130" t="n">
        <v>40848</v>
      </c>
      <c r="DV143" s="22" t="n">
        <v>21</v>
      </c>
      <c r="DW143" s="22" t="n">
        <v>4</v>
      </c>
      <c r="DX143" s="22" t="n">
        <v>4</v>
      </c>
      <c r="DY143" s="22" t="n">
        <v>1</v>
      </c>
      <c r="DZ143" s="22" t="n">
        <v>30</v>
      </c>
    </row>
    <row r="144" customFormat="false" ht="15.75" hidden="false" customHeight="true" outlineLevel="0" collapsed="false">
      <c r="A144" s="230"/>
      <c r="B144" s="229"/>
      <c r="C144" s="229"/>
      <c r="D144" s="229"/>
      <c r="E144" s="229"/>
      <c r="F144" s="229"/>
      <c r="G144" s="229"/>
      <c r="H144" s="229"/>
      <c r="I144" s="229"/>
      <c r="J144" s="229"/>
      <c r="K144" s="229"/>
      <c r="L144" s="229"/>
      <c r="M144" s="229"/>
      <c r="N144" s="229"/>
      <c r="O144" s="229"/>
      <c r="P144" s="229"/>
      <c r="Q144" s="229"/>
      <c r="R144" s="229"/>
      <c r="S144" s="229"/>
      <c r="T144" s="243"/>
      <c r="U144" s="243"/>
      <c r="V144" s="229"/>
      <c r="W144" s="229"/>
      <c r="X144" s="230"/>
      <c r="Y144" s="9"/>
      <c r="Z144" s="146"/>
      <c r="AA144" s="236"/>
      <c r="AB144" s="236"/>
      <c r="AC144" s="145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  <c r="BB144" s="9"/>
      <c r="BC144" s="9"/>
      <c r="BD144" s="9"/>
      <c r="BE144" s="9"/>
      <c r="BF144" s="9"/>
      <c r="BG144" s="9"/>
      <c r="BH144" s="9"/>
      <c r="BI144" s="9"/>
      <c r="BJ144" s="9"/>
      <c r="BK144" s="9"/>
      <c r="BL144" s="9"/>
      <c r="BM144" s="9"/>
      <c r="BN144" s="9"/>
      <c r="BO144" s="9"/>
      <c r="BP144" s="9"/>
      <c r="BQ144" s="9"/>
      <c r="BR144" s="9"/>
      <c r="BS144" s="9"/>
      <c r="BT144" s="9"/>
      <c r="BU144" s="9"/>
      <c r="BV144" s="9"/>
      <c r="BW144" s="9"/>
      <c r="BX144" s="9"/>
      <c r="BY144" s="9"/>
      <c r="BZ144" s="9"/>
      <c r="CA144" s="9"/>
      <c r="CB144" s="9"/>
      <c r="CC144" s="9"/>
      <c r="CD144" s="9"/>
      <c r="CE144" s="9"/>
      <c r="DJ144" s="107"/>
      <c r="DM144" s="130" t="n">
        <v>40878</v>
      </c>
      <c r="DN144" s="22" t="n">
        <v>20</v>
      </c>
      <c r="DO144" s="22" t="n">
        <v>5</v>
      </c>
      <c r="DP144" s="22" t="n">
        <v>4</v>
      </c>
      <c r="DQ144" s="22" t="n">
        <v>2</v>
      </c>
      <c r="DR144" s="22" t="n">
        <v>31</v>
      </c>
      <c r="DS144" s="111"/>
      <c r="DT144" s="111"/>
      <c r="DU144" s="130" t="n">
        <v>40878</v>
      </c>
      <c r="DV144" s="22" t="n">
        <v>21</v>
      </c>
      <c r="DW144" s="22" t="n">
        <v>5</v>
      </c>
      <c r="DX144" s="22" t="n">
        <v>4</v>
      </c>
      <c r="DY144" s="22" t="n">
        <v>1</v>
      </c>
      <c r="DZ144" s="22" t="n">
        <v>31</v>
      </c>
    </row>
    <row r="145" customFormat="false" ht="15.75" hidden="false" customHeight="true" outlineLevel="0" collapsed="false">
      <c r="A145" s="230"/>
      <c r="B145" s="229"/>
      <c r="C145" s="229"/>
      <c r="D145" s="229"/>
      <c r="E145" s="229"/>
      <c r="F145" s="229"/>
      <c r="G145" s="229"/>
      <c r="H145" s="229"/>
      <c r="I145" s="229"/>
      <c r="J145" s="229"/>
      <c r="K145" s="229"/>
      <c r="L145" s="229"/>
      <c r="M145" s="229"/>
      <c r="N145" s="229"/>
      <c r="O145" s="229"/>
      <c r="P145" s="229"/>
      <c r="Q145" s="229"/>
      <c r="R145" s="229"/>
      <c r="S145" s="229"/>
      <c r="T145" s="243"/>
      <c r="U145" s="243"/>
      <c r="V145" s="229"/>
      <c r="W145" s="229"/>
      <c r="X145" s="230"/>
      <c r="Y145" s="9"/>
      <c r="Z145" s="146"/>
      <c r="AA145" s="16"/>
      <c r="AB145" s="16"/>
      <c r="AC145" s="145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  <c r="BB145" s="9"/>
      <c r="BC145" s="9"/>
      <c r="BD145" s="9"/>
      <c r="BE145" s="9"/>
      <c r="BF145" s="9"/>
      <c r="BG145" s="9"/>
      <c r="BH145" s="9"/>
      <c r="BI145" s="9"/>
      <c r="BJ145" s="9"/>
      <c r="BK145" s="9"/>
      <c r="BL145" s="9"/>
      <c r="BM145" s="9"/>
      <c r="BN145" s="9"/>
      <c r="BO145" s="9"/>
      <c r="BP145" s="9"/>
      <c r="BQ145" s="9"/>
      <c r="BR145" s="9"/>
      <c r="BS145" s="9"/>
      <c r="BT145" s="9"/>
      <c r="BU145" s="9"/>
      <c r="BV145" s="9"/>
      <c r="BW145" s="9"/>
      <c r="BX145" s="9"/>
      <c r="BY145" s="9"/>
      <c r="BZ145" s="9"/>
      <c r="CA145" s="9"/>
      <c r="CB145" s="9"/>
      <c r="CC145" s="9"/>
      <c r="CD145" s="9"/>
      <c r="CE145" s="9"/>
      <c r="DJ145" s="107"/>
      <c r="DM145" s="130" t="n">
        <v>40909</v>
      </c>
      <c r="DN145" s="22" t="n">
        <v>21</v>
      </c>
      <c r="DO145" s="22" t="n">
        <v>4</v>
      </c>
      <c r="DP145" s="22" t="n">
        <v>5</v>
      </c>
      <c r="DQ145" s="22" t="n">
        <v>1</v>
      </c>
      <c r="DR145" s="22" t="n">
        <v>31</v>
      </c>
      <c r="DS145" s="111"/>
      <c r="DT145" s="111"/>
      <c r="DU145" s="130" t="n">
        <v>40909</v>
      </c>
      <c r="DV145" s="22" t="n">
        <v>21</v>
      </c>
      <c r="DW145" s="22" t="n">
        <v>4</v>
      </c>
      <c r="DX145" s="22" t="n">
        <v>5</v>
      </c>
      <c r="DY145" s="22" t="n">
        <v>1</v>
      </c>
      <c r="DZ145" s="22" t="n">
        <v>31</v>
      </c>
    </row>
    <row r="146" customFormat="false" ht="15" hidden="false" customHeight="true" outlineLevel="0" collapsed="false">
      <c r="A146" s="230"/>
      <c r="B146" s="229"/>
      <c r="C146" s="229"/>
      <c r="D146" s="229"/>
      <c r="E146" s="229"/>
      <c r="F146" s="229"/>
      <c r="G146" s="229"/>
      <c r="H146" s="229"/>
      <c r="I146" s="229"/>
      <c r="J146" s="229"/>
      <c r="K146" s="229"/>
      <c r="L146" s="229"/>
      <c r="M146" s="229"/>
      <c r="N146" s="229"/>
      <c r="O146" s="229"/>
      <c r="P146" s="229"/>
      <c r="Q146" s="229"/>
      <c r="R146" s="229"/>
      <c r="S146" s="229"/>
      <c r="T146" s="243"/>
      <c r="U146" s="243"/>
      <c r="V146" s="229"/>
      <c r="W146" s="229"/>
      <c r="X146" s="230"/>
      <c r="Y146" s="9"/>
      <c r="Z146" s="231"/>
      <c r="AA146" s="232"/>
      <c r="AB146" s="232"/>
      <c r="AC146" s="182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  <c r="BB146" s="9"/>
      <c r="BC146" s="9"/>
      <c r="BD146" s="9"/>
      <c r="BE146" s="9"/>
      <c r="BF146" s="9"/>
      <c r="BG146" s="9"/>
      <c r="BH146" s="9"/>
      <c r="BI146" s="9"/>
      <c r="BJ146" s="9"/>
      <c r="BK146" s="9"/>
      <c r="BL146" s="9"/>
      <c r="BM146" s="9"/>
      <c r="BN146" s="9"/>
      <c r="BO146" s="9"/>
      <c r="BP146" s="9"/>
      <c r="BQ146" s="9"/>
      <c r="BR146" s="9"/>
      <c r="BS146" s="9"/>
      <c r="BT146" s="9"/>
      <c r="BU146" s="9"/>
      <c r="BV146" s="9"/>
      <c r="BW146" s="9"/>
      <c r="BX146" s="9"/>
      <c r="BY146" s="9"/>
      <c r="BZ146" s="9"/>
      <c r="CA146" s="9"/>
      <c r="CB146" s="9"/>
      <c r="CC146" s="9"/>
      <c r="CD146" s="9"/>
      <c r="CE146" s="9"/>
      <c r="DJ146" s="107"/>
      <c r="DM146" s="130" t="n">
        <v>40940</v>
      </c>
      <c r="DN146" s="22" t="n">
        <v>20</v>
      </c>
      <c r="DO146" s="22" t="n">
        <v>4</v>
      </c>
      <c r="DP146" s="22" t="n">
        <v>4</v>
      </c>
      <c r="DQ146" s="22" t="n">
        <v>1</v>
      </c>
      <c r="DR146" s="22" t="n">
        <v>29</v>
      </c>
      <c r="DS146" s="111"/>
      <c r="DT146" s="111"/>
      <c r="DU146" s="130" t="n">
        <v>40940</v>
      </c>
      <c r="DV146" s="22" t="n">
        <v>21</v>
      </c>
      <c r="DW146" s="22" t="n">
        <v>4</v>
      </c>
      <c r="DX146" s="22" t="n">
        <v>4</v>
      </c>
      <c r="DY146" s="22" t="n">
        <v>0</v>
      </c>
      <c r="DZ146" s="22" t="n">
        <v>29</v>
      </c>
    </row>
    <row r="147" customFormat="false" ht="15.75" hidden="false" customHeight="true" outlineLevel="0" collapsed="false">
      <c r="A147" s="230"/>
      <c r="B147" s="229"/>
      <c r="C147" s="229"/>
      <c r="D147" s="229"/>
      <c r="E147" s="229"/>
      <c r="F147" s="229"/>
      <c r="G147" s="229"/>
      <c r="H147" s="229"/>
      <c r="I147" s="229"/>
      <c r="J147" s="229"/>
      <c r="K147" s="229"/>
      <c r="L147" s="229"/>
      <c r="M147" s="229"/>
      <c r="N147" s="229"/>
      <c r="O147" s="229"/>
      <c r="P147" s="229"/>
      <c r="Q147" s="229"/>
      <c r="R147" s="229"/>
      <c r="S147" s="229"/>
      <c r="T147" s="243"/>
      <c r="U147" s="243"/>
      <c r="V147" s="229"/>
      <c r="W147" s="229"/>
      <c r="X147" s="230"/>
      <c r="Y147" s="9"/>
      <c r="Z147" s="146"/>
      <c r="AA147" s="236"/>
      <c r="AB147" s="236"/>
      <c r="AC147" s="145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/>
      <c r="AP147" s="9"/>
      <c r="AQ147" s="9"/>
      <c r="AR147" s="9"/>
      <c r="AS147" s="9"/>
      <c r="AT147" s="9"/>
      <c r="AU147" s="9"/>
      <c r="AV147" s="9"/>
      <c r="AW147" s="9"/>
      <c r="AX147" s="9"/>
      <c r="AY147" s="9"/>
      <c r="AZ147" s="9"/>
      <c r="BA147" s="9"/>
      <c r="BB147" s="9"/>
      <c r="BC147" s="9"/>
      <c r="BD147" s="9"/>
      <c r="BE147" s="9"/>
      <c r="BF147" s="9"/>
      <c r="BG147" s="9"/>
      <c r="BH147" s="9"/>
      <c r="BI147" s="9"/>
      <c r="BJ147" s="9"/>
      <c r="BK147" s="9"/>
      <c r="BL147" s="9"/>
      <c r="BM147" s="9"/>
      <c r="BN147" s="9"/>
      <c r="BO147" s="9"/>
      <c r="BP147" s="9"/>
      <c r="BQ147" s="9"/>
      <c r="BR147" s="9"/>
      <c r="BS147" s="9"/>
      <c r="BT147" s="9"/>
      <c r="BU147" s="9"/>
      <c r="BV147" s="9"/>
      <c r="BW147" s="9"/>
      <c r="BX147" s="9"/>
      <c r="BY147" s="9"/>
      <c r="BZ147" s="9"/>
      <c r="CA147" s="9"/>
      <c r="CB147" s="9"/>
      <c r="CC147" s="9"/>
      <c r="CD147" s="9"/>
      <c r="CE147" s="9"/>
      <c r="DJ147" s="107"/>
      <c r="DM147" s="130" t="n">
        <v>40969</v>
      </c>
      <c r="DN147" s="22" t="n">
        <v>22</v>
      </c>
      <c r="DO147" s="22" t="n">
        <v>5</v>
      </c>
      <c r="DP147" s="22" t="n">
        <v>4</v>
      </c>
      <c r="DQ147" s="22" t="n">
        <v>0</v>
      </c>
      <c r="DR147" s="22" t="n">
        <v>31</v>
      </c>
      <c r="DS147" s="111"/>
      <c r="DT147" s="111"/>
      <c r="DU147" s="130" t="n">
        <v>40969</v>
      </c>
      <c r="DV147" s="22" t="n">
        <v>22</v>
      </c>
      <c r="DW147" s="22" t="n">
        <v>5</v>
      </c>
      <c r="DX147" s="22" t="n">
        <v>4</v>
      </c>
      <c r="DY147" s="22" t="n">
        <v>0</v>
      </c>
      <c r="DZ147" s="22" t="n">
        <v>31</v>
      </c>
    </row>
    <row r="148" customFormat="false" ht="15.75" hidden="false" customHeight="true" outlineLevel="0" collapsed="false">
      <c r="A148" s="230"/>
      <c r="B148" s="229"/>
      <c r="C148" s="229"/>
      <c r="D148" s="229"/>
      <c r="E148" s="229"/>
      <c r="F148" s="229"/>
      <c r="G148" s="229"/>
      <c r="H148" s="229"/>
      <c r="I148" s="229"/>
      <c r="J148" s="229"/>
      <c r="K148" s="229"/>
      <c r="L148" s="229"/>
      <c r="M148" s="229"/>
      <c r="N148" s="229"/>
      <c r="O148" s="229"/>
      <c r="P148" s="229"/>
      <c r="Q148" s="229"/>
      <c r="R148" s="229"/>
      <c r="S148" s="229"/>
      <c r="T148" s="243"/>
      <c r="U148" s="243"/>
      <c r="V148" s="229"/>
      <c r="W148" s="229"/>
      <c r="X148" s="230"/>
      <c r="Y148" s="9"/>
      <c r="Z148" s="146"/>
      <c r="AA148" s="16"/>
      <c r="AB148" s="16"/>
      <c r="AC148" s="145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/>
      <c r="AP148" s="9"/>
      <c r="AQ148" s="9"/>
      <c r="AR148" s="9"/>
      <c r="AS148" s="9"/>
      <c r="AT148" s="9"/>
      <c r="AU148" s="9"/>
      <c r="AV148" s="9"/>
      <c r="AW148" s="9"/>
      <c r="AX148" s="9"/>
      <c r="AY148" s="9"/>
      <c r="AZ148" s="9"/>
      <c r="BA148" s="9"/>
      <c r="BB148" s="9"/>
      <c r="BC148" s="9"/>
      <c r="BD148" s="9"/>
      <c r="BE148" s="9"/>
      <c r="BF148" s="9"/>
      <c r="BG148" s="9"/>
      <c r="BH148" s="9"/>
      <c r="BI148" s="9"/>
      <c r="BJ148" s="9"/>
      <c r="BK148" s="9"/>
      <c r="BL148" s="9"/>
      <c r="BM148" s="9"/>
      <c r="BN148" s="9"/>
      <c r="BO148" s="9"/>
      <c r="BP148" s="9"/>
      <c r="BQ148" s="9"/>
      <c r="BR148" s="9"/>
      <c r="BS148" s="9"/>
      <c r="BT148" s="9"/>
      <c r="BU148" s="9"/>
      <c r="BV148" s="9"/>
      <c r="BW148" s="9"/>
      <c r="BX148" s="9"/>
      <c r="BY148" s="9"/>
      <c r="BZ148" s="9"/>
      <c r="CA148" s="9"/>
      <c r="CB148" s="9"/>
      <c r="CC148" s="9"/>
      <c r="CD148" s="9"/>
      <c r="CE148" s="9"/>
      <c r="DJ148" s="107"/>
      <c r="DM148" s="130" t="n">
        <v>41000</v>
      </c>
      <c r="DN148" s="22" t="n">
        <v>20</v>
      </c>
      <c r="DO148" s="22" t="n">
        <v>4</v>
      </c>
      <c r="DP148" s="22" t="n">
        <v>5</v>
      </c>
      <c r="DQ148" s="22" t="n">
        <v>1</v>
      </c>
      <c r="DR148" s="22" t="n">
        <v>30</v>
      </c>
      <c r="DS148" s="111"/>
      <c r="DT148" s="111"/>
      <c r="DU148" s="130" t="n">
        <v>41000</v>
      </c>
      <c r="DV148" s="22" t="n">
        <v>21</v>
      </c>
      <c r="DW148" s="22" t="n">
        <v>4</v>
      </c>
      <c r="DX148" s="22" t="n">
        <v>5</v>
      </c>
      <c r="DY148" s="22" t="n">
        <v>0</v>
      </c>
      <c r="DZ148" s="22" t="n">
        <v>30</v>
      </c>
    </row>
    <row r="149" customFormat="false" ht="15" hidden="false" customHeight="true" outlineLevel="0" collapsed="false">
      <c r="A149" s="230"/>
      <c r="B149" s="229"/>
      <c r="C149" s="229"/>
      <c r="D149" s="229"/>
      <c r="E149" s="229"/>
      <c r="F149" s="229"/>
      <c r="G149" s="229"/>
      <c r="H149" s="229"/>
      <c r="I149" s="229"/>
      <c r="J149" s="229"/>
      <c r="K149" s="229"/>
      <c r="L149" s="229"/>
      <c r="M149" s="229"/>
      <c r="N149" s="229"/>
      <c r="O149" s="229"/>
      <c r="P149" s="229"/>
      <c r="Q149" s="229"/>
      <c r="R149" s="229"/>
      <c r="S149" s="229"/>
      <c r="T149" s="243"/>
      <c r="U149" s="243"/>
      <c r="V149" s="229"/>
      <c r="W149" s="229"/>
      <c r="X149" s="230"/>
      <c r="Y149" s="9"/>
      <c r="Z149" s="231"/>
      <c r="AA149" s="232"/>
      <c r="AB149" s="232"/>
      <c r="AC149" s="182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/>
      <c r="AP149" s="9"/>
      <c r="AQ149" s="9"/>
      <c r="AR149" s="9"/>
      <c r="AS149" s="9"/>
      <c r="AT149" s="9"/>
      <c r="AU149" s="9"/>
      <c r="AV149" s="9"/>
      <c r="AW149" s="9"/>
      <c r="AX149" s="9"/>
      <c r="AY149" s="9"/>
      <c r="AZ149" s="9"/>
      <c r="BA149" s="9"/>
      <c r="BB149" s="9"/>
      <c r="BC149" s="9"/>
      <c r="BD149" s="9"/>
      <c r="BE149" s="9"/>
      <c r="BF149" s="9"/>
      <c r="BG149" s="9"/>
      <c r="BH149" s="9"/>
      <c r="BI149" s="9"/>
      <c r="BJ149" s="9"/>
      <c r="BK149" s="9"/>
      <c r="BL149" s="9"/>
      <c r="BM149" s="9"/>
      <c r="BN149" s="9"/>
      <c r="BO149" s="9"/>
      <c r="BP149" s="9"/>
      <c r="BQ149" s="9"/>
      <c r="BR149" s="9"/>
      <c r="BS149" s="9"/>
      <c r="BT149" s="9"/>
      <c r="BU149" s="9"/>
      <c r="BV149" s="9"/>
      <c r="BW149" s="9"/>
      <c r="BX149" s="9"/>
      <c r="BY149" s="9"/>
      <c r="BZ149" s="9"/>
      <c r="CA149" s="9"/>
      <c r="CB149" s="9"/>
      <c r="CC149" s="9"/>
      <c r="CD149" s="9"/>
      <c r="CE149" s="9"/>
      <c r="DJ149" s="107"/>
      <c r="DM149" s="130" t="n">
        <v>41030</v>
      </c>
      <c r="DN149" s="22" t="n">
        <v>22</v>
      </c>
      <c r="DO149" s="22" t="n">
        <v>4</v>
      </c>
      <c r="DP149" s="22" t="n">
        <v>4</v>
      </c>
      <c r="DQ149" s="22" t="n">
        <v>1</v>
      </c>
      <c r="DR149" s="22" t="n">
        <v>31</v>
      </c>
      <c r="DS149" s="111"/>
      <c r="DT149" s="111"/>
      <c r="DU149" s="130" t="n">
        <v>41030</v>
      </c>
      <c r="DV149" s="22" t="n">
        <v>22</v>
      </c>
      <c r="DW149" s="22" t="n">
        <v>4</v>
      </c>
      <c r="DX149" s="22" t="n">
        <v>4</v>
      </c>
      <c r="DY149" s="22" t="n">
        <v>1</v>
      </c>
      <c r="DZ149" s="22" t="n">
        <v>31</v>
      </c>
    </row>
    <row r="150" customFormat="false" ht="15.75" hidden="false" customHeight="true" outlineLevel="0" collapsed="false">
      <c r="A150" s="230"/>
      <c r="B150" s="229"/>
      <c r="C150" s="229"/>
      <c r="D150" s="229"/>
      <c r="E150" s="229"/>
      <c r="F150" s="229"/>
      <c r="G150" s="229"/>
      <c r="H150" s="229"/>
      <c r="I150" s="229"/>
      <c r="J150" s="229"/>
      <c r="K150" s="229"/>
      <c r="L150" s="229"/>
      <c r="M150" s="229"/>
      <c r="N150" s="229"/>
      <c r="O150" s="229"/>
      <c r="P150" s="229"/>
      <c r="Q150" s="229"/>
      <c r="R150" s="229"/>
      <c r="S150" s="229"/>
      <c r="T150" s="243"/>
      <c r="U150" s="243"/>
      <c r="V150" s="229"/>
      <c r="W150" s="229"/>
      <c r="X150" s="230"/>
      <c r="Y150" s="9"/>
      <c r="Z150" s="146"/>
      <c r="AA150" s="236"/>
      <c r="AB150" s="236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/>
      <c r="AP150" s="9"/>
      <c r="AQ150" s="9"/>
      <c r="AR150" s="9"/>
      <c r="AS150" s="9"/>
      <c r="AT150" s="9"/>
      <c r="AU150" s="9"/>
      <c r="AV150" s="9"/>
      <c r="AW150" s="9"/>
      <c r="AX150" s="9"/>
      <c r="AY150" s="9"/>
      <c r="AZ150" s="9"/>
      <c r="BA150" s="9"/>
      <c r="BB150" s="9"/>
      <c r="BC150" s="9"/>
      <c r="BD150" s="9"/>
      <c r="BE150" s="9"/>
      <c r="BF150" s="9"/>
      <c r="BG150" s="9"/>
      <c r="BH150" s="9"/>
      <c r="BI150" s="9"/>
      <c r="BJ150" s="9"/>
      <c r="BK150" s="9"/>
      <c r="BL150" s="9"/>
      <c r="BM150" s="9"/>
      <c r="BN150" s="9"/>
      <c r="BO150" s="9"/>
      <c r="BP150" s="9"/>
      <c r="BQ150" s="9"/>
      <c r="BR150" s="9"/>
      <c r="BS150" s="9"/>
      <c r="BT150" s="9"/>
      <c r="BU150" s="9"/>
      <c r="BV150" s="9"/>
      <c r="BW150" s="9"/>
      <c r="BX150" s="9"/>
      <c r="BY150" s="9"/>
      <c r="BZ150" s="9"/>
      <c r="CA150" s="9"/>
      <c r="CB150" s="9"/>
      <c r="CC150" s="9"/>
      <c r="CD150" s="9"/>
      <c r="CE150" s="9"/>
      <c r="DJ150" s="107"/>
      <c r="DM150" s="130" t="n">
        <v>41061</v>
      </c>
      <c r="DN150" s="22" t="n">
        <v>21</v>
      </c>
      <c r="DO150" s="22" t="n">
        <v>5</v>
      </c>
      <c r="DP150" s="22" t="n">
        <v>4</v>
      </c>
      <c r="DQ150" s="22" t="n">
        <v>0</v>
      </c>
      <c r="DR150" s="22" t="n">
        <v>30</v>
      </c>
      <c r="DS150" s="111"/>
      <c r="DT150" s="111"/>
      <c r="DU150" s="130" t="n">
        <v>41061</v>
      </c>
      <c r="DV150" s="22" t="n">
        <v>21</v>
      </c>
      <c r="DW150" s="22" t="n">
        <v>5</v>
      </c>
      <c r="DX150" s="22" t="n">
        <v>4</v>
      </c>
      <c r="DY150" s="22" t="n">
        <v>0</v>
      </c>
      <c r="DZ150" s="22" t="n">
        <v>30</v>
      </c>
    </row>
    <row r="151" customFormat="false" ht="15" hidden="false" customHeight="true" outlineLevel="0" collapsed="false">
      <c r="A151" s="230"/>
      <c r="B151" s="229"/>
      <c r="C151" s="229"/>
      <c r="D151" s="229"/>
      <c r="E151" s="229"/>
      <c r="F151" s="229"/>
      <c r="G151" s="229"/>
      <c r="H151" s="229"/>
      <c r="I151" s="229"/>
      <c r="J151" s="229"/>
      <c r="K151" s="229"/>
      <c r="L151" s="229"/>
      <c r="M151" s="229"/>
      <c r="N151" s="229"/>
      <c r="O151" s="229"/>
      <c r="P151" s="229"/>
      <c r="Q151" s="229"/>
      <c r="R151" s="229"/>
      <c r="S151" s="229"/>
      <c r="T151" s="243"/>
      <c r="U151" s="243"/>
      <c r="V151" s="229"/>
      <c r="W151" s="229"/>
      <c r="X151" s="230"/>
      <c r="Y151" s="9"/>
      <c r="Z151" s="237"/>
      <c r="AA151" s="238"/>
      <c r="AB151" s="238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/>
      <c r="AP151" s="9"/>
      <c r="AQ151" s="9"/>
      <c r="AR151" s="9"/>
      <c r="AS151" s="9"/>
      <c r="AT151" s="9"/>
      <c r="AU151" s="9"/>
      <c r="AV151" s="9"/>
      <c r="AW151" s="9"/>
      <c r="AX151" s="9"/>
      <c r="AY151" s="9"/>
      <c r="AZ151" s="9"/>
      <c r="BA151" s="9"/>
      <c r="BB151" s="9"/>
      <c r="BC151" s="9"/>
      <c r="BD151" s="9"/>
      <c r="BE151" s="9"/>
      <c r="BF151" s="9"/>
      <c r="BG151" s="9"/>
      <c r="BH151" s="9"/>
      <c r="BI151" s="9"/>
      <c r="BJ151" s="9"/>
      <c r="BK151" s="9"/>
      <c r="BL151" s="9"/>
      <c r="BM151" s="9"/>
      <c r="BN151" s="9"/>
      <c r="BO151" s="9"/>
      <c r="BP151" s="9"/>
      <c r="BQ151" s="9"/>
      <c r="BR151" s="9"/>
      <c r="BS151" s="9"/>
      <c r="BT151" s="9"/>
      <c r="BU151" s="9"/>
      <c r="BV151" s="9"/>
      <c r="BW151" s="9"/>
      <c r="BX151" s="9"/>
      <c r="BY151" s="9"/>
      <c r="BZ151" s="9"/>
      <c r="CA151" s="9"/>
      <c r="CB151" s="9"/>
      <c r="CC151" s="9"/>
      <c r="CD151" s="9"/>
      <c r="CE151" s="9"/>
      <c r="DJ151" s="107"/>
      <c r="DM151" s="130" t="n">
        <v>41091</v>
      </c>
      <c r="DN151" s="22" t="n">
        <v>21</v>
      </c>
      <c r="DO151" s="22" t="n">
        <v>4</v>
      </c>
      <c r="DP151" s="22" t="n">
        <v>5</v>
      </c>
      <c r="DQ151" s="22" t="n">
        <v>1</v>
      </c>
      <c r="DR151" s="22" t="n">
        <v>31</v>
      </c>
      <c r="DS151" s="111"/>
      <c r="DT151" s="111"/>
      <c r="DU151" s="130" t="n">
        <v>41091</v>
      </c>
      <c r="DV151" s="22" t="n">
        <v>21</v>
      </c>
      <c r="DW151" s="22" t="n">
        <v>4</v>
      </c>
      <c r="DX151" s="22" t="n">
        <v>5</v>
      </c>
      <c r="DY151" s="22" t="n">
        <v>1</v>
      </c>
      <c r="DZ151" s="22" t="n">
        <v>31</v>
      </c>
    </row>
    <row r="152" customFormat="false" ht="15.75" hidden="false" customHeight="true" outlineLevel="0" collapsed="false">
      <c r="A152" s="145"/>
      <c r="B152" s="236"/>
      <c r="C152" s="236"/>
      <c r="D152" s="236"/>
      <c r="E152" s="236"/>
      <c r="F152" s="236"/>
      <c r="G152" s="236"/>
      <c r="H152" s="236"/>
      <c r="I152" s="236"/>
      <c r="J152" s="236"/>
      <c r="K152" s="236"/>
      <c r="L152" s="236"/>
      <c r="M152" s="236"/>
      <c r="N152" s="236"/>
      <c r="O152" s="236"/>
      <c r="P152" s="236"/>
      <c r="Q152" s="236"/>
      <c r="R152" s="236"/>
      <c r="S152" s="236"/>
      <c r="T152" s="250"/>
      <c r="U152" s="250"/>
      <c r="V152" s="236"/>
      <c r="W152" s="236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/>
      <c r="AP152" s="9"/>
      <c r="AQ152" s="9"/>
      <c r="AR152" s="9"/>
      <c r="AS152" s="9"/>
      <c r="AT152" s="9"/>
      <c r="AU152" s="9"/>
      <c r="AV152" s="9"/>
      <c r="AW152" s="9"/>
      <c r="AX152" s="9"/>
      <c r="AY152" s="9"/>
      <c r="AZ152" s="9"/>
      <c r="BA152" s="9"/>
      <c r="BB152" s="9"/>
      <c r="BC152" s="9"/>
      <c r="BD152" s="9"/>
      <c r="BE152" s="9"/>
      <c r="BF152" s="9"/>
      <c r="BG152" s="9"/>
      <c r="BH152" s="9"/>
      <c r="BI152" s="9"/>
      <c r="BJ152" s="9"/>
      <c r="BK152" s="9"/>
      <c r="BL152" s="9"/>
      <c r="BM152" s="9"/>
      <c r="BN152" s="9"/>
      <c r="BO152" s="9"/>
      <c r="BP152" s="9"/>
      <c r="BQ152" s="9"/>
      <c r="BR152" s="9"/>
      <c r="BS152" s="9"/>
      <c r="BT152" s="9"/>
      <c r="BU152" s="9"/>
      <c r="BV152" s="9"/>
      <c r="BW152" s="9"/>
      <c r="BX152" s="9"/>
      <c r="BY152" s="9"/>
      <c r="BZ152" s="9"/>
      <c r="CA152" s="9"/>
      <c r="CB152" s="9"/>
      <c r="CC152" s="9"/>
      <c r="CD152" s="9"/>
      <c r="CE152" s="9"/>
      <c r="DJ152" s="107"/>
      <c r="DM152" s="130" t="n">
        <v>41122</v>
      </c>
      <c r="DN152" s="22" t="n">
        <v>22</v>
      </c>
      <c r="DO152" s="22" t="n">
        <v>4</v>
      </c>
      <c r="DP152" s="22" t="n">
        <v>4</v>
      </c>
      <c r="DQ152" s="22" t="n">
        <v>1</v>
      </c>
      <c r="DR152" s="22" t="n">
        <v>31</v>
      </c>
      <c r="DS152" s="111"/>
      <c r="DT152" s="111"/>
      <c r="DU152" s="130" t="n">
        <v>41122</v>
      </c>
      <c r="DV152" s="22" t="n">
        <v>23</v>
      </c>
      <c r="DW152" s="22" t="n">
        <v>4</v>
      </c>
      <c r="DX152" s="22" t="n">
        <v>4</v>
      </c>
      <c r="DY152" s="22" t="n">
        <v>0</v>
      </c>
      <c r="DZ152" s="22" t="n">
        <v>31</v>
      </c>
    </row>
    <row r="153" customFormat="false" ht="12.75" hidden="false" customHeight="true" outlineLevel="0" collapsed="false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9"/>
      <c r="BD153" s="9"/>
      <c r="BE153" s="9"/>
      <c r="BF153" s="9"/>
      <c r="BG153" s="9"/>
      <c r="BH153" s="9"/>
      <c r="BI153" s="9"/>
      <c r="BJ153" s="9"/>
      <c r="BK153" s="9"/>
      <c r="BL153" s="9"/>
      <c r="BM153" s="9"/>
      <c r="BN153" s="9"/>
      <c r="BO153" s="9"/>
      <c r="BP153" s="9"/>
      <c r="BQ153" s="9"/>
      <c r="BR153" s="9"/>
      <c r="BS153" s="9"/>
      <c r="BT153" s="9"/>
      <c r="BU153" s="9"/>
      <c r="BV153" s="9"/>
      <c r="BW153" s="9"/>
      <c r="BX153" s="9"/>
      <c r="BY153" s="9"/>
      <c r="BZ153" s="9"/>
      <c r="CA153" s="9"/>
      <c r="CB153" s="9"/>
      <c r="CC153" s="9"/>
      <c r="CD153" s="9"/>
      <c r="CE153" s="9"/>
      <c r="DJ153" s="107"/>
      <c r="DM153" s="130" t="n">
        <v>41153</v>
      </c>
      <c r="DN153" s="22" t="n">
        <v>19</v>
      </c>
      <c r="DO153" s="22" t="n">
        <v>5</v>
      </c>
      <c r="DP153" s="22" t="n">
        <v>5</v>
      </c>
      <c r="DQ153" s="22" t="n">
        <v>1</v>
      </c>
      <c r="DR153" s="22" t="n">
        <v>30</v>
      </c>
      <c r="DS153" s="111"/>
      <c r="DT153" s="111"/>
      <c r="DU153" s="130" t="n">
        <v>41153</v>
      </c>
      <c r="DV153" s="22" t="n">
        <v>19</v>
      </c>
      <c r="DW153" s="22" t="n">
        <v>5</v>
      </c>
      <c r="DX153" s="22" t="n">
        <v>5</v>
      </c>
      <c r="DY153" s="22" t="n">
        <v>1</v>
      </c>
      <c r="DZ153" s="22" t="n">
        <v>30</v>
      </c>
    </row>
    <row r="154" customFormat="false" ht="12.75" hidden="false" customHeight="true" outlineLevel="0" collapsed="false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9"/>
      <c r="BD154" s="9"/>
      <c r="BE154" s="9"/>
      <c r="BF154" s="9"/>
      <c r="BG154" s="9"/>
      <c r="BH154" s="9"/>
      <c r="BI154" s="9"/>
      <c r="BJ154" s="9"/>
      <c r="BK154" s="9"/>
      <c r="BL154" s="9"/>
      <c r="BM154" s="9"/>
      <c r="BN154" s="9"/>
      <c r="BO154" s="9"/>
      <c r="BP154" s="9"/>
      <c r="BQ154" s="9"/>
      <c r="BR154" s="9"/>
      <c r="BS154" s="9"/>
      <c r="BT154" s="9"/>
      <c r="BU154" s="9"/>
      <c r="BV154" s="9"/>
      <c r="BW154" s="9"/>
      <c r="BX154" s="9"/>
      <c r="BY154" s="9"/>
      <c r="BZ154" s="9"/>
      <c r="CA154" s="9"/>
      <c r="CB154" s="9"/>
      <c r="CC154" s="9"/>
      <c r="CD154" s="9"/>
      <c r="CE154" s="9"/>
      <c r="DJ154" s="107"/>
      <c r="DM154" s="130" t="n">
        <v>41183</v>
      </c>
      <c r="DN154" s="22" t="n">
        <v>22</v>
      </c>
      <c r="DO154" s="22" t="n">
        <v>4</v>
      </c>
      <c r="DP154" s="22" t="n">
        <v>4</v>
      </c>
      <c r="DQ154" s="22" t="n">
        <v>1</v>
      </c>
      <c r="DR154" s="22" t="n">
        <v>31</v>
      </c>
      <c r="DS154" s="111"/>
      <c r="DT154" s="111"/>
      <c r="DU154" s="130" t="n">
        <v>41183</v>
      </c>
      <c r="DV154" s="22" t="n">
        <v>23</v>
      </c>
      <c r="DW154" s="22" t="n">
        <v>4</v>
      </c>
      <c r="DX154" s="22" t="n">
        <v>4</v>
      </c>
      <c r="DY154" s="22" t="n">
        <v>0</v>
      </c>
      <c r="DZ154" s="22" t="n">
        <v>31</v>
      </c>
    </row>
    <row r="155" customFormat="false" ht="12.75" hidden="false" customHeight="true" outlineLevel="0" collapsed="false">
      <c r="AD155" s="46"/>
      <c r="AE155" s="46"/>
      <c r="AF155" s="46"/>
      <c r="AG155" s="46"/>
      <c r="AH155" s="46"/>
      <c r="AI155" s="46"/>
      <c r="DJ155" s="107"/>
      <c r="DM155" s="130" t="n">
        <v>41214</v>
      </c>
      <c r="DN155" s="22" t="n">
        <v>21</v>
      </c>
      <c r="DO155" s="22" t="n">
        <v>4</v>
      </c>
      <c r="DP155" s="22" t="n">
        <v>4</v>
      </c>
      <c r="DQ155" s="22" t="n">
        <v>1</v>
      </c>
      <c r="DR155" s="22" t="n">
        <v>30</v>
      </c>
      <c r="DS155" s="111"/>
      <c r="DT155" s="111"/>
      <c r="DU155" s="130" t="n">
        <v>41214</v>
      </c>
      <c r="DV155" s="22" t="n">
        <v>21</v>
      </c>
      <c r="DW155" s="22" t="n">
        <v>4</v>
      </c>
      <c r="DX155" s="22" t="n">
        <v>4</v>
      </c>
      <c r="DY155" s="22" t="n">
        <v>1</v>
      </c>
      <c r="DZ155" s="22" t="n">
        <v>30</v>
      </c>
    </row>
    <row r="156" customFormat="false" ht="12.75" hidden="false" customHeight="true" outlineLevel="0" collapsed="false">
      <c r="AD156" s="46"/>
      <c r="AE156" s="46"/>
      <c r="AF156" s="46"/>
      <c r="AG156" s="46"/>
      <c r="AH156" s="46"/>
      <c r="AI156" s="46"/>
      <c r="DJ156" s="107"/>
      <c r="DM156" s="130" t="n">
        <v>41244</v>
      </c>
      <c r="DN156" s="22" t="n">
        <v>19</v>
      </c>
      <c r="DO156" s="22" t="n">
        <v>5</v>
      </c>
      <c r="DP156" s="22" t="n">
        <v>5</v>
      </c>
      <c r="DQ156" s="22" t="n">
        <v>2</v>
      </c>
      <c r="DR156" s="22" t="n">
        <v>31</v>
      </c>
      <c r="DS156" s="111"/>
      <c r="DT156" s="111"/>
      <c r="DU156" s="130" t="n">
        <v>41244</v>
      </c>
      <c r="DV156" s="22" t="n">
        <v>20</v>
      </c>
      <c r="DW156" s="22" t="n">
        <v>5</v>
      </c>
      <c r="DX156" s="22" t="n">
        <v>5</v>
      </c>
      <c r="DY156" s="22" t="n">
        <v>1</v>
      </c>
      <c r="DZ156" s="22" t="n">
        <v>31</v>
      </c>
    </row>
    <row r="157" customFormat="false" ht="12.75" hidden="false" customHeight="true" outlineLevel="0" collapsed="false">
      <c r="AD157" s="46"/>
      <c r="AE157" s="46"/>
      <c r="AF157" s="46"/>
      <c r="AG157" s="46"/>
      <c r="AH157" s="46"/>
      <c r="AI157" s="46"/>
      <c r="DJ157" s="107"/>
      <c r="DM157" s="130" t="n">
        <v>41275</v>
      </c>
      <c r="DN157" s="22" t="n">
        <v>22</v>
      </c>
      <c r="DO157" s="22" t="n">
        <v>4</v>
      </c>
      <c r="DP157" s="22" t="n">
        <v>4</v>
      </c>
      <c r="DQ157" s="22" t="n">
        <v>1</v>
      </c>
      <c r="DR157" s="22" t="n">
        <v>31</v>
      </c>
      <c r="DS157" s="111"/>
      <c r="DT157" s="111"/>
      <c r="DU157" s="130" t="n">
        <v>41275</v>
      </c>
      <c r="DV157" s="22" t="n">
        <v>22</v>
      </c>
      <c r="DW157" s="22" t="n">
        <v>4</v>
      </c>
      <c r="DX157" s="22" t="n">
        <v>4</v>
      </c>
      <c r="DY157" s="22" t="n">
        <v>1</v>
      </c>
      <c r="DZ157" s="22" t="n">
        <v>31</v>
      </c>
    </row>
    <row r="158" customFormat="false" ht="12.75" hidden="false" customHeight="true" outlineLevel="0" collapsed="false">
      <c r="AD158" s="46"/>
      <c r="AE158" s="46"/>
      <c r="AF158" s="46"/>
      <c r="AG158" s="46"/>
      <c r="AH158" s="46"/>
      <c r="AI158" s="46"/>
      <c r="DJ158" s="107"/>
      <c r="DM158" s="130" t="n">
        <v>41306</v>
      </c>
      <c r="DN158" s="22" t="n">
        <v>19</v>
      </c>
      <c r="DO158" s="22" t="n">
        <v>4</v>
      </c>
      <c r="DP158" s="22" t="n">
        <v>4</v>
      </c>
      <c r="DQ158" s="22" t="n">
        <v>1</v>
      </c>
      <c r="DR158" s="22" t="n">
        <v>28</v>
      </c>
      <c r="DS158" s="111"/>
      <c r="DT158" s="111"/>
      <c r="DU158" s="130" t="n">
        <v>41306</v>
      </c>
      <c r="DV158" s="22" t="n">
        <v>20</v>
      </c>
      <c r="DW158" s="22" t="n">
        <v>4</v>
      </c>
      <c r="DX158" s="22" t="n">
        <v>4</v>
      </c>
      <c r="DY158" s="22" t="n">
        <v>0</v>
      </c>
      <c r="DZ158" s="22" t="n">
        <v>28</v>
      </c>
    </row>
    <row r="159" customFormat="false" ht="12.75" hidden="false" customHeight="true" outlineLevel="0" collapsed="false">
      <c r="AD159" s="46"/>
      <c r="AE159" s="46"/>
      <c r="AF159" s="46"/>
      <c r="AG159" s="46"/>
      <c r="AH159" s="46"/>
      <c r="AI159" s="46"/>
      <c r="DJ159" s="107"/>
      <c r="DM159" s="130" t="n">
        <v>41334</v>
      </c>
      <c r="DN159" s="22" t="n">
        <v>20</v>
      </c>
      <c r="DO159" s="22" t="n">
        <v>5</v>
      </c>
      <c r="DP159" s="22" t="n">
        <v>5</v>
      </c>
      <c r="DQ159" s="22" t="n">
        <v>1</v>
      </c>
      <c r="DR159" s="22" t="n">
        <v>31</v>
      </c>
      <c r="DS159" s="111"/>
      <c r="DT159" s="111"/>
      <c r="DU159" s="130" t="n">
        <v>41334</v>
      </c>
      <c r="DV159" s="22" t="n">
        <v>21</v>
      </c>
      <c r="DW159" s="22" t="n">
        <v>5</v>
      </c>
      <c r="DX159" s="22" t="n">
        <v>5</v>
      </c>
      <c r="DY159" s="22" t="n">
        <v>0</v>
      </c>
      <c r="DZ159" s="22" t="n">
        <v>31</v>
      </c>
    </row>
    <row r="160" customFormat="false" ht="12.75" hidden="false" customHeight="true" outlineLevel="0" collapsed="false">
      <c r="AD160" s="46"/>
      <c r="AE160" s="46"/>
      <c r="AF160" s="46"/>
      <c r="AG160" s="46"/>
      <c r="AH160" s="46"/>
      <c r="AI160" s="46"/>
      <c r="DJ160" s="107"/>
      <c r="DM160" s="130" t="n">
        <v>41365</v>
      </c>
      <c r="DN160" s="22" t="n">
        <v>22</v>
      </c>
      <c r="DO160" s="22" t="n">
        <v>4</v>
      </c>
      <c r="DP160" s="22" t="n">
        <v>4</v>
      </c>
      <c r="DQ160" s="22" t="n">
        <v>0</v>
      </c>
      <c r="DR160" s="22" t="n">
        <v>30</v>
      </c>
      <c r="DS160" s="111"/>
      <c r="DT160" s="111"/>
      <c r="DU160" s="130" t="n">
        <v>41365</v>
      </c>
      <c r="DV160" s="22" t="n">
        <v>22</v>
      </c>
      <c r="DW160" s="22" t="n">
        <v>4</v>
      </c>
      <c r="DX160" s="22" t="n">
        <v>4</v>
      </c>
      <c r="DY160" s="22" t="n">
        <v>0</v>
      </c>
      <c r="DZ160" s="22" t="n">
        <v>30</v>
      </c>
    </row>
    <row r="161" customFormat="false" ht="12.75" hidden="false" customHeight="true" outlineLevel="0" collapsed="false">
      <c r="AD161" s="46"/>
      <c r="AE161" s="46"/>
      <c r="AF161" s="46"/>
      <c r="AG161" s="46"/>
      <c r="AH161" s="46"/>
      <c r="AI161" s="46"/>
      <c r="DJ161" s="107"/>
      <c r="DM161" s="130" t="n">
        <v>41395</v>
      </c>
      <c r="DN161" s="22" t="n">
        <v>22</v>
      </c>
      <c r="DO161" s="22" t="n">
        <v>4</v>
      </c>
      <c r="DP161" s="22" t="n">
        <v>4</v>
      </c>
      <c r="DQ161" s="22" t="n">
        <v>1</v>
      </c>
      <c r="DR161" s="22" t="n">
        <v>31</v>
      </c>
      <c r="DS161" s="111"/>
      <c r="DT161" s="111"/>
      <c r="DU161" s="130" t="n">
        <v>41395</v>
      </c>
      <c r="DV161" s="22" t="n">
        <v>22</v>
      </c>
      <c r="DW161" s="22" t="n">
        <v>4</v>
      </c>
      <c r="DX161" s="22" t="n">
        <v>4</v>
      </c>
      <c r="DY161" s="22" t="n">
        <v>1</v>
      </c>
      <c r="DZ161" s="22" t="n">
        <v>31</v>
      </c>
    </row>
    <row r="162" customFormat="false" ht="12.75" hidden="false" customHeight="true" outlineLevel="0" collapsed="false">
      <c r="AD162" s="46"/>
      <c r="AE162" s="46"/>
      <c r="AF162" s="46"/>
      <c r="AG162" s="46"/>
      <c r="AH162" s="46"/>
      <c r="AI162" s="46"/>
      <c r="DJ162" s="107"/>
      <c r="DM162" s="130" t="n">
        <v>41426</v>
      </c>
      <c r="DN162" s="22" t="n">
        <v>20</v>
      </c>
      <c r="DO162" s="22" t="n">
        <v>5</v>
      </c>
      <c r="DP162" s="22" t="n">
        <v>5</v>
      </c>
      <c r="DQ162" s="22" t="n">
        <v>0</v>
      </c>
      <c r="DR162" s="22" t="n">
        <v>30</v>
      </c>
      <c r="DS162" s="111"/>
      <c r="DT162" s="111"/>
      <c r="DU162" s="130" t="n">
        <v>41426</v>
      </c>
      <c r="DV162" s="22" t="n">
        <v>20</v>
      </c>
      <c r="DW162" s="22" t="n">
        <v>5</v>
      </c>
      <c r="DX162" s="22" t="n">
        <v>5</v>
      </c>
      <c r="DY162" s="22" t="n">
        <v>0</v>
      </c>
      <c r="DZ162" s="22" t="n">
        <v>30</v>
      </c>
    </row>
    <row r="163" customFormat="false" ht="12.75" hidden="false" customHeight="true" outlineLevel="0" collapsed="false">
      <c r="AD163" s="46"/>
      <c r="AE163" s="46"/>
      <c r="AF163" s="46"/>
      <c r="AG163" s="46"/>
      <c r="AH163" s="46"/>
      <c r="AI163" s="46"/>
      <c r="DJ163" s="107"/>
      <c r="DM163" s="130" t="n">
        <v>41456</v>
      </c>
      <c r="DN163" s="22" t="n">
        <v>22</v>
      </c>
      <c r="DO163" s="22" t="n">
        <v>4</v>
      </c>
      <c r="DP163" s="22" t="n">
        <v>4</v>
      </c>
      <c r="DQ163" s="22" t="n">
        <v>1</v>
      </c>
      <c r="DR163" s="22" t="n">
        <v>31</v>
      </c>
      <c r="DS163" s="111"/>
      <c r="DT163" s="111"/>
      <c r="DU163" s="130" t="n">
        <v>41456</v>
      </c>
      <c r="DV163" s="22" t="n">
        <v>22</v>
      </c>
      <c r="DW163" s="22" t="n">
        <v>4</v>
      </c>
      <c r="DX163" s="22" t="n">
        <v>4</v>
      </c>
      <c r="DY163" s="22" t="n">
        <v>1</v>
      </c>
      <c r="DZ163" s="22" t="n">
        <v>31</v>
      </c>
    </row>
    <row r="164" customFormat="false" ht="12.75" hidden="false" customHeight="true" outlineLevel="0" collapsed="false">
      <c r="AD164" s="46"/>
      <c r="AE164" s="46"/>
      <c r="AF164" s="46"/>
      <c r="AG164" s="46"/>
      <c r="AH164" s="46"/>
      <c r="AI164" s="46"/>
      <c r="DJ164" s="107"/>
      <c r="DM164" s="130" t="n">
        <v>41487</v>
      </c>
      <c r="DN164" s="22" t="n">
        <v>21</v>
      </c>
      <c r="DO164" s="22" t="n">
        <v>5</v>
      </c>
      <c r="DP164" s="22" t="n">
        <v>4</v>
      </c>
      <c r="DQ164" s="22" t="n">
        <v>1</v>
      </c>
      <c r="DR164" s="22" t="n">
        <v>31</v>
      </c>
      <c r="DS164" s="111"/>
      <c r="DT164" s="111"/>
      <c r="DU164" s="130" t="n">
        <v>41487</v>
      </c>
      <c r="DV164" s="22" t="n">
        <v>22</v>
      </c>
      <c r="DW164" s="22" t="n">
        <v>5</v>
      </c>
      <c r="DX164" s="22" t="n">
        <v>4</v>
      </c>
      <c r="DY164" s="22" t="n">
        <v>0</v>
      </c>
      <c r="DZ164" s="22" t="n">
        <v>31</v>
      </c>
    </row>
    <row r="165" customFormat="false" ht="12.75" hidden="false" customHeight="true" outlineLevel="0" collapsed="false">
      <c r="AD165" s="46"/>
      <c r="AE165" s="46"/>
      <c r="AF165" s="46"/>
      <c r="AG165" s="46"/>
      <c r="AH165" s="46"/>
      <c r="AI165" s="46"/>
      <c r="DJ165" s="107"/>
      <c r="DM165" s="130" t="n">
        <v>41518</v>
      </c>
      <c r="DN165" s="22" t="n">
        <v>20</v>
      </c>
      <c r="DO165" s="22" t="n">
        <v>4</v>
      </c>
      <c r="DP165" s="22" t="n">
        <v>5</v>
      </c>
      <c r="DQ165" s="22" t="n">
        <v>1</v>
      </c>
      <c r="DR165" s="22" t="n">
        <v>30</v>
      </c>
      <c r="DS165" s="111"/>
      <c r="DT165" s="111"/>
      <c r="DU165" s="130" t="n">
        <v>41518</v>
      </c>
      <c r="DV165" s="22" t="n">
        <v>20</v>
      </c>
      <c r="DW165" s="22" t="n">
        <v>4</v>
      </c>
      <c r="DX165" s="22" t="n">
        <v>5</v>
      </c>
      <c r="DY165" s="22" t="n">
        <v>1</v>
      </c>
      <c r="DZ165" s="22" t="n">
        <v>30</v>
      </c>
    </row>
    <row r="166" customFormat="false" ht="12.75" hidden="false" customHeight="true" outlineLevel="0" collapsed="false">
      <c r="AD166" s="46"/>
      <c r="AE166" s="46"/>
      <c r="AF166" s="46"/>
      <c r="AG166" s="46"/>
      <c r="AH166" s="46"/>
      <c r="AI166" s="46"/>
      <c r="DJ166" s="107"/>
      <c r="DM166" s="130" t="n">
        <v>41548</v>
      </c>
      <c r="DN166" s="22" t="n">
        <v>22</v>
      </c>
      <c r="DO166" s="22" t="n">
        <v>4</v>
      </c>
      <c r="DP166" s="22" t="n">
        <v>4</v>
      </c>
      <c r="DQ166" s="22" t="n">
        <v>1</v>
      </c>
      <c r="DR166" s="22" t="n">
        <v>31</v>
      </c>
      <c r="DS166" s="111"/>
      <c r="DT166" s="111"/>
      <c r="DU166" s="130" t="n">
        <v>41548</v>
      </c>
      <c r="DV166" s="22" t="n">
        <v>23</v>
      </c>
      <c r="DW166" s="22" t="n">
        <v>4</v>
      </c>
      <c r="DX166" s="22" t="n">
        <v>4</v>
      </c>
      <c r="DY166" s="22" t="n">
        <v>0</v>
      </c>
      <c r="DZ166" s="22" t="n">
        <v>31</v>
      </c>
    </row>
    <row r="167" customFormat="false" ht="12.75" hidden="false" customHeight="true" outlineLevel="0" collapsed="false">
      <c r="AD167" s="46"/>
      <c r="AE167" s="46"/>
      <c r="AF167" s="46"/>
      <c r="AG167" s="46"/>
      <c r="AH167" s="46"/>
      <c r="AI167" s="46"/>
      <c r="DJ167" s="107"/>
      <c r="DM167" s="130" t="n">
        <v>41579</v>
      </c>
      <c r="DN167" s="22" t="n">
        <v>20</v>
      </c>
      <c r="DO167" s="22" t="n">
        <v>5</v>
      </c>
      <c r="DP167" s="22" t="n">
        <v>4</v>
      </c>
      <c r="DQ167" s="22" t="n">
        <v>1</v>
      </c>
      <c r="DR167" s="22" t="n">
        <v>30</v>
      </c>
      <c r="DS167" s="111"/>
      <c r="DT167" s="111"/>
      <c r="DU167" s="130" t="n">
        <v>41579</v>
      </c>
      <c r="DV167" s="22" t="n">
        <v>20</v>
      </c>
      <c r="DW167" s="22" t="n">
        <v>5</v>
      </c>
      <c r="DX167" s="22" t="n">
        <v>4</v>
      </c>
      <c r="DY167" s="22" t="n">
        <v>1</v>
      </c>
      <c r="DZ167" s="22" t="n">
        <v>30</v>
      </c>
    </row>
    <row r="168" customFormat="false" ht="12.75" hidden="false" customHeight="true" outlineLevel="0" collapsed="false">
      <c r="AD168" s="46"/>
      <c r="AE168" s="46"/>
      <c r="AF168" s="46"/>
      <c r="AG168" s="46"/>
      <c r="AH168" s="46"/>
      <c r="AI168" s="46"/>
      <c r="DJ168" s="107"/>
      <c r="DM168" s="130" t="n">
        <v>41609</v>
      </c>
      <c r="DN168" s="22" t="n">
        <v>20</v>
      </c>
      <c r="DO168" s="22" t="n">
        <v>4</v>
      </c>
      <c r="DP168" s="22" t="n">
        <v>5</v>
      </c>
      <c r="DQ168" s="22" t="n">
        <v>2</v>
      </c>
      <c r="DR168" s="22" t="n">
        <v>31</v>
      </c>
      <c r="DS168" s="111"/>
      <c r="DT168" s="111"/>
      <c r="DU168" s="130" t="n">
        <v>41609</v>
      </c>
      <c r="DV168" s="22" t="n">
        <v>21</v>
      </c>
      <c r="DW168" s="22" t="n">
        <v>4</v>
      </c>
      <c r="DX168" s="22" t="n">
        <v>5</v>
      </c>
      <c r="DY168" s="22" t="n">
        <v>1</v>
      </c>
      <c r="DZ168" s="22" t="n">
        <v>31</v>
      </c>
    </row>
    <row r="169" customFormat="false" ht="12.75" hidden="false" customHeight="true" outlineLevel="0" collapsed="false">
      <c r="AD169" s="46"/>
      <c r="AE169" s="46"/>
      <c r="AF169" s="46"/>
      <c r="AG169" s="46"/>
      <c r="AH169" s="46"/>
      <c r="AI169" s="46"/>
      <c r="DJ169" s="107"/>
      <c r="DM169" s="130" t="n">
        <v>41640</v>
      </c>
      <c r="DN169" s="22" t="n">
        <v>22</v>
      </c>
      <c r="DO169" s="22" t="n">
        <v>4</v>
      </c>
      <c r="DP169" s="22" t="n">
        <v>4</v>
      </c>
      <c r="DQ169" s="22" t="n">
        <v>1</v>
      </c>
      <c r="DR169" s="22" t="n">
        <v>31</v>
      </c>
      <c r="DS169" s="111"/>
      <c r="DT169" s="111"/>
      <c r="DU169" s="130" t="n">
        <v>41640</v>
      </c>
      <c r="DV169" s="22" t="n">
        <v>22</v>
      </c>
      <c r="DW169" s="22" t="n">
        <v>4</v>
      </c>
      <c r="DX169" s="22" t="n">
        <v>4</v>
      </c>
      <c r="DY169" s="22" t="n">
        <v>1</v>
      </c>
      <c r="DZ169" s="22" t="n">
        <v>31</v>
      </c>
    </row>
    <row r="170" customFormat="false" ht="12.75" hidden="false" customHeight="true" outlineLevel="0" collapsed="false">
      <c r="AD170" s="46"/>
      <c r="AE170" s="46"/>
      <c r="AF170" s="46"/>
      <c r="AG170" s="46"/>
      <c r="AH170" s="46"/>
      <c r="AI170" s="46"/>
      <c r="DJ170" s="107"/>
      <c r="DM170" s="130" t="n">
        <v>41671</v>
      </c>
      <c r="DN170" s="22" t="n">
        <v>19</v>
      </c>
      <c r="DO170" s="22" t="n">
        <v>4</v>
      </c>
      <c r="DP170" s="22" t="n">
        <v>4</v>
      </c>
      <c r="DQ170" s="22" t="n">
        <v>1</v>
      </c>
      <c r="DR170" s="22" t="n">
        <v>28</v>
      </c>
      <c r="DS170" s="111"/>
      <c r="DT170" s="111"/>
      <c r="DU170" s="130" t="n">
        <v>41671</v>
      </c>
      <c r="DV170" s="22" t="n">
        <v>20</v>
      </c>
      <c r="DW170" s="22" t="n">
        <v>4</v>
      </c>
      <c r="DX170" s="22" t="n">
        <v>4</v>
      </c>
      <c r="DY170" s="22" t="n">
        <v>0</v>
      </c>
      <c r="DZ170" s="22" t="n">
        <v>28</v>
      </c>
    </row>
    <row r="171" customFormat="false" ht="12.75" hidden="false" customHeight="true" outlineLevel="0" collapsed="false">
      <c r="AD171" s="46"/>
      <c r="AE171" s="46"/>
      <c r="AF171" s="46"/>
      <c r="AG171" s="46"/>
      <c r="AH171" s="46"/>
      <c r="AI171" s="46"/>
      <c r="DJ171" s="107"/>
      <c r="DM171" s="130" t="n">
        <v>41699</v>
      </c>
      <c r="DN171" s="22" t="n">
        <v>21</v>
      </c>
      <c r="DO171" s="22" t="n">
        <v>5</v>
      </c>
      <c r="DP171" s="22" t="n">
        <v>5</v>
      </c>
      <c r="DQ171" s="22" t="n">
        <v>0</v>
      </c>
      <c r="DR171" s="22" t="n">
        <v>31</v>
      </c>
      <c r="DS171" s="111"/>
      <c r="DT171" s="111"/>
      <c r="DU171" s="130" t="n">
        <v>41699</v>
      </c>
      <c r="DV171" s="22" t="n">
        <v>21</v>
      </c>
      <c r="DW171" s="22" t="n">
        <v>5</v>
      </c>
      <c r="DX171" s="22" t="n">
        <v>5</v>
      </c>
      <c r="DY171" s="22" t="n">
        <v>0</v>
      </c>
      <c r="DZ171" s="22" t="n">
        <v>31</v>
      </c>
    </row>
    <row r="172" customFormat="false" ht="12.75" hidden="false" customHeight="true" outlineLevel="0" collapsed="false">
      <c r="AD172" s="46"/>
      <c r="AE172" s="46"/>
      <c r="AF172" s="46"/>
      <c r="AG172" s="46"/>
      <c r="AH172" s="46"/>
      <c r="AI172" s="46"/>
      <c r="DJ172" s="107"/>
      <c r="DM172" s="130" t="n">
        <v>41730</v>
      </c>
      <c r="DN172" s="22" t="n">
        <v>21</v>
      </c>
      <c r="DO172" s="22" t="n">
        <v>4</v>
      </c>
      <c r="DP172" s="22" t="n">
        <v>4</v>
      </c>
      <c r="DQ172" s="22" t="n">
        <v>1</v>
      </c>
      <c r="DR172" s="22" t="n">
        <v>30</v>
      </c>
      <c r="DS172" s="111"/>
      <c r="DT172" s="111"/>
      <c r="DU172" s="130" t="n">
        <v>41730</v>
      </c>
      <c r="DV172" s="22" t="n">
        <v>22</v>
      </c>
      <c r="DW172" s="22" t="n">
        <v>4</v>
      </c>
      <c r="DX172" s="22" t="n">
        <v>4</v>
      </c>
      <c r="DY172" s="22" t="n">
        <v>0</v>
      </c>
      <c r="DZ172" s="22" t="n">
        <v>30</v>
      </c>
    </row>
    <row r="173" customFormat="false" ht="12.75" hidden="false" customHeight="true" outlineLevel="0" collapsed="false">
      <c r="AD173" s="46"/>
      <c r="AE173" s="46"/>
      <c r="AF173" s="46"/>
      <c r="AG173" s="46"/>
      <c r="AH173" s="46"/>
      <c r="AI173" s="46"/>
      <c r="DJ173" s="107"/>
      <c r="DM173" s="130" t="n">
        <v>41760</v>
      </c>
      <c r="DN173" s="22" t="n">
        <v>21</v>
      </c>
      <c r="DO173" s="22" t="n">
        <v>5</v>
      </c>
      <c r="DP173" s="22" t="n">
        <v>4</v>
      </c>
      <c r="DQ173" s="22" t="n">
        <v>1</v>
      </c>
      <c r="DR173" s="22" t="n">
        <v>31</v>
      </c>
      <c r="DS173" s="111"/>
      <c r="DT173" s="111"/>
      <c r="DU173" s="130" t="n">
        <v>41760</v>
      </c>
      <c r="DV173" s="22" t="n">
        <v>21</v>
      </c>
      <c r="DW173" s="22" t="n">
        <v>5</v>
      </c>
      <c r="DX173" s="22" t="n">
        <v>4</v>
      </c>
      <c r="DY173" s="22" t="n">
        <v>1</v>
      </c>
      <c r="DZ173" s="22" t="n">
        <v>31</v>
      </c>
    </row>
    <row r="174" customFormat="false" ht="12.75" hidden="false" customHeight="true" outlineLevel="0" collapsed="false">
      <c r="AD174" s="46"/>
      <c r="AE174" s="46"/>
      <c r="AF174" s="46"/>
      <c r="AG174" s="46"/>
      <c r="AH174" s="46"/>
      <c r="AI174" s="46"/>
      <c r="DJ174" s="107"/>
      <c r="DM174" s="130" t="n">
        <v>41791</v>
      </c>
      <c r="DN174" s="22" t="n">
        <v>21</v>
      </c>
      <c r="DO174" s="22" t="n">
        <v>4</v>
      </c>
      <c r="DP174" s="22" t="n">
        <v>5</v>
      </c>
      <c r="DQ174" s="22" t="n">
        <v>0</v>
      </c>
      <c r="DR174" s="22" t="n">
        <v>30</v>
      </c>
      <c r="DS174" s="111"/>
      <c r="DT174" s="111"/>
      <c r="DU174" s="130" t="n">
        <v>41791</v>
      </c>
      <c r="DV174" s="22" t="n">
        <v>21</v>
      </c>
      <c r="DW174" s="22" t="n">
        <v>4</v>
      </c>
      <c r="DX174" s="22" t="n">
        <v>5</v>
      </c>
      <c r="DY174" s="22" t="n">
        <v>0</v>
      </c>
      <c r="DZ174" s="22" t="n">
        <v>30</v>
      </c>
    </row>
    <row r="175" customFormat="false" ht="12.75" hidden="false" customHeight="true" outlineLevel="0" collapsed="false">
      <c r="AD175" s="46"/>
      <c r="AE175" s="46"/>
      <c r="AF175" s="46"/>
      <c r="AG175" s="46"/>
      <c r="AH175" s="46"/>
      <c r="AI175" s="46"/>
      <c r="DJ175" s="107"/>
      <c r="DM175" s="130" t="n">
        <v>41821</v>
      </c>
      <c r="DN175" s="22" t="n">
        <v>22</v>
      </c>
      <c r="DO175" s="22" t="n">
        <v>4</v>
      </c>
      <c r="DP175" s="22" t="n">
        <v>4</v>
      </c>
      <c r="DQ175" s="22" t="n">
        <v>1</v>
      </c>
      <c r="DR175" s="22" t="n">
        <v>31</v>
      </c>
      <c r="DS175" s="111"/>
      <c r="DT175" s="111"/>
      <c r="DU175" s="130" t="n">
        <v>41821</v>
      </c>
      <c r="DV175" s="22" t="n">
        <v>22</v>
      </c>
      <c r="DW175" s="22" t="n">
        <v>4</v>
      </c>
      <c r="DX175" s="22" t="n">
        <v>4</v>
      </c>
      <c r="DY175" s="22" t="n">
        <v>1</v>
      </c>
      <c r="DZ175" s="22" t="n">
        <v>31</v>
      </c>
    </row>
    <row r="176" customFormat="false" ht="12.75" hidden="false" customHeight="true" outlineLevel="0" collapsed="false">
      <c r="AD176" s="46"/>
      <c r="AE176" s="46"/>
      <c r="AF176" s="46"/>
      <c r="AG176" s="46"/>
      <c r="AH176" s="46"/>
      <c r="AI176" s="46"/>
      <c r="DJ176" s="107"/>
      <c r="DM176" s="130" t="n">
        <v>41852</v>
      </c>
      <c r="DN176" s="22" t="n">
        <v>20</v>
      </c>
      <c r="DO176" s="22" t="n">
        <v>5</v>
      </c>
      <c r="DP176" s="22" t="n">
        <v>5</v>
      </c>
      <c r="DQ176" s="22" t="n">
        <v>1</v>
      </c>
      <c r="DR176" s="22" t="n">
        <v>31</v>
      </c>
      <c r="DS176" s="111"/>
      <c r="DT176" s="111"/>
      <c r="DU176" s="130" t="n">
        <v>41852</v>
      </c>
      <c r="DV176" s="22" t="n">
        <v>21</v>
      </c>
      <c r="DW176" s="22" t="n">
        <v>5</v>
      </c>
      <c r="DX176" s="22" t="n">
        <v>5</v>
      </c>
      <c r="DY176" s="22" t="n">
        <v>0</v>
      </c>
      <c r="DZ176" s="22" t="n">
        <v>31</v>
      </c>
    </row>
    <row r="177" customFormat="false" ht="12.75" hidden="false" customHeight="true" outlineLevel="0" collapsed="false">
      <c r="AD177" s="46"/>
      <c r="AE177" s="46"/>
      <c r="AF177" s="46"/>
      <c r="AG177" s="46"/>
      <c r="AH177" s="46"/>
      <c r="AI177" s="46"/>
      <c r="DJ177" s="107"/>
      <c r="DM177" s="130" t="n">
        <v>41883</v>
      </c>
      <c r="DN177" s="22" t="n">
        <v>21</v>
      </c>
      <c r="DO177" s="22" t="n">
        <v>4</v>
      </c>
      <c r="DP177" s="22" t="n">
        <v>4</v>
      </c>
      <c r="DQ177" s="22" t="n">
        <v>1</v>
      </c>
      <c r="DR177" s="22" t="n">
        <v>30</v>
      </c>
      <c r="DS177" s="111"/>
      <c r="DT177" s="111"/>
      <c r="DU177" s="130" t="n">
        <v>41883</v>
      </c>
      <c r="DV177" s="22" t="n">
        <v>21</v>
      </c>
      <c r="DW177" s="22" t="n">
        <v>4</v>
      </c>
      <c r="DX177" s="22" t="n">
        <v>4</v>
      </c>
      <c r="DY177" s="22" t="n">
        <v>1</v>
      </c>
      <c r="DZ177" s="22" t="n">
        <v>30</v>
      </c>
    </row>
    <row r="178" customFormat="false" ht="12.75" hidden="false" customHeight="true" outlineLevel="0" collapsed="false">
      <c r="AD178" s="46"/>
      <c r="AE178" s="46"/>
      <c r="AF178" s="46"/>
      <c r="AG178" s="46"/>
      <c r="AH178" s="46"/>
      <c r="AI178" s="46"/>
      <c r="DJ178" s="107"/>
      <c r="DM178" s="130" t="n">
        <v>41913</v>
      </c>
      <c r="DN178" s="22" t="n">
        <v>22</v>
      </c>
      <c r="DO178" s="22" t="n">
        <v>4</v>
      </c>
      <c r="DP178" s="22" t="n">
        <v>4</v>
      </c>
      <c r="DQ178" s="22" t="n">
        <v>1</v>
      </c>
      <c r="DR178" s="22" t="n">
        <v>31</v>
      </c>
      <c r="DS178" s="111"/>
      <c r="DT178" s="111"/>
      <c r="DU178" s="130" t="n">
        <v>41913</v>
      </c>
      <c r="DV178" s="22" t="n">
        <v>23</v>
      </c>
      <c r="DW178" s="22" t="n">
        <v>4</v>
      </c>
      <c r="DX178" s="22" t="n">
        <v>4</v>
      </c>
      <c r="DY178" s="22" t="n">
        <v>0</v>
      </c>
      <c r="DZ178" s="22" t="n">
        <v>31</v>
      </c>
    </row>
    <row r="179" customFormat="false" ht="12.75" hidden="false" customHeight="true" outlineLevel="0" collapsed="false">
      <c r="AD179" s="46"/>
      <c r="AE179" s="46"/>
      <c r="AF179" s="46"/>
      <c r="AG179" s="46"/>
      <c r="AH179" s="46"/>
      <c r="AI179" s="46"/>
      <c r="DJ179" s="107"/>
      <c r="DM179" s="130" t="n">
        <v>41944</v>
      </c>
      <c r="DN179" s="22" t="n">
        <v>19</v>
      </c>
      <c r="DO179" s="22" t="n">
        <v>5</v>
      </c>
      <c r="DP179" s="22" t="n">
        <v>5</v>
      </c>
      <c r="DQ179" s="22" t="n">
        <v>1</v>
      </c>
      <c r="DR179" s="22" t="n">
        <v>30</v>
      </c>
      <c r="DS179" s="111"/>
      <c r="DT179" s="111"/>
      <c r="DU179" s="130" t="n">
        <v>41944</v>
      </c>
      <c r="DV179" s="22" t="n">
        <v>19</v>
      </c>
      <c r="DW179" s="22" t="n">
        <v>5</v>
      </c>
      <c r="DX179" s="22" t="n">
        <v>5</v>
      </c>
      <c r="DY179" s="22" t="n">
        <v>1</v>
      </c>
      <c r="DZ179" s="22" t="n">
        <v>30</v>
      </c>
    </row>
    <row r="180" customFormat="false" ht="12.75" hidden="false" customHeight="true" outlineLevel="0" collapsed="false">
      <c r="AD180" s="46"/>
      <c r="AE180" s="46"/>
      <c r="AF180" s="46"/>
      <c r="AG180" s="46"/>
      <c r="AH180" s="46"/>
      <c r="AI180" s="46"/>
      <c r="DJ180" s="107"/>
      <c r="DM180" s="130" t="n">
        <v>41974</v>
      </c>
      <c r="DN180" s="22" t="n">
        <v>21</v>
      </c>
      <c r="DO180" s="22" t="n">
        <v>4</v>
      </c>
      <c r="DP180" s="22" t="n">
        <v>4</v>
      </c>
      <c r="DQ180" s="22" t="n">
        <v>2</v>
      </c>
      <c r="DR180" s="22" t="n">
        <v>31</v>
      </c>
      <c r="DU180" s="130" t="n">
        <v>41974</v>
      </c>
      <c r="DV180" s="22" t="n">
        <v>22</v>
      </c>
      <c r="DW180" s="22" t="n">
        <v>4</v>
      </c>
      <c r="DX180" s="22" t="n">
        <v>4</v>
      </c>
      <c r="DY180" s="22" t="n">
        <v>1</v>
      </c>
      <c r="DZ180" s="22" t="n">
        <v>31</v>
      </c>
    </row>
    <row r="181" customFormat="false" ht="12.75" hidden="false" customHeight="true" outlineLevel="0" collapsed="false">
      <c r="AD181" s="46"/>
      <c r="AE181" s="46"/>
      <c r="AF181" s="46"/>
      <c r="AG181" s="46"/>
      <c r="AH181" s="46"/>
      <c r="AI181" s="46"/>
      <c r="DJ181" s="107"/>
      <c r="DM181" s="130" t="n">
        <v>42005</v>
      </c>
      <c r="DN181" s="22" t="n">
        <v>21</v>
      </c>
      <c r="DO181" s="22" t="n">
        <v>5</v>
      </c>
      <c r="DP181" s="22" t="n">
        <v>4</v>
      </c>
      <c r="DQ181" s="22" t="n">
        <v>1</v>
      </c>
      <c r="DR181" s="22" t="n">
        <v>31</v>
      </c>
      <c r="DU181" s="130" t="n">
        <v>42005</v>
      </c>
      <c r="DV181" s="22" t="n">
        <v>21</v>
      </c>
      <c r="DW181" s="22" t="n">
        <v>5</v>
      </c>
      <c r="DX181" s="22" t="n">
        <v>4</v>
      </c>
      <c r="DY181" s="22" t="n">
        <v>1</v>
      </c>
      <c r="DZ181" s="22" t="n">
        <v>31</v>
      </c>
    </row>
    <row r="182" customFormat="false" ht="12.75" hidden="false" customHeight="true" outlineLevel="0" collapsed="false">
      <c r="AD182" s="46"/>
      <c r="AE182" s="46"/>
      <c r="AF182" s="46"/>
      <c r="AG182" s="46"/>
      <c r="AH182" s="46"/>
      <c r="AI182" s="46"/>
      <c r="DJ182" s="107"/>
      <c r="DM182" s="130" t="n">
        <v>42036</v>
      </c>
      <c r="DN182" s="22" t="n">
        <v>19</v>
      </c>
      <c r="DO182" s="22" t="n">
        <v>4</v>
      </c>
      <c r="DP182" s="22" t="n">
        <v>4</v>
      </c>
      <c r="DQ182" s="22" t="n">
        <v>1</v>
      </c>
      <c r="DR182" s="22" t="n">
        <v>28</v>
      </c>
      <c r="DU182" s="130" t="n">
        <v>42036</v>
      </c>
      <c r="DV182" s="22" t="n">
        <v>20</v>
      </c>
      <c r="DW182" s="22" t="n">
        <v>4</v>
      </c>
      <c r="DX182" s="22" t="n">
        <v>4</v>
      </c>
      <c r="DY182" s="22" t="n">
        <v>0</v>
      </c>
      <c r="DZ182" s="22" t="n">
        <v>28</v>
      </c>
    </row>
    <row r="183" customFormat="false" ht="12.75" hidden="false" customHeight="true" outlineLevel="0" collapsed="false">
      <c r="AD183" s="46"/>
      <c r="AE183" s="46"/>
      <c r="AF183" s="46"/>
      <c r="AG183" s="46"/>
      <c r="AH183" s="46"/>
      <c r="AI183" s="46"/>
      <c r="DJ183" s="107"/>
      <c r="DM183" s="130" t="n">
        <v>42064</v>
      </c>
      <c r="DN183" s="22" t="n">
        <v>22</v>
      </c>
      <c r="DO183" s="22" t="n">
        <v>4</v>
      </c>
      <c r="DP183" s="22" t="n">
        <v>5</v>
      </c>
      <c r="DQ183" s="22" t="n">
        <v>0</v>
      </c>
      <c r="DR183" s="22" t="n">
        <v>31</v>
      </c>
      <c r="DU183" s="130" t="n">
        <v>42064</v>
      </c>
      <c r="DV183" s="22" t="n">
        <v>22</v>
      </c>
      <c r="DW183" s="22" t="n">
        <v>4</v>
      </c>
      <c r="DX183" s="22" t="n">
        <v>5</v>
      </c>
      <c r="DY183" s="22" t="n">
        <v>0</v>
      </c>
      <c r="DZ183" s="22" t="n">
        <v>31</v>
      </c>
    </row>
    <row r="184" customFormat="false" ht="12.75" hidden="false" customHeight="true" outlineLevel="0" collapsed="false">
      <c r="AD184" s="46"/>
      <c r="AE184" s="46"/>
      <c r="AF184" s="46"/>
      <c r="AG184" s="46"/>
      <c r="AH184" s="46"/>
      <c r="AI184" s="46"/>
      <c r="DJ184" s="107"/>
      <c r="DM184" s="130" t="n">
        <v>42095</v>
      </c>
      <c r="DN184" s="22" t="n">
        <v>21</v>
      </c>
      <c r="DO184" s="22" t="n">
        <v>4</v>
      </c>
      <c r="DP184" s="22" t="n">
        <v>4</v>
      </c>
      <c r="DQ184" s="22" t="n">
        <v>1</v>
      </c>
      <c r="DR184" s="22" t="n">
        <v>30</v>
      </c>
      <c r="DU184" s="130" t="n">
        <v>42095</v>
      </c>
      <c r="DV184" s="22" t="n">
        <v>22</v>
      </c>
      <c r="DW184" s="22" t="n">
        <v>4</v>
      </c>
      <c r="DX184" s="22" t="n">
        <v>4</v>
      </c>
      <c r="DY184" s="22" t="n">
        <v>0</v>
      </c>
      <c r="DZ184" s="22" t="n">
        <v>30</v>
      </c>
    </row>
    <row r="185" customFormat="false" ht="12.75" hidden="false" customHeight="true" outlineLevel="0" collapsed="false">
      <c r="AD185" s="46"/>
      <c r="AE185" s="46"/>
      <c r="AF185" s="46"/>
      <c r="AG185" s="46"/>
      <c r="AH185" s="46"/>
      <c r="AI185" s="46"/>
      <c r="DJ185" s="107"/>
      <c r="DM185" s="130" t="n">
        <v>42125</v>
      </c>
      <c r="DN185" s="22" t="n">
        <v>20</v>
      </c>
      <c r="DO185" s="22" t="n">
        <v>5</v>
      </c>
      <c r="DP185" s="22" t="n">
        <v>5</v>
      </c>
      <c r="DQ185" s="22" t="n">
        <v>1</v>
      </c>
      <c r="DR185" s="22" t="n">
        <v>31</v>
      </c>
      <c r="DU185" s="130" t="n">
        <v>42125</v>
      </c>
      <c r="DV185" s="22" t="n">
        <v>20</v>
      </c>
      <c r="DW185" s="22" t="n">
        <v>5</v>
      </c>
      <c r="DX185" s="22" t="n">
        <v>5</v>
      </c>
      <c r="DY185" s="22" t="n">
        <v>1</v>
      </c>
      <c r="DZ185" s="22" t="n">
        <v>31</v>
      </c>
    </row>
    <row r="186" customFormat="false" ht="12.75" hidden="false" customHeight="true" outlineLevel="0" collapsed="false">
      <c r="AD186" s="46"/>
      <c r="AE186" s="46"/>
      <c r="AF186" s="46"/>
      <c r="AG186" s="46"/>
      <c r="AH186" s="46"/>
      <c r="AI186" s="46"/>
      <c r="DJ186" s="107"/>
      <c r="DM186" s="130" t="n">
        <v>42156</v>
      </c>
      <c r="DN186" s="22" t="n">
        <v>22</v>
      </c>
      <c r="DO186" s="22" t="n">
        <v>4</v>
      </c>
      <c r="DP186" s="22" t="n">
        <v>4</v>
      </c>
      <c r="DQ186" s="22" t="n">
        <v>0</v>
      </c>
      <c r="DR186" s="22" t="n">
        <v>30</v>
      </c>
      <c r="DU186" s="130" t="n">
        <v>42156</v>
      </c>
      <c r="DV186" s="22" t="n">
        <v>22</v>
      </c>
      <c r="DW186" s="22" t="n">
        <v>4</v>
      </c>
      <c r="DX186" s="22" t="n">
        <v>4</v>
      </c>
      <c r="DY186" s="22" t="n">
        <v>0</v>
      </c>
      <c r="DZ186" s="22" t="n">
        <v>30</v>
      </c>
    </row>
    <row r="187" customFormat="false" ht="12.75" hidden="false" customHeight="true" outlineLevel="0" collapsed="false">
      <c r="AD187" s="46"/>
      <c r="AE187" s="46"/>
      <c r="AF187" s="46"/>
      <c r="AG187" s="46"/>
      <c r="AH187" s="46"/>
      <c r="AI187" s="46"/>
      <c r="DJ187" s="107"/>
      <c r="DM187" s="130" t="n">
        <v>42186</v>
      </c>
      <c r="DN187" s="22" t="n">
        <v>22</v>
      </c>
      <c r="DO187" s="22" t="n">
        <v>4</v>
      </c>
      <c r="DP187" s="22" t="n">
        <v>4</v>
      </c>
      <c r="DQ187" s="22" t="n">
        <v>1</v>
      </c>
      <c r="DR187" s="22" t="n">
        <v>31</v>
      </c>
      <c r="DU187" s="130" t="n">
        <v>42186</v>
      </c>
      <c r="DV187" s="22" t="n">
        <v>23</v>
      </c>
      <c r="DW187" s="22" t="n">
        <v>3</v>
      </c>
      <c r="DX187" s="22" t="n">
        <v>4</v>
      </c>
      <c r="DY187" s="22" t="n">
        <v>1</v>
      </c>
      <c r="DZ187" s="22" t="n">
        <v>31</v>
      </c>
    </row>
    <row r="188" customFormat="false" ht="12.75" hidden="false" customHeight="true" outlineLevel="0" collapsed="false">
      <c r="AD188" s="46"/>
      <c r="AE188" s="46"/>
      <c r="AF188" s="46"/>
      <c r="AG188" s="46"/>
      <c r="AH188" s="46"/>
      <c r="AI188" s="46"/>
      <c r="DJ188" s="107"/>
      <c r="DM188" s="130" t="n">
        <v>42217</v>
      </c>
      <c r="DN188" s="22" t="n">
        <v>20</v>
      </c>
      <c r="DO188" s="22" t="n">
        <v>5</v>
      </c>
      <c r="DP188" s="22" t="n">
        <v>5</v>
      </c>
      <c r="DQ188" s="22" t="n">
        <v>1</v>
      </c>
      <c r="DR188" s="22" t="n">
        <v>31</v>
      </c>
      <c r="DU188" s="130" t="n">
        <v>42217</v>
      </c>
      <c r="DV188" s="22" t="n">
        <v>21</v>
      </c>
      <c r="DW188" s="22" t="n">
        <v>5</v>
      </c>
      <c r="DX188" s="22" t="n">
        <v>5</v>
      </c>
      <c r="DY188" s="22" t="n">
        <v>0</v>
      </c>
      <c r="DZ188" s="22" t="n">
        <v>31</v>
      </c>
    </row>
    <row r="189" customFormat="false" ht="12.75" hidden="false" customHeight="true" outlineLevel="0" collapsed="false">
      <c r="AD189" s="46"/>
      <c r="AE189" s="46"/>
      <c r="AF189" s="46"/>
      <c r="AG189" s="46"/>
      <c r="AH189" s="46"/>
      <c r="AI189" s="46"/>
      <c r="DJ189" s="107"/>
      <c r="DM189" s="130" t="n">
        <v>42248</v>
      </c>
      <c r="DN189" s="22" t="n">
        <v>21</v>
      </c>
      <c r="DO189" s="22" t="n">
        <v>4</v>
      </c>
      <c r="DP189" s="22" t="n">
        <v>4</v>
      </c>
      <c r="DQ189" s="22" t="n">
        <v>1</v>
      </c>
      <c r="DR189" s="22" t="n">
        <v>30</v>
      </c>
      <c r="DU189" s="130" t="n">
        <v>42248</v>
      </c>
      <c r="DV189" s="22" t="n">
        <v>21</v>
      </c>
      <c r="DW189" s="22" t="n">
        <v>4</v>
      </c>
      <c r="DX189" s="22" t="n">
        <v>4</v>
      </c>
      <c r="DY189" s="22" t="n">
        <v>1</v>
      </c>
      <c r="DZ189" s="22" t="n">
        <v>30</v>
      </c>
    </row>
    <row r="190" customFormat="false" ht="12.75" hidden="false" customHeight="true" outlineLevel="0" collapsed="false">
      <c r="AD190" s="46"/>
      <c r="AE190" s="46"/>
      <c r="AF190" s="46"/>
      <c r="AG190" s="46"/>
      <c r="AH190" s="46"/>
      <c r="AI190" s="46"/>
      <c r="DJ190" s="107"/>
      <c r="DM190" s="130" t="n">
        <v>42278</v>
      </c>
      <c r="DN190" s="22" t="n">
        <v>21</v>
      </c>
      <c r="DO190" s="22" t="n">
        <v>5</v>
      </c>
      <c r="DP190" s="22" t="n">
        <v>4</v>
      </c>
      <c r="DQ190" s="22" t="n">
        <v>1</v>
      </c>
      <c r="DR190" s="22" t="n">
        <v>31</v>
      </c>
      <c r="DU190" s="130" t="n">
        <v>42278</v>
      </c>
      <c r="DV190" s="22" t="n">
        <v>22</v>
      </c>
      <c r="DW190" s="22" t="n">
        <v>5</v>
      </c>
      <c r="DX190" s="22" t="n">
        <v>4</v>
      </c>
      <c r="DY190" s="22" t="n">
        <v>0</v>
      </c>
      <c r="DZ190" s="22" t="n">
        <v>31</v>
      </c>
    </row>
    <row r="191" customFormat="false" ht="12.75" hidden="false" customHeight="true" outlineLevel="0" collapsed="false">
      <c r="AD191" s="46"/>
      <c r="AE191" s="46"/>
      <c r="AF191" s="46"/>
      <c r="AG191" s="46"/>
      <c r="AH191" s="46"/>
      <c r="AI191" s="46"/>
      <c r="DJ191" s="107"/>
      <c r="DM191" s="130" t="n">
        <v>42309</v>
      </c>
      <c r="DN191" s="22" t="n">
        <v>20</v>
      </c>
      <c r="DO191" s="22" t="n">
        <v>4</v>
      </c>
      <c r="DP191" s="22" t="n">
        <v>5</v>
      </c>
      <c r="DQ191" s="22" t="n">
        <v>1</v>
      </c>
      <c r="DR191" s="22" t="n">
        <v>30</v>
      </c>
      <c r="DU191" s="130" t="n">
        <v>42309</v>
      </c>
      <c r="DV191" s="22" t="n">
        <v>20</v>
      </c>
      <c r="DW191" s="22" t="n">
        <v>4</v>
      </c>
      <c r="DX191" s="22" t="n">
        <v>5</v>
      </c>
      <c r="DY191" s="22" t="n">
        <v>1</v>
      </c>
      <c r="DZ191" s="22" t="n">
        <v>30</v>
      </c>
    </row>
    <row r="192" customFormat="false" ht="12.75" hidden="false" customHeight="true" outlineLevel="0" collapsed="false">
      <c r="AD192" s="46"/>
      <c r="AE192" s="46"/>
      <c r="AF192" s="46"/>
      <c r="AG192" s="46"/>
      <c r="AH192" s="46"/>
      <c r="AI192" s="46"/>
      <c r="DJ192" s="107"/>
      <c r="DM192" s="130" t="n">
        <v>42339</v>
      </c>
      <c r="DN192" s="22" t="n">
        <v>21</v>
      </c>
      <c r="DO192" s="22" t="n">
        <v>4</v>
      </c>
      <c r="DP192" s="22" t="n">
        <v>4</v>
      </c>
      <c r="DQ192" s="22" t="n">
        <v>2</v>
      </c>
      <c r="DR192" s="22" t="n">
        <v>31</v>
      </c>
      <c r="DU192" s="130" t="n">
        <v>42339</v>
      </c>
      <c r="DV192" s="22" t="n">
        <v>22</v>
      </c>
      <c r="DW192" s="22" t="n">
        <v>4</v>
      </c>
      <c r="DX192" s="22" t="n">
        <v>4</v>
      </c>
      <c r="DY192" s="22" t="n">
        <v>1</v>
      </c>
      <c r="DZ192" s="22" t="n">
        <v>31</v>
      </c>
    </row>
    <row r="193" customFormat="false" ht="12.75" hidden="false" customHeight="true" outlineLevel="0" collapsed="false">
      <c r="AD193" s="46"/>
      <c r="AE193" s="46"/>
      <c r="AF193" s="46"/>
      <c r="AG193" s="46"/>
      <c r="AH193" s="46"/>
      <c r="AI193" s="46"/>
      <c r="DJ193" s="107"/>
      <c r="DM193" s="130" t="n">
        <v>42370</v>
      </c>
      <c r="DN193" s="22" t="n">
        <v>20</v>
      </c>
      <c r="DO193" s="22" t="n">
        <v>5</v>
      </c>
      <c r="DP193" s="22" t="n">
        <v>5</v>
      </c>
      <c r="DQ193" s="22" t="n">
        <v>1</v>
      </c>
      <c r="DR193" s="22" t="n">
        <v>31</v>
      </c>
      <c r="DU193" s="130" t="n">
        <v>42370</v>
      </c>
      <c r="DV193" s="22" t="n">
        <v>20</v>
      </c>
      <c r="DW193" s="22" t="n">
        <v>5</v>
      </c>
      <c r="DX193" s="22" t="n">
        <v>5</v>
      </c>
      <c r="DY193" s="22" t="n">
        <v>1</v>
      </c>
      <c r="DZ193" s="22" t="n">
        <v>31</v>
      </c>
    </row>
    <row r="194" customFormat="false" ht="12.75" hidden="false" customHeight="true" outlineLevel="0" collapsed="false">
      <c r="AD194" s="46"/>
      <c r="AE194" s="46"/>
      <c r="AF194" s="46"/>
      <c r="AG194" s="46"/>
      <c r="AH194" s="46"/>
      <c r="AI194" s="46"/>
      <c r="DJ194" s="107"/>
      <c r="DM194" s="130" t="n">
        <v>42401</v>
      </c>
      <c r="DN194" s="22" t="n">
        <v>20</v>
      </c>
      <c r="DO194" s="22" t="n">
        <v>4</v>
      </c>
      <c r="DP194" s="22" t="n">
        <v>4</v>
      </c>
      <c r="DQ194" s="22" t="n">
        <v>1</v>
      </c>
      <c r="DR194" s="22" t="n">
        <v>29</v>
      </c>
      <c r="DU194" s="130" t="n">
        <v>42401</v>
      </c>
      <c r="DV194" s="22" t="n">
        <v>21</v>
      </c>
      <c r="DW194" s="22" t="n">
        <v>4</v>
      </c>
      <c r="DX194" s="22" t="n">
        <v>4</v>
      </c>
      <c r="DY194" s="22" t="n">
        <v>0</v>
      </c>
      <c r="DZ194" s="22" t="n">
        <v>29</v>
      </c>
    </row>
    <row r="195" customFormat="false" ht="12.75" hidden="false" customHeight="true" outlineLevel="0" collapsed="false">
      <c r="AD195" s="46"/>
      <c r="AE195" s="46"/>
      <c r="AF195" s="46"/>
      <c r="AG195" s="46"/>
      <c r="AH195" s="46"/>
      <c r="AI195" s="46"/>
      <c r="DJ195" s="107"/>
      <c r="DM195" s="130" t="n">
        <v>42430</v>
      </c>
      <c r="DN195" s="22" t="n">
        <v>22</v>
      </c>
      <c r="DO195" s="22" t="n">
        <v>4</v>
      </c>
      <c r="DP195" s="22" t="n">
        <v>4</v>
      </c>
      <c r="DQ195" s="22" t="n">
        <v>1</v>
      </c>
      <c r="DR195" s="22" t="n">
        <v>31</v>
      </c>
      <c r="DU195" s="130" t="n">
        <v>42430</v>
      </c>
      <c r="DV195" s="22" t="n">
        <v>23</v>
      </c>
      <c r="DW195" s="22" t="n">
        <v>4</v>
      </c>
      <c r="DX195" s="22" t="n">
        <v>4</v>
      </c>
      <c r="DY195" s="22" t="n">
        <v>0</v>
      </c>
      <c r="DZ195" s="22" t="n">
        <v>31</v>
      </c>
    </row>
    <row r="196" customFormat="false" ht="12.75" hidden="false" customHeight="true" outlineLevel="0" collapsed="false">
      <c r="AD196" s="46"/>
      <c r="AE196" s="46"/>
      <c r="AF196" s="46"/>
      <c r="AG196" s="46"/>
      <c r="AH196" s="46"/>
      <c r="AI196" s="46"/>
      <c r="DJ196" s="107"/>
      <c r="DM196" s="130" t="n">
        <v>42461</v>
      </c>
      <c r="DN196" s="22" t="n">
        <v>21</v>
      </c>
      <c r="DO196" s="22" t="n">
        <v>5</v>
      </c>
      <c r="DP196" s="22" t="n">
        <v>4</v>
      </c>
      <c r="DQ196" s="22" t="n">
        <v>0</v>
      </c>
      <c r="DR196" s="22" t="n">
        <v>30</v>
      </c>
      <c r="DU196" s="130" t="n">
        <v>42461</v>
      </c>
      <c r="DV196" s="22" t="n">
        <v>21</v>
      </c>
      <c r="DW196" s="22" t="n">
        <v>5</v>
      </c>
      <c r="DX196" s="22" t="n">
        <v>4</v>
      </c>
      <c r="DY196" s="22" t="n">
        <v>0</v>
      </c>
      <c r="DZ196" s="22" t="n">
        <v>30</v>
      </c>
    </row>
    <row r="197" customFormat="false" ht="12.75" hidden="false" customHeight="true" outlineLevel="0" collapsed="false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DJ197" s="107"/>
      <c r="DL197" s="22"/>
      <c r="DM197" s="130" t="n">
        <v>42491</v>
      </c>
      <c r="DN197" s="22" t="n">
        <v>21</v>
      </c>
      <c r="DO197" s="22" t="n">
        <v>4</v>
      </c>
      <c r="DP197" s="22" t="n">
        <v>5</v>
      </c>
      <c r="DQ197" s="1" t="n">
        <v>1</v>
      </c>
      <c r="DR197" s="1" t="n">
        <v>31</v>
      </c>
      <c r="DU197" s="130" t="n">
        <v>42491</v>
      </c>
      <c r="DV197" s="22" t="n">
        <v>21</v>
      </c>
      <c r="DW197" s="22" t="n">
        <v>4</v>
      </c>
      <c r="DX197" s="22" t="n">
        <v>5</v>
      </c>
      <c r="DY197" s="1" t="n">
        <v>1</v>
      </c>
      <c r="DZ197" s="1" t="n">
        <v>31</v>
      </c>
    </row>
    <row r="198" customFormat="false" ht="12.75" hidden="false" customHeight="true" outlineLevel="0" collapsed="false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DJ198" s="107"/>
      <c r="DL198" s="22"/>
      <c r="DM198" s="130" t="n">
        <v>42522</v>
      </c>
      <c r="DN198" s="22" t="n">
        <v>22</v>
      </c>
      <c r="DO198" s="22" t="n">
        <v>4</v>
      </c>
      <c r="DP198" s="22" t="n">
        <v>4</v>
      </c>
      <c r="DQ198" s="1" t="n">
        <v>0</v>
      </c>
      <c r="DR198" s="1" t="n">
        <v>30</v>
      </c>
      <c r="DU198" s="130" t="n">
        <v>42522</v>
      </c>
      <c r="DV198" s="22" t="n">
        <v>22</v>
      </c>
      <c r="DW198" s="22" t="n">
        <v>4</v>
      </c>
      <c r="DX198" s="22" t="n">
        <v>4</v>
      </c>
      <c r="DY198" s="1" t="n">
        <v>0</v>
      </c>
      <c r="DZ198" s="1" t="n">
        <v>30</v>
      </c>
    </row>
    <row r="199" customFormat="false" ht="12.75" hidden="false" customHeight="true" outlineLevel="0" collapsed="false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DJ199" s="107"/>
      <c r="DL199" s="22"/>
      <c r="DM199" s="130" t="n">
        <v>42552</v>
      </c>
      <c r="DN199" s="22" t="n">
        <v>20</v>
      </c>
      <c r="DO199" s="22" t="n">
        <v>5</v>
      </c>
      <c r="DP199" s="22" t="n">
        <v>5</v>
      </c>
      <c r="DQ199" s="1" t="n">
        <v>1</v>
      </c>
      <c r="DR199" s="1" t="n">
        <v>31</v>
      </c>
      <c r="DU199" s="130" t="n">
        <v>42552</v>
      </c>
      <c r="DV199" s="22" t="n">
        <v>20</v>
      </c>
      <c r="DW199" s="22" t="n">
        <v>5</v>
      </c>
      <c r="DX199" s="22" t="n">
        <v>5</v>
      </c>
      <c r="DY199" s="1" t="n">
        <v>1</v>
      </c>
      <c r="DZ199" s="1" t="n">
        <v>31</v>
      </c>
    </row>
    <row r="200" customFormat="false" ht="12.75" hidden="false" customHeight="true" outlineLevel="0" collapsed="false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DJ200" s="107"/>
      <c r="DL200" s="22"/>
      <c r="DM200" s="130" t="n">
        <v>42583</v>
      </c>
      <c r="DN200" s="22" t="n">
        <v>22</v>
      </c>
      <c r="DO200" s="22" t="n">
        <v>4</v>
      </c>
      <c r="DP200" s="22" t="n">
        <v>4</v>
      </c>
      <c r="DQ200" s="1" t="n">
        <v>1</v>
      </c>
      <c r="DR200" s="1" t="n">
        <v>31</v>
      </c>
      <c r="DU200" s="130" t="n">
        <v>42583</v>
      </c>
      <c r="DV200" s="22" t="n">
        <v>23</v>
      </c>
      <c r="DW200" s="22" t="n">
        <v>4</v>
      </c>
      <c r="DX200" s="22" t="n">
        <v>4</v>
      </c>
      <c r="DY200" s="1" t="n">
        <v>0</v>
      </c>
      <c r="DZ200" s="1" t="n">
        <v>31</v>
      </c>
    </row>
    <row r="201" customFormat="false" ht="12.75" hidden="false" customHeight="true" outlineLevel="0" collapsed="false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DJ201" s="107"/>
      <c r="DL201" s="22"/>
      <c r="DM201" s="130" t="n">
        <v>42614</v>
      </c>
      <c r="DN201" s="22" t="n">
        <v>21</v>
      </c>
      <c r="DO201" s="22" t="n">
        <v>4</v>
      </c>
      <c r="DP201" s="22" t="n">
        <v>4</v>
      </c>
      <c r="DQ201" s="1" t="n">
        <v>1</v>
      </c>
      <c r="DR201" s="1" t="n">
        <v>30</v>
      </c>
      <c r="DU201" s="130" t="n">
        <v>42614</v>
      </c>
      <c r="DV201" s="22" t="n">
        <v>21</v>
      </c>
      <c r="DW201" s="22" t="n">
        <v>4</v>
      </c>
      <c r="DX201" s="22" t="n">
        <v>4</v>
      </c>
      <c r="DY201" s="1" t="n">
        <v>1</v>
      </c>
      <c r="DZ201" s="1" t="n">
        <v>30</v>
      </c>
    </row>
    <row r="202" customFormat="false" ht="12.75" hidden="false" customHeight="true" outlineLevel="0" collapsed="false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DJ202" s="107"/>
      <c r="DL202" s="22"/>
      <c r="DM202" s="130" t="n">
        <v>42644</v>
      </c>
      <c r="DN202" s="22" t="n">
        <v>20</v>
      </c>
      <c r="DO202" s="22" t="n">
        <v>5</v>
      </c>
      <c r="DP202" s="22" t="n">
        <v>5</v>
      </c>
      <c r="DQ202" s="1" t="n">
        <v>1</v>
      </c>
      <c r="DR202" s="1" t="n">
        <v>31</v>
      </c>
      <c r="DU202" s="130" t="n">
        <v>42644</v>
      </c>
      <c r="DV202" s="22" t="n">
        <v>21</v>
      </c>
      <c r="DW202" s="22" t="n">
        <v>5</v>
      </c>
      <c r="DX202" s="22" t="n">
        <v>5</v>
      </c>
      <c r="DY202" s="1" t="n">
        <v>0</v>
      </c>
      <c r="DZ202" s="1" t="n">
        <v>31</v>
      </c>
    </row>
    <row r="203" customFormat="false" ht="12.75" hidden="false" customHeight="true" outlineLevel="0" collapsed="false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DJ203" s="107"/>
      <c r="DL203" s="22"/>
      <c r="DM203" s="130" t="n">
        <v>42675</v>
      </c>
      <c r="DN203" s="22" t="n">
        <v>21</v>
      </c>
      <c r="DO203" s="22" t="n">
        <v>4</v>
      </c>
      <c r="DP203" s="22" t="n">
        <v>4</v>
      </c>
      <c r="DQ203" s="1" t="n">
        <v>1</v>
      </c>
      <c r="DR203" s="1" t="n">
        <v>30</v>
      </c>
      <c r="DU203" s="130" t="n">
        <v>42675</v>
      </c>
      <c r="DV203" s="22" t="n">
        <v>21</v>
      </c>
      <c r="DW203" s="22" t="n">
        <v>4</v>
      </c>
      <c r="DX203" s="22" t="n">
        <v>4</v>
      </c>
      <c r="DY203" s="1" t="n">
        <v>1</v>
      </c>
      <c r="DZ203" s="1" t="n">
        <v>30</v>
      </c>
    </row>
    <row r="204" customFormat="false" ht="12.75" hidden="false" customHeight="true" outlineLevel="0" collapsed="false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DJ204" s="107"/>
      <c r="DL204" s="22"/>
      <c r="DM204" s="130" t="n">
        <v>42705</v>
      </c>
      <c r="DN204" s="22" t="n">
        <v>20</v>
      </c>
      <c r="DO204" s="22" t="n">
        <v>5</v>
      </c>
      <c r="DP204" s="22" t="n">
        <v>4</v>
      </c>
      <c r="DQ204" s="1" t="n">
        <v>2</v>
      </c>
      <c r="DR204" s="1" t="n">
        <v>31</v>
      </c>
      <c r="DU204" s="130" t="n">
        <v>42705</v>
      </c>
      <c r="DV204" s="22" t="n">
        <v>21</v>
      </c>
      <c r="DW204" s="22" t="n">
        <v>5</v>
      </c>
      <c r="DX204" s="22" t="n">
        <v>4</v>
      </c>
      <c r="DY204" s="1" t="n">
        <v>1</v>
      </c>
      <c r="DZ204" s="1" t="n">
        <v>31</v>
      </c>
    </row>
    <row r="205" customFormat="false" ht="12.75" hidden="false" customHeight="true" outlineLevel="0" collapsed="false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DJ205" s="107"/>
      <c r="DL205" s="22"/>
      <c r="DM205" s="130" t="n">
        <v>42736</v>
      </c>
      <c r="DN205" s="22" t="n">
        <v>21</v>
      </c>
      <c r="DO205" s="22" t="n">
        <v>4</v>
      </c>
      <c r="DP205" s="22" t="n">
        <v>5</v>
      </c>
      <c r="DQ205" s="1" t="n">
        <v>1</v>
      </c>
      <c r="DR205" s="1" t="n">
        <v>31</v>
      </c>
      <c r="DU205" s="130" t="n">
        <v>42736</v>
      </c>
      <c r="DV205" s="22" t="n">
        <v>21</v>
      </c>
      <c r="DW205" s="22" t="n">
        <v>4</v>
      </c>
      <c r="DX205" s="22" t="n">
        <v>5</v>
      </c>
      <c r="DY205" s="1" t="n">
        <v>1</v>
      </c>
      <c r="DZ205" s="1" t="n">
        <v>31</v>
      </c>
    </row>
    <row r="206" customFormat="false" ht="12.75" hidden="false" customHeight="true" outlineLevel="0" collapsed="false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DJ206" s="107"/>
      <c r="DL206" s="22"/>
      <c r="DM206" s="130" t="n">
        <v>42767</v>
      </c>
      <c r="DN206" s="22" t="n">
        <v>19</v>
      </c>
      <c r="DO206" s="22" t="n">
        <v>4</v>
      </c>
      <c r="DP206" s="22" t="n">
        <v>4</v>
      </c>
      <c r="DQ206" s="1" t="n">
        <v>1</v>
      </c>
      <c r="DR206" s="1" t="n">
        <v>28</v>
      </c>
      <c r="DU206" s="130" t="n">
        <v>42767</v>
      </c>
      <c r="DV206" s="22" t="n">
        <v>20</v>
      </c>
      <c r="DW206" s="22" t="n">
        <v>4</v>
      </c>
      <c r="DX206" s="22" t="n">
        <v>4</v>
      </c>
      <c r="DY206" s="1" t="n">
        <v>0</v>
      </c>
      <c r="DZ206" s="1" t="n">
        <v>28</v>
      </c>
    </row>
    <row r="207" customFormat="false" ht="12.75" hidden="false" customHeight="true" outlineLevel="0" collapsed="false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DJ207" s="107"/>
      <c r="DL207" s="22"/>
      <c r="DM207" s="130" t="n">
        <v>42795</v>
      </c>
      <c r="DN207" s="22" t="n">
        <v>23</v>
      </c>
      <c r="DO207" s="22" t="n">
        <v>4</v>
      </c>
      <c r="DP207" s="22" t="n">
        <v>4</v>
      </c>
      <c r="DQ207" s="1" t="n">
        <v>0</v>
      </c>
      <c r="DR207" s="1" t="n">
        <v>31</v>
      </c>
      <c r="DU207" s="130" t="n">
        <v>42795</v>
      </c>
      <c r="DV207" s="22" t="n">
        <v>23</v>
      </c>
      <c r="DW207" s="22" t="n">
        <v>4</v>
      </c>
      <c r="DX207" s="22" t="n">
        <v>4</v>
      </c>
      <c r="DY207" s="1" t="n">
        <v>0</v>
      </c>
      <c r="DZ207" s="1" t="n">
        <v>31</v>
      </c>
    </row>
    <row r="208" customFormat="false" ht="12.75" hidden="false" customHeight="true" outlineLevel="0" collapsed="false">
      <c r="DJ208" s="107"/>
      <c r="DL208" s="22"/>
      <c r="DM208" s="130" t="n">
        <v>42826</v>
      </c>
      <c r="DN208" s="22" t="n">
        <v>19</v>
      </c>
      <c r="DO208" s="22" t="n">
        <v>5</v>
      </c>
      <c r="DP208" s="22" t="n">
        <v>5</v>
      </c>
      <c r="DQ208" s="1" t="n">
        <v>1</v>
      </c>
      <c r="DR208" s="1" t="n">
        <v>30</v>
      </c>
      <c r="DU208" s="130" t="n">
        <v>42826</v>
      </c>
      <c r="DV208" s="22" t="n">
        <v>20</v>
      </c>
      <c r="DW208" s="22" t="n">
        <v>5</v>
      </c>
      <c r="DX208" s="22" t="n">
        <v>5</v>
      </c>
      <c r="DY208" s="1" t="n">
        <v>0</v>
      </c>
      <c r="DZ208" s="1" t="n">
        <v>30</v>
      </c>
    </row>
    <row r="209" customFormat="false" ht="12.75" hidden="false" customHeight="true" outlineLevel="0" collapsed="false">
      <c r="DJ209" s="107"/>
      <c r="DL209" s="22"/>
      <c r="DM209" s="130" t="n">
        <v>42856</v>
      </c>
      <c r="DN209" s="22" t="n">
        <v>22</v>
      </c>
      <c r="DO209" s="22" t="n">
        <v>4</v>
      </c>
      <c r="DP209" s="22" t="n">
        <v>4</v>
      </c>
      <c r="DQ209" s="1" t="n">
        <v>1</v>
      </c>
      <c r="DR209" s="1" t="n">
        <v>31</v>
      </c>
      <c r="DU209" s="130" t="n">
        <v>42856</v>
      </c>
      <c r="DV209" s="22" t="n">
        <v>22</v>
      </c>
      <c r="DW209" s="22" t="n">
        <v>4</v>
      </c>
      <c r="DX209" s="22" t="n">
        <v>4</v>
      </c>
      <c r="DY209" s="1" t="n">
        <v>1</v>
      </c>
      <c r="DZ209" s="1" t="n">
        <v>31</v>
      </c>
    </row>
    <row r="210" customFormat="false" ht="12.75" hidden="false" customHeight="true" outlineLevel="0" collapsed="false">
      <c r="DJ210" s="107"/>
      <c r="DL210" s="22"/>
      <c r="DM210" s="130" t="n">
        <v>42887</v>
      </c>
      <c r="DN210" s="22" t="n">
        <v>22</v>
      </c>
      <c r="DO210" s="22" t="n">
        <v>4</v>
      </c>
      <c r="DP210" s="22" t="n">
        <v>4</v>
      </c>
      <c r="DQ210" s="1" t="n">
        <v>0</v>
      </c>
      <c r="DR210" s="1" t="n">
        <v>30</v>
      </c>
      <c r="DU210" s="130" t="n">
        <v>42887</v>
      </c>
      <c r="DV210" s="22" t="n">
        <v>22</v>
      </c>
      <c r="DW210" s="22" t="n">
        <v>4</v>
      </c>
      <c r="DX210" s="22" t="n">
        <v>4</v>
      </c>
      <c r="DY210" s="1" t="n">
        <v>0</v>
      </c>
      <c r="DZ210" s="1" t="n">
        <v>30</v>
      </c>
    </row>
    <row r="211" customFormat="false" ht="12.75" hidden="false" customHeight="true" outlineLevel="0" collapsed="false">
      <c r="DJ211" s="107"/>
      <c r="DL211" s="22"/>
      <c r="DM211" s="130" t="n">
        <v>42917</v>
      </c>
      <c r="DN211" s="22" t="n">
        <v>21</v>
      </c>
      <c r="DO211" s="22" t="n">
        <v>4</v>
      </c>
      <c r="DP211" s="22" t="n">
        <v>5</v>
      </c>
      <c r="DQ211" s="1" t="n">
        <v>1</v>
      </c>
      <c r="DR211" s="1" t="n">
        <v>31</v>
      </c>
      <c r="DU211" s="130" t="n">
        <v>42917</v>
      </c>
      <c r="DV211" s="22" t="n">
        <v>20</v>
      </c>
      <c r="DW211" s="22" t="n">
        <v>5</v>
      </c>
      <c r="DX211" s="22" t="n">
        <v>5</v>
      </c>
      <c r="DY211" s="1" t="n">
        <v>1</v>
      </c>
      <c r="DZ211" s="1" t="n">
        <v>31</v>
      </c>
    </row>
    <row r="212" customFormat="false" ht="12.75" hidden="false" customHeight="true" outlineLevel="0" collapsed="false">
      <c r="DJ212" s="107"/>
      <c r="DL212" s="22"/>
      <c r="DM212" s="130" t="n">
        <v>42948</v>
      </c>
      <c r="DN212" s="22" t="n">
        <v>22</v>
      </c>
      <c r="DO212" s="22" t="n">
        <v>4</v>
      </c>
      <c r="DP212" s="22" t="n">
        <v>4</v>
      </c>
      <c r="DQ212" s="1" t="n">
        <v>1</v>
      </c>
      <c r="DR212" s="1" t="n">
        <v>31</v>
      </c>
      <c r="DU212" s="130" t="n">
        <v>42948</v>
      </c>
      <c r="DV212" s="22" t="n">
        <v>23</v>
      </c>
      <c r="DW212" s="22" t="n">
        <v>4</v>
      </c>
      <c r="DX212" s="22" t="n">
        <v>4</v>
      </c>
      <c r="DY212" s="1" t="n">
        <v>0</v>
      </c>
      <c r="DZ212" s="1" t="n">
        <v>31</v>
      </c>
    </row>
    <row r="213" customFormat="false" ht="12.75" hidden="false" customHeight="true" outlineLevel="0" collapsed="false">
      <c r="DJ213" s="107"/>
      <c r="DL213" s="22"/>
      <c r="DM213" s="130" t="n">
        <v>42979</v>
      </c>
      <c r="DN213" s="22" t="n">
        <v>20</v>
      </c>
      <c r="DO213" s="22" t="n">
        <v>5</v>
      </c>
      <c r="DP213" s="22" t="n">
        <v>4</v>
      </c>
      <c r="DQ213" s="1" t="n">
        <v>1</v>
      </c>
      <c r="DR213" s="1" t="n">
        <v>30</v>
      </c>
      <c r="DU213" s="130" t="n">
        <v>42979</v>
      </c>
      <c r="DV213" s="22" t="n">
        <v>20</v>
      </c>
      <c r="DW213" s="22" t="n">
        <v>5</v>
      </c>
      <c r="DX213" s="22" t="n">
        <v>4</v>
      </c>
      <c r="DY213" s="1" t="n">
        <v>1</v>
      </c>
      <c r="DZ213" s="1" t="n">
        <v>30</v>
      </c>
    </row>
    <row r="214" customFormat="false" ht="12.75" hidden="false" customHeight="true" outlineLevel="0" collapsed="false">
      <c r="DJ214" s="107"/>
      <c r="DL214" s="22"/>
      <c r="DM214" s="130" t="n">
        <v>43009</v>
      </c>
      <c r="DN214" s="22" t="n">
        <v>21</v>
      </c>
      <c r="DO214" s="22" t="n">
        <v>4</v>
      </c>
      <c r="DP214" s="22" t="n">
        <v>5</v>
      </c>
      <c r="DQ214" s="1" t="n">
        <v>1</v>
      </c>
      <c r="DR214" s="1" t="n">
        <v>31</v>
      </c>
      <c r="DU214" s="130" t="n">
        <v>43009</v>
      </c>
      <c r="DV214" s="22" t="n">
        <v>22</v>
      </c>
      <c r="DW214" s="22" t="n">
        <v>4</v>
      </c>
      <c r="DX214" s="22" t="n">
        <v>5</v>
      </c>
      <c r="DY214" s="1" t="n">
        <v>0</v>
      </c>
      <c r="DZ214" s="1" t="n">
        <v>31</v>
      </c>
    </row>
    <row r="215" customFormat="false" ht="12.75" hidden="false" customHeight="true" outlineLevel="0" collapsed="false">
      <c r="DJ215" s="107"/>
      <c r="DL215" s="22"/>
      <c r="DM215" s="130" t="n">
        <v>43040</v>
      </c>
      <c r="DN215" s="22" t="n">
        <v>22</v>
      </c>
      <c r="DO215" s="22" t="n">
        <v>3</v>
      </c>
      <c r="DP215" s="22" t="n">
        <v>4</v>
      </c>
      <c r="DQ215" s="1" t="n">
        <v>1</v>
      </c>
      <c r="DR215" s="1" t="n">
        <v>30</v>
      </c>
      <c r="DU215" s="130" t="n">
        <v>43040</v>
      </c>
      <c r="DV215" s="22" t="n">
        <v>21</v>
      </c>
      <c r="DW215" s="22" t="n">
        <v>4</v>
      </c>
      <c r="DX215" s="22" t="n">
        <v>4</v>
      </c>
      <c r="DY215" s="1" t="n">
        <v>1</v>
      </c>
      <c r="DZ215" s="1" t="n">
        <v>30</v>
      </c>
    </row>
    <row r="216" customFormat="false" ht="12.75" hidden="false" customHeight="true" outlineLevel="0" collapsed="false">
      <c r="DJ216" s="107"/>
      <c r="DL216" s="22"/>
      <c r="DM216" s="130" t="n">
        <v>43070</v>
      </c>
      <c r="DN216" s="22" t="n">
        <v>19</v>
      </c>
      <c r="DO216" s="22" t="n">
        <v>5</v>
      </c>
      <c r="DP216" s="22" t="n">
        <v>5</v>
      </c>
      <c r="DQ216" s="1" t="n">
        <v>2</v>
      </c>
      <c r="DR216" s="1" t="n">
        <v>31</v>
      </c>
      <c r="DU216" s="130" t="n">
        <v>43070</v>
      </c>
      <c r="DV216" s="22" t="n">
        <v>20</v>
      </c>
      <c r="DW216" s="22" t="n">
        <v>5</v>
      </c>
      <c r="DX216" s="22" t="n">
        <v>5</v>
      </c>
      <c r="DY216" s="1" t="n">
        <v>1</v>
      </c>
      <c r="DZ216" s="1" t="n">
        <v>31</v>
      </c>
    </row>
    <row r="217" customFormat="false" ht="12.75" hidden="false" customHeight="true" outlineLevel="0" collapsed="false">
      <c r="DJ217" s="107"/>
      <c r="DL217" s="22"/>
      <c r="DM217" s="130" t="n">
        <v>43101</v>
      </c>
      <c r="DN217" s="22" t="n">
        <v>22</v>
      </c>
      <c r="DO217" s="22" t="n">
        <v>4</v>
      </c>
      <c r="DP217" s="22" t="n">
        <v>4</v>
      </c>
      <c r="DQ217" s="1" t="n">
        <v>1</v>
      </c>
      <c r="DR217" s="1" t="n">
        <v>31</v>
      </c>
      <c r="DU217" s="130" t="n">
        <v>43101</v>
      </c>
      <c r="DV217" s="22" t="n">
        <v>22</v>
      </c>
      <c r="DW217" s="22" t="n">
        <v>4</v>
      </c>
      <c r="DX217" s="22" t="n">
        <v>4</v>
      </c>
      <c r="DY217" s="1" t="n">
        <v>1</v>
      </c>
      <c r="DZ217" s="1" t="n">
        <v>31</v>
      </c>
    </row>
    <row r="218" customFormat="false" ht="12.75" hidden="false" customHeight="true" outlineLevel="0" collapsed="false">
      <c r="DJ218" s="107"/>
      <c r="DL218" s="22"/>
      <c r="DM218" s="130" t="n">
        <v>43132</v>
      </c>
      <c r="DN218" s="22" t="n">
        <v>19</v>
      </c>
      <c r="DO218" s="22" t="n">
        <v>4</v>
      </c>
      <c r="DP218" s="22" t="n">
        <v>4</v>
      </c>
      <c r="DQ218" s="1" t="n">
        <v>1</v>
      </c>
      <c r="DR218" s="1" t="n">
        <v>28</v>
      </c>
      <c r="DU218" s="130" t="n">
        <v>43132</v>
      </c>
      <c r="DV218" s="22" t="n">
        <v>20</v>
      </c>
      <c r="DW218" s="22" t="n">
        <v>4</v>
      </c>
      <c r="DX218" s="22" t="n">
        <v>4</v>
      </c>
      <c r="DY218" s="1" t="n">
        <v>0</v>
      </c>
      <c r="DZ218" s="1" t="n">
        <v>28</v>
      </c>
    </row>
    <row r="219" customFormat="false" ht="12.75" hidden="false" customHeight="true" outlineLevel="0" collapsed="false">
      <c r="DJ219" s="107"/>
      <c r="DL219" s="22"/>
      <c r="DM219" s="130" t="n">
        <v>43160</v>
      </c>
      <c r="DN219" s="22" t="n">
        <v>21</v>
      </c>
      <c r="DO219" s="22" t="n">
        <v>5</v>
      </c>
      <c r="DP219" s="22" t="n">
        <v>4</v>
      </c>
      <c r="DQ219" s="1" t="n">
        <v>1</v>
      </c>
      <c r="DR219" s="1" t="n">
        <v>31</v>
      </c>
      <c r="DU219" s="130" t="n">
        <v>43160</v>
      </c>
      <c r="DV219" s="22" t="n">
        <v>22</v>
      </c>
      <c r="DW219" s="22" t="n">
        <v>5</v>
      </c>
      <c r="DX219" s="22" t="n">
        <v>4</v>
      </c>
      <c r="DY219" s="1" t="n">
        <v>0</v>
      </c>
      <c r="DZ219" s="1" t="n">
        <v>31</v>
      </c>
    </row>
    <row r="220" customFormat="false" ht="12.75" hidden="false" customHeight="true" outlineLevel="0" collapsed="false">
      <c r="DJ220" s="107"/>
      <c r="DL220" s="22"/>
      <c r="DM220" s="130" t="n">
        <v>43191</v>
      </c>
      <c r="DN220" s="22" t="n">
        <v>21</v>
      </c>
      <c r="DO220" s="22" t="n">
        <v>4</v>
      </c>
      <c r="DP220" s="22" t="n">
        <v>5</v>
      </c>
      <c r="DQ220" s="1" t="n">
        <v>0</v>
      </c>
      <c r="DR220" s="1" t="n">
        <v>30</v>
      </c>
      <c r="DU220" s="130" t="n">
        <v>43191</v>
      </c>
      <c r="DV220" s="22" t="n">
        <v>21</v>
      </c>
      <c r="DW220" s="22" t="n">
        <v>4</v>
      </c>
      <c r="DX220" s="22" t="n">
        <v>5</v>
      </c>
      <c r="DY220" s="1" t="n">
        <v>0</v>
      </c>
      <c r="DZ220" s="1" t="n">
        <v>30</v>
      </c>
    </row>
    <row r="221" customFormat="false" ht="12.75" hidden="false" customHeight="true" outlineLevel="0" collapsed="false">
      <c r="DJ221" s="107"/>
      <c r="DL221" s="22"/>
      <c r="DM221" s="130" t="n">
        <v>43221</v>
      </c>
      <c r="DN221" s="22" t="n">
        <v>22</v>
      </c>
      <c r="DO221" s="22" t="n">
        <v>4</v>
      </c>
      <c r="DP221" s="22" t="n">
        <v>4</v>
      </c>
      <c r="DQ221" s="1" t="n">
        <v>1</v>
      </c>
      <c r="DR221" s="1" t="n">
        <v>31</v>
      </c>
      <c r="DU221" s="130" t="n">
        <v>43221</v>
      </c>
      <c r="DV221" s="22" t="n">
        <v>22</v>
      </c>
      <c r="DW221" s="22" t="n">
        <v>4</v>
      </c>
      <c r="DX221" s="22" t="n">
        <v>4</v>
      </c>
      <c r="DY221" s="1" t="n">
        <v>1</v>
      </c>
      <c r="DZ221" s="1" t="n">
        <v>31</v>
      </c>
    </row>
    <row r="222" customFormat="false" ht="12.75" hidden="false" customHeight="true" outlineLevel="0" collapsed="false">
      <c r="DJ222" s="107"/>
      <c r="DL222" s="22"/>
      <c r="DM222" s="130" t="n">
        <v>43252</v>
      </c>
      <c r="DN222" s="22" t="n">
        <v>21</v>
      </c>
      <c r="DO222" s="22" t="n">
        <v>5</v>
      </c>
      <c r="DP222" s="22" t="n">
        <v>4</v>
      </c>
      <c r="DQ222" s="1" t="n">
        <v>0</v>
      </c>
      <c r="DR222" s="1" t="n">
        <v>30</v>
      </c>
      <c r="DU222" s="130" t="n">
        <v>43252</v>
      </c>
      <c r="DV222" s="22" t="n">
        <v>21</v>
      </c>
      <c r="DW222" s="22" t="n">
        <v>5</v>
      </c>
      <c r="DX222" s="22" t="n">
        <v>4</v>
      </c>
      <c r="DY222" s="1" t="n">
        <v>0</v>
      </c>
      <c r="DZ222" s="1" t="n">
        <v>30</v>
      </c>
    </row>
    <row r="223" customFormat="false" ht="12.75" hidden="false" customHeight="true" outlineLevel="0" collapsed="false">
      <c r="DJ223" s="107"/>
      <c r="DL223" s="22"/>
      <c r="DM223" s="130" t="n">
        <v>43282</v>
      </c>
      <c r="DN223" s="22" t="n">
        <v>21</v>
      </c>
      <c r="DO223" s="22" t="n">
        <v>4</v>
      </c>
      <c r="DP223" s="22" t="n">
        <v>5</v>
      </c>
      <c r="DQ223" s="1" t="n">
        <v>1</v>
      </c>
      <c r="DR223" s="1" t="n">
        <v>31</v>
      </c>
      <c r="DU223" s="130" t="n">
        <v>43282</v>
      </c>
      <c r="DV223" s="22" t="n">
        <v>21</v>
      </c>
      <c r="DW223" s="22" t="n">
        <v>4</v>
      </c>
      <c r="DX223" s="22" t="n">
        <v>5</v>
      </c>
      <c r="DY223" s="1" t="n">
        <v>1</v>
      </c>
      <c r="DZ223" s="1" t="n">
        <v>31</v>
      </c>
    </row>
    <row r="224" customFormat="false" ht="12.75" hidden="false" customHeight="true" outlineLevel="0" collapsed="false">
      <c r="DJ224" s="107"/>
      <c r="DL224" s="22"/>
      <c r="DM224" s="130" t="n">
        <v>43313</v>
      </c>
      <c r="DN224" s="22" t="n">
        <v>22</v>
      </c>
      <c r="DO224" s="22" t="n">
        <v>4</v>
      </c>
      <c r="DP224" s="22" t="n">
        <v>4</v>
      </c>
      <c r="DQ224" s="1" t="n">
        <v>1</v>
      </c>
      <c r="DR224" s="1" t="n">
        <v>31</v>
      </c>
      <c r="DU224" s="130" t="n">
        <v>43313</v>
      </c>
      <c r="DV224" s="22" t="n">
        <v>23</v>
      </c>
      <c r="DW224" s="22" t="n">
        <v>4</v>
      </c>
      <c r="DX224" s="22" t="n">
        <v>4</v>
      </c>
      <c r="DY224" s="1" t="n">
        <v>0</v>
      </c>
      <c r="DZ224" s="1" t="n">
        <v>31</v>
      </c>
    </row>
    <row r="225" customFormat="false" ht="12.75" hidden="false" customHeight="true" outlineLevel="0" collapsed="false">
      <c r="DJ225" s="107"/>
      <c r="DL225" s="22"/>
      <c r="DM225" s="130" t="n">
        <v>43344</v>
      </c>
      <c r="DN225" s="22" t="n">
        <v>19</v>
      </c>
      <c r="DO225" s="22" t="n">
        <v>5</v>
      </c>
      <c r="DP225" s="22" t="n">
        <v>5</v>
      </c>
      <c r="DQ225" s="1" t="n">
        <v>1</v>
      </c>
      <c r="DR225" s="1" t="n">
        <v>30</v>
      </c>
      <c r="DU225" s="130" t="n">
        <v>43344</v>
      </c>
      <c r="DV225" s="22" t="n">
        <v>19</v>
      </c>
      <c r="DW225" s="22" t="n">
        <v>5</v>
      </c>
      <c r="DX225" s="22" t="n">
        <v>5</v>
      </c>
      <c r="DY225" s="1" t="n">
        <v>1</v>
      </c>
      <c r="DZ225" s="1" t="n">
        <v>30</v>
      </c>
    </row>
    <row r="226" customFormat="false" ht="12.75" hidden="false" customHeight="true" outlineLevel="0" collapsed="false">
      <c r="DJ226" s="107"/>
      <c r="DL226" s="22"/>
      <c r="DM226" s="130" t="n">
        <v>43374</v>
      </c>
      <c r="DN226" s="22" t="n">
        <v>22</v>
      </c>
      <c r="DO226" s="22" t="n">
        <v>4</v>
      </c>
      <c r="DP226" s="22" t="n">
        <v>4</v>
      </c>
      <c r="DQ226" s="1" t="n">
        <v>1</v>
      </c>
      <c r="DR226" s="1" t="n">
        <v>31</v>
      </c>
      <c r="DU226" s="130" t="n">
        <v>43374</v>
      </c>
      <c r="DV226" s="22" t="n">
        <v>23</v>
      </c>
      <c r="DW226" s="22" t="n">
        <v>4</v>
      </c>
      <c r="DX226" s="22" t="n">
        <v>4</v>
      </c>
      <c r="DY226" s="1" t="n">
        <v>0</v>
      </c>
      <c r="DZ226" s="1" t="n">
        <v>31</v>
      </c>
    </row>
    <row r="227" customFormat="false" ht="12.75" hidden="false" customHeight="true" outlineLevel="0" collapsed="false">
      <c r="DJ227" s="107"/>
      <c r="DL227" s="22"/>
      <c r="DM227" s="130" t="n">
        <v>43405</v>
      </c>
      <c r="DN227" s="22" t="n">
        <v>21</v>
      </c>
      <c r="DO227" s="22" t="n">
        <v>4</v>
      </c>
      <c r="DP227" s="22" t="n">
        <v>4</v>
      </c>
      <c r="DQ227" s="1" t="n">
        <v>1</v>
      </c>
      <c r="DR227" s="1" t="n">
        <v>30</v>
      </c>
      <c r="DU227" s="130" t="n">
        <v>43405</v>
      </c>
      <c r="DV227" s="22" t="n">
        <v>21</v>
      </c>
      <c r="DW227" s="22" t="n">
        <v>4</v>
      </c>
      <c r="DX227" s="22" t="n">
        <v>4</v>
      </c>
      <c r="DY227" s="1" t="n">
        <v>1</v>
      </c>
      <c r="DZ227" s="1" t="n">
        <v>30</v>
      </c>
    </row>
    <row r="228" customFormat="false" ht="12.75" hidden="false" customHeight="true" outlineLevel="0" collapsed="false">
      <c r="DJ228" s="107"/>
      <c r="DL228" s="22"/>
      <c r="DM228" s="130" t="n">
        <v>43435</v>
      </c>
      <c r="DN228" s="22" t="n">
        <v>19</v>
      </c>
      <c r="DO228" s="22" t="n">
        <v>5</v>
      </c>
      <c r="DP228" s="22" t="n">
        <v>5</v>
      </c>
      <c r="DQ228" s="1" t="n">
        <v>2</v>
      </c>
      <c r="DR228" s="1" t="n">
        <v>31</v>
      </c>
      <c r="DU228" s="130" t="n">
        <v>43435</v>
      </c>
      <c r="DV228" s="22" t="n">
        <v>20</v>
      </c>
      <c r="DW228" s="22" t="n">
        <v>5</v>
      </c>
      <c r="DX228" s="22" t="n">
        <v>5</v>
      </c>
      <c r="DY228" s="1" t="n">
        <v>1</v>
      </c>
      <c r="DZ228" s="1" t="n">
        <v>31</v>
      </c>
    </row>
    <row r="229" customFormat="false" ht="12.75" hidden="false" customHeight="true" outlineLevel="0" collapsed="false">
      <c r="DJ229" s="107"/>
      <c r="DL229" s="22"/>
      <c r="DM229" s="130" t="n">
        <v>43466</v>
      </c>
      <c r="DN229" s="22" t="n">
        <v>22</v>
      </c>
      <c r="DO229" s="22" t="n">
        <v>4</v>
      </c>
      <c r="DP229" s="22" t="n">
        <v>4</v>
      </c>
      <c r="DQ229" s="1" t="n">
        <v>1</v>
      </c>
      <c r="DR229" s="1" t="n">
        <v>31</v>
      </c>
      <c r="DU229" s="130" t="n">
        <v>43466</v>
      </c>
      <c r="DV229" s="22" t="n">
        <v>22</v>
      </c>
      <c r="DW229" s="22" t="n">
        <v>4</v>
      </c>
      <c r="DX229" s="22" t="n">
        <v>4</v>
      </c>
      <c r="DY229" s="1" t="n">
        <v>1</v>
      </c>
      <c r="DZ229" s="1" t="n">
        <v>31</v>
      </c>
    </row>
    <row r="230" customFormat="false" ht="12.75" hidden="false" customHeight="true" outlineLevel="0" collapsed="false">
      <c r="DJ230" s="107"/>
      <c r="DL230" s="22"/>
      <c r="DM230" s="130" t="n">
        <v>43497</v>
      </c>
      <c r="DN230" s="22" t="n">
        <v>19</v>
      </c>
      <c r="DO230" s="22" t="n">
        <v>4</v>
      </c>
      <c r="DP230" s="22" t="n">
        <v>4</v>
      </c>
      <c r="DQ230" s="1" t="n">
        <v>1</v>
      </c>
      <c r="DR230" s="1" t="n">
        <v>28</v>
      </c>
      <c r="DU230" s="130" t="n">
        <v>43497</v>
      </c>
      <c r="DV230" s="22" t="n">
        <v>20</v>
      </c>
      <c r="DW230" s="22" t="n">
        <v>4</v>
      </c>
      <c r="DX230" s="22" t="n">
        <v>4</v>
      </c>
      <c r="DY230" s="1" t="n">
        <v>0</v>
      </c>
      <c r="DZ230" s="1" t="n">
        <v>28</v>
      </c>
    </row>
    <row r="231" customFormat="false" ht="12.75" hidden="false" customHeight="true" outlineLevel="0" collapsed="false">
      <c r="DJ231" s="107"/>
      <c r="DL231" s="22"/>
      <c r="DM231" s="130" t="n">
        <v>43525</v>
      </c>
      <c r="DN231" s="22" t="n">
        <v>21</v>
      </c>
      <c r="DO231" s="22" t="n">
        <v>5</v>
      </c>
      <c r="DP231" s="22" t="n">
        <v>5</v>
      </c>
      <c r="DQ231" s="1" t="n">
        <v>0</v>
      </c>
      <c r="DR231" s="1" t="n">
        <v>31</v>
      </c>
      <c r="DU231" s="130" t="n">
        <v>43525</v>
      </c>
      <c r="DV231" s="22" t="n">
        <v>21</v>
      </c>
      <c r="DW231" s="22" t="n">
        <v>5</v>
      </c>
      <c r="DX231" s="22" t="n">
        <v>5</v>
      </c>
      <c r="DY231" s="1" t="n">
        <v>0</v>
      </c>
      <c r="DZ231" s="1" t="n">
        <v>31</v>
      </c>
    </row>
    <row r="232" customFormat="false" ht="12.75" hidden="false" customHeight="true" outlineLevel="0" collapsed="false">
      <c r="DJ232" s="107"/>
      <c r="DL232" s="22"/>
      <c r="DM232" s="130" t="n">
        <v>43556</v>
      </c>
      <c r="DN232" s="22" t="n">
        <v>21</v>
      </c>
      <c r="DO232" s="22" t="n">
        <v>4</v>
      </c>
      <c r="DP232" s="22" t="n">
        <v>4</v>
      </c>
      <c r="DQ232" s="1" t="n">
        <v>1</v>
      </c>
      <c r="DR232" s="1" t="n">
        <v>30</v>
      </c>
      <c r="DU232" s="130" t="n">
        <v>43556</v>
      </c>
      <c r="DV232" s="22" t="n">
        <v>22</v>
      </c>
      <c r="DW232" s="22" t="n">
        <v>4</v>
      </c>
      <c r="DX232" s="22" t="n">
        <v>4</v>
      </c>
      <c r="DY232" s="1" t="n">
        <v>0</v>
      </c>
      <c r="DZ232" s="1" t="n">
        <v>30</v>
      </c>
    </row>
    <row r="233" customFormat="false" ht="12.75" hidden="false" customHeight="true" outlineLevel="0" collapsed="false">
      <c r="DJ233" s="107"/>
      <c r="DL233" s="22"/>
      <c r="DM233" s="130" t="n">
        <v>43586</v>
      </c>
      <c r="DN233" s="22" t="n">
        <v>22</v>
      </c>
      <c r="DO233" s="22" t="n">
        <v>4</v>
      </c>
      <c r="DP233" s="22" t="n">
        <v>4</v>
      </c>
      <c r="DQ233" s="1" t="n">
        <v>1</v>
      </c>
      <c r="DR233" s="1" t="n">
        <v>31</v>
      </c>
      <c r="DU233" s="130" t="n">
        <v>43586</v>
      </c>
      <c r="DV233" s="22" t="n">
        <v>22</v>
      </c>
      <c r="DW233" s="22" t="n">
        <v>4</v>
      </c>
      <c r="DX233" s="22" t="n">
        <v>4</v>
      </c>
      <c r="DY233" s="1" t="n">
        <v>1</v>
      </c>
      <c r="DZ233" s="1" t="n">
        <v>31</v>
      </c>
    </row>
    <row r="234" customFormat="false" ht="12.75" hidden="false" customHeight="true" outlineLevel="0" collapsed="false">
      <c r="DJ234" s="107"/>
      <c r="DL234" s="22"/>
      <c r="DM234" s="130" t="n">
        <v>43617</v>
      </c>
      <c r="DN234" s="22" t="n">
        <v>20</v>
      </c>
      <c r="DO234" s="22" t="n">
        <v>5</v>
      </c>
      <c r="DP234" s="22" t="n">
        <v>5</v>
      </c>
      <c r="DQ234" s="1" t="n">
        <v>0</v>
      </c>
      <c r="DR234" s="1" t="n">
        <v>30</v>
      </c>
      <c r="DU234" s="130" t="n">
        <v>43617</v>
      </c>
      <c r="DV234" s="22" t="n">
        <v>20</v>
      </c>
      <c r="DW234" s="22" t="n">
        <v>5</v>
      </c>
      <c r="DX234" s="22" t="n">
        <v>5</v>
      </c>
      <c r="DY234" s="1" t="n">
        <v>0</v>
      </c>
      <c r="DZ234" s="1" t="n">
        <v>30</v>
      </c>
    </row>
    <row r="235" customFormat="false" ht="12.75" hidden="false" customHeight="true" outlineLevel="0" collapsed="false">
      <c r="DJ235" s="107"/>
      <c r="DL235" s="22"/>
      <c r="DM235" s="130" t="n">
        <v>43647</v>
      </c>
      <c r="DN235" s="22" t="n">
        <v>22</v>
      </c>
      <c r="DO235" s="22" t="n">
        <v>4</v>
      </c>
      <c r="DP235" s="22" t="n">
        <v>4</v>
      </c>
      <c r="DQ235" s="1" t="n">
        <v>1</v>
      </c>
      <c r="DR235" s="1" t="n">
        <v>31</v>
      </c>
      <c r="DU235" s="130" t="n">
        <v>43647</v>
      </c>
      <c r="DV235" s="22" t="n">
        <v>22</v>
      </c>
      <c r="DW235" s="22" t="n">
        <v>4</v>
      </c>
      <c r="DX235" s="22" t="n">
        <v>4</v>
      </c>
      <c r="DY235" s="1" t="n">
        <v>1</v>
      </c>
      <c r="DZ235" s="1" t="n">
        <v>31</v>
      </c>
    </row>
    <row r="236" customFormat="false" ht="12.75" hidden="false" customHeight="true" outlineLevel="0" collapsed="false">
      <c r="DJ236" s="107"/>
      <c r="DL236" s="22"/>
      <c r="DM236" s="130" t="n">
        <v>43678</v>
      </c>
      <c r="DN236" s="22" t="n">
        <v>21</v>
      </c>
      <c r="DO236" s="22" t="n">
        <v>5</v>
      </c>
      <c r="DP236" s="22" t="n">
        <v>4</v>
      </c>
      <c r="DQ236" s="1" t="n">
        <v>1</v>
      </c>
      <c r="DR236" s="1" t="n">
        <v>31</v>
      </c>
      <c r="DU236" s="130" t="n">
        <v>43678</v>
      </c>
      <c r="DV236" s="22" t="n">
        <v>22</v>
      </c>
      <c r="DW236" s="22" t="n">
        <v>5</v>
      </c>
      <c r="DX236" s="22" t="n">
        <v>4</v>
      </c>
      <c r="DY236" s="1" t="n">
        <v>0</v>
      </c>
      <c r="DZ236" s="1" t="n">
        <v>31</v>
      </c>
    </row>
    <row r="237" customFormat="false" ht="12.75" hidden="false" customHeight="true" outlineLevel="0" collapsed="false">
      <c r="DJ237" s="107"/>
      <c r="DL237" s="22"/>
      <c r="DM237" s="130" t="n">
        <v>43709</v>
      </c>
      <c r="DN237" s="22" t="n">
        <v>20</v>
      </c>
      <c r="DO237" s="22" t="n">
        <v>4</v>
      </c>
      <c r="DP237" s="22" t="n">
        <v>5</v>
      </c>
      <c r="DQ237" s="1" t="n">
        <v>1</v>
      </c>
      <c r="DR237" s="1" t="n">
        <v>30</v>
      </c>
      <c r="DU237" s="130" t="n">
        <v>43709</v>
      </c>
      <c r="DV237" s="22" t="n">
        <v>20</v>
      </c>
      <c r="DW237" s="22" t="n">
        <v>4</v>
      </c>
      <c r="DX237" s="22" t="n">
        <v>5</v>
      </c>
      <c r="DY237" s="1" t="n">
        <v>1</v>
      </c>
      <c r="DZ237" s="1" t="n">
        <v>30</v>
      </c>
    </row>
    <row r="238" customFormat="false" ht="12.75" hidden="false" customHeight="true" outlineLevel="0" collapsed="false">
      <c r="DJ238" s="107"/>
      <c r="DL238" s="22"/>
      <c r="DM238" s="130" t="n">
        <v>43739</v>
      </c>
      <c r="DN238" s="22" t="n">
        <v>22</v>
      </c>
      <c r="DO238" s="22" t="n">
        <v>4</v>
      </c>
      <c r="DP238" s="22" t="n">
        <v>4</v>
      </c>
      <c r="DQ238" s="1" t="n">
        <v>1</v>
      </c>
      <c r="DR238" s="1" t="n">
        <v>31</v>
      </c>
      <c r="DU238" s="130" t="n">
        <v>43739</v>
      </c>
      <c r="DV238" s="22" t="n">
        <v>23</v>
      </c>
      <c r="DW238" s="22" t="n">
        <v>4</v>
      </c>
      <c r="DX238" s="22" t="n">
        <v>4</v>
      </c>
      <c r="DY238" s="1" t="n">
        <v>0</v>
      </c>
      <c r="DZ238" s="1" t="n">
        <v>31</v>
      </c>
    </row>
    <row r="239" customFormat="false" ht="12.75" hidden="false" customHeight="true" outlineLevel="0" collapsed="false">
      <c r="DJ239" s="107"/>
      <c r="DL239" s="22"/>
      <c r="DM239" s="130" t="n">
        <v>43770</v>
      </c>
      <c r="DN239" s="22" t="n">
        <v>20</v>
      </c>
      <c r="DO239" s="22" t="n">
        <v>5</v>
      </c>
      <c r="DP239" s="22" t="n">
        <v>4</v>
      </c>
      <c r="DQ239" s="1" t="n">
        <v>1</v>
      </c>
      <c r="DR239" s="1" t="n">
        <v>30</v>
      </c>
      <c r="DU239" s="130" t="n">
        <v>43770</v>
      </c>
      <c r="DV239" s="22" t="n">
        <v>20</v>
      </c>
      <c r="DW239" s="22" t="n">
        <v>5</v>
      </c>
      <c r="DX239" s="22" t="n">
        <v>4</v>
      </c>
      <c r="DY239" s="1" t="n">
        <v>1</v>
      </c>
      <c r="DZ239" s="1" t="n">
        <v>30</v>
      </c>
    </row>
    <row r="240" customFormat="false" ht="12.75" hidden="false" customHeight="true" outlineLevel="0" collapsed="false">
      <c r="DJ240" s="107"/>
      <c r="DL240" s="22"/>
      <c r="DM240" s="130" t="n">
        <v>43800</v>
      </c>
      <c r="DN240" s="22" t="n">
        <v>20</v>
      </c>
      <c r="DO240" s="22" t="n">
        <v>4</v>
      </c>
      <c r="DP240" s="22" t="n">
        <v>5</v>
      </c>
      <c r="DQ240" s="1" t="n">
        <v>2</v>
      </c>
      <c r="DR240" s="1" t="n">
        <v>31</v>
      </c>
      <c r="DU240" s="130" t="n">
        <v>43800</v>
      </c>
      <c r="DV240" s="22" t="n">
        <v>21</v>
      </c>
      <c r="DW240" s="22" t="n">
        <v>4</v>
      </c>
      <c r="DX240" s="22" t="n">
        <v>5</v>
      </c>
      <c r="DY240" s="1" t="n">
        <v>1</v>
      </c>
      <c r="DZ240" s="1" t="n">
        <v>31</v>
      </c>
    </row>
    <row r="241" customFormat="false" ht="12.75" hidden="false" customHeight="true" outlineLevel="0" collapsed="false">
      <c r="DJ241" s="107"/>
      <c r="DL241" s="22"/>
      <c r="DM241" s="130" t="n">
        <v>43831</v>
      </c>
      <c r="DN241" s="22" t="n">
        <v>22</v>
      </c>
      <c r="DO241" s="22" t="n">
        <v>4</v>
      </c>
      <c r="DP241" s="22" t="n">
        <v>4</v>
      </c>
      <c r="DQ241" s="1" t="n">
        <v>1</v>
      </c>
      <c r="DR241" s="1" t="n">
        <v>31</v>
      </c>
      <c r="DU241" s="130" t="n">
        <v>43831</v>
      </c>
      <c r="DV241" s="22" t="n">
        <v>22</v>
      </c>
      <c r="DW241" s="22" t="n">
        <v>4</v>
      </c>
      <c r="DX241" s="22" t="n">
        <v>4</v>
      </c>
      <c r="DY241" s="1" t="n">
        <v>1</v>
      </c>
      <c r="DZ241" s="1" t="n">
        <v>31</v>
      </c>
    </row>
    <row r="242" customFormat="false" ht="12.75" hidden="false" customHeight="true" outlineLevel="0" collapsed="false">
      <c r="DJ242" s="107"/>
      <c r="DL242" s="22"/>
      <c r="DM242" s="130" t="n">
        <v>43862</v>
      </c>
      <c r="DN242" s="22" t="n">
        <v>19</v>
      </c>
      <c r="DO242" s="22" t="n">
        <v>5</v>
      </c>
      <c r="DP242" s="22" t="n">
        <v>4</v>
      </c>
      <c r="DQ242" s="1" t="n">
        <v>1</v>
      </c>
      <c r="DR242" s="1" t="n">
        <v>29</v>
      </c>
      <c r="DU242" s="130" t="n">
        <v>43862</v>
      </c>
      <c r="DV242" s="22" t="n">
        <v>20</v>
      </c>
      <c r="DW242" s="22" t="n">
        <v>5</v>
      </c>
      <c r="DX242" s="22" t="n">
        <v>4</v>
      </c>
      <c r="DY242" s="1" t="n">
        <v>0</v>
      </c>
      <c r="DZ242" s="1" t="n">
        <v>29</v>
      </c>
    </row>
    <row r="243" customFormat="false" ht="12.75" hidden="false" customHeight="true" outlineLevel="0" collapsed="false">
      <c r="DJ243" s="107"/>
      <c r="DL243" s="22"/>
      <c r="DM243" s="130" t="n">
        <v>43891</v>
      </c>
      <c r="DN243" s="22" t="n">
        <v>22</v>
      </c>
      <c r="DO243" s="22" t="n">
        <v>4</v>
      </c>
      <c r="DP243" s="22" t="n">
        <v>5</v>
      </c>
      <c r="DQ243" s="1" t="n">
        <v>0</v>
      </c>
      <c r="DR243" s="1" t="n">
        <v>31</v>
      </c>
      <c r="DU243" s="130" t="n">
        <v>43891</v>
      </c>
      <c r="DV243" s="22" t="n">
        <v>22</v>
      </c>
      <c r="DW243" s="22" t="n">
        <v>4</v>
      </c>
      <c r="DX243" s="22" t="n">
        <v>5</v>
      </c>
      <c r="DY243" s="1" t="n">
        <v>0</v>
      </c>
      <c r="DZ243" s="1" t="n">
        <v>31</v>
      </c>
    </row>
    <row r="244" customFormat="false" ht="12.75" hidden="false" customHeight="true" outlineLevel="0" collapsed="false">
      <c r="DJ244" s="107"/>
      <c r="DL244" s="22"/>
      <c r="DM244" s="130" t="n">
        <v>43922</v>
      </c>
      <c r="DN244" s="22" t="n">
        <v>21</v>
      </c>
      <c r="DO244" s="22" t="n">
        <v>4</v>
      </c>
      <c r="DP244" s="22" t="n">
        <v>4</v>
      </c>
      <c r="DQ244" s="1" t="n">
        <v>1</v>
      </c>
      <c r="DR244" s="1" t="n">
        <v>30</v>
      </c>
      <c r="DU244" s="130" t="n">
        <v>43922</v>
      </c>
      <c r="DV244" s="22" t="n">
        <v>22</v>
      </c>
      <c r="DW244" s="22" t="n">
        <v>4</v>
      </c>
      <c r="DX244" s="22" t="n">
        <v>4</v>
      </c>
      <c r="DY244" s="1" t="n">
        <v>0</v>
      </c>
      <c r="DZ244" s="1" t="n">
        <v>30</v>
      </c>
    </row>
    <row r="245" customFormat="false" ht="12.75" hidden="false" customHeight="true" outlineLevel="0" collapsed="false">
      <c r="DJ245" s="107"/>
      <c r="DL245" s="22"/>
      <c r="DM245" s="130" t="n">
        <v>43952</v>
      </c>
      <c r="DN245" s="22" t="n">
        <v>20</v>
      </c>
      <c r="DO245" s="22" t="n">
        <v>5</v>
      </c>
      <c r="DP245" s="22" t="n">
        <v>5</v>
      </c>
      <c r="DQ245" s="1" t="n">
        <v>1</v>
      </c>
      <c r="DR245" s="1" t="n">
        <v>31</v>
      </c>
      <c r="DU245" s="130" t="n">
        <v>43952</v>
      </c>
      <c r="DV245" s="22" t="n">
        <v>20</v>
      </c>
      <c r="DW245" s="22" t="n">
        <v>5</v>
      </c>
      <c r="DX245" s="22" t="n">
        <v>5</v>
      </c>
      <c r="DY245" s="1" t="n">
        <v>1</v>
      </c>
      <c r="DZ245" s="1" t="n">
        <v>31</v>
      </c>
    </row>
    <row r="246" customFormat="false" ht="12.75" hidden="false" customHeight="true" outlineLevel="0" collapsed="false">
      <c r="DJ246" s="107"/>
      <c r="DL246" s="22"/>
      <c r="DM246" s="130" t="n">
        <v>43983</v>
      </c>
      <c r="DN246" s="22" t="n">
        <v>22</v>
      </c>
      <c r="DO246" s="22" t="n">
        <v>4</v>
      </c>
      <c r="DP246" s="22" t="n">
        <v>4</v>
      </c>
      <c r="DQ246" s="1" t="n">
        <v>0</v>
      </c>
      <c r="DR246" s="1" t="n">
        <v>30</v>
      </c>
      <c r="DU246" s="130" t="n">
        <v>43983</v>
      </c>
      <c r="DV246" s="22" t="n">
        <v>22</v>
      </c>
      <c r="DW246" s="22" t="n">
        <v>4</v>
      </c>
      <c r="DX246" s="22" t="n">
        <v>4</v>
      </c>
      <c r="DY246" s="1" t="n">
        <v>0</v>
      </c>
      <c r="DZ246" s="1" t="n">
        <v>30</v>
      </c>
    </row>
    <row r="247" customFormat="false" ht="12.75" hidden="false" customHeight="true" outlineLevel="0" collapsed="false">
      <c r="DJ247" s="107"/>
      <c r="DL247" s="22"/>
      <c r="DM247" s="130" t="n">
        <v>44013</v>
      </c>
      <c r="DN247" s="22" t="n">
        <v>22</v>
      </c>
      <c r="DO247" s="22" t="n">
        <v>4</v>
      </c>
      <c r="DP247" s="22" t="n">
        <v>4</v>
      </c>
      <c r="DQ247" s="1" t="n">
        <v>1</v>
      </c>
      <c r="DR247" s="1" t="n">
        <v>31</v>
      </c>
      <c r="DU247" s="130" t="n">
        <v>44013</v>
      </c>
      <c r="DV247" s="22" t="n">
        <v>23</v>
      </c>
      <c r="DW247" s="22" t="n">
        <v>3</v>
      </c>
      <c r="DX247" s="22" t="n">
        <v>4</v>
      </c>
      <c r="DY247" s="1" t="n">
        <v>1</v>
      </c>
      <c r="DZ247" s="1" t="n">
        <v>31</v>
      </c>
    </row>
    <row r="248" customFormat="false" ht="12.75" hidden="false" customHeight="true" outlineLevel="0" collapsed="false">
      <c r="DJ248" s="107"/>
      <c r="DL248" s="22"/>
      <c r="DM248" s="130" t="n">
        <v>44044</v>
      </c>
      <c r="DN248" s="22" t="n">
        <v>20</v>
      </c>
      <c r="DO248" s="22" t="n">
        <v>5</v>
      </c>
      <c r="DP248" s="22" t="n">
        <v>5</v>
      </c>
      <c r="DQ248" s="1" t="n">
        <v>1</v>
      </c>
      <c r="DR248" s="1" t="n">
        <v>31</v>
      </c>
      <c r="DU248" s="130" t="n">
        <v>44044</v>
      </c>
      <c r="DV248" s="22" t="n">
        <v>21</v>
      </c>
      <c r="DW248" s="22" t="n">
        <v>5</v>
      </c>
      <c r="DX248" s="22" t="n">
        <v>5</v>
      </c>
      <c r="DY248" s="1" t="n">
        <v>0</v>
      </c>
      <c r="DZ248" s="1" t="n">
        <v>31</v>
      </c>
    </row>
    <row r="249" customFormat="false" ht="12.75" hidden="false" customHeight="true" outlineLevel="0" collapsed="false">
      <c r="DJ249" s="107"/>
      <c r="DL249" s="22"/>
      <c r="DM249" s="130" t="n">
        <v>44075</v>
      </c>
      <c r="DN249" s="22" t="n">
        <v>21</v>
      </c>
      <c r="DO249" s="22" t="n">
        <v>4</v>
      </c>
      <c r="DP249" s="22" t="n">
        <v>4</v>
      </c>
      <c r="DQ249" s="1" t="n">
        <v>1</v>
      </c>
      <c r="DR249" s="1" t="n">
        <v>30</v>
      </c>
      <c r="DU249" s="130" t="n">
        <v>44075</v>
      </c>
      <c r="DV249" s="22" t="n">
        <v>21</v>
      </c>
      <c r="DW249" s="22" t="n">
        <v>4</v>
      </c>
      <c r="DX249" s="22" t="n">
        <v>4</v>
      </c>
      <c r="DY249" s="1" t="n">
        <v>1</v>
      </c>
      <c r="DZ249" s="1" t="n">
        <v>30</v>
      </c>
    </row>
    <row r="250" customFormat="false" ht="12.75" hidden="false" customHeight="true" outlineLevel="0" collapsed="false">
      <c r="DJ250" s="107"/>
      <c r="DL250" s="22"/>
      <c r="DM250" s="130" t="n">
        <v>44105</v>
      </c>
      <c r="DN250" s="22" t="n">
        <v>21</v>
      </c>
      <c r="DO250" s="22" t="n">
        <v>5</v>
      </c>
      <c r="DP250" s="22" t="n">
        <v>4</v>
      </c>
      <c r="DQ250" s="1" t="n">
        <v>1</v>
      </c>
      <c r="DR250" s="1" t="n">
        <v>31</v>
      </c>
      <c r="DU250" s="130" t="n">
        <v>44105</v>
      </c>
      <c r="DV250" s="22" t="n">
        <v>22</v>
      </c>
      <c r="DW250" s="22" t="n">
        <v>5</v>
      </c>
      <c r="DX250" s="22" t="n">
        <v>4</v>
      </c>
      <c r="DY250" s="1" t="n">
        <v>0</v>
      </c>
      <c r="DZ250" s="1" t="n">
        <v>31</v>
      </c>
    </row>
    <row r="251" customFormat="false" ht="12.75" hidden="false" customHeight="true" outlineLevel="0" collapsed="false">
      <c r="DJ251" s="107"/>
      <c r="DL251" s="22"/>
      <c r="DM251" s="130" t="n">
        <v>44136</v>
      </c>
      <c r="DN251" s="22" t="n">
        <v>20</v>
      </c>
      <c r="DO251" s="22" t="n">
        <v>4</v>
      </c>
      <c r="DP251" s="22" t="n">
        <v>5</v>
      </c>
      <c r="DQ251" s="1" t="n">
        <v>1</v>
      </c>
      <c r="DR251" s="1" t="n">
        <v>30</v>
      </c>
      <c r="DU251" s="130" t="n">
        <v>44136</v>
      </c>
      <c r="DV251" s="22" t="n">
        <v>20</v>
      </c>
      <c r="DW251" s="22" t="n">
        <v>4</v>
      </c>
      <c r="DX251" s="22" t="n">
        <v>5</v>
      </c>
      <c r="DY251" s="1" t="n">
        <v>1</v>
      </c>
      <c r="DZ251" s="1" t="n">
        <v>30</v>
      </c>
    </row>
    <row r="252" customFormat="false" ht="12.75" hidden="false" customHeight="true" outlineLevel="0" collapsed="false">
      <c r="DJ252" s="107"/>
      <c r="DL252" s="22"/>
      <c r="DM252" s="130" t="n">
        <v>44166</v>
      </c>
      <c r="DN252" s="22" t="n">
        <v>21</v>
      </c>
      <c r="DO252" s="22" t="n">
        <v>4</v>
      </c>
      <c r="DP252" s="22" t="n">
        <v>4</v>
      </c>
      <c r="DQ252" s="1" t="n">
        <v>2</v>
      </c>
      <c r="DR252" s="1" t="n">
        <v>31</v>
      </c>
      <c r="DU252" s="130" t="n">
        <v>44166</v>
      </c>
      <c r="DV252" s="22" t="n">
        <v>22</v>
      </c>
      <c r="DW252" s="22" t="n">
        <v>4</v>
      </c>
      <c r="DX252" s="22" t="n">
        <v>4</v>
      </c>
      <c r="DY252" s="1" t="n">
        <v>1</v>
      </c>
      <c r="DZ252" s="1" t="n">
        <v>31</v>
      </c>
    </row>
    <row r="253" customFormat="false" ht="12.75" hidden="false" customHeight="true" outlineLevel="0" collapsed="false">
      <c r="DJ253" s="107"/>
      <c r="DL253" s="22"/>
      <c r="DM253" s="130"/>
      <c r="DN253" s="22"/>
      <c r="DO253" s="22"/>
      <c r="DP253" s="22"/>
    </row>
    <row r="254" customFormat="false" ht="12.75" hidden="false" customHeight="true" outlineLevel="0" collapsed="false">
      <c r="DJ254" s="107"/>
      <c r="DL254" s="22"/>
      <c r="DM254" s="130"/>
      <c r="DN254" s="22"/>
      <c r="DO254" s="22"/>
      <c r="DP254" s="22"/>
    </row>
    <row r="255" customFormat="false" ht="12.75" hidden="false" customHeight="true" outlineLevel="0" collapsed="false">
      <c r="DJ255" s="107"/>
      <c r="DL255" s="22"/>
      <c r="DM255" s="130"/>
      <c r="DN255" s="22"/>
      <c r="DO255" s="22"/>
      <c r="DP255" s="22"/>
    </row>
    <row r="256" customFormat="false" ht="12.75" hidden="false" customHeight="true" outlineLevel="0" collapsed="false">
      <c r="DJ256" s="107"/>
      <c r="DL256" s="22"/>
      <c r="DM256" s="130"/>
      <c r="DN256" s="22"/>
      <c r="DO256" s="22"/>
      <c r="DP256" s="22"/>
    </row>
    <row r="257" customFormat="false" ht="12.75" hidden="false" customHeight="true" outlineLevel="0" collapsed="false">
      <c r="DJ257" s="107"/>
      <c r="DL257" s="22"/>
      <c r="DM257" s="130"/>
      <c r="DN257" s="22"/>
      <c r="DO257" s="22"/>
      <c r="DP257" s="22"/>
    </row>
    <row r="258" customFormat="false" ht="12.75" hidden="false" customHeight="true" outlineLevel="0" collapsed="false">
      <c r="DJ258" s="107"/>
      <c r="DL258" s="22"/>
      <c r="DM258" s="130"/>
      <c r="DN258" s="22"/>
      <c r="DO258" s="22"/>
      <c r="DP258" s="22"/>
    </row>
    <row r="259" customFormat="false" ht="12.75" hidden="false" customHeight="true" outlineLevel="0" collapsed="false">
      <c r="DJ259" s="107"/>
      <c r="DL259" s="22"/>
      <c r="DM259" s="130"/>
      <c r="DN259" s="22"/>
      <c r="DO259" s="22"/>
      <c r="DP259" s="22"/>
    </row>
    <row r="260" customFormat="false" ht="12.75" hidden="false" customHeight="true" outlineLevel="0" collapsed="false">
      <c r="DJ260" s="107"/>
      <c r="DL260" s="22"/>
      <c r="DM260" s="130"/>
      <c r="DN260" s="22"/>
      <c r="DO260" s="22"/>
      <c r="DP260" s="22"/>
    </row>
    <row r="261" customFormat="false" ht="12.75" hidden="false" customHeight="true" outlineLevel="0" collapsed="false">
      <c r="DJ261" s="107"/>
      <c r="DL261" s="22"/>
      <c r="DM261" s="130"/>
      <c r="DN261" s="22"/>
      <c r="DO261" s="22"/>
      <c r="DP261" s="22"/>
    </row>
    <row r="262" customFormat="false" ht="12.75" hidden="false" customHeight="true" outlineLevel="0" collapsed="false">
      <c r="DJ262" s="107"/>
      <c r="DL262" s="22"/>
      <c r="DM262" s="130"/>
      <c r="DN262" s="22"/>
      <c r="DO262" s="22"/>
      <c r="DP262" s="22"/>
    </row>
    <row r="263" customFormat="false" ht="12.75" hidden="false" customHeight="true" outlineLevel="0" collapsed="false">
      <c r="DJ263" s="107"/>
      <c r="DL263" s="22"/>
      <c r="DM263" s="130"/>
      <c r="DN263" s="22"/>
      <c r="DO263" s="22"/>
      <c r="DP263" s="22"/>
    </row>
    <row r="264" customFormat="false" ht="12.75" hidden="false" customHeight="true" outlineLevel="0" collapsed="false">
      <c r="DJ264" s="107"/>
      <c r="DL264" s="22"/>
      <c r="DM264" s="130"/>
      <c r="DN264" s="22"/>
      <c r="DO264" s="22"/>
      <c r="DP264" s="22"/>
    </row>
    <row r="265" customFormat="false" ht="12.75" hidden="false" customHeight="true" outlineLevel="0" collapsed="false">
      <c r="DJ265" s="107"/>
      <c r="DL265" s="22"/>
      <c r="DM265" s="130"/>
      <c r="DN265" s="22"/>
      <c r="DO265" s="22"/>
      <c r="DP265" s="22"/>
    </row>
    <row r="266" customFormat="false" ht="12.75" hidden="false" customHeight="true" outlineLevel="0" collapsed="false">
      <c r="DJ266" s="107"/>
      <c r="DL266" s="22"/>
      <c r="DM266" s="130"/>
      <c r="DN266" s="22"/>
      <c r="DO266" s="22"/>
      <c r="DP266" s="22"/>
    </row>
    <row r="267" customFormat="false" ht="12.75" hidden="false" customHeight="true" outlineLevel="0" collapsed="false">
      <c r="DJ267" s="107"/>
      <c r="DL267" s="22"/>
      <c r="DM267" s="130"/>
      <c r="DN267" s="22"/>
      <c r="DO267" s="22"/>
      <c r="DP267" s="22"/>
    </row>
    <row r="268" customFormat="false" ht="12.75" hidden="false" customHeight="true" outlineLevel="0" collapsed="false">
      <c r="DJ268" s="107"/>
      <c r="DL268" s="22"/>
      <c r="DM268" s="130"/>
      <c r="DN268" s="22"/>
      <c r="DO268" s="22"/>
      <c r="DP268" s="22"/>
    </row>
    <row r="269" customFormat="false" ht="12.75" hidden="false" customHeight="true" outlineLevel="0" collapsed="false">
      <c r="DJ269" s="107"/>
      <c r="DL269" s="22"/>
      <c r="DM269" s="130"/>
      <c r="DN269" s="22"/>
      <c r="DO269" s="22"/>
      <c r="DP269" s="22"/>
    </row>
    <row r="270" customFormat="false" ht="12.75" hidden="false" customHeight="true" outlineLevel="0" collapsed="false">
      <c r="DJ270" s="107"/>
      <c r="DL270" s="22"/>
      <c r="DM270" s="130"/>
      <c r="DN270" s="22"/>
      <c r="DO270" s="22"/>
      <c r="DP270" s="22"/>
    </row>
    <row r="271" customFormat="false" ht="12.75" hidden="false" customHeight="true" outlineLevel="0" collapsed="false">
      <c r="DJ271" s="107"/>
      <c r="DL271" s="22"/>
      <c r="DM271" s="130"/>
      <c r="DN271" s="22"/>
      <c r="DO271" s="22"/>
      <c r="DP271" s="22"/>
    </row>
    <row r="272" customFormat="false" ht="12.75" hidden="false" customHeight="true" outlineLevel="0" collapsed="false">
      <c r="DL272" s="22"/>
      <c r="DM272" s="130"/>
      <c r="DN272" s="22"/>
      <c r="DO272" s="22"/>
      <c r="DP272" s="22"/>
    </row>
    <row r="273" customFormat="false" ht="12.75" hidden="false" customHeight="true" outlineLevel="0" collapsed="false">
      <c r="DL273" s="22"/>
      <c r="DM273" s="130"/>
      <c r="DN273" s="22"/>
      <c r="DO273" s="22"/>
      <c r="DP273" s="22"/>
    </row>
    <row r="274" customFormat="false" ht="12.75" hidden="false" customHeight="true" outlineLevel="0" collapsed="false">
      <c r="DL274" s="22"/>
      <c r="DM274" s="130"/>
      <c r="DN274" s="22"/>
      <c r="DO274" s="22"/>
      <c r="DP274" s="22"/>
    </row>
    <row r="275" customFormat="false" ht="12.75" hidden="false" customHeight="true" outlineLevel="0" collapsed="false">
      <c r="DL275" s="22"/>
      <c r="DM275" s="130"/>
      <c r="DN275" s="22"/>
      <c r="DO275" s="22"/>
      <c r="DP275" s="22"/>
    </row>
    <row r="276" customFormat="false" ht="12.75" hidden="false" customHeight="true" outlineLevel="0" collapsed="false">
      <c r="DL276" s="22"/>
      <c r="DM276" s="130"/>
      <c r="DN276" s="22"/>
      <c r="DO276" s="22"/>
      <c r="DP276" s="22"/>
    </row>
    <row r="277" customFormat="false" ht="12.75" hidden="false" customHeight="true" outlineLevel="0" collapsed="false">
      <c r="DL277" s="22"/>
      <c r="DM277" s="130"/>
      <c r="DN277" s="22"/>
      <c r="DO277" s="22"/>
      <c r="DP277" s="22"/>
    </row>
    <row r="278" customFormat="false" ht="12.75" hidden="false" customHeight="true" outlineLevel="0" collapsed="false">
      <c r="DL278" s="22"/>
      <c r="DM278" s="130"/>
      <c r="DN278" s="22"/>
      <c r="DO278" s="22"/>
      <c r="DP278" s="22"/>
    </row>
    <row r="279" customFormat="false" ht="12.75" hidden="false" customHeight="true" outlineLevel="0" collapsed="false">
      <c r="DL279" s="22"/>
      <c r="DM279" s="130"/>
      <c r="DN279" s="22"/>
      <c r="DO279" s="22"/>
      <c r="DP279" s="22"/>
    </row>
    <row r="280" customFormat="false" ht="12.75" hidden="false" customHeight="true" outlineLevel="0" collapsed="false">
      <c r="DL280" s="22"/>
      <c r="DM280" s="130"/>
      <c r="DN280" s="22"/>
      <c r="DO280" s="22"/>
      <c r="DP280" s="22"/>
    </row>
    <row r="281" customFormat="false" ht="12.75" hidden="false" customHeight="true" outlineLevel="0" collapsed="false">
      <c r="DL281" s="22"/>
      <c r="DM281" s="130"/>
      <c r="DN281" s="22"/>
      <c r="DO281" s="22"/>
      <c r="DP281" s="22"/>
    </row>
    <row r="282" customFormat="false" ht="12.75" hidden="false" customHeight="true" outlineLevel="0" collapsed="false">
      <c r="DL282" s="22"/>
      <c r="DM282" s="130"/>
      <c r="DN282" s="22"/>
      <c r="DO282" s="22"/>
      <c r="DP282" s="22"/>
    </row>
    <row r="283" customFormat="false" ht="12.75" hidden="false" customHeight="true" outlineLevel="0" collapsed="false">
      <c r="DL283" s="22"/>
      <c r="DM283" s="130"/>
      <c r="DN283" s="22"/>
      <c r="DO283" s="22"/>
      <c r="DP283" s="22"/>
    </row>
    <row r="284" customFormat="false" ht="12.75" hidden="false" customHeight="true" outlineLevel="0" collapsed="false">
      <c r="DL284" s="22"/>
      <c r="DM284" s="130"/>
      <c r="DN284" s="22"/>
      <c r="DO284" s="22"/>
      <c r="DP284" s="22"/>
    </row>
    <row r="285" customFormat="false" ht="12.75" hidden="false" customHeight="true" outlineLevel="0" collapsed="false">
      <c r="DL285" s="22"/>
      <c r="DM285" s="130"/>
      <c r="DN285" s="22"/>
      <c r="DO285" s="22"/>
      <c r="DP285" s="22"/>
    </row>
    <row r="286" customFormat="false" ht="12.75" hidden="false" customHeight="true" outlineLevel="0" collapsed="false">
      <c r="DL286" s="22"/>
      <c r="DM286" s="130"/>
      <c r="DN286" s="22"/>
      <c r="DO286" s="22"/>
      <c r="DP286" s="22"/>
    </row>
    <row r="287" customFormat="false" ht="12.75" hidden="false" customHeight="true" outlineLevel="0" collapsed="false">
      <c r="DL287" s="22"/>
      <c r="DM287" s="130"/>
      <c r="DN287" s="22"/>
      <c r="DO287" s="22"/>
      <c r="DP287" s="22"/>
    </row>
    <row r="288" customFormat="false" ht="13.5" hidden="false" customHeight="true" outlineLevel="0" collapsed="false">
      <c r="DL288" s="254"/>
      <c r="DM288" s="255"/>
      <c r="DN288" s="254"/>
      <c r="DO288" s="254"/>
      <c r="DP288" s="254"/>
    </row>
    <row r="289" customFormat="false" ht="13.5" hidden="false" customHeight="true" outlineLevel="0" collapsed="false">
      <c r="DM289" s="256"/>
    </row>
  </sheetData>
  <mergeCells count="50">
    <mergeCell ref="AK10:AL10"/>
    <mergeCell ref="AM10:AN10"/>
    <mergeCell ref="AO10:AP10"/>
    <mergeCell ref="AQ10:AR10"/>
    <mergeCell ref="AS10:AT10"/>
    <mergeCell ref="AU10:AV10"/>
    <mergeCell ref="AW10:AX10"/>
    <mergeCell ref="AY10:AZ10"/>
    <mergeCell ref="BA10:BB10"/>
    <mergeCell ref="BC10:BD10"/>
    <mergeCell ref="BE10:BF10"/>
    <mergeCell ref="BG10:BH10"/>
    <mergeCell ref="BI10:BJ10"/>
    <mergeCell ref="BK10:BL10"/>
    <mergeCell ref="BM10:BN10"/>
    <mergeCell ref="BO10:BP10"/>
    <mergeCell ref="BQ10:BR10"/>
    <mergeCell ref="BS10:BT10"/>
    <mergeCell ref="BU10:BV10"/>
    <mergeCell ref="BW10:BX10"/>
    <mergeCell ref="DN10:DR10"/>
    <mergeCell ref="DT10:DX10"/>
    <mergeCell ref="AK54:AL54"/>
    <mergeCell ref="AM54:AN54"/>
    <mergeCell ref="AO54:AP54"/>
    <mergeCell ref="AQ54:AR54"/>
    <mergeCell ref="AS54:AT54"/>
    <mergeCell ref="AU54:AV54"/>
    <mergeCell ref="AW54:AX54"/>
    <mergeCell ref="AY54:AZ54"/>
    <mergeCell ref="BA54:BB54"/>
    <mergeCell ref="BC54:BD54"/>
    <mergeCell ref="BE54:BF54"/>
    <mergeCell ref="BG54:BH54"/>
    <mergeCell ref="BI54:BJ54"/>
    <mergeCell ref="BK54:BL54"/>
    <mergeCell ref="BM54:BN54"/>
    <mergeCell ref="BO54:BP54"/>
    <mergeCell ref="BQ54:BR54"/>
    <mergeCell ref="BS54:BT54"/>
    <mergeCell ref="BU54:BV54"/>
    <mergeCell ref="BW54:BX54"/>
    <mergeCell ref="B98:C98"/>
    <mergeCell ref="D98:E98"/>
    <mergeCell ref="F98:G98"/>
    <mergeCell ref="H98:I98"/>
    <mergeCell ref="J98:K98"/>
    <mergeCell ref="L98:M98"/>
    <mergeCell ref="N98:O98"/>
    <mergeCell ref="P98:Q98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xls.Module2.PrintSum">
                <anchor moveWithCells="true" sizeWithCells="false">
                  <from>
                    <xdr:col>3</xdr:col>
                    <xdr:colOff>9720</xdr:colOff>
                    <xdr:row>1</xdr:row>
                    <xdr:rowOff>0</xdr:rowOff>
                  </from>
                  <to>
                    <xdr:col>4</xdr:col>
                    <xdr:colOff>102240</xdr:colOff>
                    <xdr:row>2</xdr:row>
                    <xdr:rowOff>95040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9">
              <controlPr defaultSize="0" print="false" autoFill="0" autoPict="0" macro="xls.Module1.Roll_Sheet">
                <anchor moveWithCells="true" sizeWithCells="false">
                  <from>
                    <xdr:col>3</xdr:col>
                    <xdr:colOff>9720</xdr:colOff>
                    <xdr:row>2</xdr:row>
                    <xdr:rowOff>219600</xdr:rowOff>
                  </from>
                  <to>
                    <xdr:col>4</xdr:col>
                    <xdr:colOff>111600</xdr:colOff>
                    <xdr:row>4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0">
              <controlPr defaultSize="0" print="false" autoFill="0" autoPict="0" macro="xls.Module1.End_Day">
                <anchor moveWithCells="true" sizeWithCells="false">
                  <from>
                    <xdr:col>3</xdr:col>
                    <xdr:colOff>9720</xdr:colOff>
                    <xdr:row>4</xdr:row>
                    <xdr:rowOff>152640</xdr:rowOff>
                  </from>
                  <to>
                    <xdr:col>4</xdr:col>
                    <xdr:colOff>102240</xdr:colOff>
                    <xdr:row>6</xdr:row>
                    <xdr:rowOff>37440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O261"/>
  <sheetViews>
    <sheetView showFormulas="false" showGridLines="true" showRowColHeaders="true" showZeros="true" rightToLeft="false" tabSelected="false" showOutlineSymbols="true" defaultGridColor="true" view="normal" topLeftCell="I1" colorId="64" zoomScale="75" zoomScaleNormal="75" zoomScalePageLayoutView="100" workbookViewId="0">
      <selection pane="topLeft" activeCell="Q17" activeCellId="0" sqref="Q17:Q2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8.85"/>
    <col collapsed="false" customWidth="true" hidden="false" outlineLevel="0" max="3" min="3" style="0" width="20.13"/>
    <col collapsed="false" customWidth="true" hidden="false" outlineLevel="0" max="4" min="4" style="0" width="17.28"/>
    <col collapsed="false" customWidth="true" hidden="false" outlineLevel="0" max="5" min="5" style="0" width="20.13"/>
    <col collapsed="false" customWidth="true" hidden="false" outlineLevel="0" max="6" min="6" style="0" width="17.28"/>
    <col collapsed="false" customWidth="true" hidden="false" outlineLevel="0" max="7" min="7" style="0" width="20.7"/>
    <col collapsed="false" customWidth="true" hidden="false" outlineLevel="0" max="8" min="8" style="0" width="10.56"/>
    <col collapsed="false" customWidth="true" hidden="false" outlineLevel="0" max="9" min="9" style="0" width="18.85"/>
    <col collapsed="false" customWidth="true" hidden="false" outlineLevel="0" max="10" min="10" style="0" width="20.13"/>
    <col collapsed="false" customWidth="true" hidden="false" outlineLevel="0" max="11" min="11" style="0" width="17.28"/>
    <col collapsed="false" customWidth="true" hidden="false" outlineLevel="0" max="12" min="12" style="0" width="20.13"/>
    <col collapsed="false" customWidth="true" hidden="false" outlineLevel="0" max="13" min="13" style="0" width="17.28"/>
    <col collapsed="false" customWidth="true" hidden="false" outlineLevel="0" max="16" min="16" style="0" width="10.56"/>
    <col collapsed="false" customWidth="true" hidden="false" outlineLevel="0" max="17" min="17" style="0" width="18.85"/>
    <col collapsed="false" customWidth="true" hidden="false" outlineLevel="0" max="18" min="18" style="0" width="20.13"/>
    <col collapsed="false" customWidth="true" hidden="false" outlineLevel="0" max="19" min="19" style="0" width="17.28"/>
    <col collapsed="false" customWidth="true" hidden="false" outlineLevel="0" max="20" min="20" style="0" width="20.13"/>
    <col collapsed="false" customWidth="true" hidden="false" outlineLevel="0" max="21" min="21" style="0" width="17.28"/>
    <col collapsed="false" customWidth="true" hidden="false" outlineLevel="0" max="24" min="24" style="0" width="14.41"/>
    <col collapsed="false" customWidth="true" hidden="false" outlineLevel="0" max="26" min="25" style="0" width="15.13"/>
    <col collapsed="false" customWidth="true" hidden="false" outlineLevel="0" max="41" min="41" style="0" width="9.28"/>
  </cols>
  <sheetData>
    <row r="1" customFormat="false" ht="33.75" hidden="false" customHeight="false" outlineLevel="0" collapsed="false">
      <c r="A1" s="37" t="s">
        <v>85</v>
      </c>
    </row>
    <row r="2" customFormat="false" ht="13.5" hidden="false" customHeight="false" outlineLevel="0" collapsed="false"/>
    <row r="3" customFormat="false" ht="16.5" hidden="false" customHeight="false" outlineLevel="0" collapsed="false">
      <c r="D3" s="1"/>
      <c r="E3" s="28" t="s">
        <v>5</v>
      </c>
      <c r="F3" s="29" t="s">
        <v>6</v>
      </c>
    </row>
    <row r="4" customFormat="false" ht="16.5" hidden="false" customHeight="false" outlineLevel="0" collapsed="false">
      <c r="D4" s="33" t="s">
        <v>8</v>
      </c>
      <c r="E4" s="34"/>
      <c r="F4" s="35" t="n">
        <f aca="false">TradeSum!L6</f>
        <v>1</v>
      </c>
    </row>
    <row r="5" customFormat="false" ht="18.75" hidden="false" customHeight="false" outlineLevel="0" collapsed="false">
      <c r="I5" s="257" t="s">
        <v>86</v>
      </c>
      <c r="Q5" s="257" t="s">
        <v>87</v>
      </c>
      <c r="W5" s="257" t="s">
        <v>88</v>
      </c>
    </row>
    <row r="6" customFormat="false" ht="16.5" hidden="false" customHeight="false" outlineLevel="0" collapsed="false">
      <c r="B6" s="258" t="s">
        <v>89</v>
      </c>
      <c r="C6" s="259" t="n">
        <v>1</v>
      </c>
      <c r="D6" s="260" t="str">
        <f aca="false">IF(C6=1,"TODAY","PREVIOUS")</f>
        <v>TODAY</v>
      </c>
    </row>
    <row r="7" customFormat="false" ht="12.75" hidden="false" customHeight="false" outlineLevel="0" collapsed="false">
      <c r="A7" s="49"/>
      <c r="B7" s="49"/>
      <c r="C7" s="49"/>
      <c r="D7" s="49"/>
      <c r="E7" s="49"/>
      <c r="F7" s="49"/>
      <c r="G7" s="49"/>
      <c r="I7" s="49"/>
      <c r="J7" s="49"/>
      <c r="K7" s="49"/>
      <c r="L7" s="49"/>
      <c r="M7" s="49"/>
      <c r="Q7" s="49"/>
      <c r="R7" s="49"/>
      <c r="S7" s="49"/>
      <c r="T7" s="49"/>
      <c r="U7" s="49"/>
      <c r="X7" s="49"/>
      <c r="Y7" s="49"/>
      <c r="Z7" s="49"/>
    </row>
    <row r="8" customFormat="false" ht="16.5" hidden="false" customHeight="false" outlineLevel="0" collapsed="false">
      <c r="A8" s="261" t="s">
        <v>90</v>
      </c>
      <c r="B8" s="261" t="s">
        <v>91</v>
      </c>
      <c r="C8" s="261" t="s">
        <v>92</v>
      </c>
      <c r="D8" s="261" t="s">
        <v>93</v>
      </c>
      <c r="E8" s="261" t="s">
        <v>94</v>
      </c>
      <c r="F8" s="262" t="s">
        <v>95</v>
      </c>
      <c r="G8" s="262" t="s">
        <v>96</v>
      </c>
      <c r="I8" s="262" t="s">
        <v>91</v>
      </c>
      <c r="J8" s="262" t="s">
        <v>92</v>
      </c>
      <c r="K8" s="262" t="s">
        <v>93</v>
      </c>
      <c r="L8" s="262" t="s">
        <v>94</v>
      </c>
      <c r="M8" s="262" t="s">
        <v>95</v>
      </c>
      <c r="Q8" s="262" t="s">
        <v>91</v>
      </c>
      <c r="R8" s="262" t="s">
        <v>92</v>
      </c>
      <c r="S8" s="262" t="s">
        <v>93</v>
      </c>
      <c r="T8" s="262" t="s">
        <v>94</v>
      </c>
      <c r="U8" s="262" t="s">
        <v>95</v>
      </c>
      <c r="X8" s="262" t="s">
        <v>97</v>
      </c>
      <c r="Y8" s="262" t="s">
        <v>98</v>
      </c>
      <c r="Z8" s="262" t="s">
        <v>99</v>
      </c>
    </row>
    <row r="9" customFormat="false" ht="15.75" hidden="false" customHeight="false" outlineLevel="0" collapsed="false">
      <c r="A9" s="75" t="n">
        <f aca="false">TradeSum!A12</f>
        <v>37225</v>
      </c>
      <c r="B9" s="120" t="n">
        <f aca="false">IF($C$6=0,VLOOKUP(A9,NymexData!$A$12:$F$179,6),VLOOKUP(A9,NymexData!$A$12:$L$179,12))</f>
        <v>3.455</v>
      </c>
      <c r="C9" s="263" t="n">
        <f aca="false">TradeSum!I12</f>
        <v>52.5781383220543</v>
      </c>
      <c r="D9" s="120" t="n">
        <f aca="false">C9/B9</f>
        <v>15.2179850425627</v>
      </c>
      <c r="E9" s="264" t="n">
        <f aca="false">TradeSum!I56</f>
        <v>45.006294617808</v>
      </c>
      <c r="F9" s="87" t="n">
        <f aca="false">E9/B9</f>
        <v>13.0264239125349</v>
      </c>
      <c r="G9" s="87" t="n">
        <f aca="false">F9*TradeSum!F56*24/10000+(GasPosn!B329*1.055+GasPosn!C329+GasPosn!D12*1.055)/(VLOOKUP(A9,$AB$12:$AD$47,3))</f>
        <v>1.36452225045266</v>
      </c>
      <c r="H9" s="265" t="str">
        <f aca="false">TradeSum!V12</f>
        <v>Q1 2002</v>
      </c>
      <c r="I9" s="87" t="n">
        <f aca="false" t="array" ref="I9:I9">SUM(IF((INT((MONTH(NymexData!$A$12:$A$47)-1)/3)=TradeSum!U12-1)*(YEAR(NymexData!$A$12:$A$47)=TradeSum!T12),NymexData!$F$12:$F$47*'Pricing Summary'!$AD$12:$AD$47))/SUM(IF((INT((MONTH(NymexData!$A$12:$A$47)-1)/3)=TradeSum!U12-1)*(YEAR(NymexData!$A$12:$A$47)=TradeSum!T12),'Pricing Summary'!$AD$12:$AD$47))</f>
        <v>4.26113090467871</v>
      </c>
      <c r="J9" s="87" t="n">
        <f aca="false">TradeSum!W12</f>
        <v>62.0722001742423</v>
      </c>
      <c r="K9" s="87" t="n">
        <f aca="false">J9/I9</f>
        <v>14.5670718789904</v>
      </c>
      <c r="L9" s="266" t="n">
        <f aca="false">TradeSum!W56</f>
        <v>47.5828026118987</v>
      </c>
      <c r="M9" s="267" t="n">
        <f aca="false">L9/I9</f>
        <v>11.1667075422754</v>
      </c>
      <c r="P9" s="268" t="str">
        <f aca="false">H9</f>
        <v>Q1 2002</v>
      </c>
      <c r="Q9" s="87" t="n">
        <f aca="false" t="array" ref="Q9:Q9">IF(NymexData!$AA$12="",'Pricing Summary'!I9,SUM(IF((INT((MONTH(NymexData!$A$12:$A$47)-1)/3)=TradeSum!U12-1)*(YEAR(NymexData!$A$12:$A$47)=TradeSum!T12),NymexData!$L$12:$L$47*'Pricing Summary'!$AD$12:$AD$47))/SUM(IF((INT((MONTH(NymexData!$A$12:$A$47)-1)/3)=TradeSum!U12-1)*(YEAR(NymexData!$A$12:$A$47)=TradeSum!T12),'Pricing Summary'!$AD$12:$AD$47)))</f>
        <v>4.11790072276112</v>
      </c>
      <c r="R9" s="87" t="n">
        <f aca="false">J9</f>
        <v>62.0722001742423</v>
      </c>
      <c r="S9" s="87" t="n">
        <f aca="false">R9/Q9</f>
        <v>15.0737485804713</v>
      </c>
      <c r="T9" s="266" t="n">
        <f aca="false">L9</f>
        <v>47.5828026118987</v>
      </c>
      <c r="U9" s="267" t="n">
        <f aca="false">T9/Q9</f>
        <v>11.5551116492176</v>
      </c>
      <c r="W9" s="268" t="n">
        <f aca="false">A9</f>
        <v>37225</v>
      </c>
      <c r="X9" s="269" t="n">
        <f aca="false">VLOOKUP(W9,TradeSum!$A$56:$K$84,10)+VLOOKUP(W9,TradeSum!$A$56:$K$84,11)+VLOOKUP(W9,TradeSum!$A$12:$K$40,11)</f>
        <v>-256509.312233825</v>
      </c>
      <c r="Y9" s="269" t="n">
        <f aca="false">VLOOKUP(W9,GasPosn!$BG$12:$BL$28,6)+VLOOKUP(W9,GasPosn!$BG$200:$BL$216,6)+VLOOKUP(W9,GasPosn!$A$329:$J$345,10)</f>
        <v>163504.123373599</v>
      </c>
      <c r="Z9" s="269" t="n">
        <f aca="false">X9+Y9</f>
        <v>-93005.1888602263</v>
      </c>
    </row>
    <row r="10" customFormat="false" ht="15.75" hidden="false" customHeight="false" outlineLevel="0" collapsed="false">
      <c r="A10" s="112" t="n">
        <f aca="false">TradeSum!A13</f>
        <v>37226</v>
      </c>
      <c r="B10" s="270" t="n">
        <f aca="false">IF($C$6=0,VLOOKUP(A10,NymexData!$A$12:$F$179,6),VLOOKUP(A10,NymexData!$A$12:$L$179,12))</f>
        <v>4.09832524640918</v>
      </c>
      <c r="C10" s="271" t="n">
        <f aca="false">TradeSum!I13</f>
        <v>57.4661474563896</v>
      </c>
      <c r="D10" s="271" t="n">
        <f aca="false">C10/B10</f>
        <v>14.0218611265027</v>
      </c>
      <c r="E10" s="272" t="n">
        <f aca="false">TradeSum!I57</f>
        <v>49.2721397910979</v>
      </c>
      <c r="F10" s="271" t="n">
        <f aca="false">E10/B10</f>
        <v>12.0225059819907</v>
      </c>
      <c r="G10" s="271" t="n">
        <f aca="false">F10*TradeSum!F57*24/10000+(GasPosn!B330*1.055+GasPosn!C330+GasPosn!D13*1.055)/(VLOOKUP(A10,$AB$12:$AD$47,3))</f>
        <v>0.865882961169096</v>
      </c>
      <c r="H10" s="273" t="str">
        <f aca="false">TradeSum!V13</f>
        <v>Q2 2002</v>
      </c>
      <c r="I10" s="123" t="n">
        <f aca="false" t="array" ref="I10:I10">SUM(IF((INT((MONTH(NymexData!$A$12:$A$47)-1)/3)=TradeSum!U13-1)*(YEAR(NymexData!$A$12:$A$47)=TradeSum!T13),NymexData!$F$12:$F$47*'Pricing Summary'!$AD$12:$AD$47))/SUM(IF((INT((MONTH(NymexData!$A$12:$A$47)-1)/3)=TradeSum!U13-1)*(YEAR(NymexData!$A$12:$A$47)=TradeSum!T13),'Pricing Summary'!$AD$12:$AD$47))</f>
        <v>4.03658836820414</v>
      </c>
      <c r="J10" s="271" t="n">
        <f aca="false">TradeSum!W13</f>
        <v>57.6047862909103</v>
      </c>
      <c r="K10" s="271" t="n">
        <f aca="false">J10/I10</f>
        <v>14.2706615181915</v>
      </c>
      <c r="L10" s="123" t="n">
        <f aca="false">TradeSum!W57</f>
        <v>44.5809007111819</v>
      </c>
      <c r="M10" s="274" t="n">
        <f aca="false">L10/I10</f>
        <v>11.0442028378077</v>
      </c>
      <c r="P10" s="275" t="str">
        <f aca="false">H10</f>
        <v>Q2 2002</v>
      </c>
      <c r="Q10" s="123" t="n">
        <f aca="false" t="array" ref="Q10:Q10">IF(NymexData!$AA$12="",'Pricing Summary'!I10,SUM(IF((INT((MONTH(NymexData!$A$12:$A$47)-1)/3)=TradeSum!U13-1)*(YEAR(NymexData!$A$12:$A$47)=TradeSum!T13),NymexData!$L$12:$L$47*'Pricing Summary'!$AD$12:$AD$47))/SUM(IF((INT((MONTH(NymexData!$A$12:$A$47)-1)/3)=TradeSum!U13-1)*(YEAR(NymexData!$A$12:$A$47)=TradeSum!T13),'Pricing Summary'!$AD$12:$AD$47)))</f>
        <v>3.95238511253231</v>
      </c>
      <c r="R10" s="271" t="n">
        <f aca="false">J10</f>
        <v>57.6047862909103</v>
      </c>
      <c r="S10" s="271" t="n">
        <f aca="false">R10/Q10</f>
        <v>14.5746896243121</v>
      </c>
      <c r="T10" s="123" t="n">
        <f aca="false">L10</f>
        <v>44.5809007111819</v>
      </c>
      <c r="U10" s="274" t="n">
        <f aca="false">T10/Q10</f>
        <v>11.2794931267765</v>
      </c>
      <c r="W10" s="275" t="n">
        <f aca="false">A10</f>
        <v>37226</v>
      </c>
      <c r="X10" s="276" t="n">
        <f aca="false">VLOOKUP(W10,TradeSum!$A$56:$K$84,10)+VLOOKUP(W10,TradeSum!$A$56:$K$84,11)+VLOOKUP(W10,TradeSum!$A$12:$K$40,11)</f>
        <v>199777.60686943</v>
      </c>
      <c r="Y10" s="277" t="n">
        <f aca="false">VLOOKUP(W10,GasPosn!$BG$12:$BL$28,6)+VLOOKUP(W10,GasPosn!$BG$200:$BL$216,6)+VLOOKUP(W10,GasPosn!$A$329:$J$345,10)</f>
        <v>-158732.903895237</v>
      </c>
      <c r="Z10" s="277" t="n">
        <f aca="false">X10+Y10</f>
        <v>41044.7029741933</v>
      </c>
    </row>
    <row r="11" customFormat="false" ht="15.75" hidden="false" customHeight="false" outlineLevel="0" collapsed="false">
      <c r="A11" s="75" t="n">
        <f aca="false">TradeSum!A14</f>
        <v>37257</v>
      </c>
      <c r="B11" s="120" t="n">
        <f aca="false">IF($C$6=0,VLOOKUP(A11,NymexData!$A$12:$F$179,6),VLOOKUP(A11,NymexData!$A$12:$L$179,12))</f>
        <v>4.19143086167655</v>
      </c>
      <c r="C11" s="263" t="n">
        <f aca="false">TradeSum!I14</f>
        <v>63.3477605927942</v>
      </c>
      <c r="D11" s="120" t="n">
        <f aca="false">C11/B11</f>
        <v>15.1136360549332</v>
      </c>
      <c r="E11" s="264" t="n">
        <f aca="false">TradeSum!I58</f>
        <v>48.4339700229506</v>
      </c>
      <c r="F11" s="120" t="n">
        <f aca="false">E11/B11</f>
        <v>11.5554739231884</v>
      </c>
      <c r="G11" s="120" t="n">
        <f aca="false">F11*TradeSum!F58*24/10000+(GasPosn!B331*1.055+GasPosn!C331+GasPosn!D14*1.055)/(VLOOKUP(A11,$AB$12:$AD$47,3))</f>
        <v>2.88739188740425</v>
      </c>
      <c r="H11" s="278" t="str">
        <f aca="false">TradeSum!V14</f>
        <v>Q3 2002</v>
      </c>
      <c r="I11" s="120" t="n">
        <f aca="false" t="array" ref="I11:I11">SUM(IF((INT((MONTH(NymexData!$A$12:$A$47)-1)/3)=TradeSum!U14-1)*(YEAR(NymexData!$A$12:$A$47)=TradeSum!T14),NymexData!$F$12:$F$47*'Pricing Summary'!$AD$12:$AD$47))/SUM(IF((INT((MONTH(NymexData!$A$12:$A$47)-1)/3)=TradeSum!U14-1)*(YEAR(NymexData!$A$12:$A$47)=TradeSum!T14),'Pricing Summary'!$AD$12:$AD$47))</f>
        <v>4.19597942630886</v>
      </c>
      <c r="J11" s="120" t="n">
        <f aca="false">TradeSum!W14</f>
        <v>50.8382205938503</v>
      </c>
      <c r="K11" s="120" t="n">
        <f aca="false">J11/I11</f>
        <v>12.1159365737338</v>
      </c>
      <c r="L11" s="263" t="n">
        <f aca="false">TradeSum!W58</f>
        <v>41.1328016301441</v>
      </c>
      <c r="M11" s="279" t="n">
        <f aca="false">L11/I11</f>
        <v>9.80290832034132</v>
      </c>
      <c r="P11" s="280" t="str">
        <f aca="false">H11</f>
        <v>Q3 2002</v>
      </c>
      <c r="Q11" s="120" t="n">
        <f aca="false" t="array" ref="Q11:Q11">IF(NymexData!$AA$12="",'Pricing Summary'!I11,SUM(IF((INT((MONTH(NymexData!$A$12:$A$47)-1)/3)=TradeSum!U14-1)*(YEAR(NymexData!$A$12:$A$47)=TradeSum!T14),NymexData!$L$12:$L$47*'Pricing Summary'!$AD$12:$AD$47))/SUM(IF((INT((MONTH(NymexData!$A$12:$A$47)-1)/3)=TradeSum!U14-1)*(YEAR(NymexData!$A$12:$A$47)=TradeSum!T14),'Pricing Summary'!$AD$12:$AD$47)))</f>
        <v>4.09475852439295</v>
      </c>
      <c r="R11" s="120" t="n">
        <f aca="false">J11</f>
        <v>50.8382205938503</v>
      </c>
      <c r="S11" s="120" t="n">
        <f aca="false">R11/Q11</f>
        <v>12.4154380022659</v>
      </c>
      <c r="T11" s="263" t="n">
        <f aca="false">L11</f>
        <v>41.1328016301441</v>
      </c>
      <c r="U11" s="279" t="n">
        <f aca="false">T11/Q11</f>
        <v>10.0452325540349</v>
      </c>
      <c r="W11" s="280" t="n">
        <f aca="false">A11</f>
        <v>37257</v>
      </c>
      <c r="X11" s="281" t="n">
        <f aca="false">VLOOKUP(W11,TradeSum!$A$56:$K$84,10)+VLOOKUP(W11,TradeSum!$A$56:$K$84,11)+VLOOKUP(W11,TradeSum!$A$12:$K$40,11)</f>
        <v>-162652.376481724</v>
      </c>
      <c r="Y11" s="281" t="n">
        <f aca="false">VLOOKUP(W11,GasPosn!$BG$12:$BL$28,6)+VLOOKUP(W11,GasPosn!$BG$200:$BL$216,6)+VLOOKUP(W11,GasPosn!$A$329:$J$345,10)</f>
        <v>72715.9083633017</v>
      </c>
      <c r="Z11" s="281" t="n">
        <f aca="false">X11+Y11</f>
        <v>-89936.4681184218</v>
      </c>
      <c r="AC11" s="0" t="s">
        <v>82</v>
      </c>
      <c r="AD11" s="0" t="s">
        <v>100</v>
      </c>
      <c r="AE11" s="0" t="s">
        <v>101</v>
      </c>
      <c r="AF11" s="0" t="s">
        <v>102</v>
      </c>
      <c r="AG11" s="0" t="s">
        <v>103</v>
      </c>
      <c r="AH11" s="0" t="s">
        <v>104</v>
      </c>
      <c r="AI11" s="0" t="s">
        <v>105</v>
      </c>
      <c r="AJ11" s="0" t="s">
        <v>106</v>
      </c>
      <c r="AK11" s="0" t="s">
        <v>107</v>
      </c>
      <c r="AM11" s="0" t="s">
        <v>108</v>
      </c>
      <c r="AO11" s="0" t="s">
        <v>109</v>
      </c>
    </row>
    <row r="12" customFormat="false" ht="15.75" hidden="false" customHeight="false" outlineLevel="0" collapsed="false">
      <c r="A12" s="112" t="n">
        <f aca="false">TradeSum!A15</f>
        <v>37288</v>
      </c>
      <c r="B12" s="270" t="n">
        <f aca="false">IF($C$6=0,VLOOKUP(A12,NymexData!$A$12:$F$179,6),VLOOKUP(A12,NymexData!$A$12:$L$179,12))</f>
        <v>4.14388254153363</v>
      </c>
      <c r="C12" s="271" t="n">
        <f aca="false">TradeSum!I15</f>
        <v>62.5073631824374</v>
      </c>
      <c r="D12" s="271" t="n">
        <f aca="false">C12/B12</f>
        <v>15.0842507131739</v>
      </c>
      <c r="E12" s="272" t="n">
        <f aca="false">TradeSum!I59</f>
        <v>48.1008089366897</v>
      </c>
      <c r="F12" s="271" t="n">
        <f aca="false">E12/B12</f>
        <v>11.6076670741946</v>
      </c>
      <c r="G12" s="271" t="n">
        <f aca="false">F12*TradeSum!F59*24/10000+(GasPosn!B332*1.055+GasPosn!C332+GasPosn!D15*1.055)/(VLOOKUP(A12,$AB$12:$AD$47,3))</f>
        <v>2.79963236326971</v>
      </c>
      <c r="H12" s="273" t="str">
        <f aca="false">TradeSum!V15</f>
        <v>Q4 2002</v>
      </c>
      <c r="I12" s="123" t="n">
        <f aca="false" t="array" ref="I12:I12">SUM(IF((INT((MONTH(NymexData!$A$12:$A$47)-1)/3)=TradeSum!U15-1)*(YEAR(NymexData!$A$12:$A$47)=TradeSum!T15),NymexData!$F$12:$F$47*'Pricing Summary'!$AD$12:$AD$47))/SUM(IF((INT((MONTH(NymexData!$A$12:$A$47)-1)/3)=TradeSum!U15-1)*(YEAR(NymexData!$A$12:$A$47)=TradeSum!T15),'Pricing Summary'!$AD$12:$AD$47))</f>
        <v>4.60865149977769</v>
      </c>
      <c r="J12" s="271" t="n">
        <f aca="false">TradeSum!W15</f>
        <v>59.5924240204556</v>
      </c>
      <c r="K12" s="271" t="n">
        <f aca="false">J12/I12</f>
        <v>12.9305555048652</v>
      </c>
      <c r="L12" s="123" t="n">
        <f aca="false">TradeSum!W59</f>
        <v>47.21667748207</v>
      </c>
      <c r="M12" s="274" t="n">
        <f aca="false">L12/I12</f>
        <v>10.245226284597</v>
      </c>
      <c r="P12" s="275" t="str">
        <f aca="false">H12</f>
        <v>Q4 2002</v>
      </c>
      <c r="Q12" s="123" t="n">
        <f aca="false" t="array" ref="Q12:Q12">IF(NymexData!$AA$12="",'Pricing Summary'!I12,SUM(IF((INT((MONTH(NymexData!$A$12:$A$47)-1)/3)=TradeSum!U15-1)*(YEAR(NymexData!$A$12:$A$47)=TradeSum!T15),NymexData!$L$12:$L$47*'Pricing Summary'!$AD$12:$AD$47))/SUM(IF((INT((MONTH(NymexData!$A$12:$A$47)-1)/3)=TradeSum!U15-1)*(YEAR(NymexData!$A$12:$A$47)=TradeSum!T15),'Pricing Summary'!$AD$12:$AD$47)))</f>
        <v>4.49296028300752</v>
      </c>
      <c r="R12" s="271" t="n">
        <f aca="false">J12</f>
        <v>59.5924240204556</v>
      </c>
      <c r="S12" s="271" t="n">
        <f aca="false">R12/Q12</f>
        <v>13.2635100839497</v>
      </c>
      <c r="T12" s="123" t="n">
        <f aca="false">L12</f>
        <v>47.21667748207</v>
      </c>
      <c r="U12" s="274" t="n">
        <f aca="false">T12/Q12</f>
        <v>10.5090351367326</v>
      </c>
      <c r="W12" s="275" t="n">
        <f aca="false">A12</f>
        <v>37288</v>
      </c>
      <c r="X12" s="276" t="n">
        <f aca="false">VLOOKUP(W12,TradeSum!$A$56:$K$84,10)+VLOOKUP(W12,TradeSum!$A$56:$K$84,11)+VLOOKUP(W12,TradeSum!$A$12:$K$40,11)</f>
        <v>-153246.259626852</v>
      </c>
      <c r="Y12" s="277" t="n">
        <f aca="false">VLOOKUP(W12,GasPosn!$BG$12:$BL$28,6)+VLOOKUP(W12,GasPosn!$BG$200:$BL$216,6)+VLOOKUP(W12,GasPosn!$A$329:$J$345,10)</f>
        <v>61412.3937066844</v>
      </c>
      <c r="Z12" s="277" t="n">
        <f aca="false">X12+Y12</f>
        <v>-91833.8659201672</v>
      </c>
      <c r="AB12" s="282" t="n">
        <f aca="false">[2]EnergyCurve!$D34</f>
        <v>37225</v>
      </c>
      <c r="AC12" s="2" t="n">
        <f aca="false">IF(TradeSum!$L$6=0,VLOOKUP(AB12,TradeSum!$DM$13:$DQ$252,2)+VLOOKUP(AB12,TradeSum!$DU$13:$DY$252,3),VLOOKUP(AB12,TradeSum!$DU$13:$DY$252,2)+VLOOKUP(AB12,TradeSum!$DU$13:$DY$252,3))</f>
        <v>25</v>
      </c>
      <c r="AD12" s="2" t="n">
        <f aca="false">VLOOKUP(AB12,TradeSum!$DM$13:$DR$252,6)</f>
        <v>30</v>
      </c>
      <c r="AE12" s="2" t="n">
        <f aca="false">IF(TradeSum!$L$6=0,VLOOKUP(AB12,TradeSum!$DM$13:$DQ$252,2),VLOOKUP(AB12,TradeSum!$DU$13:$DY$252,2))</f>
        <v>21</v>
      </c>
      <c r="AF12" s="283" t="n">
        <f aca="false">[2]EnergyCurve!$G34</f>
        <v>53.4999961853027</v>
      </c>
      <c r="AG12" s="283" t="n">
        <f aca="false">[2]EnergyCurve!$Y34</f>
        <v>47.7383845400001</v>
      </c>
      <c r="AH12" s="283" t="n">
        <f aca="false">[2]EnergyCurve!$AD34</f>
        <v>47.7383845400001</v>
      </c>
      <c r="AI12" s="283" t="n">
        <f aca="false">[2]EnergyCurve!$L34</f>
        <v>31.47585847</v>
      </c>
      <c r="AJ12" s="0" t="n">
        <f aca="false">(AE12*AF12+(AC12-AE12)*AG12)/AC12</f>
        <v>52.5781383220543</v>
      </c>
      <c r="AK12" s="0" t="n">
        <f aca="false">(AC12*16*AJ12+(AD12-AC12)*16*AH12+AD12*8*AI12)/(AD12*24)</f>
        <v>45.006294617808</v>
      </c>
      <c r="AM12" s="0" t="n">
        <f aca="false">IF(NymexData!AC12="",VLOOKUP('Pricing Summary'!AB12,NymexData!$S$12:$U$250,3),VLOOKUP(NymexData!AA12,NymexData!$AA$12:$AC$250,3))</f>
        <v>1.15</v>
      </c>
      <c r="AO12" s="284" t="n">
        <f aca="false">AD12*24*VLOOKUP(AB12,Interest!$X$8:$AC$367,6)</f>
        <v>717.757946329615</v>
      </c>
    </row>
    <row r="13" customFormat="false" ht="15.75" hidden="false" customHeight="false" outlineLevel="0" collapsed="false">
      <c r="A13" s="75" t="n">
        <f aca="false">TradeSum!A16</f>
        <v>37316</v>
      </c>
      <c r="B13" s="120" t="n">
        <f aca="false">IF($C$6=0,VLOOKUP(A13,NymexData!$A$12:$F$179,6),VLOOKUP(A13,NymexData!$A$12:$L$179,12))</f>
        <v>4.02090313463183</v>
      </c>
      <c r="C13" s="263" t="n">
        <f aca="false">TradeSum!I16</f>
        <v>60.3949508250486</v>
      </c>
      <c r="D13" s="120" t="n">
        <f aca="false">C13/B13</f>
        <v>15.0202451545948</v>
      </c>
      <c r="E13" s="264" t="n">
        <f aca="false">TradeSum!I60</f>
        <v>46.2534755164244</v>
      </c>
      <c r="F13" s="120" t="n">
        <f aca="false">E13/B13</f>
        <v>11.5032553552573</v>
      </c>
      <c r="G13" s="120" t="n">
        <f aca="false">F13*TradeSum!F60*24/10000+(GasPosn!B333*1.055+GasPosn!C333+GasPosn!D16*1.055)/(VLOOKUP(A13,$AB$12:$AD$47,3))</f>
        <v>2.8461331053079</v>
      </c>
      <c r="H13" s="278" t="str">
        <f aca="false">TradeSum!V16</f>
        <v>Q1 2003</v>
      </c>
      <c r="I13" s="120" t="n">
        <f aca="false" t="array" ref="I13:I13">SUM(IF((INT((MONTH(NymexData!$A$12:$A$47)-1)/3)=TradeSum!U16-1)*(YEAR(NymexData!$A$12:$A$47)=TradeSum!T16),NymexData!$F$12:$F$47*'Pricing Summary'!$AD$12:$AD$47))/SUM(IF((INT((MONTH(NymexData!$A$12:$A$47)-1)/3)=TradeSum!U16-1)*(YEAR(NymexData!$A$12:$A$47)=TradeSum!T16),'Pricing Summary'!$AD$12:$AD$47))</f>
        <v>4.98775890295062</v>
      </c>
      <c r="J13" s="120" t="n">
        <f aca="false">TradeSum!W16</f>
        <v>50.7237548900505</v>
      </c>
      <c r="K13" s="120" t="n">
        <f aca="false">J13/I13</f>
        <v>10.1696485088812</v>
      </c>
      <c r="L13" s="263" t="n">
        <f aca="false">TradeSum!W60</f>
        <v>43.3141898847658</v>
      </c>
      <c r="M13" s="279" t="n">
        <f aca="false">L13/I13</f>
        <v>8.68409855559426</v>
      </c>
      <c r="P13" s="280" t="str">
        <f aca="false">H13</f>
        <v>Q1 2003</v>
      </c>
      <c r="Q13" s="120" t="n">
        <f aca="false" t="array" ref="Q13:Q13">IF(NymexData!$AA$12="",'Pricing Summary'!I13,SUM(IF((INT((MONTH(NymexData!$A$12:$A$47)-1)/3)=TradeSum!U16-1)*(YEAR(NymexData!$A$12:$A$47)=TradeSum!T16),NymexData!$L$12:$L$47*'Pricing Summary'!$AD$12:$AD$47))/SUM(IF((INT((MONTH(NymexData!$A$12:$A$47)-1)/3)=TradeSum!U16-1)*(YEAR(NymexData!$A$12:$A$47)=TradeSum!T16),'Pricing Summary'!$AD$12:$AD$47)))</f>
        <v>4.85053418681275</v>
      </c>
      <c r="R13" s="120" t="n">
        <f aca="false">J13</f>
        <v>50.7237548900505</v>
      </c>
      <c r="S13" s="120" t="n">
        <f aca="false">R13/Q13</f>
        <v>10.4573543730409</v>
      </c>
      <c r="T13" s="263" t="n">
        <f aca="false">L13</f>
        <v>43.3141898847658</v>
      </c>
      <c r="U13" s="279" t="n">
        <f aca="false">T13/Q13</f>
        <v>8.92977726093036</v>
      </c>
      <c r="W13" s="280" t="n">
        <f aca="false">A13</f>
        <v>37316</v>
      </c>
      <c r="X13" s="281" t="n">
        <f aca="false">VLOOKUP(W13,TradeSum!$A$56:$K$84,10)+VLOOKUP(W13,TradeSum!$A$56:$K$84,11)+VLOOKUP(W13,TradeSum!$A$12:$K$40,11)</f>
        <v>-148385.736822939</v>
      </c>
      <c r="Y13" s="281" t="n">
        <f aca="false">VLOOKUP(W13,GasPosn!$BG$12:$BL$28,6)+VLOOKUP(W13,GasPosn!$BG$200:$BL$216,6)+VLOOKUP(W13,GasPosn!$A$329:$J$345,10)</f>
        <v>39408.7825548112</v>
      </c>
      <c r="Z13" s="281" t="n">
        <f aca="false">X13+Y13</f>
        <v>-108976.954268128</v>
      </c>
      <c r="AB13" s="282" t="n">
        <f aca="false">[2]EnergyCurve!$D35</f>
        <v>37226</v>
      </c>
      <c r="AC13" s="2" t="n">
        <f aca="false">IF(TradeSum!$L$6=0,VLOOKUP(AB13,TradeSum!$DM$13:$DQ$252,2)+VLOOKUP(AB13,TradeSum!$DU$13:$DY$252,3),VLOOKUP(AB13,TradeSum!$DU$13:$DY$252,2)+VLOOKUP(AB13,TradeSum!$DU$13:$DY$252,3))</f>
        <v>25</v>
      </c>
      <c r="AD13" s="2" t="n">
        <f aca="false">VLOOKUP(AB13,TradeSum!$DM$13:$DR$252,6)</f>
        <v>31</v>
      </c>
      <c r="AE13" s="2" t="n">
        <f aca="false">IF(TradeSum!$L$6=0,VLOOKUP(AB13,TradeSum!$DM$13:$DQ$252,2),VLOOKUP(AB13,TradeSum!$DU$13:$DY$252,2))</f>
        <v>20</v>
      </c>
      <c r="AF13" s="283" t="n">
        <f aca="false">[2]EnergyCurve!$G35</f>
        <v>60.0499992370606</v>
      </c>
      <c r="AG13" s="283" t="n">
        <f aca="false">[2]EnergyCurve!$Y35</f>
        <v>47.1307403337056</v>
      </c>
      <c r="AH13" s="283" t="n">
        <f aca="false">[2]EnergyCurve!$AD35</f>
        <v>47.1307403337056</v>
      </c>
      <c r="AI13" s="283" t="n">
        <f aca="false">[2]EnergyCurve!$L35</f>
        <v>36.8849272176826</v>
      </c>
      <c r="AJ13" s="0" t="n">
        <f aca="false">(AE13*AF13+(AC13-AE13)*AG13)/AC13</f>
        <v>57.4661474563896</v>
      </c>
      <c r="AK13" s="0" t="n">
        <f aca="false">(AC13*16*AJ13+(AD13-AC13)*16*AH13+AD13*8*AI13)/(AD13*24)</f>
        <v>49.2721397910979</v>
      </c>
      <c r="AM13" s="0" t="n">
        <f aca="false">IF(NymexData!AC13="",VLOOKUP('Pricing Summary'!AB13,NymexData!$S$12:$U$250,3),VLOOKUP(NymexData!AA13,NymexData!$AA$12:$AC$250,3))</f>
        <v>0.795</v>
      </c>
      <c r="AO13" s="284" t="n">
        <f aca="false">AD13*24*VLOOKUP(AB13,Interest!$X$8:$AC$367,6)</f>
        <v>739.956229090536</v>
      </c>
    </row>
    <row r="14" customFormat="false" ht="15.75" hidden="false" customHeight="false" outlineLevel="0" collapsed="false">
      <c r="A14" s="112" t="n">
        <f aca="false">TradeSum!A17</f>
        <v>37347</v>
      </c>
      <c r="B14" s="270" t="n">
        <f aca="false">IF($C$6=0,VLOOKUP(A14,NymexData!$A$12:$F$179,6),VLOOKUP(A14,NymexData!$A$12:$L$179,12))</f>
        <v>3.90232668271578</v>
      </c>
      <c r="C14" s="271" t="n">
        <f aca="false">TradeSum!I17</f>
        <v>57.0334727442363</v>
      </c>
      <c r="D14" s="271" t="n">
        <f aca="false">C14/B14</f>
        <v>14.6152481279564</v>
      </c>
      <c r="E14" s="272" t="n">
        <f aca="false">TradeSum!I61</f>
        <v>44.3778184843989</v>
      </c>
      <c r="F14" s="271" t="n">
        <f aca="false">E14/B14</f>
        <v>11.3721433628193</v>
      </c>
      <c r="G14" s="271" t="n">
        <f aca="false">F14*TradeSum!F61*24/10000+(GasPosn!B334*1.055+GasPosn!C334+GasPosn!D17*1.055)/(VLOOKUP(A14,$AB$12:$AD$47,3))</f>
        <v>2.53355154431424</v>
      </c>
      <c r="H14" s="273" t="str">
        <f aca="false">TradeSum!V17</f>
        <v>Q2 2003</v>
      </c>
      <c r="I14" s="123" t="n">
        <f aca="false" t="array" ref="I14:I14">SUM(IF((INT((MONTH(NymexData!$A$12:$A$47)-1)/3)=TradeSum!U17-1)*(YEAR(NymexData!$A$12:$A$47)=TradeSum!T17),NymexData!$F$12:$F$47*'Pricing Summary'!$AD$12:$AD$47))/SUM(IF((INT((MONTH(NymexData!$A$12:$A$47)-1)/3)=TradeSum!U17-1)*(YEAR(NymexData!$A$12:$A$47)=TradeSum!T17),'Pricing Summary'!$AD$12:$AD$47))</f>
        <v>4.65185470748343</v>
      </c>
      <c r="J14" s="271" t="n">
        <f aca="false">TradeSum!W17</f>
        <v>47.1817381001497</v>
      </c>
      <c r="K14" s="271" t="n">
        <f aca="false">J14/I14</f>
        <v>10.1425648621933</v>
      </c>
      <c r="L14" s="123" t="n">
        <f aca="false">TradeSum!W61</f>
        <v>40.2957407838084</v>
      </c>
      <c r="M14" s="274" t="n">
        <f aca="false">L14/I14</f>
        <v>8.6622956471501</v>
      </c>
      <c r="P14" s="275" t="str">
        <f aca="false">H14</f>
        <v>Q2 2003</v>
      </c>
      <c r="Q14" s="123" t="n">
        <f aca="false" t="array" ref="Q14:Q14">IF(NymexData!$AA$12="",'Pricing Summary'!I14,SUM(IF((INT((MONTH(NymexData!$A$12:$A$47)-1)/3)=TradeSum!U17-1)*(YEAR(NymexData!$A$12:$A$47)=TradeSum!T17),NymexData!$L$12:$L$47*'Pricing Summary'!$AD$12:$AD$47))/SUM(IF((INT((MONTH(NymexData!$A$12:$A$47)-1)/3)=TradeSum!U17-1)*(YEAR(NymexData!$A$12:$A$47)=TradeSum!T17),'Pricing Summary'!$AD$12:$AD$47)))</f>
        <v>4.51178444169277</v>
      </c>
      <c r="R14" s="271" t="n">
        <f aca="false">J14</f>
        <v>47.1817381001497</v>
      </c>
      <c r="S14" s="271" t="n">
        <f aca="false">R14/Q14</f>
        <v>10.4574450995819</v>
      </c>
      <c r="T14" s="123" t="n">
        <f aca="false">L14</f>
        <v>40.2957407838084</v>
      </c>
      <c r="U14" s="274" t="n">
        <f aca="false">T14/Q14</f>
        <v>8.93122029754814</v>
      </c>
      <c r="W14" s="285" t="n">
        <v>2002</v>
      </c>
      <c r="X14" s="276" t="n">
        <f aca="false" t="array" ref="X14:X14">SUM(IF(YEAR([2]EnergyCurve!$D$3:$D$272)=$W14,[2]EnergyCurve!$T$3:$T$272))+SUM(IF(YEAR([2]OperatingCurve!$D$3:$D$272)=$W14,[2]OperatingCurve!$T$3:$T$272))+SUM(IF(YEAR(TradeSum!$A$12:$A$40)=$W14,TradeSum!$K$12:$K$40))+SUM(IF(YEAR(TradeSum!$A$56:$A$84)=$W14,TradeSum!$K$56:$K$84))</f>
        <v>-1783068.13210948</v>
      </c>
      <c r="Y14" s="277" t="n">
        <f aca="false" t="array" ref="Y14:Y14">SUM(IF(YEAR(GasPosn!$BG$12:$BG$188)=$W14,GasPosn!$BL$12:$BL$188))+SUM(IF(YEAR(GasPosn!$BG$200:$BG$316)=$W14,GasPosn!$BL$200:$BL$316))+SUM(IF(YEAR(GasPosn!$A$329:$A$445)=$W14,GasPosn!$J$329:$J$445))</f>
        <v>1566175.99744133</v>
      </c>
      <c r="Z14" s="277" t="n">
        <f aca="false">X14+Y14</f>
        <v>-216892.134668144</v>
      </c>
      <c r="AB14" s="282" t="n">
        <f aca="false">[2]EnergyCurve!$D36</f>
        <v>37257</v>
      </c>
      <c r="AC14" s="2" t="n">
        <f aca="false">IF(TradeSum!$L$6=0,VLOOKUP(AB14,TradeSum!$DM$13:$DQ$252,2)+VLOOKUP(AB14,TradeSum!$DU$13:$DY$252,3),VLOOKUP(AB14,TradeSum!$DU$13:$DY$252,2)+VLOOKUP(AB14,TradeSum!$DU$13:$DY$252,3))</f>
        <v>26</v>
      </c>
      <c r="AD14" s="2" t="n">
        <f aca="false">VLOOKUP(AB14,TradeSum!$DM$13:$DR$252,6)</f>
        <v>31</v>
      </c>
      <c r="AE14" s="2" t="n">
        <f aca="false">IF(TradeSum!$L$6=0,VLOOKUP(AB14,TradeSum!$DM$13:$DQ$252,2),VLOOKUP(AB14,TradeSum!$DU$13:$DY$252,2))</f>
        <v>22</v>
      </c>
      <c r="AF14" s="283" t="n">
        <f aca="false">[2]EnergyCurve!$G36</f>
        <v>64.9585168457031</v>
      </c>
      <c r="AG14" s="283" t="n">
        <f aca="false">[2]EnergyCurve!$Y36</f>
        <v>54.4886012017951</v>
      </c>
      <c r="AH14" s="283" t="n">
        <f aca="false">[2]EnergyCurve!$AD36</f>
        <v>39.8185931859272</v>
      </c>
      <c r="AI14" s="283" t="n">
        <f aca="false">[2]EnergyCurve!$L36</f>
        <v>26.1964428854784</v>
      </c>
      <c r="AJ14" s="0" t="n">
        <f aca="false">(AE14*AF14+(AC14-AE14)*AG14)/AC14</f>
        <v>63.3477605927942</v>
      </c>
      <c r="AK14" s="0" t="n">
        <f aca="false">(AC14*16*AJ14+(AD14-AC14)*16*AH14+AD14*8*AI14)/(AD14*24)</f>
        <v>48.4339700229506</v>
      </c>
      <c r="AM14" s="0" t="n">
        <f aca="false">IF(NymexData!AC14="",VLOOKUP('Pricing Summary'!AB14,NymexData!$S$12:$U$250,3),VLOOKUP(NymexData!AA14,NymexData!$AA$12:$AC$250,3))</f>
        <v>0.785</v>
      </c>
      <c r="AO14" s="284" t="n">
        <f aca="false">AD14*24*VLOOKUP(AB14,Interest!$X$8:$AC$367,6)</f>
        <v>738.405441748637</v>
      </c>
    </row>
    <row r="15" customFormat="false" ht="15.75" hidden="false" customHeight="false" outlineLevel="0" collapsed="false">
      <c r="A15" s="75" t="n">
        <f aca="false">TradeSum!A18</f>
        <v>37377</v>
      </c>
      <c r="B15" s="120" t="n">
        <f aca="false">IF($C$6=0,VLOOKUP(A15,NymexData!$A$12:$F$179,6),VLOOKUP(A15,NymexData!$A$12:$L$179,12))</f>
        <v>3.94749005751153</v>
      </c>
      <c r="C15" s="263" t="n">
        <f aca="false">TradeSum!I18</f>
        <v>57.6914947277678</v>
      </c>
      <c r="D15" s="120" t="n">
        <f aca="false">C15/B15</f>
        <v>14.6147283178051</v>
      </c>
      <c r="E15" s="264" t="n">
        <f aca="false">TradeSum!I62</f>
        <v>44.5139298919396</v>
      </c>
      <c r="F15" s="120" t="n">
        <f aca="false">E15/B15</f>
        <v>11.2765147583426</v>
      </c>
      <c r="G15" s="120" t="n">
        <f aca="false">F15*TradeSum!F62*24/10000+(GasPosn!B335*1.055+GasPosn!C335+GasPosn!D18*1.055)/(VLOOKUP(A15,$AB$12:$AD$47,3))</f>
        <v>2.63986175969478</v>
      </c>
      <c r="H15" s="278" t="str">
        <f aca="false">TradeSum!V18</f>
        <v>Q3 2003</v>
      </c>
      <c r="I15" s="120" t="n">
        <f aca="false" t="array" ref="I15:I15">SUM(IF((INT((MONTH(NymexData!$A$12:$A$47)-1)/3)=TradeSum!U18-1)*(YEAR(NymexData!$A$12:$A$47)=TradeSum!T18),NymexData!$F$12:$F$47*'Pricing Summary'!$AD$12:$AD$47))/SUM(IF((INT((MONTH(NymexData!$A$12:$A$47)-1)/3)=TradeSum!U18-1)*(YEAR(NymexData!$A$12:$A$47)=TradeSum!T18),'Pricing Summary'!$AD$12:$AD$47))</f>
        <v>4.74031643295862</v>
      </c>
      <c r="J15" s="120" t="n">
        <f aca="false">TradeSum!W18</f>
        <v>48.1427696141815</v>
      </c>
      <c r="K15" s="120" t="n">
        <f aca="false">J15/I15</f>
        <v>10.156024454286</v>
      </c>
      <c r="L15" s="263" t="n">
        <f aca="false">TradeSum!W62</f>
        <v>41.0815121828027</v>
      </c>
      <c r="M15" s="279" t="n">
        <f aca="false">L15/I15</f>
        <v>8.6664071404959</v>
      </c>
      <c r="P15" s="280" t="str">
        <f aca="false">H15</f>
        <v>Q3 2003</v>
      </c>
      <c r="Q15" s="120" t="n">
        <f aca="false" t="array" ref="Q15:Q15">IF(NymexData!$AA$12="",'Pricing Summary'!I15,SUM(IF((INT((MONTH(NymexData!$A$12:$A$47)-1)/3)=TradeSum!U18-1)*(YEAR(NymexData!$A$12:$A$47)=TradeSum!T18),NymexData!$L$12:$L$47*'Pricing Summary'!$AD$12:$AD$47))/SUM(IF((INT((MONTH(NymexData!$A$12:$A$47)-1)/3)=TradeSum!U18-1)*(YEAR(NymexData!$A$12:$A$47)=TradeSum!T18),'Pricing Summary'!$AD$12:$AD$47)))</f>
        <v>4.60358044136623</v>
      </c>
      <c r="R15" s="120" t="n">
        <f aca="false">J15</f>
        <v>48.1427696141815</v>
      </c>
      <c r="S15" s="120" t="n">
        <f aca="false">R15/Q15</f>
        <v>10.4576796750605</v>
      </c>
      <c r="T15" s="263" t="n">
        <f aca="false">L15</f>
        <v>41.0815121828027</v>
      </c>
      <c r="U15" s="279" t="n">
        <f aca="false">T15/Q15</f>
        <v>8.92381760371947</v>
      </c>
      <c r="W15" s="286" t="n">
        <v>2003</v>
      </c>
      <c r="X15" s="281" t="n">
        <f aca="false" t="array" ref="X15:X15">SUM(IF(YEAR([2]EnergyCurve!$D$3:$D$272)=$W15,[2]EnergyCurve!$T$3:$T$272))+SUM(IF(YEAR([2]OperatingCurve!$D$3:$D$272)=$W15,[2]OperatingCurve!$T$3:$T$272))+SUM(IF(YEAR(TradeSum!$A$12:$A$40)=$W15,TradeSum!$K$12:$K$40))+SUM(IF(YEAR(TradeSum!$A$56:$A$84)=$W15,TradeSum!$K$56:$K$84))</f>
        <v>-5776995.11583347</v>
      </c>
      <c r="Y15" s="281" t="n">
        <f aca="false" t="array" ref="Y15:Y15">SUM(IF(YEAR(GasPosn!$BG$12:$BG$188)=$W15,GasPosn!$BL$12:$BL$188))+SUM(IF(YEAR(GasPosn!$BG$200:$BG$316)=$W15,GasPosn!$BL$200:$BL$316))+SUM(IF(YEAR(GasPosn!$A$329:$A$445)=$W15,GasPosn!$J$329:$J$445))</f>
        <v>5773231.78816493</v>
      </c>
      <c r="Z15" s="281" t="n">
        <f aca="false">X15+Y15</f>
        <v>-3763.32766853832</v>
      </c>
      <c r="AB15" s="282" t="n">
        <f aca="false">[2]EnergyCurve!$D37</f>
        <v>37288</v>
      </c>
      <c r="AC15" s="2" t="n">
        <f aca="false">IF(TradeSum!$L$6=0,VLOOKUP(AB15,TradeSum!$DM$13:$DQ$252,2)+VLOOKUP(AB15,TradeSum!$DU$13:$DY$252,3),VLOOKUP(AB15,TradeSum!$DU$13:$DY$252,2)+VLOOKUP(AB15,TradeSum!$DU$13:$DY$252,3))</f>
        <v>24</v>
      </c>
      <c r="AD15" s="2" t="n">
        <f aca="false">VLOOKUP(AB15,TradeSum!$DM$13:$DR$252,6)</f>
        <v>28</v>
      </c>
      <c r="AE15" s="2" t="n">
        <f aca="false">IF(TradeSum!$L$6=0,VLOOKUP(AB15,TradeSum!$DM$13:$DQ$252,2),VLOOKUP(AB15,TradeSum!$DU$13:$DY$252,2))</f>
        <v>20</v>
      </c>
      <c r="AF15" s="283" t="n">
        <f aca="false">[2]EnergyCurve!$G37</f>
        <v>64.2347412109375</v>
      </c>
      <c r="AG15" s="283" t="n">
        <f aca="false">[2]EnergyCurve!$Y37</f>
        <v>53.8704730399371</v>
      </c>
      <c r="AH15" s="283" t="n">
        <f aca="false">[2]EnergyCurve!$AD37</f>
        <v>39.3668841445695</v>
      </c>
      <c r="AI15" s="283" t="n">
        <f aca="false">[2]EnergyCurve!$L37</f>
        <v>25.8992658845852</v>
      </c>
      <c r="AJ15" s="0" t="n">
        <f aca="false">(AE15*AF15+(AC15-AE15)*AG15)/AC15</f>
        <v>62.5073631824374</v>
      </c>
      <c r="AK15" s="0" t="n">
        <f aca="false">(AC15*16*AJ15+(AD15-AC15)*16*AH15+AD15*8*AI15)/(AD15*24)</f>
        <v>48.1008089366897</v>
      </c>
      <c r="AM15" s="0" t="n">
        <f aca="false">IF(NymexData!AC15="",VLOOKUP('Pricing Summary'!AB15,NymexData!$S$12:$U$250,3),VLOOKUP(NymexData!AA15,NymexData!$AA$12:$AC$250,3))</f>
        <v>0.725</v>
      </c>
      <c r="AO15" s="284" t="n">
        <f aca="false">AD15*24*VLOOKUP(AB15,Interest!$X$8:$AC$367,6)</f>
        <v>665.74315606606</v>
      </c>
    </row>
    <row r="16" customFormat="false" ht="15.75" hidden="false" customHeight="false" outlineLevel="0" collapsed="false">
      <c r="A16" s="112" t="n">
        <f aca="false">TradeSum!A19</f>
        <v>37408</v>
      </c>
      <c r="B16" s="270" t="n">
        <f aca="false">IF($C$6=0,VLOOKUP(A16,NymexData!$A$12:$F$179,6),VLOOKUP(A16,NymexData!$A$12:$L$179,12))</f>
        <v>4.0075017658703</v>
      </c>
      <c r="C16" s="271" t="n">
        <f aca="false">TradeSum!I19</f>
        <v>58.1087756051194</v>
      </c>
      <c r="D16" s="271" t="n">
        <f aca="false">C16/B16</f>
        <v>14.5</v>
      </c>
      <c r="E16" s="272" t="n">
        <f aca="false">TradeSum!I63</f>
        <v>44.8617558790481</v>
      </c>
      <c r="F16" s="271" t="n">
        <f aca="false">E16/B16</f>
        <v>11.1944444444444</v>
      </c>
      <c r="G16" s="271" t="n">
        <f aca="false">F16*TradeSum!F63*24/10000+(GasPosn!B336*1.055+GasPosn!C336+GasPosn!D19*1.055)/(VLOOKUP(A16,$AB$12:$AD$47,3))</f>
        <v>2.64109825537324</v>
      </c>
      <c r="H16" s="273" t="str">
        <f aca="false">TradeSum!V19</f>
        <v>Q4 2003</v>
      </c>
      <c r="I16" s="123" t="n">
        <f aca="false" t="array" ref="I16:I16">SUM(IF((INT((MONTH(NymexData!$A$12:$A$47)-1)/3)=TradeSum!U19-1)*(YEAR(NymexData!$A$12:$A$47)=TradeSum!T19),NymexData!$F$12:$F$47*'Pricing Summary'!$AD$12:$AD$47))/SUM(IF((INT((MONTH(NymexData!$A$12:$A$47)-1)/3)=TradeSum!U19-1)*(YEAR(NymexData!$A$12:$A$47)=TradeSum!T19),'Pricing Summary'!$AD$12:$AD$47))</f>
        <v>5.03309154057131</v>
      </c>
      <c r="J16" s="271" t="n">
        <f aca="false">TradeSum!W19</f>
        <v>51.4317268512791</v>
      </c>
      <c r="K16" s="271" t="n">
        <f aca="false">J16/I16</f>
        <v>10.2187147673934</v>
      </c>
      <c r="L16" s="123" t="n">
        <f aca="false">TradeSum!W63</f>
        <v>43.8900252698799</v>
      </c>
      <c r="M16" s="274" t="n">
        <f aca="false">L16/I16</f>
        <v>8.72029147812756</v>
      </c>
      <c r="P16" s="275" t="str">
        <f aca="false">H16</f>
        <v>Q4 2003</v>
      </c>
      <c r="Q16" s="123" t="n">
        <f aca="false" t="array" ref="Q16:Q16">IF(NymexData!$AA$12="",'Pricing Summary'!I16,SUM(IF((INT((MONTH(NymexData!$A$12:$A$47)-1)/3)=TradeSum!U19-1)*(YEAR(NymexData!$A$12:$A$47)=TradeSum!T19),NymexData!$L$12:$L$47*'Pricing Summary'!$AD$12:$AD$47))/SUM(IF((INT((MONTH(NymexData!$A$12:$A$47)-1)/3)=TradeSum!U19-1)*(YEAR(NymexData!$A$12:$A$47)=TradeSum!T19),'Pricing Summary'!$AD$12:$AD$47)))</f>
        <v>4.92183720625032</v>
      </c>
      <c r="R16" s="271" t="n">
        <f aca="false">J16</f>
        <v>51.4317268512791</v>
      </c>
      <c r="S16" s="271" t="n">
        <f aca="false">R16/Q16</f>
        <v>10.4497009340263</v>
      </c>
      <c r="T16" s="123" t="n">
        <f aca="false">L16</f>
        <v>43.8900252698799</v>
      </c>
      <c r="U16" s="274" t="n">
        <f aca="false">T16/Q16</f>
        <v>8.91740694189221</v>
      </c>
      <c r="W16" s="285" t="n">
        <v>2004</v>
      </c>
      <c r="X16" s="276" t="n">
        <f aca="false" t="array" ref="X16:X16">SUM(IF(YEAR([2]EnergyCurve!$D$3:$D$272)=$W16,[2]EnergyCurve!$T$3:$T$272))+SUM(IF(YEAR([2]OperatingCurve!$D$3:$D$272)=$W16,[2]OperatingCurve!$T$3:$T$272))+SUM(IF(YEAR(TradeSum!$A$12:$A$40)=$W16,TradeSum!$K$12:$K$40))+SUM(IF(YEAR(TradeSum!$A$56:$A$84)=$W16,TradeSum!$K$56:$K$84))</f>
        <v>-2279998.63936635</v>
      </c>
      <c r="Y16" s="277" t="n">
        <f aca="false" t="array" ref="Y16:Y16">SUM(IF(YEAR(GasPosn!$BG$12:$BG$188)=$W16,GasPosn!$BL$12:$BL$188))+SUM(IF(YEAR(GasPosn!$BG$200:$BG$316)=$W16,GasPosn!$BL$200:$BL$316))+SUM(IF(YEAR(GasPosn!$A$329:$A$445)=$W16,GasPosn!$J$329:$J$445))</f>
        <v>2268474.25495222</v>
      </c>
      <c r="Z16" s="277" t="n">
        <f aca="false">X16+Y16</f>
        <v>-11524.3844141248</v>
      </c>
      <c r="AB16" s="282" t="n">
        <f aca="false">[2]EnergyCurve!$D38</f>
        <v>37316</v>
      </c>
      <c r="AC16" s="2" t="n">
        <f aca="false">IF(TradeSum!$L$6=0,VLOOKUP(AB16,TradeSum!$DM$13:$DQ$252,2)+VLOOKUP(AB16,TradeSum!$DU$13:$DY$252,3),VLOOKUP(AB16,TradeSum!$DU$13:$DY$252,2)+VLOOKUP(AB16,TradeSum!$DU$13:$DY$252,3))</f>
        <v>26</v>
      </c>
      <c r="AD16" s="2" t="n">
        <f aca="false">VLOOKUP(AB16,TradeSum!$DM$13:$DR$252,6)</f>
        <v>31</v>
      </c>
      <c r="AE16" s="2" t="n">
        <f aca="false">IF(TradeSum!$L$6=0,VLOOKUP(AB16,TradeSum!$DM$13:$DQ$252,2),VLOOKUP(AB16,TradeSum!$DU$13:$DY$252,2))</f>
        <v>21</v>
      </c>
      <c r="AF16" s="283" t="n">
        <f aca="false">[2]EnergyCurve!$G38</f>
        <v>62.3290484619141</v>
      </c>
      <c r="AG16" s="283" t="n">
        <f aca="false">[2]EnergyCurve!$Y38</f>
        <v>52.2717407502137</v>
      </c>
      <c r="AH16" s="283" t="n">
        <f aca="false">[2]EnergyCurve!$AD38</f>
        <v>38.1985797790024</v>
      </c>
      <c r="AI16" s="283" t="n">
        <f aca="false">[2]EnergyCurve!$L38</f>
        <v>25.1306445914489</v>
      </c>
      <c r="AJ16" s="0" t="n">
        <f aca="false">(AE16*AF16+(AC16-AE16)*AG16)/AC16</f>
        <v>60.3949508250486</v>
      </c>
      <c r="AK16" s="0" t="n">
        <f aca="false">(AC16*16*AJ16+(AD16-AC16)*16*AH16+AD16*8*AI16)/(AD16*24)</f>
        <v>46.2534755164244</v>
      </c>
      <c r="AM16" s="0" t="n">
        <f aca="false">IF(NymexData!AC16="",VLOOKUP('Pricing Summary'!AB16,NymexData!$S$12:$U$250,3),VLOOKUP(NymexData!AA16,NymexData!$AA$12:$AC$250,3))</f>
        <v>0.65</v>
      </c>
      <c r="AO16" s="284" t="n">
        <f aca="false">AD16*24*VLOOKUP(AB16,Interest!$X$8:$AC$367,6)</f>
        <v>735.693247225457</v>
      </c>
    </row>
    <row r="17" customFormat="false" ht="15.75" hidden="false" customHeight="false" outlineLevel="0" collapsed="false">
      <c r="A17" s="75" t="n">
        <f aca="false">TradeSum!A20</f>
        <v>37438</v>
      </c>
      <c r="B17" s="120" t="n">
        <f aca="false">IF($C$6=0,VLOOKUP(A17,NymexData!$A$12:$F$179,6),VLOOKUP(A17,NymexData!$A$12:$L$179,12))</f>
        <v>4.06000924456041</v>
      </c>
      <c r="C17" s="263" t="n">
        <f aca="false">TradeSum!I20</f>
        <v>50.4378071535774</v>
      </c>
      <c r="D17" s="120" t="n">
        <f aca="false">C17/B17</f>
        <v>12.4230769230769</v>
      </c>
      <c r="E17" s="264" t="n">
        <f aca="false">TradeSum!I64</f>
        <v>40.8074585091703</v>
      </c>
      <c r="F17" s="120" t="n">
        <f aca="false">E17/B17</f>
        <v>10.0510752688172</v>
      </c>
      <c r="G17" s="120" t="n">
        <f aca="false">F17*TradeSum!F64*24/10000+(GasPosn!B337*1.055+GasPosn!C337+GasPosn!D20*1.055)/(VLOOKUP(A17,$AB$12:$AD$47,3))</f>
        <v>1.0350723142243</v>
      </c>
      <c r="H17" s="278" t="str">
        <f aca="false">TradeSum!V20</f>
        <v>Bal 2002</v>
      </c>
      <c r="I17" s="120" t="n">
        <f aca="false" t="array" ref="I17:I17">SUM(IF((YEAR(NymexData!$A$12:$A$47)=TradeSum!T20),NymexData!$F$12:$F$47*'Pricing Summary'!$AD$12:$AD$47))/SUM(IF((YEAR(NymexData!$A$12:$A$47)=TradeSum!T20),'Pricing Summary'!$AD$12:$AD$47))</f>
        <v>4.27632155651404</v>
      </c>
      <c r="J17" s="120" t="n">
        <f aca="false">TradeSum!W20</f>
        <v>57.5121022571468</v>
      </c>
      <c r="K17" s="120" t="n">
        <f aca="false">J17/I17</f>
        <v>13.4489657751625</v>
      </c>
      <c r="L17" s="263" t="n">
        <f aca="false">TradeSum!W64</f>
        <v>45.1203004720058</v>
      </c>
      <c r="M17" s="279" t="n">
        <f aca="false">L17/I17</f>
        <v>10.5511944964183</v>
      </c>
      <c r="P17" s="280" t="str">
        <f aca="false">H17</f>
        <v>Bal 2002</v>
      </c>
      <c r="Q17" s="120" t="n">
        <f aca="false" t="array" ref="Q17:Q17">IF(NymexData!$AA$12="",'Pricing Summary'!I17,SUM(IF((YEAR(NymexData!$A$12:$A$47)=TradeSum!T20),NymexData!$L$12:$L$47*'Pricing Summary'!$AD$12:$AD$47))/SUM(IF((YEAR(NymexData!$A$12:$A$47)=TradeSum!T20),'Pricing Summary'!$AD$12:$AD$47)))</f>
        <v>4.16533764539667</v>
      </c>
      <c r="R17" s="120" t="n">
        <f aca="false">J17</f>
        <v>57.5121022571468</v>
      </c>
      <c r="S17" s="120" t="n">
        <f aca="false">R17/Q17</f>
        <v>13.8073085913471</v>
      </c>
      <c r="T17" s="263" t="n">
        <f aca="false">L17</f>
        <v>45.1203004720058</v>
      </c>
      <c r="U17" s="279" t="n">
        <f aca="false">T17/Q17</f>
        <v>10.8323272476772</v>
      </c>
      <c r="W17" s="286" t="n">
        <v>2005</v>
      </c>
      <c r="X17" s="281" t="n">
        <f aca="false" t="array" ref="X17:X17">SUM(IF(YEAR([2]EnergyCurve!$D$3:$D$272)=$W17,[2]EnergyCurve!$T$3:$T$272))+SUM(IF(YEAR([2]OperatingCurve!$D$3:$D$272)=$W17,[2]OperatingCurve!$T$3:$T$272))+SUM(IF(YEAR(TradeSum!$A$12:$A$40)=$W17,TradeSum!$K$12:$K$40))+SUM(IF(YEAR(TradeSum!$A$56:$A$84)=$W17,TradeSum!$K$56:$K$84))</f>
        <v>-1897744.82739583</v>
      </c>
      <c r="Y17" s="281" t="n">
        <f aca="false" t="array" ref="Y17:Y17">SUM(IF(YEAR(GasPosn!$BG$12:$BG$188)=$W17,GasPosn!$BL$12:$BL$188))+SUM(IF(YEAR(GasPosn!$BG$200:$BG$316)=$W17,GasPosn!$BL$200:$BL$316))+SUM(IF(YEAR(GasPosn!$A$329:$A$445)=$W17,GasPosn!$J$329:$J$445))</f>
        <v>1902713.44352034</v>
      </c>
      <c r="Z17" s="281" t="n">
        <f aca="false">X17+Y17</f>
        <v>4968.61612451123</v>
      </c>
      <c r="AB17" s="282" t="n">
        <f aca="false">[2]EnergyCurve!$D39</f>
        <v>37347</v>
      </c>
      <c r="AC17" s="2" t="n">
        <f aca="false">IF(TradeSum!$L$6=0,VLOOKUP(AB17,TradeSum!$DM$13:$DQ$252,2)+VLOOKUP(AB17,TradeSum!$DU$13:$DY$252,3),VLOOKUP(AB17,TradeSum!$DU$13:$DY$252,2)+VLOOKUP(AB17,TradeSum!$DU$13:$DY$252,3))</f>
        <v>26</v>
      </c>
      <c r="AD17" s="2" t="n">
        <f aca="false">VLOOKUP(AB17,TradeSum!$DM$13:$DR$252,6)</f>
        <v>30</v>
      </c>
      <c r="AE17" s="2" t="n">
        <f aca="false">IF(TradeSum!$L$6=0,VLOOKUP(AB17,TradeSum!$DM$13:$DQ$252,2),VLOOKUP(AB17,TradeSum!$DU$13:$DY$252,2))</f>
        <v>22</v>
      </c>
      <c r="AF17" s="283" t="n">
        <f aca="false">[2]EnergyCurve!$G39</f>
        <v>58.5342707824707</v>
      </c>
      <c r="AG17" s="283" t="n">
        <f aca="false">[2]EnergyCurve!$Y39</f>
        <v>48.7790835339473</v>
      </c>
      <c r="AH17" s="283" t="n">
        <f aca="false">[2]EnergyCurve!$AD39</f>
        <v>37.0721034857999</v>
      </c>
      <c r="AI17" s="283" t="n">
        <f aca="false">[2]EnergyCurve!$L39</f>
        <v>24.3895417669736</v>
      </c>
      <c r="AJ17" s="0" t="n">
        <f aca="false">(AE17*AF17+(AC17-AE17)*AG17)/AC17</f>
        <v>57.0334727442363</v>
      </c>
      <c r="AK17" s="0" t="n">
        <f aca="false">(AC17*16*AJ17+(AD17-AC17)*16*AH17+AD17*8*AI17)/(AD17*24)</f>
        <v>44.3778184843989</v>
      </c>
      <c r="AM17" s="0" t="n">
        <f aca="false">IF(NymexData!AC17="",VLOOKUP('Pricing Summary'!AB17,NymexData!$S$12:$U$250,3),VLOOKUP(NymexData!AA17,NymexData!$AA$12:$AC$250,3))</f>
        <v>0.5225</v>
      </c>
      <c r="AO17" s="284" t="n">
        <f aca="false">AD17*24*VLOOKUP(AB17,Interest!$X$8:$AC$367,6)</f>
        <v>710.678983237879</v>
      </c>
    </row>
    <row r="18" customFormat="false" ht="15.75" hidden="false" customHeight="false" outlineLevel="0" collapsed="false">
      <c r="A18" s="112" t="n">
        <f aca="false">TradeSum!A21</f>
        <v>37469</v>
      </c>
      <c r="B18" s="270" t="n">
        <f aca="false">IF($C$6=0,VLOOKUP(A18,NymexData!$A$12:$F$179,6),VLOOKUP(A18,NymexData!$A$12:$L$179,12))</f>
        <v>4.11239616809836</v>
      </c>
      <c r="C18" s="271" t="n">
        <f aca="false">TradeSum!I21</f>
        <v>51.0241746782575</v>
      </c>
      <c r="D18" s="271" t="n">
        <f aca="false">C18/B18</f>
        <v>12.4074074074074</v>
      </c>
      <c r="E18" s="272" t="n">
        <f aca="false">TradeSum!I65</f>
        <v>41.5550999889294</v>
      </c>
      <c r="F18" s="271" t="n">
        <f aca="false">E18/B18</f>
        <v>10.1048387096774</v>
      </c>
      <c r="G18" s="271" t="n">
        <f aca="false">F18*TradeSum!F65*24/10000+(GasPosn!B338*1.055+GasPosn!C338+GasPosn!D21*1.055)/(VLOOKUP(A18,$AB$12:$AD$47,3))</f>
        <v>1.05098403520267</v>
      </c>
      <c r="H18" s="273" t="str">
        <f aca="false">"Cal "&amp;TradeSum!V21</f>
        <v>Cal 2003</v>
      </c>
      <c r="I18" s="123" t="n">
        <f aca="false" t="array" ref="I18:I18">SUM(IF((YEAR(NymexData!$A$12:$A$47)=TradeSum!T21),NymexData!$F$12:$F$47*'Pricing Summary'!$AD$12:$AD$47))/SUM(IF((YEAR(NymexData!$A$12:$A$47)=TradeSum!T21),'Pricing Summary'!$AD$12:$AD$47))</f>
        <v>4.85307017318165</v>
      </c>
      <c r="J18" s="271" t="n">
        <f aca="false">TradeSum!W21</f>
        <v>49.3655877302796</v>
      </c>
      <c r="K18" s="271" t="n">
        <f aca="false">J18/I18</f>
        <v>10.1720325420137</v>
      </c>
      <c r="L18" s="123" t="n">
        <f aca="false">TradeSum!W65</f>
        <v>42.141559789746</v>
      </c>
      <c r="M18" s="274" t="n">
        <f aca="false">L18/I18</f>
        <v>8.68348453369224</v>
      </c>
      <c r="P18" s="275" t="str">
        <f aca="false">H18</f>
        <v>Cal 2003</v>
      </c>
      <c r="Q18" s="123" t="n">
        <f aca="false" t="array" ref="Q18:Q18">IF(NymexData!$AA$12="",'Pricing Summary'!I18,SUM(IF((YEAR(NymexData!$A$12:$A$47)=TradeSum!T21),NymexData!$L$12:$L$47*'Pricing Summary'!$AD$12:$AD$47))/SUM(IF((YEAR(NymexData!$A$12:$A$47)=TradeSum!T21),'Pricing Summary'!$AD$12:$AD$47)))</f>
        <v>4.72180516325456</v>
      </c>
      <c r="R18" s="271" t="n">
        <f aca="false">J18</f>
        <v>49.3655877302796</v>
      </c>
      <c r="S18" s="271" t="n">
        <f aca="false">R18/Q18</f>
        <v>10.4548125184085</v>
      </c>
      <c r="T18" s="123" t="n">
        <f aca="false">L18</f>
        <v>42.141559789746</v>
      </c>
      <c r="U18" s="274" t="n">
        <f aca="false">T18/Q18</f>
        <v>8.92488324543646</v>
      </c>
      <c r="W18" s="285" t="n">
        <v>2006</v>
      </c>
      <c r="X18" s="276" t="n">
        <f aca="false" t="array" ref="X18:X18">SUM(IF(YEAR([2]EnergyCurve!$D$3:$D$272)=$W18,[2]EnergyCurve!$T$3:$T$272))+SUM(IF(YEAR([2]OperatingCurve!$D$3:$D$272)=$W18,[2]OperatingCurve!$T$3:$T$272))+SUM(IF(YEAR(TradeSum!$A$12:$A$40)=$W18,TradeSum!$K$12:$K$40))+SUM(IF(YEAR(TradeSum!$A$56:$A$84)=$W18,TradeSum!$K$56:$K$84))</f>
        <v>-1717334.42204582</v>
      </c>
      <c r="Y18" s="277" t="n">
        <f aca="false" t="array" ref="Y18:Y18">SUM(IF(YEAR(GasPosn!$BG$12:$BG$188)=$W18,GasPosn!$BL$12:$BL$188))+SUM(IF(YEAR(GasPosn!$BG$200:$BG$316)=$W18,GasPosn!$BL$200:$BL$316))+SUM(IF(YEAR(GasPosn!$A$329:$A$445)=$W18,GasPosn!$J$329:$J$445))</f>
        <v>1639054.57251</v>
      </c>
      <c r="Z18" s="277" t="n">
        <f aca="false">X18+Y18</f>
        <v>-78279.8495358233</v>
      </c>
      <c r="AB18" s="282" t="n">
        <f aca="false">[2]EnergyCurve!$D40</f>
        <v>37377</v>
      </c>
      <c r="AC18" s="2" t="n">
        <f aca="false">IF(TradeSum!$L$6=0,VLOOKUP(AB18,TradeSum!$DM$13:$DQ$252,2)+VLOOKUP(AB18,TradeSum!$DU$13:$DY$252,3),VLOOKUP(AB18,TradeSum!$DU$13:$DY$252,2)+VLOOKUP(AB18,TradeSum!$DU$13:$DY$252,3))</f>
        <v>26</v>
      </c>
      <c r="AD18" s="2" t="n">
        <f aca="false">VLOOKUP(AB18,TradeSum!$DM$13:$DR$252,6)</f>
        <v>31</v>
      </c>
      <c r="AE18" s="2" t="n">
        <f aca="false">IF(TradeSum!$L$6=0,VLOOKUP(AB18,TradeSum!$DM$13:$DQ$252,2),VLOOKUP(AB18,TradeSum!$DU$13:$DY$252,2))</f>
        <v>22</v>
      </c>
      <c r="AF18" s="283" t="n">
        <f aca="false">[2]EnergyCurve!$G40</f>
        <v>59.2092890930176</v>
      </c>
      <c r="AG18" s="283" t="n">
        <f aca="false">[2]EnergyCurve!$Y40</f>
        <v>49.3436257188941</v>
      </c>
      <c r="AH18" s="283" t="n">
        <f aca="false">[2]EnergyCurve!$AD40</f>
        <v>37.5011555463596</v>
      </c>
      <c r="AI18" s="283" t="n">
        <f aca="false">[2]EnergyCurve!$L40</f>
        <v>24.6718128594471</v>
      </c>
      <c r="AJ18" s="0" t="n">
        <f aca="false">(AE18*AF18+(AC18-AE18)*AG18)/AC18</f>
        <v>57.6914947277678</v>
      </c>
      <c r="AK18" s="0" t="n">
        <f aca="false">(AC18*16*AJ18+(AD18-AC18)*16*AH18+AD18*8*AI18)/(AD18*24)</f>
        <v>44.5139298919396</v>
      </c>
      <c r="AM18" s="0" t="n">
        <f aca="false">IF(NymexData!AC18="",VLOOKUP('Pricing Summary'!AB18,NymexData!$S$12:$U$250,3),VLOOKUP(NymexData!AA18,NymexData!$AA$12:$AC$250,3))</f>
        <v>0.47</v>
      </c>
      <c r="AO18" s="284" t="n">
        <f aca="false">AD18*24*VLOOKUP(AB18,Interest!$X$8:$AC$367,6)</f>
        <v>732.882743483123</v>
      </c>
    </row>
    <row r="19" customFormat="false" ht="15.75" hidden="false" customHeight="false" outlineLevel="0" collapsed="false">
      <c r="A19" s="75" t="n">
        <f aca="false">TradeSum!A22</f>
        <v>37500</v>
      </c>
      <c r="B19" s="120" t="n">
        <f aca="false">IF($C$6=0,VLOOKUP(A19,NymexData!$A$12:$F$179,6),VLOOKUP(A19,NymexData!$A$12:$L$179,12))</f>
        <v>4.11244054839098</v>
      </c>
      <c r="C19" s="263" t="n">
        <f aca="false">TradeSum!I22</f>
        <v>51.0628034758547</v>
      </c>
      <c r="D19" s="120" t="n">
        <f aca="false">C19/B19</f>
        <v>12.4166666666667</v>
      </c>
      <c r="E19" s="264" t="n">
        <f aca="false">TradeSum!I66</f>
        <v>41.0101710242323</v>
      </c>
      <c r="F19" s="120" t="n">
        <f aca="false">E19/B19</f>
        <v>9.97222222222222</v>
      </c>
      <c r="G19" s="120" t="n">
        <f aca="false">F19*TradeSum!F66*24/10000+(GasPosn!B339*1.055+GasPosn!C339+GasPosn!D22*1.055)/(VLOOKUP(A19,$AB$12:$AD$47,3))</f>
        <v>1.1766750203351</v>
      </c>
      <c r="H19" s="278" t="str">
        <f aca="false">"Cal "&amp;TradeSum!V22</f>
        <v>Cal 2004</v>
      </c>
      <c r="I19" s="120" t="n">
        <f aca="false" t="array" ref="I19:I19">SUM(IF((YEAR(NymexData!$A$12:$A$60)=TradeSum!T22),NymexData!$F$12:$F$60*'Pricing Summary'!$AD$12:$AD$60))/SUM(IF((YEAR(NymexData!$A$12:$A$60)=TradeSum!T22),'Pricing Summary'!$AD$12:$AD$60))</f>
        <v>4.97893984457608</v>
      </c>
      <c r="J19" s="120" t="n">
        <f aca="false">TradeSum!W22</f>
        <v>47.3026929036224</v>
      </c>
      <c r="K19" s="120" t="n">
        <f aca="false">J19/I19</f>
        <v>9.50055521461112</v>
      </c>
      <c r="L19" s="263" t="n">
        <f aca="false">TradeSum!W66</f>
        <v>41.2557029129831</v>
      </c>
      <c r="M19" s="279" t="n">
        <f aca="false">L19/I19</f>
        <v>8.28604164758606</v>
      </c>
      <c r="P19" s="280" t="str">
        <f aca="false">H19</f>
        <v>Cal 2004</v>
      </c>
      <c r="Q19" s="120" t="n">
        <f aca="false" t="array" ref="Q19:Q19">IF(NymexData!$AA$12="",'Pricing Summary'!I19,SUM(IF((YEAR(NymexData!$A$12:$A$47)=TradeSum!T22),NymexData!$L$12:$L$47*'Pricing Summary'!$AD$12:$AD$47))/SUM(IF((YEAR(NymexData!$A$12:$A$47)=TradeSum!T22),'Pricing Summary'!$AD$12:$AD$47)))</f>
        <v>4.83338539699587</v>
      </c>
      <c r="R19" s="120" t="n">
        <f aca="false">J19</f>
        <v>47.3026929036224</v>
      </c>
      <c r="S19" s="120" t="n">
        <f aca="false">R19/Q19</f>
        <v>9.78665862917175</v>
      </c>
      <c r="T19" s="263" t="n">
        <f aca="false">L19</f>
        <v>41.2557029129831</v>
      </c>
      <c r="U19" s="279" t="n">
        <f aca="false">T19/Q19</f>
        <v>8.53557072825705</v>
      </c>
      <c r="W19" s="286" t="n">
        <v>2007</v>
      </c>
      <c r="X19" s="281" t="n">
        <f aca="false" t="array" ref="X19:X19">SUM(IF(YEAR([2]EnergyCurve!$D$3:$D$272)=$W19,[2]EnergyCurve!$T$3:$T$272))+SUM(IF(YEAR([2]OperatingCurve!$D$3:$D$272)=$W19,[2]OperatingCurve!$T$3:$T$272))+SUM(IF(YEAR(TradeSum!$A$12:$A$40)=$W19,TradeSum!$K$12:$K$40))+SUM(IF(YEAR(TradeSum!$A$56:$A$84)=$W19,TradeSum!$K$56:$K$84))</f>
        <v>-1483840.86770213</v>
      </c>
      <c r="Y19" s="281" t="n">
        <f aca="false" t="array" ref="Y19:Y19">SUM(IF(YEAR(GasPosn!$BG$12:$BG$188)=$W19,GasPosn!$BL$12:$BL$188))+SUM(IF(YEAR(GasPosn!$BG$200:$BG$316)=$W19,GasPosn!$BL$200:$BL$316))+SUM(IF(YEAR(GasPosn!$A$329:$A$445)=$W19,GasPosn!$J$329:$J$445))</f>
        <v>1405844.33650316</v>
      </c>
      <c r="Z19" s="281" t="n">
        <f aca="false">X19+Y19</f>
        <v>-77996.5311989684</v>
      </c>
      <c r="AB19" s="282" t="n">
        <f aca="false">[2]EnergyCurve!$D41</f>
        <v>37408</v>
      </c>
      <c r="AC19" s="2" t="n">
        <f aca="false">IF(TradeSum!$L$6=0,VLOOKUP(AB19,TradeSum!$DM$13:$DQ$252,2)+VLOOKUP(AB19,TradeSum!$DU$13:$DY$252,3),VLOOKUP(AB19,TradeSum!$DU$13:$DY$252,2)+VLOOKUP(AB19,TradeSum!$DU$13:$DY$252,3))</f>
        <v>25</v>
      </c>
      <c r="AD19" s="2" t="n">
        <f aca="false">VLOOKUP(AB19,TradeSum!$DM$13:$DR$252,6)</f>
        <v>30</v>
      </c>
      <c r="AE19" s="2" t="n">
        <f aca="false">IF(TradeSum!$L$6=0,VLOOKUP(AB19,TradeSum!$DM$13:$DQ$252,2),VLOOKUP(AB19,TradeSum!$DU$13:$DY$252,2))</f>
        <v>20</v>
      </c>
      <c r="AF19" s="283" t="n">
        <f aca="false">[2]EnergyCurve!$G41</f>
        <v>60.1125264880545</v>
      </c>
      <c r="AG19" s="283" t="n">
        <f aca="false">[2]EnergyCurve!$Y41</f>
        <v>50.0937720733788</v>
      </c>
      <c r="AH19" s="283" t="n">
        <f aca="false">[2]EnergyCurve!$AD41</f>
        <v>38.0712667757679</v>
      </c>
      <c r="AI19" s="283" t="n">
        <f aca="false">[2]EnergyCurve!$L41</f>
        <v>25.0468860366894</v>
      </c>
      <c r="AJ19" s="0" t="n">
        <f aca="false">(AE19*AF19+(AC19-AE19)*AG19)/AC19</f>
        <v>58.1087756051194</v>
      </c>
      <c r="AK19" s="0" t="n">
        <f aca="false">(AC19*16*AJ19+(AD19-AC19)*16*AH19+AD19*8*AI19)/(AD19*24)</f>
        <v>44.8617558790481</v>
      </c>
      <c r="AM19" s="0" t="n">
        <f aca="false">IF(NymexData!AC19="",VLOOKUP('Pricing Summary'!AB19,NymexData!$S$12:$U$250,3),VLOOKUP(NymexData!AA19,NymexData!$AA$12:$AC$250,3))</f>
        <v>0.4575</v>
      </c>
      <c r="AO19" s="284" t="n">
        <f aca="false">AD19*24*VLOOKUP(AB19,Interest!$X$8:$AC$367,6)</f>
        <v>707.87184331781</v>
      </c>
    </row>
    <row r="20" customFormat="false" ht="15.75" hidden="false" customHeight="false" outlineLevel="0" collapsed="false">
      <c r="A20" s="112" t="n">
        <f aca="false">TradeSum!A23</f>
        <v>37530</v>
      </c>
      <c r="B20" s="270" t="n">
        <f aca="false">IF($C$6=0,VLOOKUP(A20,NymexData!$A$12:$F$179,6),VLOOKUP(A20,NymexData!$A$12:$L$179,12))</f>
        <v>4.15731093742827</v>
      </c>
      <c r="C20" s="271" t="n">
        <f aca="false">TradeSum!I23</f>
        <v>55.3538252594616</v>
      </c>
      <c r="D20" s="271" t="n">
        <f aca="false">C20/B20</f>
        <v>13.3148148148148</v>
      </c>
      <c r="E20" s="272" t="n">
        <f aca="false">TradeSum!I67</f>
        <v>44.1993676277656</v>
      </c>
      <c r="F20" s="271" t="n">
        <f aca="false">E20/B20</f>
        <v>10.6317204301075</v>
      </c>
      <c r="G20" s="271" t="n">
        <f aca="false">F20*TradeSum!F67*24/10000+(GasPosn!B340*1.055+GasPosn!C340+GasPosn!D23*1.055)/(VLOOKUP(A20,$AB$12:$AD$47,3))</f>
        <v>2.95105248533861</v>
      </c>
      <c r="H20" s="273" t="str">
        <f aca="false">"Cal "&amp;AA20</f>
        <v>Cal 2005</v>
      </c>
      <c r="I20" s="123" t="n">
        <f aca="false" t="array" ref="I20:I20">SUM(IF((YEAR(NymexData!$A$12:$A$244)=AA20),NymexData!$F$12:$F$244*'Pricing Summary'!$AD$12:$AD$244))/SUM(IF((YEAR(NymexData!$A$12:$A$244)=AA20),'Pricing Summary'!$AD$12:$AD$244))</f>
        <v>5.10318030069027</v>
      </c>
      <c r="J20" s="271" t="n">
        <f aca="false" t="array" ref="J20:J20">SUM(IF((YEAR($AB$12:$AB$244)=AA20),$AJ$12:$AJ$244*$AC$12:$AC$244))/SUM(IF((YEAR($AB$12:$AB$244)=AA20),$AC$12:$AC$244))</f>
        <v>47.1164465033989</v>
      </c>
      <c r="K20" s="271" t="n">
        <f aca="false">J20/I20</f>
        <v>9.23276147954753</v>
      </c>
      <c r="L20" s="271" t="n">
        <f aca="false" t="array" ref="L20:L20">SUM(IF((YEAR($AB$12:$AB$244)=AA20),$AK$12:$AK$244*$AD$12:$AD$244))/SUM(IF((YEAR($AB$12:$AB$244)=AA20),$AD$12:$AD$244))</f>
        <v>41.4267738647879</v>
      </c>
      <c r="M20" s="274" t="n">
        <f aca="false">L20/I20</f>
        <v>8.11783464895105</v>
      </c>
      <c r="P20" s="275" t="str">
        <f aca="false">H20</f>
        <v>Cal 2005</v>
      </c>
      <c r="Q20" s="123" t="n">
        <f aca="false" t="array" ref="Q20:Q20">IF(NymexData!$AA$12="",'Pricing Summary'!I20,SUM(IF((YEAR(NymexData!$A$12:$A$178)=AA20),NymexData!$L$12:$L$178*'Pricing Summary'!$AD$12:$AD$178))/SUM(IF((YEAR(NymexData!$A$12:$A$178)=AA20),'Pricing Summary'!$AD$12:$AD$178)))</f>
        <v>5.02788541245192</v>
      </c>
      <c r="R20" s="271" t="n">
        <f aca="false">J20</f>
        <v>47.1164465033989</v>
      </c>
      <c r="S20" s="271" t="n">
        <f aca="false">R20/Q20</f>
        <v>9.37102631390755</v>
      </c>
      <c r="T20" s="271" t="n">
        <f aca="false">L20</f>
        <v>41.4267738647879</v>
      </c>
      <c r="U20" s="274" t="n">
        <f aca="false">T20/Q20</f>
        <v>8.23940294307255</v>
      </c>
      <c r="W20" s="285" t="n">
        <v>2008</v>
      </c>
      <c r="X20" s="276" t="n">
        <f aca="false" t="array" ref="X20:X20">SUM(IF(YEAR([2]EnergyCurve!$D$3:$D$272)=$W20,[2]EnergyCurve!$T$3:$T$272))+SUM(IF(YEAR([2]OperatingCurve!$D$3:$D$272)=$W20,[2]OperatingCurve!$T$3:$T$272))+SUM(IF(YEAR(TradeSum!$A$12:$A$40)=$W20,TradeSum!$K$12:$K$40))+SUM(IF(YEAR(TradeSum!$A$56:$A$84)=$W20,TradeSum!$K$56:$K$84))</f>
        <v>-1283458.43765778</v>
      </c>
      <c r="Y20" s="277" t="n">
        <f aca="false" t="array" ref="Y20:Y20">SUM(IF(YEAR(GasPosn!$BG$12:$BG$188)=$W20,GasPosn!$BL$12:$BL$188))+SUM(IF(YEAR(GasPosn!$BG$200:$BG$316)=$W20,GasPosn!$BL$200:$BL$316))+SUM(IF(YEAR(GasPosn!$A$329:$A$445)=$W20,GasPosn!$J$329:$J$445))</f>
        <v>1183875.74085839</v>
      </c>
      <c r="Z20" s="277" t="n">
        <f aca="false">X20+Y20</f>
        <v>-99582.696799383</v>
      </c>
      <c r="AA20" s="0" t="n">
        <f aca="false">TradeSum!T22+1</f>
        <v>2005</v>
      </c>
      <c r="AB20" s="282" t="n">
        <f aca="false">[2]EnergyCurve!$D42</f>
        <v>37438</v>
      </c>
      <c r="AC20" s="2" t="n">
        <f aca="false">IF(TradeSum!$L$6=0,VLOOKUP(AB20,TradeSum!$DM$13:$DQ$252,2)+VLOOKUP(AB20,TradeSum!$DU$13:$DY$252,3),VLOOKUP(AB20,TradeSum!$DU$13:$DY$252,2)+VLOOKUP(AB20,TradeSum!$DU$13:$DY$252,3))</f>
        <v>26</v>
      </c>
      <c r="AD20" s="2" t="n">
        <f aca="false">VLOOKUP(AB20,TradeSum!$DM$13:$DR$252,6)</f>
        <v>31</v>
      </c>
      <c r="AE20" s="2" t="n">
        <f aca="false">IF(TradeSum!$L$6=0,VLOOKUP(AB20,TradeSum!$DM$13:$DQ$252,2),VLOOKUP(AB20,TradeSum!$DU$13:$DY$252,2))</f>
        <v>22</v>
      </c>
      <c r="AF20" s="283" t="n">
        <f aca="false">[2]EnergyCurve!$G42</f>
        <v>50.7501155570051</v>
      </c>
      <c r="AG20" s="283" t="n">
        <f aca="false">[2]EnergyCurve!$Y42</f>
        <v>48.7201109347249</v>
      </c>
      <c r="AH20" s="283" t="n">
        <f aca="false">[2]EnergyCurve!$AD42</f>
        <v>38.5700878233239</v>
      </c>
      <c r="AI20" s="283" t="n">
        <f aca="false">[2]EnergyCurve!$L42</f>
        <v>25.3750577785025</v>
      </c>
      <c r="AJ20" s="0" t="n">
        <f aca="false">(AE20*AF20+(AC20-AE20)*AG20)/AC20</f>
        <v>50.4378071535774</v>
      </c>
      <c r="AK20" s="0" t="n">
        <f aca="false">(AC20*16*AJ20+(AD20-AC20)*16*AH20+AD20*8*AI20)/(AD20*24)</f>
        <v>40.8074585091703</v>
      </c>
      <c r="AM20" s="0" t="n">
        <f aca="false">IF(NymexData!AC20="",VLOOKUP('Pricing Summary'!AB20,NymexData!$S$12:$U$250,3),VLOOKUP(NymexData!AA20,NymexData!$AA$12:$AC$250,3))</f>
        <v>0.4575</v>
      </c>
      <c r="AO20" s="284" t="n">
        <f aca="false">AD20*24*VLOOKUP(AB20,Interest!$X$8:$AC$367,6)</f>
        <v>729.94453443532</v>
      </c>
    </row>
    <row r="21" customFormat="false" ht="15.75" hidden="false" customHeight="false" outlineLevel="0" collapsed="false">
      <c r="A21" s="75" t="n">
        <f aca="false">TradeSum!A24</f>
        <v>37561</v>
      </c>
      <c r="B21" s="120" t="n">
        <f aca="false">IF($C$6=0,VLOOKUP(A21,NymexData!$A$12:$F$179,6),VLOOKUP(A21,NymexData!$A$12:$L$179,12))</f>
        <v>4.52014238297913</v>
      </c>
      <c r="C21" s="263" t="n">
        <f aca="false">TradeSum!I24</f>
        <v>59.8918865744734</v>
      </c>
      <c r="D21" s="120" t="n">
        <f aca="false">C21/B21</f>
        <v>13.25</v>
      </c>
      <c r="E21" s="264" t="n">
        <f aca="false">TradeSum!I68</f>
        <v>47.4614950212808</v>
      </c>
      <c r="F21" s="120" t="n">
        <f aca="false">E21/B21</f>
        <v>10.5</v>
      </c>
      <c r="G21" s="120" t="n">
        <f aca="false">F21*TradeSum!F68*24/10000+(GasPosn!B341*1.055+GasPosn!C341+GasPosn!D24*1.055)/(VLOOKUP(A21,$AB$12:$AD$47,3))</f>
        <v>3.41078902958849</v>
      </c>
      <c r="H21" s="278" t="str">
        <f aca="false">"Cal "&amp;AA21</f>
        <v>Cal 2006</v>
      </c>
      <c r="I21" s="120" t="n">
        <f aca="false" t="array" ref="I21:I21">SUM(IF((YEAR(NymexData!$A$12:$A$244)=AA21),NymexData!$F$12:$F$244*'Pricing Summary'!$AD$12:$AD$244))/SUM(IF((YEAR(NymexData!$A$12:$A$244)=AA21),'Pricing Summary'!$AD$12:$AD$244))</f>
        <v>5.25585029079177</v>
      </c>
      <c r="J21" s="263" t="n">
        <f aca="false" t="array" ref="J21:J21">SUM(IF((YEAR($AB$12:$AB$244)=AA21),$AJ$12:$AJ$244*$AC$12:$AC$244))/SUM(IF((YEAR($AB$12:$AB$244)=AA21),$AC$12:$AC$244))</f>
        <v>44.190304418736</v>
      </c>
      <c r="K21" s="120" t="n">
        <f aca="false">J21/I21</f>
        <v>8.40783164926848</v>
      </c>
      <c r="L21" s="263" t="n">
        <f aca="false" t="array" ref="L21:L21">SUM(IF((YEAR($AB$12:$AB$244)=AA21),$AK$12:$AK$244*$AD$12:$AD$244))/SUM(IF((YEAR($AB$12:$AB$244)=AA21),$AD$12:$AD$244))</f>
        <v>38.0319975772451</v>
      </c>
      <c r="M21" s="279" t="n">
        <f aca="false">L21/I21</f>
        <v>7.23612650152479</v>
      </c>
      <c r="P21" s="280" t="str">
        <f aca="false">H21</f>
        <v>Cal 2006</v>
      </c>
      <c r="Q21" s="120" t="n">
        <f aca="false" t="array" ref="Q21:Q21">IF(NymexData!$AA$12="",'Pricing Summary'!I21,SUM(IF((YEAR(NymexData!$A$12:$A$178)=AA21),NymexData!$L$12:$L$178*'Pricing Summary'!$AD$12:$AD$178))/SUM(IF((YEAR(NymexData!$A$12:$A$178)=AA21),'Pricing Summary'!$AD$12:$AD$178)))</f>
        <v>5.18727473168156</v>
      </c>
      <c r="R21" s="263" t="n">
        <f aca="false">J21</f>
        <v>44.190304418736</v>
      </c>
      <c r="S21" s="120" t="n">
        <f aca="false">R21/Q21</f>
        <v>8.51898283868431</v>
      </c>
      <c r="T21" s="263" t="n">
        <f aca="false">L21</f>
        <v>38.0319975772451</v>
      </c>
      <c r="U21" s="279" t="n">
        <f aca="false">T21/Q21</f>
        <v>7.33178779696449</v>
      </c>
      <c r="W21" s="286" t="n">
        <v>2009</v>
      </c>
      <c r="X21" s="281" t="n">
        <f aca="false" t="array" ref="X21:X21">SUM(IF(YEAR([2]EnergyCurve!$D$3:$D$272)=$W21,[2]EnergyCurve!$T$3:$T$272))+SUM(IF(YEAR([2]OperatingCurve!$D$3:$D$272)=$W21,[2]OperatingCurve!$T$3:$T$272))+SUM(IF(YEAR(TradeSum!$A$12:$A$40)=$W21,TradeSum!$K$12:$K$40))+SUM(IF(YEAR(TradeSum!$A$56:$A$84)=$W21,TradeSum!$K$56:$K$84))</f>
        <v>-1089615.69961587</v>
      </c>
      <c r="Y21" s="287" t="n">
        <f aca="false" t="array" ref="Y21:Y21">SUM(IF(YEAR(GasPosn!$BG$12:$BG$188)=$W21,GasPosn!$BL$12:$BL$188))+SUM(IF(YEAR(GasPosn!$BG$200:$BG$316)=$W21,GasPosn!$BL$200:$BL$316))+SUM(IF(YEAR(GasPosn!$A$329:$A$445)=$W21,GasPosn!$J$329:$J$445))</f>
        <v>976356.093300999</v>
      </c>
      <c r="Z21" s="281" t="n">
        <f aca="false">X21+Y21</f>
        <v>-113259.606314874</v>
      </c>
      <c r="AA21" s="0" t="n">
        <f aca="false">AA20+1</f>
        <v>2006</v>
      </c>
      <c r="AB21" s="282" t="n">
        <f aca="false">[2]EnergyCurve!$D43</f>
        <v>37469</v>
      </c>
      <c r="AC21" s="2" t="n">
        <f aca="false">IF(TradeSum!$L$6=0,VLOOKUP(AB21,TradeSum!$DM$13:$DQ$252,2)+VLOOKUP(AB21,TradeSum!$DU$13:$DY$252,3),VLOOKUP(AB21,TradeSum!$DU$13:$DY$252,2)+VLOOKUP(AB21,TradeSum!$DU$13:$DY$252,3))</f>
        <v>27</v>
      </c>
      <c r="AD21" s="2" t="n">
        <f aca="false">VLOOKUP(AB21,TradeSum!$DM$13:$DR$252,6)</f>
        <v>31</v>
      </c>
      <c r="AE21" s="2" t="n">
        <f aca="false">IF(TradeSum!$L$6=0,VLOOKUP(AB21,TradeSum!$DM$13:$DQ$252,2),VLOOKUP(AB21,TradeSum!$DU$13:$DY$252,2))</f>
        <v>22</v>
      </c>
      <c r="AF21" s="283" t="n">
        <f aca="false">[2]EnergyCurve!$G43</f>
        <v>51.4049521012296</v>
      </c>
      <c r="AG21" s="283" t="n">
        <f aca="false">[2]EnergyCurve!$Y43</f>
        <v>49.3487540171804</v>
      </c>
      <c r="AH21" s="283" t="n">
        <f aca="false">[2]EnergyCurve!$AD43</f>
        <v>39.0677635969345</v>
      </c>
      <c r="AI21" s="283" t="n">
        <f aca="false">[2]EnergyCurve!$L43</f>
        <v>25.7024760506148</v>
      </c>
      <c r="AJ21" s="0" t="n">
        <f aca="false">(AE21*AF21+(AC21-AE21)*AG21)/AC21</f>
        <v>51.0241746782575</v>
      </c>
      <c r="AK21" s="0" t="n">
        <f aca="false">(AC21*16*AJ21+(AD21-AC21)*16*AH21+AD21*8*AI21)/(AD21*24)</f>
        <v>41.5550999889294</v>
      </c>
      <c r="AM21" s="0" t="n">
        <f aca="false">IF(NymexData!AC21="",VLOOKUP('Pricing Summary'!AB21,NymexData!$S$12:$U$250,3),VLOOKUP(NymexData!AA21,NymexData!$AA$12:$AC$250,3))</f>
        <v>0.4575</v>
      </c>
      <c r="AO21" s="284" t="n">
        <f aca="false">AD21*24*VLOOKUP(AB21,Interest!$X$8:$AC$367,6)</f>
        <v>728.321492440443</v>
      </c>
    </row>
    <row r="22" customFormat="false" ht="15.75" hidden="false" customHeight="false" outlineLevel="0" collapsed="false">
      <c r="A22" s="112" t="n">
        <f aca="false">TradeSum!A25</f>
        <v>37591</v>
      </c>
      <c r="B22" s="270" t="n">
        <f aca="false">IF($C$6=0,VLOOKUP(A22,NymexData!$A$12:$F$179,6),VLOOKUP(A22,NymexData!$A$12:$L$179,12))</f>
        <v>4.80230437054973</v>
      </c>
      <c r="C22" s="271" t="n">
        <f aca="false">TradeSum!I25</f>
        <v>63.8706481283114</v>
      </c>
      <c r="D22" s="271" t="n">
        <f aca="false">C22/B22</f>
        <v>13.3</v>
      </c>
      <c r="E22" s="272" t="n">
        <f aca="false">TradeSum!I69</f>
        <v>50.230554585508</v>
      </c>
      <c r="F22" s="271" t="n">
        <f aca="false">E22/B22</f>
        <v>10.4596774193548</v>
      </c>
      <c r="G22" s="271" t="n">
        <f aca="false">F22*TradeSum!F69*24/10000+(GasPosn!B342*1.055+GasPosn!C342+GasPosn!D25*1.055)/(VLOOKUP(A22,$AB$12:$AD$47,3))</f>
        <v>3.54417679537195</v>
      </c>
      <c r="H22" s="273" t="str">
        <f aca="false">"Cal "&amp;AA22</f>
        <v>Cal 2007</v>
      </c>
      <c r="I22" s="123" t="n">
        <f aca="false" t="array" ref="I22:I22">SUM(IF((YEAR(NymexData!$A$12:$A$244)=AA22),NymexData!$F$12:$F$244*'Pricing Summary'!$AD$12:$AD$244))/SUM(IF((YEAR(NymexData!$A$12:$A$244)=AA22),'Pricing Summary'!$AD$12:$AD$244))</f>
        <v>5.40141205462809</v>
      </c>
      <c r="J22" s="271" t="n">
        <f aca="false" t="array" ref="J22:J22">SUM(IF((YEAR($AB$12:$AB$244)=AA22),$AJ$12:$AJ$244*$AC$12:$AC$244))/SUM(IF((YEAR($AB$12:$AB$244)=AA22),$AC$12:$AC$244))</f>
        <v>45.4930241759883</v>
      </c>
      <c r="K22" s="271" t="n">
        <f aca="false">J22/I22</f>
        <v>8.42243171153894</v>
      </c>
      <c r="L22" s="123" t="n">
        <f aca="false" t="array" ref="L22:L22">SUM(IF((YEAR($AB$12:$AB$244)=AA22),$AK$12:$AK$244*$AD$12:$AD$244))/SUM(IF((YEAR($AB$12:$AB$244)=AA22),$AD$12:$AD$244))</f>
        <v>39.1512091232798</v>
      </c>
      <c r="M22" s="274" t="n">
        <f aca="false">L22/I22</f>
        <v>7.2483285347086</v>
      </c>
      <c r="P22" s="275" t="str">
        <f aca="false">H22</f>
        <v>Cal 2007</v>
      </c>
      <c r="Q22" s="123" t="n">
        <f aca="false" t="array" ref="Q22:Q22">IF(NymexData!$AA$12="",'Pricing Summary'!I22,SUM(IF((YEAR(NymexData!$A$12:$A$178)=AA22),NymexData!$L$12:$L$178*'Pricing Summary'!$AD$12:$AD$178))/SUM(IF((YEAR(NymexData!$A$12:$A$178)=AA22),'Pricing Summary'!$AD$12:$AD$178)))</f>
        <v>5.33870415287047</v>
      </c>
      <c r="R22" s="271" t="n">
        <f aca="false">J22</f>
        <v>45.4930241759883</v>
      </c>
      <c r="S22" s="271" t="n">
        <f aca="false">R22/Q22</f>
        <v>8.52136077844433</v>
      </c>
      <c r="T22" s="123" t="n">
        <f aca="false">L22</f>
        <v>39.1512091232798</v>
      </c>
      <c r="U22" s="274" t="n">
        <f aca="false">T22/Q22</f>
        <v>7.3334666994479</v>
      </c>
      <c r="W22" s="285" t="n">
        <v>2010</v>
      </c>
      <c r="X22" s="276" t="n">
        <f aca="false" t="array" ref="X22:X22">SUM(IF(YEAR([2]EnergyCurve!$D$3:$D$272)=$W22,[2]EnergyCurve!$T$3:$T$272))+SUM(IF(YEAR([2]OperatingCurve!$D$3:$D$272)=$W22,[2]OperatingCurve!$T$3:$T$272))+SUM(IF(YEAR(TradeSum!$A$12:$A$40)=$W22,TradeSum!$K$12:$K$40))+SUM(IF(YEAR(TradeSum!$A$56:$A$84)=$W22,TradeSum!$K$56:$K$84))</f>
        <v>-950824.772613862</v>
      </c>
      <c r="Y22" s="277" t="n">
        <f aca="false" t="array" ref="Y22:Y22">SUM(IF(YEAR(GasPosn!$BG$12:$BG$188)=$W22,GasPosn!$BL$12:$BL$188))+SUM(IF(YEAR(GasPosn!$BG$200:$BG$316)=$W22,GasPosn!$BL$200:$BL$316))+SUM(IF(YEAR(GasPosn!$A$329:$A$445)=$W22,GasPosn!$J$329:$J$445))</f>
        <v>791489.375261903</v>
      </c>
      <c r="Z22" s="277" t="n">
        <f aca="false">X22+Y22</f>
        <v>-159335.39735196</v>
      </c>
      <c r="AA22" s="0" t="n">
        <f aca="false">AA21+1</f>
        <v>2007</v>
      </c>
      <c r="AB22" s="282" t="n">
        <f aca="false">[2]EnergyCurve!$D44</f>
        <v>37500</v>
      </c>
      <c r="AC22" s="2" t="n">
        <f aca="false">IF(TradeSum!$L$6=0,VLOOKUP(AB22,TradeSum!$DM$13:$DQ$252,2)+VLOOKUP(AB22,TradeSum!$DU$13:$DY$252,3),VLOOKUP(AB22,TradeSum!$DU$13:$DY$252,2)+VLOOKUP(AB22,TradeSum!$DU$13:$DY$252,3))</f>
        <v>24</v>
      </c>
      <c r="AD22" s="2" t="n">
        <f aca="false">VLOOKUP(AB22,TradeSum!$DM$13:$DR$252,6)</f>
        <v>30</v>
      </c>
      <c r="AE22" s="2" t="n">
        <f aca="false">IF(TradeSum!$L$6=0,VLOOKUP(AB22,TradeSum!$DM$13:$DQ$252,2),VLOOKUP(AB22,TradeSum!$DU$13:$DY$252,2))</f>
        <v>20</v>
      </c>
      <c r="AF22" s="283" t="n">
        <f aca="false">[2]EnergyCurve!$G44</f>
        <v>51.4055068548872</v>
      </c>
      <c r="AG22" s="283" t="n">
        <f aca="false">[2]EnergyCurve!$Y44</f>
        <v>49.3492865806917</v>
      </c>
      <c r="AH22" s="283" t="n">
        <f aca="false">[2]EnergyCurve!$AD44</f>
        <v>39.0681852097143</v>
      </c>
      <c r="AI22" s="283" t="n">
        <f aca="false">[2]EnergyCurve!$L44</f>
        <v>25.7027534274436</v>
      </c>
      <c r="AJ22" s="0" t="n">
        <f aca="false">(AE22*AF22+(AC22-AE22)*AG22)/AC22</f>
        <v>51.0628034758547</v>
      </c>
      <c r="AK22" s="0" t="n">
        <f aca="false">(AC22*16*AJ22+(AD22-AC22)*16*AH22+AD22*8*AI22)/(AD22*24)</f>
        <v>41.0101710242323</v>
      </c>
      <c r="AM22" s="0" t="n">
        <f aca="false">IF(NymexData!AC22="",VLOOKUP('Pricing Summary'!AB22,NymexData!$S$12:$U$250,3),VLOOKUP(NymexData!AA22,NymexData!$AA$12:$AC$250,3))</f>
        <v>0.4575</v>
      </c>
      <c r="AO22" s="284" t="n">
        <f aca="false">AD22*24*VLOOKUP(AB22,Interest!$X$8:$AC$367,6)</f>
        <v>703.287988397126</v>
      </c>
    </row>
    <row r="23" customFormat="false" ht="15.75" hidden="false" customHeight="false" outlineLevel="0" collapsed="false">
      <c r="A23" s="75" t="n">
        <f aca="false">TradeSum!A26</f>
        <v>37622</v>
      </c>
      <c r="B23" s="120" t="n">
        <f aca="false">IF($C$6=0,VLOOKUP(A23,NymexData!$A$12:$F$179,6),VLOOKUP(A23,NymexData!$A$12:$L$179,12))</f>
        <v>4.98912029811043</v>
      </c>
      <c r="C23" s="263" t="n">
        <f aca="false">TradeSum!I26</f>
        <v>52.1938738879245</v>
      </c>
      <c r="D23" s="120" t="n">
        <f aca="false">C23/B23</f>
        <v>10.4615384615385</v>
      </c>
      <c r="E23" s="264" t="n">
        <f aca="false">TradeSum!I70</f>
        <v>44.5399691129697</v>
      </c>
      <c r="F23" s="120" t="n">
        <f aca="false">E23/B23</f>
        <v>8.92741935483871</v>
      </c>
      <c r="G23" s="120" t="n">
        <f aca="false">F23*TradeSum!F70*24/10000+(GasPosn!B343*1.055+GasPosn!C343+GasPosn!D26*1.055)/(VLOOKUP(A23,$AB$12:$AD$47,3))</f>
        <v>1.12918549558411</v>
      </c>
      <c r="H23" s="278" t="str">
        <f aca="false">"Cal "&amp;AA23</f>
        <v>Cal 2008</v>
      </c>
      <c r="I23" s="120" t="n">
        <f aca="false" t="array" ref="I23:I23">SUM(IF((YEAR(NymexData!$A$12:$A$244)=AA23),NymexData!$F$12:$F$244*'Pricing Summary'!$AD$12:$AD$244))/SUM(IF((YEAR(NymexData!$A$12:$A$244)=AA23),'Pricing Summary'!$AD$12:$AD$244))</f>
        <v>5.53048248586758</v>
      </c>
      <c r="J23" s="263" t="n">
        <f aca="false" t="array" ref="J23:J23">SUM(IF((YEAR($AB$12:$AB$244)=AA23),$AJ$12:$AJ$244*$AC$12:$AC$244))/SUM(IF((YEAR($AB$12:$AB$244)=AA23),$AC$12:$AC$244))</f>
        <v>46.6550977021213</v>
      </c>
      <c r="K23" s="120" t="n">
        <f aca="false">J23/I23</f>
        <v>8.43599049835927</v>
      </c>
      <c r="L23" s="263" t="n">
        <f aca="false" t="array" ref="L23:L23">SUM(IF((YEAR($AB$12:$AB$244)=AA23),$AK$12:$AK$244*$AD$12:$AD$244))/SUM(IF((YEAR($AB$12:$AB$244)=AA23),$AD$12:$AD$244))</f>
        <v>40.1503806666382</v>
      </c>
      <c r="M23" s="279" t="n">
        <f aca="false">L23/I23</f>
        <v>7.25983325491713</v>
      </c>
      <c r="P23" s="280" t="str">
        <f aca="false">H23</f>
        <v>Cal 2008</v>
      </c>
      <c r="Q23" s="120" t="n">
        <f aca="false" t="array" ref="Q23:Q23">IF(NymexData!$AA$12="",'Pricing Summary'!I23,SUM(IF((YEAR(NymexData!$A$12:$A$178)=AA23),NymexData!$L$12:$L$178*'Pricing Summary'!$AD$12:$AD$178))/SUM(IF((YEAR(NymexData!$A$12:$A$178)=AA23),'Pricing Summary'!$AD$12:$AD$178)))</f>
        <v>5.47457675269772</v>
      </c>
      <c r="R23" s="263" t="n">
        <f aca="false">J23</f>
        <v>46.6550977021213</v>
      </c>
      <c r="S23" s="120" t="n">
        <f aca="false">R23/Q23</f>
        <v>8.52213783999484</v>
      </c>
      <c r="T23" s="263" t="n">
        <f aca="false">L23</f>
        <v>40.1503806666382</v>
      </c>
      <c r="U23" s="279" t="n">
        <f aca="false">T23/Q23</f>
        <v>7.33396981727459</v>
      </c>
      <c r="W23" s="286" t="n">
        <v>2011</v>
      </c>
      <c r="X23" s="281" t="n">
        <f aca="false" t="array" ref="X23:X23">SUM(IF(YEAR([2]EnergyCurve!$D$3:$D$272)=$W23,[2]EnergyCurve!$T$3:$T$272))+SUM(IF(YEAR([2]OperatingCurve!$D$3:$D$272)=$W23,[2]OperatingCurve!$T$3:$T$272))+SUM(IF(YEAR(TradeSum!$A$12:$A$40)=$W23,TradeSum!$K$12:$K$40))+SUM(IF(YEAR(TradeSum!$A$56:$A$84)=$W23,TradeSum!$K$56:$K$84))</f>
        <v>20.4254563504783</v>
      </c>
      <c r="Y23" s="287" t="n">
        <f aca="false" t="array" ref="Y23:Y23">SUM(IF(YEAR(GasPosn!$BG$12:$BG$188)=$W23,GasPosn!$BL$12:$BL$188))+SUM(IF(YEAR(GasPosn!$BG$200:$BG$316)=$W23,GasPosn!$BL$200:$BL$316))+SUM(IF(YEAR(GasPosn!$A$329:$A$445)=$W23,GasPosn!$J$329:$J$445))</f>
        <v>216159.354012366</v>
      </c>
      <c r="Z23" s="281" t="n">
        <f aca="false">X23+Y23</f>
        <v>216179.779468717</v>
      </c>
      <c r="AA23" s="0" t="n">
        <f aca="false">AA22+1</f>
        <v>2008</v>
      </c>
      <c r="AB23" s="282" t="n">
        <f aca="false">[2]EnergyCurve!$D45</f>
        <v>37530</v>
      </c>
      <c r="AC23" s="2" t="n">
        <f aca="false">IF(TradeSum!$L$6=0,VLOOKUP(AB23,TradeSum!$DM$13:$DQ$252,2)+VLOOKUP(AB23,TradeSum!$DU$13:$DY$252,3),VLOOKUP(AB23,TradeSum!$DU$13:$DY$252,2)+VLOOKUP(AB23,TradeSum!$DU$13:$DY$252,3))</f>
        <v>27</v>
      </c>
      <c r="AD23" s="2" t="n">
        <f aca="false">VLOOKUP(AB23,TradeSum!$DM$13:$DR$252,6)</f>
        <v>31</v>
      </c>
      <c r="AE23" s="2" t="n">
        <f aca="false">IF(TradeSum!$L$6=0,VLOOKUP(AB23,TradeSum!$DM$13:$DQ$252,2),VLOOKUP(AB23,TradeSum!$DU$13:$DY$252,2))</f>
        <v>23</v>
      </c>
      <c r="AF23" s="283" t="n">
        <f aca="false">[2]EnergyCurve!$G45</f>
        <v>56.1236976552816</v>
      </c>
      <c r="AG23" s="283" t="n">
        <f aca="false">[2]EnergyCurve!$Y45</f>
        <v>50.9270589834963</v>
      </c>
      <c r="AH23" s="283" t="n">
        <f aca="false">[2]EnergyCurve!$AD45</f>
        <v>39.4944539055686</v>
      </c>
      <c r="AI23" s="283" t="n">
        <f aca="false">[2]EnergyCurve!$L45</f>
        <v>25.9831933589267</v>
      </c>
      <c r="AJ23" s="0" t="n">
        <f aca="false">(AE23*AF23+(AC23-AE23)*AG23)/AC23</f>
        <v>55.3538252594616</v>
      </c>
      <c r="AK23" s="0" t="n">
        <f aca="false">(AC23*16*AJ23+(AD23-AC23)*16*AH23+AD23*8*AI23)/(AD23*24)</f>
        <v>44.1993676277656</v>
      </c>
      <c r="AM23" s="0" t="n">
        <f aca="false">IF(NymexData!AC23="",VLOOKUP('Pricing Summary'!AB23,NymexData!$S$12:$U$250,3),VLOOKUP(NymexData!AA23,NymexData!$AA$12:$AC$250,3))</f>
        <v>0.4575</v>
      </c>
      <c r="AO23" s="284" t="n">
        <f aca="false">AD23*24*VLOOKUP(AB23,Interest!$X$8:$AC$367,6)</f>
        <v>724.996642070209</v>
      </c>
    </row>
    <row r="24" customFormat="false" ht="15.75" hidden="false" customHeight="false" outlineLevel="0" collapsed="false">
      <c r="A24" s="112" t="n">
        <f aca="false">TradeSum!A27</f>
        <v>37653</v>
      </c>
      <c r="B24" s="270" t="n">
        <f aca="false">IF($C$6=0,VLOOKUP(A24,NymexData!$A$12:$F$179,6),VLOOKUP(A24,NymexData!$A$12:$L$179,12))</f>
        <v>4.85209863183675</v>
      </c>
      <c r="C24" s="271" t="n">
        <f aca="false">TradeSum!I27</f>
        <v>50.7448648579594</v>
      </c>
      <c r="D24" s="271" t="n">
        <f aca="false">C24/B24</f>
        <v>10.4583333333333</v>
      </c>
      <c r="E24" s="272" t="n">
        <f aca="false">TradeSum!I71</f>
        <v>43.3800722917786</v>
      </c>
      <c r="F24" s="271" t="n">
        <f aca="false">E24/B24</f>
        <v>8.94047619047619</v>
      </c>
      <c r="G24" s="271" t="n">
        <f aca="false">F24*TradeSum!F71*24/10000+(GasPosn!B344*1.055+GasPosn!C344+GasPosn!D27*1.055)/(VLOOKUP(A24,$AB$12:$AD$47,3))</f>
        <v>1.17997745997751</v>
      </c>
      <c r="H24" s="273" t="str">
        <f aca="false">"Cal "&amp;AA24</f>
        <v>Cal 2009</v>
      </c>
      <c r="I24" s="123" t="n">
        <f aca="false" t="array" ref="I24:I24">SUM(IF((YEAR(NymexData!$A$12:$A$244)=AA24),NymexData!$F$12:$F$244*'Pricing Summary'!$AD$12:$AD$244))/SUM(IF((YEAR(NymexData!$A$12:$A$244)=AA24),'Pricing Summary'!$AD$12:$AD$244))</f>
        <v>5.63595047305886</v>
      </c>
      <c r="J24" s="271" t="n">
        <f aca="false" t="array" ref="J24:J24">SUM(IF((YEAR($AB$12:$AB$244)=AA24),$AJ$12:$AJ$244*$AC$12:$AC$244))/SUM(IF((YEAR($AB$12:$AB$244)=AA24),$AC$12:$AC$244))</f>
        <v>47.6045670524303</v>
      </c>
      <c r="K24" s="271" t="n">
        <f aca="false">J24/I24</f>
        <v>8.44659073566936</v>
      </c>
      <c r="L24" s="123" t="n">
        <f aca="false" t="array" ref="L24:L24">SUM(IF((YEAR($AB$12:$AB$244)=AA24),$AK$12:$AK$244*$AD$12:$AD$244))/SUM(IF((YEAR($AB$12:$AB$244)=AA24),$AD$12:$AD$244))</f>
        <v>40.9646568955238</v>
      </c>
      <c r="M24" s="274" t="n">
        <f aca="false">L24/I24</f>
        <v>7.268455798422</v>
      </c>
      <c r="P24" s="275" t="str">
        <f aca="false">H24</f>
        <v>Cal 2009</v>
      </c>
      <c r="Q24" s="123" t="n">
        <f aca="false" t="array" ref="Q24:Q24">IF(NymexData!$AA$12="",'Pricing Summary'!I24,SUM(IF((YEAR(NymexData!$A$12:$A$178)=AA24),NymexData!$L$12:$L$178*'Pricing Summary'!$AD$12:$AD$178))/SUM(IF((YEAR(NymexData!$A$12:$A$178)=AA24),'Pricing Summary'!$AD$12:$AD$178)))</f>
        <v>5.58509649811491</v>
      </c>
      <c r="R24" s="271" t="n">
        <f aca="false">J24</f>
        <v>47.6045670524303</v>
      </c>
      <c r="S24" s="271" t="n">
        <f aca="false">R24/Q24</f>
        <v>8.52349947194248</v>
      </c>
      <c r="T24" s="123" t="n">
        <f aca="false">L24</f>
        <v>40.9646568955238</v>
      </c>
      <c r="U24" s="274" t="n">
        <f aca="false">T24/Q24</f>
        <v>7.33463726353704</v>
      </c>
      <c r="W24" s="285" t="n">
        <v>2012</v>
      </c>
      <c r="X24" s="276" t="n">
        <f aca="false" t="array" ref="X24:X24">SUM(IF(YEAR([2]EnergyCurve!$D$3:$D$272)=$W24,[2]EnergyCurve!$T$3:$T$272))+SUM(IF(YEAR([2]OperatingCurve!$D$3:$D$272)=$W24,[2]OperatingCurve!$T$3:$T$272))+SUM(IF(YEAR(TradeSum!$A$12:$A$40)=$W24,TradeSum!$K$12:$K$40))+SUM(IF(YEAR(TradeSum!$A$56:$A$84)=$W24,TradeSum!$K$56:$K$84))</f>
        <v>81.4556666617984</v>
      </c>
      <c r="Y24" s="277" t="n">
        <f aca="false" t="array" ref="Y24:Y24">SUM(IF(YEAR(GasPosn!$BG$12:$BG$188)=$W24,GasPosn!$BL$12:$BL$188))+SUM(IF(YEAR(GasPosn!$BG$200:$BG$316)=$W24,GasPosn!$BL$200:$BL$316))+SUM(IF(YEAR(GasPosn!$A$329:$A$445)=$W24,GasPosn!$J$329:$J$445))</f>
        <v>165587.729306246</v>
      </c>
      <c r="Z24" s="277" t="n">
        <f aca="false">X24+Y24</f>
        <v>165669.184972908</v>
      </c>
      <c r="AA24" s="0" t="n">
        <f aca="false">AA23+1</f>
        <v>2009</v>
      </c>
      <c r="AB24" s="282" t="n">
        <f aca="false">[2]EnergyCurve!$D46</f>
        <v>37561</v>
      </c>
      <c r="AC24" s="2" t="n">
        <f aca="false">IF(TradeSum!$L$6=0,VLOOKUP(AB24,TradeSum!$DM$13:$DQ$252,2)+VLOOKUP(AB24,TradeSum!$DU$13:$DY$252,3),VLOOKUP(AB24,TradeSum!$DU$13:$DY$252,2)+VLOOKUP(AB24,TradeSum!$DU$13:$DY$252,3))</f>
        <v>25</v>
      </c>
      <c r="AD24" s="2" t="n">
        <f aca="false">VLOOKUP(AB24,TradeSum!$DM$13:$DR$252,6)</f>
        <v>30</v>
      </c>
      <c r="AE24" s="2" t="n">
        <f aca="false">IF(TradeSum!$L$6=0,VLOOKUP(AB24,TradeSum!$DM$13:$DQ$252,2),VLOOKUP(AB24,TradeSum!$DU$13:$DY$252,2))</f>
        <v>20</v>
      </c>
      <c r="AF24" s="283" t="n">
        <f aca="false">[2]EnergyCurve!$G46</f>
        <v>61.0219221702182</v>
      </c>
      <c r="AG24" s="283" t="n">
        <f aca="false">[2]EnergyCurve!$Y46</f>
        <v>55.3717441914943</v>
      </c>
      <c r="AH24" s="283" t="n">
        <f aca="false">[2]EnergyCurve!$AD46</f>
        <v>42.9413526383017</v>
      </c>
      <c r="AI24" s="283" t="n">
        <f aca="false">[2]EnergyCurve!$L46</f>
        <v>28.2508898936195</v>
      </c>
      <c r="AJ24" s="0" t="n">
        <f aca="false">(AE24*AF24+(AC24-AE24)*AG24)/AC24</f>
        <v>59.8918865744734</v>
      </c>
      <c r="AK24" s="0" t="n">
        <f aca="false">(AC24*16*AJ24+(AD24-AC24)*16*AH24+AD24*8*AI24)/(AD24*24)</f>
        <v>47.4614950212808</v>
      </c>
      <c r="AM24" s="0" t="n">
        <f aca="false">IF(NymexData!AC24="",VLOOKUP('Pricing Summary'!AB24,NymexData!$S$12:$U$250,3),VLOOKUP(NymexData!AA24,NymexData!$AA$12:$AC$250,3))</f>
        <v>0.455</v>
      </c>
      <c r="AO24" s="284" t="n">
        <f aca="false">AD24*24*VLOOKUP(AB24,Interest!$X$8:$AC$367,6)</f>
        <v>699.852561258225</v>
      </c>
    </row>
    <row r="25" customFormat="false" ht="15.75" hidden="false" customHeight="false" outlineLevel="0" collapsed="false">
      <c r="A25" s="75" t="n">
        <f aca="false">TradeSum!A28</f>
        <v>37681</v>
      </c>
      <c r="B25" s="120" t="n">
        <f aca="false">IF($C$6=0,VLOOKUP(A25,NymexData!$A$12:$F$179,6),VLOOKUP(A25,NymexData!$A$12:$L$179,12))</f>
        <v>4.71053502839661</v>
      </c>
      <c r="C25" s="263" t="n">
        <f aca="false">TradeSum!I28</f>
        <v>49.2341497679531</v>
      </c>
      <c r="D25" s="120" t="n">
        <f aca="false">C25/B25</f>
        <v>10.4519230769231</v>
      </c>
      <c r="E25" s="264" t="n">
        <f aca="false">TradeSum!I72</f>
        <v>42.0275961270117</v>
      </c>
      <c r="F25" s="120" t="n">
        <f aca="false">E25/B25</f>
        <v>8.92204301075269</v>
      </c>
      <c r="G25" s="120" t="n">
        <f aca="false">F25*TradeSum!F72*24/10000+(GasPosn!B345*1.055+GasPosn!C345+GasPosn!D28*1.055)/(VLOOKUP(A25,$AB$12:$AD$47,3))</f>
        <v>1.19206769639795</v>
      </c>
      <c r="H25" s="278" t="str">
        <f aca="false">"Cal "&amp;AA25</f>
        <v>Cal 2010</v>
      </c>
      <c r="I25" s="120" t="n">
        <f aca="false" t="array" ref="I25:I25">SUM(IF((YEAR(NymexData!$A$12:$A$244)=AA25),NymexData!$F$12:$F$244*'Pricing Summary'!$AD$12:$AD$244))/SUM(IF((YEAR(NymexData!$A$12:$A$244)=AA25),'Pricing Summary'!$AD$12:$AD$244))</f>
        <v>5.75336732989922</v>
      </c>
      <c r="J25" s="263" t="n">
        <f aca="false" t="array" ref="J25:J25">SUM(IF((YEAR($AB$12:$AB$244)=AA25),$AJ$12:$AJ$244*$AC$12:$AC$244))/SUM(IF((YEAR($AB$12:$AB$244)=AA25),$AC$12:$AC$244))</f>
        <v>48.6391094250042</v>
      </c>
      <c r="K25" s="120" t="n">
        <f aca="false">J25/I25</f>
        <v>8.45402468433319</v>
      </c>
      <c r="L25" s="263" t="n">
        <f aca="false" t="array" ref="L25:L25">SUM(IF((YEAR($AB$12:$AB$244)=AA25),$AK$12:$AK$244*$AD$12:$AD$244))/SUM(IF((YEAR($AB$12:$AB$244)=AA25),$AD$12:$AD$244))</f>
        <v>41.8541471991394</v>
      </c>
      <c r="M25" s="279" t="n">
        <f aca="false">L25/I25</f>
        <v>7.27472188011199</v>
      </c>
      <c r="P25" s="280" t="str">
        <f aca="false">H25</f>
        <v>Cal 2010</v>
      </c>
      <c r="Q25" s="120" t="n">
        <f aca="false" t="array" ref="Q25:Q25">IF(NymexData!$AA$12="",'Pricing Summary'!I25,SUM(IF((YEAR(NymexData!$A$12:$A$178)=AA25),NymexData!$L$12:$L$178*'Pricing Summary'!$AD$12:$AD$178))/SUM(IF((YEAR(NymexData!$A$12:$A$178)=AA25),'Pricing Summary'!$AD$12:$AD$178)))</f>
        <v>5.70627237238714</v>
      </c>
      <c r="R25" s="263" t="n">
        <f aca="false">J25</f>
        <v>48.6391094250042</v>
      </c>
      <c r="S25" s="120" t="n">
        <f aca="false">R25/Q25</f>
        <v>8.52379736732698</v>
      </c>
      <c r="T25" s="263" t="n">
        <f aca="false">L25</f>
        <v>41.8541471991394</v>
      </c>
      <c r="U25" s="279" t="n">
        <f aca="false">T25/Q25</f>
        <v>7.33476155145926</v>
      </c>
      <c r="W25" s="286" t="n">
        <v>2013</v>
      </c>
      <c r="X25" s="281" t="n">
        <f aca="false" t="array" ref="X25:X25">SUM(IF(YEAR([2]EnergyCurve!$D$3:$D$272)=$W25,[2]EnergyCurve!$T$3:$T$272))+SUM(IF(YEAR([2]OperatingCurve!$D$3:$D$272)=$W25,[2]OperatingCurve!$T$3:$T$272))+SUM(IF(YEAR(TradeSum!$A$12:$A$40)=$W25,TradeSum!$K$12:$K$40))+SUM(IF(YEAR(TradeSum!$A$56:$A$84)=$W25,TradeSum!$K$56:$K$84))</f>
        <v>-28.8417440978058</v>
      </c>
      <c r="Y25" s="287" t="n">
        <f aca="false" t="array" ref="Y25:Y25">SUM(IF(YEAR(GasPosn!$BG$12:$BG$188)=$W25,GasPosn!$BL$12:$BL$188))+SUM(IF(YEAR(GasPosn!$BG$200:$BG$316)=$W25,GasPosn!$BL$200:$BL$316))+SUM(IF(YEAR(GasPosn!$A$329:$A$445)=$W25,GasPosn!$J$329:$J$445))</f>
        <v>119647.722927013</v>
      </c>
      <c r="Z25" s="281" t="n">
        <f aca="false">X25+Y25</f>
        <v>119618.881182915</v>
      </c>
      <c r="AA25" s="0" t="n">
        <f aca="false">AA24+1</f>
        <v>2010</v>
      </c>
      <c r="AB25" s="282" t="n">
        <f aca="false">[2]EnergyCurve!$D47</f>
        <v>37591</v>
      </c>
      <c r="AC25" s="2" t="n">
        <f aca="false">IF(TradeSum!$L$6=0,VLOOKUP(AB25,TradeSum!$DM$13:$DQ$252,2)+VLOOKUP(AB25,TradeSum!$DU$13:$DY$252,3),VLOOKUP(AB25,TradeSum!$DU$13:$DY$252,2)+VLOOKUP(AB25,TradeSum!$DU$13:$DY$252,3))</f>
        <v>25</v>
      </c>
      <c r="AD25" s="2" t="n">
        <f aca="false">VLOOKUP(AB25,TradeSum!$DM$13:$DR$252,6)</f>
        <v>31</v>
      </c>
      <c r="AE25" s="2" t="n">
        <f aca="false">IF(TradeSum!$L$6=0,VLOOKUP(AB25,TradeSum!$DM$13:$DQ$252,2),VLOOKUP(AB25,TradeSum!$DU$13:$DY$252,2))</f>
        <v>21</v>
      </c>
      <c r="AF25" s="283" t="n">
        <f aca="false">[2]EnergyCurve!$G47</f>
        <v>64.8311090024213</v>
      </c>
      <c r="AG25" s="283" t="n">
        <f aca="false">[2]EnergyCurve!$Y47</f>
        <v>58.8282285392342</v>
      </c>
      <c r="AH25" s="283" t="n">
        <f aca="false">[2]EnergyCurve!$AD47</f>
        <v>45.6218915202224</v>
      </c>
      <c r="AI25" s="283" t="n">
        <f aca="false">[2]EnergyCurve!$L47</f>
        <v>30.0144023159358</v>
      </c>
      <c r="AJ25" s="0" t="n">
        <f aca="false">(AE25*AF25+(AC25-AE25)*AG25)/AC25</f>
        <v>63.8706481283114</v>
      </c>
      <c r="AK25" s="0" t="n">
        <f aca="false">(AC25*16*AJ25+(AD25-AC25)*16*AH25+AD25*8*AI25)/(AD25*24)</f>
        <v>50.230554585508</v>
      </c>
      <c r="AM25" s="0" t="n">
        <f aca="false">IF(NymexData!AC25="",VLOOKUP('Pricing Summary'!AB25,NymexData!$S$12:$U$250,3),VLOOKUP(NymexData!AA25,NymexData!$AA$12:$AC$250,3))</f>
        <v>0.4525</v>
      </c>
      <c r="AO25" s="284" t="n">
        <f aca="false">AD25*24*VLOOKUP(AB25,Interest!$X$8:$AC$367,6)</f>
        <v>721.282581713633</v>
      </c>
    </row>
    <row r="26" customFormat="false" ht="15.75" hidden="false" customHeight="false" outlineLevel="0" collapsed="false">
      <c r="A26" s="112" t="n">
        <f aca="false">TradeSum!A29</f>
        <v>37712</v>
      </c>
      <c r="B26" s="270" t="n">
        <f aca="false">IF($C$6=0,VLOOKUP(A26,NymexData!$A$12:$F$179,6),VLOOKUP(A26,NymexData!$A$12:$L$179,12))</f>
        <v>4.50173702108942</v>
      </c>
      <c r="C26" s="271" t="n">
        <f aca="false">TradeSum!I29</f>
        <v>47.0950949898586</v>
      </c>
      <c r="D26" s="271" t="n">
        <f aca="false">C26/B26</f>
        <v>10.4615384615385</v>
      </c>
      <c r="E26" s="272" t="n">
        <f aca="false">TradeSum!I73</f>
        <v>40.2905463387503</v>
      </c>
      <c r="F26" s="271" t="n">
        <f aca="false">E26/B26</f>
        <v>8.95</v>
      </c>
      <c r="G26" s="271" t="n">
        <f aca="false">F26*TradeSum!F73*24/10000+(GasPosn!B346*1.055+GasPosn!C346+GasPosn!D29*1.055)/(VLOOKUP(A26,$AB$12:$AD$47,3))</f>
        <v>1.2534947887567</v>
      </c>
      <c r="H26" s="273" t="str">
        <f aca="false">"Cal "&amp;AA26</f>
        <v>Cal 2011</v>
      </c>
      <c r="I26" s="123" t="n">
        <f aca="false" t="array" ref="I26:I26">SUM(IF((YEAR(NymexData!$A$12:$A$244)=AA26),NymexData!$F$12:$F$244*'Pricing Summary'!$AD$12:$AD$244))/SUM(IF((YEAR(NymexData!$A$12:$A$244)=AA26),'Pricing Summary'!$AD$12:$AD$244))</f>
        <v>5.98261023227819</v>
      </c>
      <c r="J26" s="271" t="n">
        <f aca="false" t="array" ref="J26:J26">SUM(IF((YEAR($AB$12:$AB$244)=AA26),$AJ$12:$AJ$244*$AC$12:$AC$244))/SUM(IF((YEAR($AB$12:$AB$244)=AA26),$AC$12:$AC$244))</f>
        <v>39.6477482531162</v>
      </c>
      <c r="K26" s="271" t="n">
        <f aca="false">J26/I26</f>
        <v>6.62716552036154</v>
      </c>
      <c r="L26" s="123" t="n">
        <f aca="false" t="array" ref="L26:L26">SUM(IF((YEAR($AB$12:$AB$244)=AA26),$AK$12:$AK$244*$AD$12:$AD$244))/SUM(IF((YEAR($AB$12:$AB$244)=AA26),$AD$12:$AD$244))</f>
        <v>33.6535908891034</v>
      </c>
      <c r="M26" s="274" t="n">
        <f aca="false">L26/I26</f>
        <v>5.62523540436095</v>
      </c>
      <c r="P26" s="275" t="str">
        <f aca="false">H26</f>
        <v>Cal 2011</v>
      </c>
      <c r="Q26" s="123" t="n">
        <f aca="false" t="array" ref="Q26:Q26">IF(NymexData!$AA$12="",'Pricing Summary'!I26,SUM(IF((YEAR(NymexData!$A$12:$A$178)=AA26),NymexData!$L$12:$L$178*'Pricing Summary'!$AD$12:$AD$178))/SUM(IF((YEAR(NymexData!$A$12:$A$178)=AA26),'Pricing Summary'!$AD$12:$AD$178)))</f>
        <v>5.93826284674935</v>
      </c>
      <c r="R26" s="271" t="n">
        <f aca="false">J26</f>
        <v>39.6477482531162</v>
      </c>
      <c r="S26" s="271" t="n">
        <f aca="false">R26/Q26</f>
        <v>6.67665768193802</v>
      </c>
      <c r="T26" s="123" t="n">
        <f aca="false">L26</f>
        <v>33.6535908891034</v>
      </c>
      <c r="U26" s="274" t="n">
        <f aca="false">T26/Q26</f>
        <v>5.66724507783041</v>
      </c>
      <c r="W26" s="285" t="n">
        <v>2014</v>
      </c>
      <c r="X26" s="276" t="n">
        <f aca="false" t="array" ref="X26:X26">SUM(IF(YEAR([2]EnergyCurve!$D$3:$D$272)=$W26,[2]EnergyCurve!$T$3:$T$272))+SUM(IF(YEAR([2]OperatingCurve!$D$3:$D$272)=$W26,[2]OperatingCurve!$T$3:$T$272))+SUM(IF(YEAR(TradeSum!$A$12:$A$40)=$W26,TradeSum!$K$12:$K$40))+SUM(IF(YEAR(TradeSum!$A$56:$A$84)=$W26,TradeSum!$K$56:$K$84))</f>
        <v>-8.15264157834989</v>
      </c>
      <c r="Y26" s="277" t="n">
        <f aca="false" t="array" ref="Y26:Y26">SUM(IF(YEAR(GasPosn!$BG$12:$BG$188)=$W26,GasPosn!$BL$12:$BL$188))+SUM(IF(YEAR(GasPosn!$BG$200:$BG$316)=$W26,GasPosn!$BL$200:$BL$316))+SUM(IF(YEAR(GasPosn!$A$329:$A$445)=$W26,GasPosn!$J$329:$J$445))</f>
        <v>78881.4979954794</v>
      </c>
      <c r="Z26" s="277" t="n">
        <f aca="false">X26+Y26</f>
        <v>78873.3453539011</v>
      </c>
      <c r="AA26" s="0" t="n">
        <f aca="false">AA25+1</f>
        <v>2011</v>
      </c>
      <c r="AB26" s="282" t="n">
        <f aca="false">[2]EnergyCurve!$D48</f>
        <v>37622</v>
      </c>
      <c r="AC26" s="2" t="n">
        <f aca="false">IF(TradeSum!$L$6=0,VLOOKUP(AB26,TradeSum!$DM$13:$DQ$252,2)+VLOOKUP(AB26,TradeSum!$DU$13:$DY$252,3),VLOOKUP(AB26,TradeSum!$DU$13:$DY$252,2)+VLOOKUP(AB26,TradeSum!$DU$13:$DY$252,3))</f>
        <v>26</v>
      </c>
      <c r="AD26" s="2" t="n">
        <f aca="false">VLOOKUP(AB26,TradeSum!$DM$13:$DR$252,6)</f>
        <v>31</v>
      </c>
      <c r="AE26" s="2" t="n">
        <f aca="false">IF(TradeSum!$L$6=0,VLOOKUP(AB26,TradeSum!$DM$13:$DQ$252,2),VLOOKUP(AB26,TradeSum!$DU$13:$DY$252,2))</f>
        <v>22</v>
      </c>
      <c r="AF26" s="283" t="n">
        <f aca="false">[2]EnergyCurve!$G48</f>
        <v>52.3857631301595</v>
      </c>
      <c r="AG26" s="283" t="n">
        <f aca="false">[2]EnergyCurve!$Y48</f>
        <v>51.1384830556319</v>
      </c>
      <c r="AH26" s="283" t="n">
        <f aca="false">[2]EnergyCurve!$AD48</f>
        <v>46.1493627575215</v>
      </c>
      <c r="AI26" s="283" t="n">
        <f aca="false">[2]EnergyCurve!$L48</f>
        <v>31.1820018631902</v>
      </c>
      <c r="AJ26" s="0" t="n">
        <f aca="false">(AE26*AF26+(AC26-AE26)*AG26)/AC26</f>
        <v>52.1938738879245</v>
      </c>
      <c r="AK26" s="0" t="n">
        <f aca="false">(AC26*16*AJ26+(AD26-AC26)*16*AH26+AD26*8*AI26)/(AD26*24)</f>
        <v>44.5399691129697</v>
      </c>
      <c r="AM26" s="0" t="n">
        <f aca="false">IF(NymexData!AC26="",VLOOKUP('Pricing Summary'!AB26,NymexData!$S$12:$U$250,3),VLOOKUP(NymexData!AA26,NymexData!$AA$12:$AC$250,3))</f>
        <v>0.4525</v>
      </c>
      <c r="AO26" s="284" t="n">
        <f aca="false">AD26*24*VLOOKUP(AB26,Interest!$X$8:$AC$367,6)</f>
        <v>719.241152813453</v>
      </c>
    </row>
    <row r="27" customFormat="false" ht="15.75" hidden="false" customHeight="false" outlineLevel="0" collapsed="false">
      <c r="A27" s="75" t="n">
        <f aca="false">TradeSum!A30</f>
        <v>37742</v>
      </c>
      <c r="B27" s="120" t="n">
        <f aca="false">IF($C$6=0,VLOOKUP(A27,NymexData!$A$12:$F$179,6),VLOOKUP(A27,NymexData!$A$12:$L$179,12))</f>
        <v>4.50194310783948</v>
      </c>
      <c r="C27" s="263" t="n">
        <f aca="false">TradeSum!I30</f>
        <v>47.0539630598222</v>
      </c>
      <c r="D27" s="120" t="n">
        <f aca="false">C27/B27</f>
        <v>10.4519230769231</v>
      </c>
      <c r="E27" s="264" t="n">
        <f aca="false">TradeSum!I74</f>
        <v>40.1665300401054</v>
      </c>
      <c r="F27" s="120" t="n">
        <f aca="false">E27/B27</f>
        <v>8.92204301075269</v>
      </c>
      <c r="G27" s="120" t="n">
        <f aca="false">F27*TradeSum!F74*24/10000+(GasPosn!B347*1.055+GasPosn!C347+GasPosn!D30*1.055)/(VLOOKUP(A27,$AB$12:$AD$47,3))</f>
        <v>1.26724699873789</v>
      </c>
      <c r="H27" s="278" t="str">
        <f aca="false">"Cal "&amp;AA27</f>
        <v>Cal 2012</v>
      </c>
      <c r="I27" s="120" t="n">
        <f aca="false" t="array" ref="I27:I27">SUM(IF((YEAR(NymexData!$A$12:$A$244)=AA27),NymexData!$F$12:$F$244*'Pricing Summary'!$AD$12:$AD$244))/SUM(IF((YEAR(NymexData!$A$12:$A$244)=AA27),'Pricing Summary'!$AD$12:$AD$244))</f>
        <v>6.14212006440402</v>
      </c>
      <c r="J27" s="263" t="n">
        <f aca="false" t="array" ref="J27:J27">SUM(IF((YEAR($AB$12:$AB$244)=AA27),$AJ$12:$AJ$244*$AC$12:$AC$244))/SUM(IF((YEAR($AB$12:$AB$244)=AA27),$AC$12:$AC$244))</f>
        <v>39.6434851522913</v>
      </c>
      <c r="K27" s="120" t="n">
        <f aca="false">J27/I27</f>
        <v>6.45436506232445</v>
      </c>
      <c r="L27" s="263" t="n">
        <f aca="false" t="array" ref="L27:L27">SUM(IF((YEAR($AB$12:$AB$244)=AA27),$AK$12:$AK$244*$AD$12:$AD$244))/SUM(IF((YEAR($AB$12:$AB$244)=AA27),$AD$12:$AD$244))</f>
        <v>33.6350086161867</v>
      </c>
      <c r="M27" s="279" t="n">
        <f aca="false">L27/I27</f>
        <v>5.47612359633194</v>
      </c>
      <c r="P27" s="280" t="str">
        <f aca="false">H27</f>
        <v>Cal 2012</v>
      </c>
      <c r="Q27" s="120" t="n">
        <f aca="false" t="array" ref="Q27:Q27">IF(NymexData!$AA$12="",'Pricing Summary'!I27,SUM(IF((YEAR(NymexData!$A$12:$A$178)=AA27),NymexData!$L$12:$L$178*'Pricing Summary'!$AD$12:$AD$178))/SUM(IF((YEAR(NymexData!$A$12:$A$178)=AA27),'Pricing Summary'!$AD$12:$AD$178)))</f>
        <v>6.10551532389792</v>
      </c>
      <c r="R27" s="263" t="n">
        <f aca="false">J27</f>
        <v>39.6434851522913</v>
      </c>
      <c r="S27" s="120" t="n">
        <f aca="false">R27/Q27</f>
        <v>6.4930612813501</v>
      </c>
      <c r="T27" s="263" t="n">
        <f aca="false">L27</f>
        <v>33.6350086161867</v>
      </c>
      <c r="U27" s="279" t="n">
        <f aca="false">T27/Q27</f>
        <v>5.50895490910229</v>
      </c>
      <c r="W27" s="286" t="n">
        <v>2015</v>
      </c>
      <c r="X27" s="281" t="n">
        <f aca="false" t="array" ref="X27:X27">SUM(IF(YEAR([2]EnergyCurve!$D$3:$D$272)=$W27,[2]EnergyCurve!$T$3:$T$272))+SUM(IF(YEAR([2]OperatingCurve!$D$3:$D$272)=$W27,[2]OperatingCurve!$T$3:$T$272))+SUM(IF(YEAR(TradeSum!$A$12:$A$40)=$W27,TradeSum!$K$12:$K$40))+SUM(IF(YEAR(TradeSum!$A$56:$A$84)=$W27,TradeSum!$K$56:$K$84))</f>
        <v>-60.0641602538074</v>
      </c>
      <c r="Y27" s="287" t="n">
        <f aca="false" t="array" ref="Y27:Y27">SUM(IF(YEAR(GasPosn!$BG$12:$BG$188)=$W27,GasPosn!$BL$12:$BL$188))+SUM(IF(YEAR(GasPosn!$BG$200:$BG$316)=$W27,GasPosn!$BL$200:$BL$316))+SUM(IF(YEAR(GasPosn!$A$329:$A$445)=$W27,GasPosn!$J$329:$J$445))</f>
        <v>42537.7037080265</v>
      </c>
      <c r="Z27" s="281" t="n">
        <f aca="false">X27+Y27</f>
        <v>42477.6395477726</v>
      </c>
      <c r="AA27" s="0" t="n">
        <f aca="false">AA26+1</f>
        <v>2012</v>
      </c>
      <c r="AB27" s="282" t="n">
        <f aca="false">[2]EnergyCurve!$D49</f>
        <v>37653</v>
      </c>
      <c r="AC27" s="2" t="n">
        <f aca="false">IF(TradeSum!$L$6=0,VLOOKUP(AB27,TradeSum!$DM$13:$DQ$252,2)+VLOOKUP(AB27,TradeSum!$DU$13:$DY$252,3),VLOOKUP(AB27,TradeSum!$DU$13:$DY$252,2)+VLOOKUP(AB27,TradeSum!$DU$13:$DY$252,3))</f>
        <v>24</v>
      </c>
      <c r="AD27" s="2" t="n">
        <f aca="false">VLOOKUP(AB27,TradeSum!$DM$13:$DR$252,6)</f>
        <v>28</v>
      </c>
      <c r="AE27" s="2" t="n">
        <f aca="false">IF(TradeSum!$L$6=0,VLOOKUP(AB27,TradeSum!$DM$13:$DQ$252,2),VLOOKUP(AB27,TradeSum!$DU$13:$DY$252,2))</f>
        <v>20</v>
      </c>
      <c r="AF27" s="283" t="n">
        <f aca="false">[2]EnergyCurve!$G49</f>
        <v>50.9470356342859</v>
      </c>
      <c r="AG27" s="283" t="n">
        <f aca="false">[2]EnergyCurve!$Y49</f>
        <v>49.7340109763267</v>
      </c>
      <c r="AH27" s="283" t="n">
        <f aca="false">[2]EnergyCurve!$AD49</f>
        <v>44.88191234449</v>
      </c>
      <c r="AI27" s="283" t="n">
        <f aca="false">[2]EnergyCurve!$L49</f>
        <v>30.3256164489797</v>
      </c>
      <c r="AJ27" s="0" t="n">
        <f aca="false">(AE27*AF27+(AC27-AE27)*AG27)/AC27</f>
        <v>50.7448648579594</v>
      </c>
      <c r="AK27" s="0" t="n">
        <f aca="false">(AC27*16*AJ27+(AD27-AC27)*16*AH27+AD27*8*AI27)/(AD27*24)</f>
        <v>43.3800722917786</v>
      </c>
      <c r="AM27" s="0" t="n">
        <f aca="false">IF(NymexData!AC27="",VLOOKUP('Pricing Summary'!AB27,NymexData!$S$12:$U$250,3),VLOOKUP(NymexData!AA27,NymexData!$AA$12:$AC$250,3))</f>
        <v>0.445</v>
      </c>
      <c r="AO27" s="284" t="n">
        <f aca="false">AD27*24*VLOOKUP(AB27,Interest!$X$8:$AC$367,6)</f>
        <v>647.807606586232</v>
      </c>
    </row>
    <row r="28" customFormat="false" ht="15.75" hidden="false" customHeight="false" outlineLevel="0" collapsed="false">
      <c r="A28" s="112" t="n">
        <f aca="false">TradeSum!A31</f>
        <v>37773</v>
      </c>
      <c r="B28" s="270" t="n">
        <f aca="false">IF($C$6=0,VLOOKUP(A28,NymexData!$A$12:$F$179,6),VLOOKUP(A28,NymexData!$A$12:$L$179,12))</f>
        <v>4.5320012406112</v>
      </c>
      <c r="C28" s="271" t="n">
        <f aca="false">TradeSum!I31</f>
        <v>47.4047329767932</v>
      </c>
      <c r="D28" s="271" t="n">
        <f aca="false">C28/B28</f>
        <v>10.46</v>
      </c>
      <c r="E28" s="272" t="n">
        <f aca="false">TradeSum!I75</f>
        <v>40.43552218012</v>
      </c>
      <c r="F28" s="271" t="n">
        <f aca="false">E28/B28</f>
        <v>8.92222222222222</v>
      </c>
      <c r="G28" s="271" t="n">
        <f aca="false">F28*TradeSum!F75*24/10000+(GasPosn!B348*1.055+GasPosn!C348+GasPosn!D31*1.055)/(VLOOKUP(A28,$AB$12:$AD$47,3))</f>
        <v>1.30194677987752</v>
      </c>
      <c r="H28" s="273" t="str">
        <f aca="false">"Cal "&amp;AA28</f>
        <v>Cal 2013</v>
      </c>
      <c r="I28" s="123" t="n">
        <f aca="false" t="array" ref="I28:I28">SUM(IF((YEAR(NymexData!$A$12:$A$244)=AA28),NymexData!$F$12:$F$244*'Pricing Summary'!$AD$12:$AD$244))/SUM(IF((YEAR(NymexData!$A$12:$A$244)=AA28),'Pricing Summary'!$AD$12:$AD$244))</f>
        <v>6.28154931704205</v>
      </c>
      <c r="J28" s="271" t="n">
        <f aca="false" t="array" ref="J28:J28">SUM(IF((YEAR($AB$12:$AB$244)=AA28),$AJ$12:$AJ$244*$AC$12:$AC$244))/SUM(IF((YEAR($AB$12:$AB$244)=AA28),$AC$12:$AC$244))</f>
        <v>39.6399399867589</v>
      </c>
      <c r="K28" s="271" t="n">
        <f aca="false">J28/I28</f>
        <v>6.31053550422894</v>
      </c>
      <c r="L28" s="123" t="n">
        <f aca="false" t="array" ref="L28:L28">SUM(IF((YEAR($AB$12:$AB$244)=AA28),$AK$12:$AK$244*$AD$12:$AD$244))/SUM(IF((YEAR($AB$12:$AB$244)=AA28),$AD$12:$AD$244))</f>
        <v>33.6520323028228</v>
      </c>
      <c r="M28" s="274" t="n">
        <f aca="false">L28/I28</f>
        <v>5.35728219334738</v>
      </c>
      <c r="P28" s="275" t="str">
        <f aca="false">H28</f>
        <v>Cal 2013</v>
      </c>
      <c r="Q28" s="123" t="n">
        <f aca="false" t="array" ref="Q28:Q28">IF(NymexData!$AA$12="",'Pricing Summary'!I28,SUM(IF((YEAR(NymexData!$A$12:$A$178)=AA28),NymexData!$L$12:$L$178*'Pricing Summary'!$AD$12:$AD$178))/SUM(IF((YEAR(NymexData!$A$12:$A$178)=AA28),'Pricing Summary'!$AD$12:$AD$178)))</f>
        <v>6.25722679304696</v>
      </c>
      <c r="R28" s="271" t="n">
        <f aca="false">J28</f>
        <v>39.6399399867589</v>
      </c>
      <c r="S28" s="271" t="n">
        <f aca="false">R28/Q28</f>
        <v>6.33506524500708</v>
      </c>
      <c r="T28" s="123" t="n">
        <f aca="false">L28</f>
        <v>33.6520323028228</v>
      </c>
      <c r="U28" s="274" t="n">
        <f aca="false">T28/Q28</f>
        <v>5.37810653438628</v>
      </c>
      <c r="W28" s="285" t="n">
        <v>2016</v>
      </c>
      <c r="X28" s="276" t="n">
        <f aca="false" t="array" ref="X28:X28">SUM(IF(YEAR([2]EnergyCurve!$D$3:$D$272)=$W28,[2]EnergyCurve!$T$3:$T$272))+SUM(IF(YEAR([2]OperatingCurve!$D$3:$D$272)=$W28,[2]OperatingCurve!$T$3:$T$272))+SUM(IF(YEAR(TradeSum!$A$12:$A$40)=$W28,TradeSum!$K$12:$K$40))+SUM(IF(YEAR(TradeSum!$A$56:$A$84)=$W28,TradeSum!$K$56:$K$84))</f>
        <v>132.547358407116</v>
      </c>
      <c r="Y28" s="277" t="n">
        <f aca="false" t="array" ref="Y28:Y28">SUM(IF(YEAR(GasPosn!$BG$12:$BG$188)=$W28,GasPosn!$BL$12:$BL$188))+SUM(IF(YEAR(GasPosn!$BG$200:$BG$316)=$W28,GasPosn!$BL$200:$BL$316))+SUM(IF(YEAR(GasPosn!$A$329:$A$445)=$W28,GasPosn!$J$329:$J$445))</f>
        <v>0</v>
      </c>
      <c r="Z28" s="277" t="n">
        <f aca="false">X28+Y28</f>
        <v>132.547358407116</v>
      </c>
      <c r="AA28" s="0" t="n">
        <f aca="false">AA27+1</f>
        <v>2013</v>
      </c>
      <c r="AB28" s="282" t="n">
        <f aca="false">[2]EnergyCurve!$D50</f>
        <v>37681</v>
      </c>
      <c r="AC28" s="2" t="n">
        <f aca="false">IF(TradeSum!$L$6=0,VLOOKUP(AB28,TradeSum!$DM$13:$DQ$252,2)+VLOOKUP(AB28,TradeSum!$DU$13:$DY$252,3),VLOOKUP(AB28,TradeSum!$DU$13:$DY$252,2)+VLOOKUP(AB28,TradeSum!$DU$13:$DY$252,3))</f>
        <v>26</v>
      </c>
      <c r="AD28" s="2" t="n">
        <f aca="false">VLOOKUP(AB28,TradeSum!$DM$13:$DR$252,6)</f>
        <v>31</v>
      </c>
      <c r="AE28" s="2" t="n">
        <f aca="false">IF(TradeSum!$L$6=0,VLOOKUP(AB28,TradeSum!$DM$13:$DQ$252,2),VLOOKUP(AB28,TradeSum!$DU$13:$DY$252,2))</f>
        <v>21</v>
      </c>
      <c r="AF28" s="283" t="n">
        <f aca="false">[2]EnergyCurve!$G50</f>
        <v>49.4606177981644</v>
      </c>
      <c r="AG28" s="283" t="n">
        <f aca="false">[2]EnergyCurve!$Y50</f>
        <v>48.2829840410653</v>
      </c>
      <c r="AH28" s="283" t="n">
        <f aca="false">[2]EnergyCurve!$AD50</f>
        <v>43.5724490126687</v>
      </c>
      <c r="AI28" s="283" t="n">
        <f aca="false">[2]EnergyCurve!$L50</f>
        <v>29.4408439274788</v>
      </c>
      <c r="AJ28" s="0" t="n">
        <f aca="false">(AE28*AF28+(AC28-AE28)*AG28)/AC28</f>
        <v>49.2341497679531</v>
      </c>
      <c r="AK28" s="0" t="n">
        <f aca="false">(AC28*16*AJ28+(AD28-AC28)*16*AH28+AD28*8*AI28)/(AD28*24)</f>
        <v>42.0275961270117</v>
      </c>
      <c r="AM28" s="0" t="n">
        <f aca="false">IF(NymexData!AC28="",VLOOKUP('Pricing Summary'!AB28,NymexData!$S$12:$U$250,3),VLOOKUP(NymexData!AA28,NymexData!$AA$12:$AC$250,3))</f>
        <v>0.425</v>
      </c>
      <c r="AO28" s="284" t="n">
        <f aca="false">AD28*24*VLOOKUP(AB28,Interest!$X$8:$AC$367,6)</f>
        <v>715.028074274315</v>
      </c>
    </row>
    <row r="29" customFormat="false" ht="15.75" hidden="false" customHeight="false" outlineLevel="0" collapsed="false">
      <c r="A29" s="75" t="n">
        <f aca="false">TradeSum!A32</f>
        <v>37803</v>
      </c>
      <c r="B29" s="120" t="n">
        <f aca="false">IF($C$6=0,VLOOKUP(A29,NymexData!$A$12:$F$179,6),VLOOKUP(A29,NymexData!$A$12:$L$179,12))</f>
        <v>4.56945172364328</v>
      </c>
      <c r="C29" s="263" t="n">
        <f aca="false">TradeSum!I32</f>
        <v>47.8034949550374</v>
      </c>
      <c r="D29" s="120" t="n">
        <f aca="false">C29/B29</f>
        <v>10.4615384615385</v>
      </c>
      <c r="E29" s="264" t="n">
        <f aca="false">TradeSum!I76</f>
        <v>40.7934117586542</v>
      </c>
      <c r="F29" s="120" t="n">
        <f aca="false">E29/B29</f>
        <v>8.92741935483871</v>
      </c>
      <c r="G29" s="120" t="n">
        <f aca="false">F29*TradeSum!F76*24/10000+(GasPosn!B349*1.055+GasPosn!C349+GasPosn!D32*1.055)/(VLOOKUP(A29,$AB$12:$AD$47,3))</f>
        <v>1.33833999493353</v>
      </c>
      <c r="H29" s="278" t="str">
        <f aca="false">"Cal "&amp;AA29</f>
        <v>Cal 2014</v>
      </c>
      <c r="I29" s="120" t="n">
        <f aca="false" t="array" ref="I29:I29">SUM(IF((YEAR(NymexData!$A$12:$A$244)=AA29),NymexData!$F$12:$F$244*'Pricing Summary'!$AD$12:$AD$244))/SUM(IF((YEAR(NymexData!$A$12:$A$244)=AA29),'Pricing Summary'!$AD$12:$AD$244))</f>
        <v>6.42545050297674</v>
      </c>
      <c r="J29" s="263" t="n">
        <f aca="false" t="array" ref="J29:J29">SUM(IF((YEAR($AB$12:$AB$244)=AA29),$AJ$12:$AJ$244*$AC$12:$AC$244))/SUM(IF((YEAR($AB$12:$AB$244)=AA29),$AC$12:$AC$244))</f>
        <v>39.6453033797431</v>
      </c>
      <c r="K29" s="120" t="n">
        <f aca="false">J29/I29</f>
        <v>6.17004260812165</v>
      </c>
      <c r="L29" s="263" t="n">
        <f aca="false" t="array" ref="L29:L29">SUM(IF((YEAR($AB$12:$AB$244)=AA29),$AK$12:$AK$244*$AD$12:$AD$244))/SUM(IF((YEAR($AB$12:$AB$244)=AA29),$AD$12:$AD$244))</f>
        <v>33.6531104493343</v>
      </c>
      <c r="M29" s="279" t="n">
        <f aca="false">L29/I29</f>
        <v>5.23747096545895</v>
      </c>
      <c r="P29" s="280" t="str">
        <f aca="false">H29</f>
        <v>Cal 2014</v>
      </c>
      <c r="Q29" s="120" t="n">
        <f aca="false" t="array" ref="Q29:Q29">IF(NymexData!$AA$12="",'Pricing Summary'!I29,SUM(IF((YEAR(NymexData!$A$12:$A$178)=AA29),NymexData!$L$12:$L$178*'Pricing Summary'!$AD$12:$AD$178))/SUM(IF((YEAR(NymexData!$A$12:$A$178)=AA29),'Pricing Summary'!$AD$12:$AD$178)))</f>
        <v>6.41463270441251</v>
      </c>
      <c r="R29" s="263" t="n">
        <f aca="false">J29</f>
        <v>39.6453033797431</v>
      </c>
      <c r="S29" s="120" t="n">
        <f aca="false">R29/Q29</f>
        <v>6.18044792377151</v>
      </c>
      <c r="T29" s="263" t="n">
        <f aca="false">L29</f>
        <v>33.6531104493343</v>
      </c>
      <c r="U29" s="279" t="n">
        <f aca="false">T29/Q29</f>
        <v>5.2463035687429</v>
      </c>
      <c r="W29" s="286" t="n">
        <v>2017</v>
      </c>
      <c r="X29" s="281" t="n">
        <f aca="false" t="array" ref="X29:X29">SUM(IF(YEAR([2]EnergyCurve!$D$3:$D$272)=$W29,[2]EnergyCurve!$T$3:$T$272))+SUM(IF(YEAR([2]OperatingCurve!$D$3:$D$272)=$W29,[2]OperatingCurve!$T$3:$T$272))+SUM(IF(YEAR(TradeSum!$A$12:$A$40)=$W29,TradeSum!$K$12:$K$40))+SUM(IF(YEAR(TradeSum!$A$56:$A$84)=$W29,TradeSum!$K$56:$K$84))</f>
        <v>-93.4667268783179</v>
      </c>
      <c r="Y29" s="287" t="n">
        <f aca="false" t="array" ref="Y29:Y29">SUM(IF(YEAR(GasPosn!$BG$12:$BG$188)=$W29,GasPosn!$BL$12:$BL$188))+SUM(IF(YEAR(GasPosn!$BG$200:$BG$316)=$W29,GasPosn!$BL$200:$BL$316))+SUM(IF(YEAR(GasPosn!$A$329:$A$445)=$W29,GasPosn!$J$329:$J$445))</f>
        <v>0</v>
      </c>
      <c r="Z29" s="281" t="n">
        <f aca="false">X29+Y29</f>
        <v>-93.4667268783179</v>
      </c>
      <c r="AA29" s="0" t="n">
        <f aca="false">AA28+1</f>
        <v>2014</v>
      </c>
      <c r="AB29" s="282" t="n">
        <f aca="false">[2]EnergyCurve!$D51</f>
        <v>37712</v>
      </c>
      <c r="AC29" s="2" t="n">
        <f aca="false">IF(TradeSum!$L$6=0,VLOOKUP(AB29,TradeSum!$DM$13:$DQ$252,2)+VLOOKUP(AB29,TradeSum!$DU$13:$DY$252,3),VLOOKUP(AB29,TradeSum!$DU$13:$DY$252,2)+VLOOKUP(AB29,TradeSum!$DU$13:$DY$252,3))</f>
        <v>26</v>
      </c>
      <c r="AD29" s="2" t="n">
        <f aca="false">VLOOKUP(AB29,TradeSum!$DM$13:$DR$252,6)</f>
        <v>30</v>
      </c>
      <c r="AE29" s="2" t="n">
        <f aca="false">IF(TradeSum!$L$6=0,VLOOKUP(AB29,TradeSum!$DM$13:$DQ$252,2),VLOOKUP(AB29,TradeSum!$DU$13:$DY$252,2))</f>
        <v>22</v>
      </c>
      <c r="AF29" s="283" t="n">
        <f aca="false">[2]EnergyCurve!$G51</f>
        <v>47.2682387214389</v>
      </c>
      <c r="AG29" s="283" t="n">
        <f aca="false">[2]EnergyCurve!$Y51</f>
        <v>46.1428044661666</v>
      </c>
      <c r="AH29" s="283" t="n">
        <f aca="false">[2]EnergyCurve!$AD51</f>
        <v>41.6410674450771</v>
      </c>
      <c r="AI29" s="283" t="n">
        <f aca="false">[2]EnergyCurve!$L51</f>
        <v>28.1358563818089</v>
      </c>
      <c r="AJ29" s="0" t="n">
        <f aca="false">(AE29*AF29+(AC29-AE29)*AG29)/AC29</f>
        <v>47.0950949898586</v>
      </c>
      <c r="AK29" s="0" t="n">
        <f aca="false">(AC29*16*AJ29+(AD29-AC29)*16*AH29+AD29*8*AI29)/(AD29*24)</f>
        <v>40.2905463387503</v>
      </c>
      <c r="AM29" s="0" t="n">
        <f aca="false">IF(NymexData!AC29="",VLOOKUP('Pricing Summary'!AB29,NymexData!$S$12:$U$250,3),VLOOKUP(NymexData!AA29,NymexData!$AA$12:$AC$250,3))</f>
        <v>0.3775</v>
      </c>
      <c r="AO29" s="284" t="n">
        <f aca="false">AD29*24*VLOOKUP(AB29,Interest!$X$8:$AC$367,6)</f>
        <v>689.783804041229</v>
      </c>
    </row>
    <row r="30" customFormat="false" ht="15.75" hidden="false" customHeight="false" outlineLevel="0" collapsed="false">
      <c r="A30" s="112" t="n">
        <f aca="false">TradeSum!A33</f>
        <v>37834</v>
      </c>
      <c r="B30" s="270" t="n">
        <f aca="false">IF($C$6=0,VLOOKUP(A30,NymexData!$A$12:$F$179,6),VLOOKUP(A30,NymexData!$A$12:$L$179,12))</f>
        <v>4.61725832946891</v>
      </c>
      <c r="C30" s="271" t="n">
        <f aca="false">TradeSum!I33</f>
        <v>48.2592288858914</v>
      </c>
      <c r="D30" s="271" t="n">
        <f aca="false">C30/B30</f>
        <v>10.4519230769231</v>
      </c>
      <c r="E30" s="272" t="n">
        <f aca="false">TradeSum!I77</f>
        <v>41.1953774072777</v>
      </c>
      <c r="F30" s="271" t="n">
        <f aca="false">E30/B30</f>
        <v>8.92204301075269</v>
      </c>
      <c r="G30" s="271" t="n">
        <f aca="false">F30*TradeSum!F77*24/10000+(GasPosn!B350*1.055+GasPosn!C350+GasPosn!D33*1.055)/(VLOOKUP(A30,$AB$12:$AD$47,3))</f>
        <v>1.37588412998053</v>
      </c>
      <c r="H30" s="273" t="str">
        <f aca="false">"Cal "&amp;AA30</f>
        <v>Cal 2015</v>
      </c>
      <c r="I30" s="123" t="n">
        <f aca="false" t="array" ref="I30:I30">SUM(IF((YEAR(NymexData!$A$12:$A$244)=AA30),NymexData!$F$12:$F$244*'Pricing Summary'!$AD$12:$AD$244))/SUM(IF((YEAR(NymexData!$A$12:$A$244)=AA30),'Pricing Summary'!$AD$12:$AD$244))</f>
        <v>6.52179627966176</v>
      </c>
      <c r="J30" s="271" t="n">
        <f aca="false" t="array" ref="J30:J30">SUM(IF((YEAR($AB$12:$AB$244)=AA30),$AJ$12:$AJ$244*$AC$12:$AC$244))/SUM(IF((YEAR($AB$12:$AB$244)=AA30),$AC$12:$AC$244))</f>
        <v>39.6530055298879</v>
      </c>
      <c r="K30" s="271" t="n">
        <f aca="false">J30/I30</f>
        <v>6.08007423561296</v>
      </c>
      <c r="L30" s="123" t="n">
        <f aca="false" t="array" ref="L30:L30">SUM(IF((YEAR($AB$12:$AB$244)=AA30),$AK$12:$AK$244*$AD$12:$AD$244))/SUM(IF((YEAR($AB$12:$AB$244)=AA30),$AD$12:$AD$244))</f>
        <v>33.6569182800496</v>
      </c>
      <c r="M30" s="274" t="n">
        <f aca="false">L30/I30</f>
        <v>5.16068224716077</v>
      </c>
      <c r="P30" s="275" t="str">
        <f aca="false">H30</f>
        <v>Cal 2015</v>
      </c>
      <c r="Q30" s="123" t="n">
        <f aca="false" t="array" ref="Q30:Q30">IF(NymexData!$AA$12="",'Pricing Summary'!I30,SUM(IF((YEAR(NymexData!$A$12:$A$244)=AA30),NymexData!$L$12:$L$244*'Pricing Summary'!$AD$12:$AD$244))/SUM(IF((YEAR(NymexData!$A$12:$A$244)=AA30),'Pricing Summary'!$AD$12:$AD$244)))</f>
        <v>6.52569397415578</v>
      </c>
      <c r="R30" s="271" t="n">
        <f aca="false">J30</f>
        <v>39.6530055298879</v>
      </c>
      <c r="S30" s="271" t="n">
        <f aca="false">R30/Q30</f>
        <v>6.07644270278822</v>
      </c>
      <c r="T30" s="123" t="n">
        <f aca="false">L30</f>
        <v>33.6569182800496</v>
      </c>
      <c r="U30" s="274" t="n">
        <f aca="false">T30/Q30</f>
        <v>5.15759985272736</v>
      </c>
      <c r="W30" s="285" t="n">
        <v>2018</v>
      </c>
      <c r="X30" s="276" t="n">
        <f aca="false" t="array" ref="X30:X30">SUM(IF(YEAR([2]EnergyCurve!$D$3:$D$272)=$W30,[2]EnergyCurve!$T$3:$T$272))+SUM(IF(YEAR([2]OperatingCurve!$D$3:$D$272)=$W30,[2]OperatingCurve!$T$3:$T$272))+SUM(IF(YEAR(TradeSum!$A$12:$A$40)=$W30,TradeSum!$K$12:$K$40))+SUM(IF(YEAR(TradeSum!$A$56:$A$84)=$W30,TradeSum!$K$56:$K$84))</f>
        <v>-58.1368446195883</v>
      </c>
      <c r="Y30" s="277" t="n">
        <f aca="false" t="array" ref="Y30:Y30">SUM(IF(YEAR(GasPosn!$BG$12:$BG$188)=$W30,GasPosn!$BL$12:$BL$188))+SUM(IF(YEAR(GasPosn!$BG$200:$BG$316)=$W30,GasPosn!$BL$200:$BL$316))+SUM(IF(YEAR(GasPosn!$A$329:$A$445)=$W30,GasPosn!$J$329:$J$445))</f>
        <v>0</v>
      </c>
      <c r="Z30" s="277" t="n">
        <f aca="false">X30+Y30</f>
        <v>-58.1368446195883</v>
      </c>
      <c r="AA30" s="0" t="n">
        <f aca="false">AA29+1</f>
        <v>2015</v>
      </c>
      <c r="AB30" s="282" t="n">
        <f aca="false">[2]EnergyCurve!$D52</f>
        <v>37742</v>
      </c>
      <c r="AC30" s="2" t="n">
        <f aca="false">IF(TradeSum!$L$6=0,VLOOKUP(AB30,TradeSum!$DM$13:$DQ$252,2)+VLOOKUP(AB30,TradeSum!$DU$13:$DY$252,3),VLOOKUP(AB30,TradeSum!$DU$13:$DY$252,2)+VLOOKUP(AB30,TradeSum!$DU$13:$DY$252,3))</f>
        <v>26</v>
      </c>
      <c r="AD30" s="2" t="n">
        <f aca="false">VLOOKUP(AB30,TradeSum!$DM$13:$DR$252,6)</f>
        <v>31</v>
      </c>
      <c r="AE30" s="2" t="n">
        <f aca="false">IF(TradeSum!$L$6=0,VLOOKUP(AB30,TradeSum!$DM$13:$DQ$252,2),VLOOKUP(AB30,TradeSum!$DU$13:$DY$252,2))</f>
        <v>21</v>
      </c>
      <c r="AF30" s="283" t="n">
        <f aca="false">[2]EnergyCurve!$G52</f>
        <v>47.2704026323145</v>
      </c>
      <c r="AG30" s="283" t="n">
        <f aca="false">[2]EnergyCurve!$Y52</f>
        <v>46.1449168553546</v>
      </c>
      <c r="AH30" s="283" t="n">
        <f aca="false">[2]EnergyCurve!$AD52</f>
        <v>41.6429737475152</v>
      </c>
      <c r="AI30" s="283" t="n">
        <f aca="false">[2]EnergyCurve!$L52</f>
        <v>28.1371444239967</v>
      </c>
      <c r="AJ30" s="0" t="n">
        <f aca="false">(AE30*AF30+(AC30-AE30)*AG30)/AC30</f>
        <v>47.0539630598222</v>
      </c>
      <c r="AK30" s="0" t="n">
        <f aca="false">(AC30*16*AJ30+(AD30-AC30)*16*AH30+AD30*8*AI30)/(AD30*24)</f>
        <v>40.1665300401054</v>
      </c>
      <c r="AM30" s="0" t="n">
        <f aca="false">IF(NymexData!AC30="",VLOOKUP('Pricing Summary'!AB30,NymexData!$S$12:$U$250,3),VLOOKUP(NymexData!AA30,NymexData!$AA$12:$AC$250,3))</f>
        <v>0.36</v>
      </c>
      <c r="AO30" s="284" t="n">
        <f aca="false">AD30*24*VLOOKUP(AB30,Interest!$X$8:$AC$367,6)</f>
        <v>710.429848228346</v>
      </c>
    </row>
    <row r="31" customFormat="false" ht="15.75" hidden="false" customHeight="false" outlineLevel="0" collapsed="false">
      <c r="A31" s="75" t="n">
        <f aca="false">TradeSum!A34</f>
        <v>37865</v>
      </c>
      <c r="B31" s="120" t="n">
        <f aca="false">IF($C$6=0,VLOOKUP(A31,NymexData!$A$12:$F$179,6),VLOOKUP(A31,NymexData!$A$12:$L$179,12))</f>
        <v>4.62471296530719</v>
      </c>
      <c r="C31" s="263" t="n">
        <f aca="false">TradeSum!I34</f>
        <v>48.3744976171132</v>
      </c>
      <c r="D31" s="120" t="n">
        <f aca="false">C31/B31</f>
        <v>10.46</v>
      </c>
      <c r="E31" s="264" t="n">
        <f aca="false">TradeSum!I78</f>
        <v>41.262716790463</v>
      </c>
      <c r="F31" s="120" t="n">
        <f aca="false">E31/B31</f>
        <v>8.92222222222222</v>
      </c>
      <c r="G31" s="120" t="n">
        <f aca="false">F31*TradeSum!F78*24/10000+(GasPosn!B351*1.055+GasPosn!C351+GasPosn!D34*1.055)/(VLOOKUP(A31,$AB$12:$AD$47,3))</f>
        <v>1.4266571548139</v>
      </c>
      <c r="H31" s="278" t="str">
        <f aca="false">"Cal "&amp;AA31</f>
        <v>Cal 2016</v>
      </c>
      <c r="I31" s="120" t="n">
        <f aca="false" t="array" ref="I31:I31">SUM(IF((YEAR(NymexData!$A$12:$A$244)=AA31),NymexData!$F$12:$F$244*'Pricing Summary'!$AD$12:$AD$244))/SUM(IF((YEAR(NymexData!$A$12:$A$244)=AA31),'Pricing Summary'!$AD$12:$AD$244))</f>
        <v>6.72875305820604</v>
      </c>
      <c r="J31" s="263" t="n">
        <f aca="false" t="array" ref="J31:J31">SUM(IF((YEAR($AB$12:$AB$244)=AA31),$AJ$12:$AJ$244*$AC$12:$AC$244))/SUM(IF((YEAR($AB$12:$AB$244)=AA31),$AC$12:$AC$244))</f>
        <v>39.6479557744935</v>
      </c>
      <c r="K31" s="120" t="n">
        <f aca="false">J31/I31</f>
        <v>5.89231844764178</v>
      </c>
      <c r="L31" s="263" t="n">
        <f aca="false" t="array" ref="L31:L31">SUM(IF((YEAR($AB$12:$AB$244)=AA31),$AK$12:$AK$244*$AD$12:$AD$244))/SUM(IF((YEAR($AB$12:$AB$244)=AA31),$AD$12:$AD$244))</f>
        <v>33.6587504311721</v>
      </c>
      <c r="M31" s="279" t="n">
        <f aca="false">L31/I31</f>
        <v>5.00222703077558</v>
      </c>
      <c r="P31" s="280" t="str">
        <f aca="false">H31</f>
        <v>Cal 2016</v>
      </c>
      <c r="Q31" s="120" t="n">
        <f aca="false" t="array" ref="Q31:Q31">IF(NymexData!$AA$12="",'Pricing Summary'!I31,SUM(IF((YEAR(NymexData!$A$12:$A$244)=AA31),NymexData!$L$12:$L$244*'Pricing Summary'!$AD$12:$AD$244))/SUM(IF((YEAR(NymexData!$A$12:$A$244)=AA31),'Pricing Summary'!$AD$12:$AD$244)))</f>
        <v>6.74901472777016</v>
      </c>
      <c r="R31" s="263" t="n">
        <f aca="false">J31</f>
        <v>39.6479557744935</v>
      </c>
      <c r="S31" s="120" t="n">
        <f aca="false">R31/Q31</f>
        <v>5.87462872341263</v>
      </c>
      <c r="T31" s="263" t="n">
        <f aca="false">L31</f>
        <v>33.6587504311721</v>
      </c>
      <c r="U31" s="279" t="n">
        <f aca="false">T31/Q31</f>
        <v>4.9872095096602</v>
      </c>
      <c r="W31" s="286" t="n">
        <v>2019</v>
      </c>
      <c r="X31" s="281" t="n">
        <f aca="false" t="array" ref="X31:X31">SUM(IF(YEAR([2]EnergyCurve!$D$3:$D$272)=$W31,[2]EnergyCurve!$T$3:$T$272))+SUM(IF(YEAR([2]OperatingCurve!$D$3:$D$272)=$W31,[2]OperatingCurve!$T$3:$T$272))+SUM(IF(YEAR(TradeSum!$A$12:$A$40)=$W31,TradeSum!$K$12:$K$40))+SUM(IF(YEAR(TradeSum!$A$56:$A$84)=$W31,TradeSum!$K$56:$K$84))</f>
        <v>-59.0328620119384</v>
      </c>
      <c r="Y31" s="287" t="n">
        <f aca="false" t="array" ref="Y31:Y31">SUM(IF(YEAR(GasPosn!$BG$12:$BG$188)=$W31,GasPosn!$BL$12:$BL$188))+SUM(IF(YEAR(GasPosn!$BG$200:$BG$316)=$W31,GasPosn!$BL$200:$BL$316))+SUM(IF(YEAR(GasPosn!$A$329:$A$445)=$W31,GasPosn!$J$329:$J$445))</f>
        <v>0</v>
      </c>
      <c r="Z31" s="281" t="n">
        <f aca="false">X31+Y31</f>
        <v>-59.0328620119384</v>
      </c>
      <c r="AA31" s="0" t="n">
        <f aca="false">AA30+1</f>
        <v>2016</v>
      </c>
      <c r="AB31" s="282" t="n">
        <f aca="false">[2]EnergyCurve!$D53</f>
        <v>37773</v>
      </c>
      <c r="AC31" s="2" t="n">
        <f aca="false">IF(TradeSum!$L$6=0,VLOOKUP(AB31,TradeSum!$DM$13:$DQ$252,2)+VLOOKUP(AB31,TradeSum!$DU$13:$DY$252,3),VLOOKUP(AB31,TradeSum!$DU$13:$DY$252,2)+VLOOKUP(AB31,TradeSum!$DU$13:$DY$252,3))</f>
        <v>25</v>
      </c>
      <c r="AD31" s="2" t="n">
        <f aca="false">VLOOKUP(AB31,TradeSum!$DM$13:$DR$252,6)</f>
        <v>30</v>
      </c>
      <c r="AE31" s="2" t="n">
        <f aca="false">IF(TradeSum!$L$6=0,VLOOKUP(AB31,TradeSum!$DM$13:$DQ$252,2),VLOOKUP(AB31,TradeSum!$DU$13:$DY$252,2))</f>
        <v>21</v>
      </c>
      <c r="AF31" s="283" t="n">
        <f aca="false">[2]EnergyCurve!$G53</f>
        <v>47.5860130264176</v>
      </c>
      <c r="AG31" s="283" t="n">
        <f aca="false">[2]EnergyCurve!$Y53</f>
        <v>46.4530127162648</v>
      </c>
      <c r="AH31" s="283" t="n">
        <f aca="false">[2]EnergyCurve!$AD53</f>
        <v>41.9210114756536</v>
      </c>
      <c r="AI31" s="283" t="n">
        <f aca="false">[2]EnergyCurve!$L53</f>
        <v>28.32500775382</v>
      </c>
      <c r="AJ31" s="0" t="n">
        <f aca="false">(AE31*AF31+(AC31-AE31)*AG31)/AC31</f>
        <v>47.4047329767932</v>
      </c>
      <c r="AK31" s="0" t="n">
        <f aca="false">(AC31*16*AJ31+(AD31-AC31)*16*AH31+AD31*8*AI31)/(AD31*24)</f>
        <v>40.43552218012</v>
      </c>
      <c r="AM31" s="0" t="n">
        <f aca="false">IF(NymexData!AC31="",VLOOKUP('Pricing Summary'!AB31,NymexData!$S$12:$U$250,3),VLOOKUP(NymexData!AA31,NymexData!$AA$12:$AC$250,3))</f>
        <v>0.355</v>
      </c>
      <c r="AO31" s="284" t="n">
        <f aca="false">AD31*24*VLOOKUP(AB31,Interest!$X$8:$AC$367,6)</f>
        <v>685.216487305694</v>
      </c>
    </row>
    <row r="32" customFormat="false" ht="16.5" hidden="false" customHeight="false" outlineLevel="0" collapsed="false">
      <c r="A32" s="112" t="n">
        <f aca="false">TradeSum!A35</f>
        <v>37895</v>
      </c>
      <c r="B32" s="270" t="n">
        <f aca="false">IF($C$6=0,VLOOKUP(A32,NymexData!$A$12:$F$179,6),VLOOKUP(A32,NymexData!$A$12:$L$179,12))</f>
        <v>4.65457856203795</v>
      </c>
      <c r="C32" s="271" t="n">
        <f aca="false">TradeSum!I35</f>
        <v>48.7006831028045</v>
      </c>
      <c r="D32" s="271" t="n">
        <f aca="false">C32/B32</f>
        <v>10.462962962963</v>
      </c>
      <c r="E32" s="272" t="n">
        <f aca="false">TradeSum!I79</f>
        <v>41.6784978229796</v>
      </c>
      <c r="F32" s="271" t="n">
        <f aca="false">E32/B32</f>
        <v>8.95430107526882</v>
      </c>
      <c r="G32" s="271" t="n">
        <f aca="false">F32*TradeSum!F79*24/10000+(GasPosn!B352*1.055+GasPosn!C352+GasPosn!D35*1.055)/(VLOOKUP(A32,$AB$12:$AD$47,3))</f>
        <v>1.52115288359679</v>
      </c>
      <c r="H32" s="273" t="str">
        <f aca="false">"Cal "&amp;AA32</f>
        <v>Cal 2017</v>
      </c>
      <c r="I32" s="123" t="n">
        <f aca="false" t="array" ref="I32:I32">SUM(IF((YEAR(NymexData!$A$12:$A$244)=AA32),NymexData!$F$12:$F$244*'Pricing Summary'!$AD$12:$AD$244))/SUM(IF((YEAR(NymexData!$A$12:$A$244)=AA32),'Pricing Summary'!$AD$12:$AD$244))</f>
        <v>6.91825366456136</v>
      </c>
      <c r="J32" s="271" t="n">
        <f aca="false" t="array" ref="J32:J32">SUM(IF((YEAR($AB$12:$AB$244)=AA32),$AJ$12:$AJ$244*$AC$12:$AC$244))/SUM(IF((YEAR($AB$12:$AB$244)=AA32),$AC$12:$AC$244))</f>
        <v>39.6365369590389</v>
      </c>
      <c r="K32" s="271" t="n">
        <f aca="false">J32/I32</f>
        <v>5.72926910183656</v>
      </c>
      <c r="L32" s="123" t="n">
        <f aca="false" t="array" ref="L32:L32">SUM(IF((YEAR($AB$12:$AB$244)=AA32),$AK$12:$AK$244*$AD$12:$AD$244))/SUM(IF((YEAR($AB$12:$AB$244)=AA32),$AD$12:$AD$244))</f>
        <v>33.6260536042384</v>
      </c>
      <c r="M32" s="274" t="n">
        <f aca="false">L32/I32</f>
        <v>4.86048289563121</v>
      </c>
      <c r="P32" s="275" t="str">
        <f aca="false">H32</f>
        <v>Cal 2017</v>
      </c>
      <c r="Q32" s="123" t="n">
        <f aca="false" t="array" ref="Q32:Q32">IF(NymexData!$AA$12="",'Pricing Summary'!I32,SUM(IF((YEAR(NymexData!$A$12:$A$244)=AA32),NymexData!$L$12:$L$244*'Pricing Summary'!$AD$12:$AD$244))/SUM(IF((YEAR(NymexData!$A$12:$A$244)=AA32),'Pricing Summary'!$AD$12:$AD$244)))</f>
        <v>6.95365676084295</v>
      </c>
      <c r="R32" s="271" t="n">
        <f aca="false">J32</f>
        <v>39.6365369590389</v>
      </c>
      <c r="S32" s="271" t="n">
        <f aca="false">R32/Q32</f>
        <v>5.70009972051511</v>
      </c>
      <c r="T32" s="123" t="n">
        <f aca="false">L32</f>
        <v>33.6260536042384</v>
      </c>
      <c r="U32" s="274" t="n">
        <f aca="false">T32/Q32</f>
        <v>4.83573675847672</v>
      </c>
      <c r="W32" s="288" t="n">
        <v>2020</v>
      </c>
      <c r="X32" s="289" t="n">
        <f aca="false" t="array" ref="X32:X32">SUM(IF(YEAR([2]EnergyCurve!$D$3:$D$272)=$W32,[2]EnergyCurve!$T$3:$T$272))+SUM(IF(YEAR([2]OperatingCurve!$D$3:$D$272)=$W32,[2]OperatingCurve!$T$3:$T$272))+SUM(IF(YEAR(TradeSum!$A$12:$A$40)=$W32,TradeSum!$K$12:$K$40))+SUM(IF(YEAR(TradeSum!$A$56:$A$84)=$W32,TradeSum!$K$56:$K$84))</f>
        <v>-101.324617545865</v>
      </c>
      <c r="Y32" s="290" t="n">
        <f aca="false" t="array" ref="Y32:Y32">SUM(IF(YEAR(GasPosn!$BG$12:$BG$188)=$W32,GasPosn!$BL$12:$BL$188))+SUM(IF(YEAR(GasPosn!$BG$200:$BG$316)=$W32,GasPosn!$BL$200:$BL$316))+SUM(IF(YEAR(GasPosn!$A$329:$A$445)=$W32,GasPosn!$J$329:$J$445))</f>
        <v>0</v>
      </c>
      <c r="Z32" s="289" t="n">
        <f aca="false">X32+Y32</f>
        <v>-101.324617545865</v>
      </c>
      <c r="AA32" s="0" t="n">
        <f aca="false">AA31+1</f>
        <v>2017</v>
      </c>
      <c r="AB32" s="282" t="n">
        <f aca="false">[2]EnergyCurve!$D54</f>
        <v>37803</v>
      </c>
      <c r="AC32" s="2" t="n">
        <f aca="false">IF(TradeSum!$L$6=0,VLOOKUP(AB32,TradeSum!$DM$13:$DQ$252,2)+VLOOKUP(AB32,TradeSum!$DU$13:$DY$252,3),VLOOKUP(AB32,TradeSum!$DU$13:$DY$252,2)+VLOOKUP(AB32,TradeSum!$DU$13:$DY$252,3))</f>
        <v>26</v>
      </c>
      <c r="AD32" s="2" t="n">
        <f aca="false">VLOOKUP(AB32,TradeSum!$DM$13:$DR$252,6)</f>
        <v>31</v>
      </c>
      <c r="AE32" s="2" t="n">
        <f aca="false">IF(TradeSum!$L$6=0,VLOOKUP(AB32,TradeSum!$DM$13:$DQ$252,2),VLOOKUP(AB32,TradeSum!$DU$13:$DY$252,2))</f>
        <v>22</v>
      </c>
      <c r="AF32" s="283" t="n">
        <f aca="false">[2]EnergyCurve!$G54</f>
        <v>47.9792430982545</v>
      </c>
      <c r="AG32" s="283" t="n">
        <f aca="false">[2]EnergyCurve!$Y54</f>
        <v>46.8368801673437</v>
      </c>
      <c r="AH32" s="283" t="n">
        <f aca="false">[2]EnergyCurve!$AD54</f>
        <v>42.2674284437004</v>
      </c>
      <c r="AI32" s="283" t="n">
        <f aca="false">[2]EnergyCurve!$L54</f>
        <v>28.5590732727705</v>
      </c>
      <c r="AJ32" s="0" t="n">
        <f aca="false">(AE32*AF32+(AC32-AE32)*AG32)/AC32</f>
        <v>47.8034949550374</v>
      </c>
      <c r="AK32" s="0" t="n">
        <f aca="false">(AC32*16*AJ32+(AD32-AC32)*16*AH32+AD32*8*AI32)/(AD32*24)</f>
        <v>40.7934117586542</v>
      </c>
      <c r="AM32" s="0" t="n">
        <f aca="false">IF(NymexData!AC32="",VLOOKUP('Pricing Summary'!AB32,NymexData!$S$12:$U$250,3),VLOOKUP(NymexData!AA32,NymexData!$AA$12:$AC$250,3))</f>
        <v>0.355</v>
      </c>
      <c r="AO32" s="284" t="n">
        <f aca="false">AD32*24*VLOOKUP(AB32,Interest!$X$8:$AC$367,6)</f>
        <v>705.590531965543</v>
      </c>
    </row>
    <row r="33" customFormat="false" ht="15.75" hidden="false" customHeight="false" outlineLevel="0" collapsed="false">
      <c r="A33" s="75" t="n">
        <f aca="false">TradeSum!A36</f>
        <v>37926</v>
      </c>
      <c r="B33" s="120" t="n">
        <f aca="false">IF($C$6=0,VLOOKUP(A33,NymexData!$A$12:$F$179,6),VLOOKUP(A33,NymexData!$A$12:$L$179,12))</f>
        <v>4.94269573923229</v>
      </c>
      <c r="C33" s="263" t="n">
        <f aca="false">TradeSum!I36</f>
        <v>51.6408731921874</v>
      </c>
      <c r="D33" s="120" t="n">
        <f aca="false">C33/B33</f>
        <v>10.4479166666667</v>
      </c>
      <c r="E33" s="264" t="n">
        <f aca="false">TradeSum!I80</f>
        <v>43.9350732376203</v>
      </c>
      <c r="F33" s="120" t="n">
        <f aca="false">E33/B33</f>
        <v>8.88888888888889</v>
      </c>
      <c r="G33" s="120" t="n">
        <f aca="false">F33*TradeSum!F80*24/10000+(GasPosn!B353*1.055+GasPosn!C353+GasPosn!D36*1.055)/(VLOOKUP(A33,$AB$12:$AD$47,3))</f>
        <v>1.48470113077587</v>
      </c>
      <c r="H33" s="278" t="str">
        <f aca="false">"Cal "&amp;AA33</f>
        <v>Cal 2018</v>
      </c>
      <c r="I33" s="120" t="n">
        <f aca="false" t="array" ref="I33:I33">SUM(IF((YEAR(NymexData!$A$12:$A$244)=AA33),NymexData!$F$12:$F$244*'Pricing Summary'!$AD$12:$AD$244))/SUM(IF((YEAR(NymexData!$A$12:$A$244)=AA33),'Pricing Summary'!$AD$12:$AD$244))</f>
        <v>7.08598019572661</v>
      </c>
      <c r="J33" s="263" t="n">
        <f aca="false" t="array" ref="J33:J33">SUM(IF((YEAR($AB$12:$AB$244)=AA33),$AJ$12:$AJ$244*$AC$12:$AC$244))/SUM(IF((YEAR($AB$12:$AB$244)=AA33),$AC$12:$AC$244))</f>
        <v>39.6464825996095</v>
      </c>
      <c r="K33" s="120" t="n">
        <f aca="false">J33/I33</f>
        <v>5.59505975242767</v>
      </c>
      <c r="L33" s="263" t="n">
        <f aca="false" t="array" ref="L33:L33">SUM(IF((YEAR($AB$12:$AB$244)=AA33),$AK$12:$AK$244*$AD$12:$AD$244))/SUM(IF((YEAR($AB$12:$AB$244)=AA33),$AD$12:$AD$244))</f>
        <v>33.6532198643374</v>
      </c>
      <c r="M33" s="279" t="n">
        <f aca="false">L33/I33</f>
        <v>4.74926812307955</v>
      </c>
      <c r="P33" s="280" t="str">
        <f aca="false">H33</f>
        <v>Cal 2018</v>
      </c>
      <c r="Q33" s="120" t="n">
        <f aca="false" t="array" ref="Q33:Q33">IF(NymexData!$AA$12="",'Pricing Summary'!I33,SUM(IF((YEAR(NymexData!$A$12:$A$244)=AA33),NymexData!$L$12:$L$244*'Pricing Summary'!$AD$12:$AD$244))/SUM(IF((YEAR(NymexData!$A$12:$A$244)=AA33),'Pricing Summary'!$AD$12:$AD$244)))</f>
        <v>7.13552283958363</v>
      </c>
      <c r="R33" s="263" t="n">
        <f aca="false">J33</f>
        <v>39.6464825996095</v>
      </c>
      <c r="S33" s="120" t="n">
        <f aca="false">R33/Q33</f>
        <v>5.5562126968012</v>
      </c>
      <c r="T33" s="263" t="n">
        <f aca="false">L33</f>
        <v>33.6532198643374</v>
      </c>
      <c r="U33" s="279" t="n">
        <f aca="false">T33/Q33</f>
        <v>4.71629348274935</v>
      </c>
      <c r="W33" s="291"/>
      <c r="X33" s="229"/>
      <c r="Y33" s="229"/>
      <c r="Z33" s="292"/>
      <c r="AA33" s="0" t="n">
        <f aca="false">AA32+1</f>
        <v>2018</v>
      </c>
      <c r="AB33" s="282" t="n">
        <f aca="false">[2]EnergyCurve!$D55</f>
        <v>37834</v>
      </c>
      <c r="AC33" s="2" t="n">
        <f aca="false">IF(TradeSum!$L$6=0,VLOOKUP(AB33,TradeSum!$DM$13:$DQ$252,2)+VLOOKUP(AB33,TradeSum!$DU$13:$DY$252,3),VLOOKUP(AB33,TradeSum!$DU$13:$DY$252,2)+VLOOKUP(AB33,TradeSum!$DU$13:$DY$252,3))</f>
        <v>26</v>
      </c>
      <c r="AD33" s="2" t="n">
        <f aca="false">VLOOKUP(AB33,TradeSum!$DM$13:$DR$252,6)</f>
        <v>31</v>
      </c>
      <c r="AE33" s="2" t="n">
        <f aca="false">IF(TradeSum!$L$6=0,VLOOKUP(AB33,TradeSum!$DM$13:$DQ$252,2),VLOOKUP(AB33,TradeSum!$DU$13:$DY$252,2))</f>
        <v>21</v>
      </c>
      <c r="AF33" s="283" t="n">
        <f aca="false">[2]EnergyCurve!$G55</f>
        <v>48.4812124594235</v>
      </c>
      <c r="AG33" s="283" t="n">
        <f aca="false">[2]EnergyCurve!$Y55</f>
        <v>47.3268978770563</v>
      </c>
      <c r="AH33" s="283" t="n">
        <f aca="false">[2]EnergyCurve!$AD55</f>
        <v>42.7096395475874</v>
      </c>
      <c r="AI33" s="283" t="n">
        <f aca="false">[2]EnergyCurve!$L55</f>
        <v>28.8578645591807</v>
      </c>
      <c r="AJ33" s="0" t="n">
        <f aca="false">(AE33*AF33+(AC33-AE33)*AG33)/AC33</f>
        <v>48.2592288858914</v>
      </c>
      <c r="AK33" s="0" t="n">
        <f aca="false">(AC33*16*AJ33+(AD33-AC33)*16*AH33+AD33*8*AI33)/(AD33*24)</f>
        <v>41.1953774072777</v>
      </c>
      <c r="AM33" s="0" t="n">
        <f aca="false">IF(NymexData!AC33="",VLOOKUP('Pricing Summary'!AB33,NymexData!$S$12:$U$250,3),VLOOKUP(NymexData!AA33,NymexData!$AA$12:$AC$250,3))</f>
        <v>0.355</v>
      </c>
      <c r="AO33" s="284" t="n">
        <f aca="false">AD33*24*VLOOKUP(AB33,Interest!$X$8:$AC$367,6)</f>
        <v>703.040590621534</v>
      </c>
    </row>
    <row r="34" customFormat="false" ht="15.75" hidden="false" customHeight="false" outlineLevel="0" collapsed="false">
      <c r="A34" s="112" t="n">
        <f aca="false">TradeSum!A37</f>
        <v>37956</v>
      </c>
      <c r="B34" s="270" t="n">
        <f aca="false">IF($C$6=0,VLOOKUP(A34,NymexData!$A$12:$F$179,6),VLOOKUP(A34,NymexData!$A$12:$L$179,12))</f>
        <v>5.16891017338336</v>
      </c>
      <c r="C34" s="271" t="n">
        <f aca="false">TradeSum!I37</f>
        <v>54.0747525830874</v>
      </c>
      <c r="D34" s="271" t="n">
        <f aca="false">C34/B34</f>
        <v>10.4615384615385</v>
      </c>
      <c r="E34" s="272" t="n">
        <f aca="false">TradeSum!I81</f>
        <v>46.1450287252853</v>
      </c>
      <c r="F34" s="271" t="n">
        <f aca="false">E34/B34</f>
        <v>8.92741935483871</v>
      </c>
      <c r="G34" s="271" t="n">
        <f aca="false">F34*TradeSum!F81*24/10000+(GasPosn!B354*1.055+GasPosn!C354+GasPosn!D37*1.055)/(VLOOKUP(A34,$AB$12:$AD$47,3))</f>
        <v>1.58173171223266</v>
      </c>
      <c r="H34" s="273" t="str">
        <f aca="false">"Cal "&amp;AA34</f>
        <v>Cal 2019</v>
      </c>
      <c r="I34" s="123" t="n">
        <f aca="false" t="array" ref="I34:I34">SUM(IF((YEAR(NymexData!$A$12:$A$244)=AA34),NymexData!$F$12:$F$244*'Pricing Summary'!$AD$12:$AD$244))/SUM(IF((YEAR(NymexData!$A$12:$A$244)=AA34),'Pricing Summary'!$AD$12:$AD$244))</f>
        <v>7.24882116451069</v>
      </c>
      <c r="J34" s="271" t="n">
        <f aca="false" t="array" ref="J34:J34">SUM(IF((YEAR($AB$12:$AB$244)=AA34),$AJ$12:$AJ$244*$AC$12:$AC$244))/SUM(IF((YEAR($AB$12:$AB$244)=AA34),$AC$12:$AC$244))</f>
        <v>39.6399399867589</v>
      </c>
      <c r="K34" s="271" t="n">
        <f aca="false">J34/I34</f>
        <v>5.46846709101213</v>
      </c>
      <c r="L34" s="123" t="n">
        <f aca="false" t="array" ref="L34:L34">SUM(IF((YEAR($AB$12:$AB$244)=AA34),$AK$12:$AK$244*$AD$12:$AD$244))/SUM(IF((YEAR($AB$12:$AB$244)=AA34),$AD$12:$AD$244))</f>
        <v>33.6520323028228</v>
      </c>
      <c r="M34" s="274" t="n">
        <f aca="false">L34/I34</f>
        <v>4.64241447527756</v>
      </c>
      <c r="P34" s="275" t="str">
        <f aca="false">H34</f>
        <v>Cal 2019</v>
      </c>
      <c r="Q34" s="123" t="n">
        <f aca="false" t="array" ref="Q34:Q34">IF(NymexData!$AA$12="",'Pricing Summary'!I34,SUM(IF((YEAR(NymexData!$A$12:$A$244)=AA34),NymexData!$L$12:$L$244*'Pricing Summary'!$AD$12:$AD$244))/SUM(IF((YEAR(NymexData!$A$12:$A$244)=AA34),'Pricing Summary'!$AD$12:$AD$244)))</f>
        <v>7.3131626317163</v>
      </c>
      <c r="R34" s="271" t="n">
        <f aca="false">J34</f>
        <v>39.6399399867589</v>
      </c>
      <c r="S34" s="271" t="n">
        <f aca="false">R34/Q34</f>
        <v>5.42035532135513</v>
      </c>
      <c r="T34" s="123" t="n">
        <f aca="false">L34</f>
        <v>33.6520323028228</v>
      </c>
      <c r="U34" s="274" t="n">
        <f aca="false">T34/Q34</f>
        <v>4.6015703461698</v>
      </c>
      <c r="W34" s="291"/>
      <c r="AA34" s="0" t="n">
        <f aca="false">AA33+1</f>
        <v>2019</v>
      </c>
      <c r="AB34" s="282" t="n">
        <f aca="false">[2]EnergyCurve!$D56</f>
        <v>37865</v>
      </c>
      <c r="AC34" s="2" t="n">
        <f aca="false">IF(TradeSum!$L$6=0,VLOOKUP(AB34,TradeSum!$DM$13:$DQ$252,2)+VLOOKUP(AB34,TradeSum!$DU$13:$DY$252,3),VLOOKUP(AB34,TradeSum!$DU$13:$DY$252,2)+VLOOKUP(AB34,TradeSum!$DU$13:$DY$252,3))</f>
        <v>25</v>
      </c>
      <c r="AD34" s="2" t="n">
        <f aca="false">VLOOKUP(AB34,TradeSum!$DM$13:$DR$252,6)</f>
        <v>30</v>
      </c>
      <c r="AE34" s="2" t="n">
        <f aca="false">IF(TradeSum!$L$6=0,VLOOKUP(AB34,TradeSum!$DM$13:$DQ$252,2),VLOOKUP(AB34,TradeSum!$DU$13:$DY$252,2))</f>
        <v>21</v>
      </c>
      <c r="AF34" s="283" t="n">
        <f aca="false">[2]EnergyCurve!$G56</f>
        <v>48.5594861357255</v>
      </c>
      <c r="AG34" s="283" t="n">
        <f aca="false">[2]EnergyCurve!$Y56</f>
        <v>47.4033078943987</v>
      </c>
      <c r="AH34" s="283" t="n">
        <f aca="false">[2]EnergyCurve!$AD56</f>
        <v>42.7785949290915</v>
      </c>
      <c r="AI34" s="283" t="n">
        <f aca="false">[2]EnergyCurve!$L56</f>
        <v>28.9044560331699</v>
      </c>
      <c r="AJ34" s="0" t="n">
        <f aca="false">(AE34*AF34+(AC34-AE34)*AG34)/AC34</f>
        <v>48.3744976171132</v>
      </c>
      <c r="AK34" s="0" t="n">
        <f aca="false">(AC34*16*AJ34+(AD34-AC34)*16*AH34+AD34*8*AI34)/(AD34*24)</f>
        <v>41.262716790463</v>
      </c>
      <c r="AM34" s="0" t="n">
        <f aca="false">IF(NymexData!AC34="",VLOOKUP('Pricing Summary'!AB34,NymexData!$S$12:$U$250,3),VLOOKUP(NymexData!AA34,NymexData!$AA$12:$AC$250,3))</f>
        <v>0.355</v>
      </c>
      <c r="AO34" s="284" t="n">
        <f aca="false">AD34*24*VLOOKUP(AB34,Interest!$X$8:$AC$367,6)</f>
        <v>677.893572654837</v>
      </c>
    </row>
    <row r="35" customFormat="false" ht="15.75" hidden="false" customHeight="false" outlineLevel="0" collapsed="false">
      <c r="A35" s="75" t="n">
        <f aca="false">TradeSum!A38</f>
        <v>37987</v>
      </c>
      <c r="B35" s="120" t="n">
        <f aca="false">IF($C$6=0,VLOOKUP(A35,NymexData!$A$12:$F$179,6),VLOOKUP(A35,NymexData!$A$12:$L$179,12))</f>
        <v>5.24270888476102</v>
      </c>
      <c r="C35" s="263" t="n">
        <f aca="false">TradeSum!I38</f>
        <v>50.6123050028853</v>
      </c>
      <c r="D35" s="120" t="n">
        <f aca="false">C35/B35</f>
        <v>9.65384615384615</v>
      </c>
      <c r="E35" s="264" t="n">
        <f aca="false">TradeSum!I82</f>
        <v>44.1543197203126</v>
      </c>
      <c r="F35" s="120" t="n">
        <f aca="false">E35/B35</f>
        <v>8.42204301075269</v>
      </c>
      <c r="G35" s="120" t="n">
        <f aca="false">F35*TradeSum!F82*24/10000+(GasPosn!B355*1.055+GasPosn!C355+GasPosn!D38*1.055)/(VLOOKUP(A35,$AB$12:$AD$47,3))</f>
        <v>1.41779242419701</v>
      </c>
      <c r="H35" s="278" t="str">
        <f aca="false">"Cal "&amp;AA35</f>
        <v>Cal 2020</v>
      </c>
      <c r="I35" s="120" t="n">
        <f aca="false" t="array" ref="I35:I35">SUM(IF((YEAR(NymexData!$A$12:$A$244)=AA35),NymexData!$F$12:$F$244*'Pricing Summary'!$AD$12:$AD$244))/SUM(IF((YEAR(NymexData!$A$12:$A$244)=AA35),'Pricing Summary'!$AD$12:$AD$244))</f>
        <v>7.40724682830837</v>
      </c>
      <c r="J35" s="263" t="n">
        <f aca="false" t="array" ref="J35:J35">SUM(IF((YEAR($AB$12:$AB$244)=AA35),$AJ$12:$AJ$244*$AC$12:$AC$244))/SUM(IF((YEAR($AB$12:$AB$244)=AA35),$AC$12:$AC$244))</f>
        <v>39.6602886149043</v>
      </c>
      <c r="K35" s="120" t="n">
        <f aca="false">J35/I35</f>
        <v>5.35425503350774</v>
      </c>
      <c r="L35" s="263" t="n">
        <f aca="false" t="array" ref="L35:L35">SUM(IF((YEAR($AB$12:$AB$244)=AA35),$AK$12:$AK$244*$AD$12:$AD$244))/SUM(IF((YEAR($AB$12:$AB$244)=AA35),$AD$12:$AD$244))</f>
        <v>33.6660478399529</v>
      </c>
      <c r="M35" s="279" t="n">
        <f aca="false">L35/I35</f>
        <v>4.54501498603921</v>
      </c>
      <c r="P35" s="280" t="str">
        <f aca="false">H35</f>
        <v>Cal 2020</v>
      </c>
      <c r="Q35" s="120" t="n">
        <f aca="false" t="array" ref="Q35:Q35">IF(NymexData!$AA$12="",'Pricing Summary'!I35,SUM(IF((YEAR(NymexData!$A$12:$A$244)=AA35),NymexData!$L$12:$L$244*'Pricing Summary'!$AD$12:$AD$244))/SUM(IF((YEAR(NymexData!$A$12:$A$244)=AA35),'Pricing Summary'!$AD$12:$AD$244)))</f>
        <v>7.48706291904819</v>
      </c>
      <c r="R35" s="263" t="n">
        <f aca="false">J35</f>
        <v>39.6602886149043</v>
      </c>
      <c r="S35" s="120" t="n">
        <f aca="false">R35/Q35</f>
        <v>5.29717581429731</v>
      </c>
      <c r="T35" s="263" t="n">
        <f aca="false">L35</f>
        <v>33.6660478399529</v>
      </c>
      <c r="U35" s="279" t="n">
        <f aca="false">T35/Q35</f>
        <v>4.49656269807771</v>
      </c>
      <c r="W35" s="293"/>
      <c r="AA35" s="0" t="n">
        <f aca="false">AA34+1</f>
        <v>2020</v>
      </c>
      <c r="AB35" s="282" t="n">
        <f aca="false">[2]EnergyCurve!$D57</f>
        <v>37895</v>
      </c>
      <c r="AC35" s="2" t="n">
        <f aca="false">IF(TradeSum!$L$6=0,VLOOKUP(AB35,TradeSum!$DM$13:$DQ$252,2)+VLOOKUP(AB35,TradeSum!$DU$13:$DY$252,3),VLOOKUP(AB35,TradeSum!$DU$13:$DY$252,2)+VLOOKUP(AB35,TradeSum!$DU$13:$DY$252,3))</f>
        <v>27</v>
      </c>
      <c r="AD35" s="2" t="n">
        <f aca="false">VLOOKUP(AB35,TradeSum!$DM$13:$DR$252,6)</f>
        <v>31</v>
      </c>
      <c r="AE35" s="2" t="n">
        <f aca="false">IF(TradeSum!$L$6=0,VLOOKUP(AB35,TradeSum!$DM$13:$DQ$252,2),VLOOKUP(AB35,TradeSum!$DU$13:$DY$252,2))</f>
        <v>23</v>
      </c>
      <c r="AF35" s="283" t="n">
        <f aca="false">[2]EnergyCurve!$G57</f>
        <v>48.8730749013985</v>
      </c>
      <c r="AG35" s="283" t="n">
        <f aca="false">[2]EnergyCurve!$Y57</f>
        <v>47.709430260889</v>
      </c>
      <c r="AH35" s="283" t="n">
        <f aca="false">[2]EnergyCurve!$AD57</f>
        <v>43.054851698851</v>
      </c>
      <c r="AI35" s="283" t="n">
        <f aca="false">[2]EnergyCurve!$L57</f>
        <v>29.0911160127372</v>
      </c>
      <c r="AJ35" s="0" t="n">
        <f aca="false">(AE35*AF35+(AC35-AE35)*AG35)/AC35</f>
        <v>48.7006831028045</v>
      </c>
      <c r="AK35" s="0" t="n">
        <f aca="false">(AC35*16*AJ35+(AD35-AC35)*16*AH35+AD35*8*AI35)/(AD35*24)</f>
        <v>41.6784978229796</v>
      </c>
      <c r="AM35" s="0" t="n">
        <f aca="false">IF(NymexData!AC35="",VLOOKUP('Pricing Summary'!AB35,NymexData!$S$12:$U$250,3),VLOOKUP(NymexData!AA35,NymexData!$AA$12:$AC$250,3))</f>
        <v>0.355</v>
      </c>
      <c r="AO35" s="284" t="n">
        <f aca="false">AD35*24*VLOOKUP(AB35,Interest!$X$8:$AC$367,6)</f>
        <v>697.848275190877</v>
      </c>
    </row>
    <row r="36" customFormat="false" ht="16.5" hidden="false" customHeight="false" outlineLevel="0" collapsed="false">
      <c r="A36" s="112" t="n">
        <f aca="false">TradeSum!A39</f>
        <v>38018</v>
      </c>
      <c r="B36" s="270" t="n">
        <f aca="false">IF($C$6=0,VLOOKUP(A36,NymexData!$A$12:$F$179,6),VLOOKUP(A36,NymexData!$A$12:$L$179,12))</f>
        <v>5.11046164634352</v>
      </c>
      <c r="C36" s="271" t="n">
        <f aca="false">TradeSum!I39</f>
        <v>49.4011292479874</v>
      </c>
      <c r="D36" s="271" t="n">
        <f aca="false">C36/B36</f>
        <v>9.66666666666667</v>
      </c>
      <c r="E36" s="272" t="n">
        <f aca="false">TradeSum!I83</f>
        <v>43.0424226592898</v>
      </c>
      <c r="F36" s="271" t="n">
        <f aca="false">E36/B36</f>
        <v>8.42241379310345</v>
      </c>
      <c r="G36" s="271" t="n">
        <f aca="false">F36*TradeSum!F83*24/10000+(GasPosn!B356*1.055+GasPosn!C356+GasPosn!D39*1.055)/(VLOOKUP(A36,$AB$12:$AD$47,3))</f>
        <v>1.43906591234373</v>
      </c>
      <c r="H36" s="294" t="str">
        <f aca="false">"Cal "&amp;AA36</f>
        <v>Cal 2021</v>
      </c>
      <c r="I36" s="295" t="e">
        <f aca="false" t="array" ref="I36:I36">SUM(IF((YEAR(NymexData!$A$12:$A$244)=AA36),NymexData!$F$12:$F$244*'Pricing Summary'!$AD$12:$AD$244))/SUM(IF((YEAR(NymexData!$A$12:$A$244)=AA36),'Pricing Summary'!$AD$12:$AD$244))</f>
        <v>#DIV/0!</v>
      </c>
      <c r="J36" s="296" t="n">
        <f aca="false" t="array" ref="J36:J36">SUM(IF((YEAR($AB$12:$AB$244)=AA36),$AJ$12:$AJ$244*$AC$12:$AC$244))/SUM(IF((YEAR($AB$12:$AB$244)=AA36),$AC$12:$AC$244))</f>
        <v>42.8223256465266</v>
      </c>
      <c r="K36" s="296" t="e">
        <f aca="false">J36/I36</f>
        <v>#DIV/0!</v>
      </c>
      <c r="L36" s="295" t="n">
        <f aca="false" t="array" ref="L36:L36">SUM(IF((YEAR($AB$12:$AB$244)=AA36),$AK$12:$AK$244*$AD$12:$AD$244))/SUM(IF((YEAR($AB$12:$AB$244)=AA36),$AD$12:$AD$244))</f>
        <v>36.3099197832201</v>
      </c>
      <c r="M36" s="297" t="e">
        <f aca="false">L36/I36</f>
        <v>#DIV/0!</v>
      </c>
      <c r="P36" s="298" t="str">
        <f aca="false">H36</f>
        <v>Cal 2021</v>
      </c>
      <c r="Q36" s="295" t="e">
        <f aca="false" t="array" ref="Q36:Q36">IF(NymexData!$AA$12="",'Pricing Summary'!I36,SUM(IF((YEAR(NymexData!$A$12:$A$244)=AA36),NymexData!$L$12:$L$244*'Pricing Summary'!$AD$12:$AD$244))/SUM(IF((YEAR(NymexData!$A$12:$A$244)=AA36),'Pricing Summary'!$AD$12:$AD$244)))</f>
        <v>#DIV/0!</v>
      </c>
      <c r="R36" s="296" t="n">
        <f aca="false">J36</f>
        <v>42.8223256465266</v>
      </c>
      <c r="S36" s="296" t="e">
        <f aca="false">R36/Q36</f>
        <v>#DIV/0!</v>
      </c>
      <c r="T36" s="295" t="n">
        <f aca="false">L36</f>
        <v>36.3099197832201</v>
      </c>
      <c r="U36" s="297" t="e">
        <f aca="false">T36/Q36</f>
        <v>#DIV/0!</v>
      </c>
      <c r="W36" s="293"/>
      <c r="AA36" s="0" t="n">
        <f aca="false">AA35+1</f>
        <v>2021</v>
      </c>
      <c r="AB36" s="282" t="n">
        <f aca="false">[2]EnergyCurve!$D58</f>
        <v>37926</v>
      </c>
      <c r="AC36" s="2" t="n">
        <f aca="false">IF(TradeSum!$L$6=0,VLOOKUP(AB36,TradeSum!$DM$13:$DQ$252,2)+VLOOKUP(AB36,TradeSum!$DU$13:$DY$252,3),VLOOKUP(AB36,TradeSum!$DU$13:$DY$252,2)+VLOOKUP(AB36,TradeSum!$DU$13:$DY$252,3))</f>
        <v>24</v>
      </c>
      <c r="AD36" s="2" t="n">
        <f aca="false">VLOOKUP(AB36,TradeSum!$DM$13:$DR$252,6)</f>
        <v>30</v>
      </c>
      <c r="AE36" s="2" t="n">
        <f aca="false">IF(TradeSum!$L$6=0,VLOOKUP(AB36,TradeSum!$DM$13:$DQ$252,2),VLOOKUP(AB36,TradeSum!$DU$13:$DY$252,2))</f>
        <v>19</v>
      </c>
      <c r="AF36" s="283" t="n">
        <f aca="false">[2]EnergyCurve!$G58</f>
        <v>51.898305261939</v>
      </c>
      <c r="AG36" s="283" t="n">
        <f aca="false">[2]EnergyCurve!$Y58</f>
        <v>50.662631327131</v>
      </c>
      <c r="AH36" s="283" t="n">
        <f aca="false">[2]EnergyCurve!$AD58</f>
        <v>45.7199355878987</v>
      </c>
      <c r="AI36" s="283" t="n">
        <f aca="false">[2]EnergyCurve!$L58</f>
        <v>30.8918483702018</v>
      </c>
      <c r="AJ36" s="0" t="n">
        <f aca="false">(AE36*AF36+(AC36-AE36)*AG36)/AC36</f>
        <v>51.6408731921874</v>
      </c>
      <c r="AK36" s="0" t="n">
        <f aca="false">(AC36*16*AJ36+(AD36-AC36)*16*AH36+AD36*8*AI36)/(AD36*24)</f>
        <v>43.9350732376203</v>
      </c>
      <c r="AM36" s="0" t="n">
        <f aca="false">IF(NymexData!AC36="",VLOOKUP('Pricing Summary'!AB36,NymexData!$S$12:$U$250,3),VLOOKUP(NymexData!AA36,NymexData!$AA$12:$AC$250,3))</f>
        <v>0.3575</v>
      </c>
      <c r="AO36" s="284" t="n">
        <f aca="false">AD36*24*VLOOKUP(AB36,Interest!$X$8:$AC$367,6)</f>
        <v>672.79740099692</v>
      </c>
    </row>
    <row r="37" customFormat="false" ht="15.75" hidden="false" customHeight="false" outlineLevel="0" collapsed="false">
      <c r="A37" s="75" t="n">
        <f aca="false">TradeSum!A40</f>
        <v>38047</v>
      </c>
      <c r="B37" s="120" t="n">
        <f aca="false">IF($C$6=0,VLOOKUP(A37,NymexData!$A$12:$F$179,6),VLOOKUP(A37,NymexData!$A$12:$L$179,12))</f>
        <v>4.90213493167637</v>
      </c>
      <c r="C37" s="263" t="n">
        <f aca="false">TradeSum!I40</f>
        <v>47.4326944777945</v>
      </c>
      <c r="D37" s="120" t="n">
        <f aca="false">C37/B37</f>
        <v>9.67592592592593</v>
      </c>
      <c r="E37" s="264" t="n">
        <f aca="false">TradeSum!I84</f>
        <v>41.4441246239843</v>
      </c>
      <c r="F37" s="120" t="n">
        <f aca="false">E37/B37</f>
        <v>8.45430107526882</v>
      </c>
      <c r="G37" s="120" t="n">
        <f aca="false">F37*TradeSum!F84*24/10000+(GasPosn!B357*1.055+GasPosn!C357+GasPosn!D40*1.055)/(VLOOKUP(A37,$AB$12:$AD$47,3))</f>
        <v>1.49952426625757</v>
      </c>
      <c r="H37" s="299"/>
      <c r="I37" s="300"/>
      <c r="J37" s="301"/>
      <c r="K37" s="300"/>
      <c r="L37" s="301"/>
      <c r="M37" s="300"/>
      <c r="N37" s="143"/>
      <c r="O37" s="143"/>
      <c r="AB37" s="282" t="n">
        <f aca="false">[2]EnergyCurve!$D59</f>
        <v>37956</v>
      </c>
      <c r="AC37" s="2" t="n">
        <f aca="false">IF(TradeSum!$L$6=0,VLOOKUP(AB37,TradeSum!$DM$13:$DQ$252,2)+VLOOKUP(AB37,TradeSum!$DU$13:$DY$252,3),VLOOKUP(AB37,TradeSum!$DU$13:$DY$252,2)+VLOOKUP(AB37,TradeSum!$DU$13:$DY$252,3))</f>
        <v>26</v>
      </c>
      <c r="AD37" s="2" t="n">
        <f aca="false">VLOOKUP(AB37,TradeSum!$DM$13:$DR$252,6)</f>
        <v>31</v>
      </c>
      <c r="AE37" s="2" t="n">
        <f aca="false">IF(TradeSum!$L$6=0,VLOOKUP(AB37,TradeSum!$DM$13:$DQ$252,2),VLOOKUP(AB37,TradeSum!$DU$13:$DY$252,2))</f>
        <v>22</v>
      </c>
      <c r="AF37" s="283" t="n">
        <f aca="false">[2]EnergyCurve!$G59</f>
        <v>54.2735568205253</v>
      </c>
      <c r="AG37" s="283" t="n">
        <f aca="false">[2]EnergyCurve!$Y59</f>
        <v>52.9813292771794</v>
      </c>
      <c r="AH37" s="283" t="n">
        <f aca="false">[2]EnergyCurve!$AD59</f>
        <v>47.8124191037961</v>
      </c>
      <c r="AI37" s="283" t="n">
        <f aca="false">[2]EnergyCurve!$L59</f>
        <v>32.305688583646</v>
      </c>
      <c r="AJ37" s="0" t="n">
        <f aca="false">(AE37*AF37+(AC37-AE37)*AG37)/AC37</f>
        <v>54.0747525830874</v>
      </c>
      <c r="AK37" s="0" t="n">
        <f aca="false">(AC37*16*AJ37+(AD37-AC37)*16*AH37+AD37*8*AI37)/(AD37*24)</f>
        <v>46.1450287252853</v>
      </c>
      <c r="AM37" s="0" t="n">
        <f aca="false">IF(NymexData!AC37="",VLOOKUP('Pricing Summary'!AB37,NymexData!$S$12:$U$250,3),VLOOKUP(NymexData!AA37,NymexData!$AA$12:$AC$250,3))</f>
        <v>0.3575</v>
      </c>
      <c r="AO37" s="284" t="n">
        <f aca="false">AD37*24*VLOOKUP(AB37,Interest!$X$8:$AC$367,6)</f>
        <v>692.628503037698</v>
      </c>
    </row>
    <row r="38" customFormat="false" ht="15.75" hidden="false" customHeight="false" outlineLevel="0" collapsed="false">
      <c r="A38" s="112" t="n">
        <f aca="false">TradeSum!A41</f>
        <v>38078</v>
      </c>
      <c r="B38" s="270" t="n">
        <f aca="false">IF($C$6=0,VLOOKUP(A38,NymexData!$A$12:$F$179,6),VLOOKUP(A38,NymexData!$A$12:$L$179,12))</f>
        <v>4.61950567932483</v>
      </c>
      <c r="C38" s="271" t="n">
        <f aca="false">TradeSum!I41</f>
        <v>44.6848337826998</v>
      </c>
      <c r="D38" s="271" t="n">
        <f aca="false">C38/B38</f>
        <v>9.67307692307692</v>
      </c>
      <c r="E38" s="272" t="n">
        <f aca="false">TradeSum!I85</f>
        <v>39.0348229902948</v>
      </c>
      <c r="F38" s="271" t="n">
        <f aca="false">E38/B38</f>
        <v>8.45</v>
      </c>
      <c r="G38" s="271" t="n">
        <f aca="false">F38*TradeSum!F85*24/10000+(GasPosn!B358*1.055+GasPosn!C358+GasPosn!D41*1.055)/(VLOOKUP(A38,$AB$12:$AD$47,3))</f>
        <v>1.53351554735478</v>
      </c>
      <c r="H38" s="299"/>
      <c r="I38" s="301"/>
      <c r="J38" s="300"/>
      <c r="K38" s="300"/>
      <c r="L38" s="301"/>
      <c r="M38" s="300"/>
      <c r="N38" s="143"/>
      <c r="O38" s="143"/>
      <c r="AB38" s="282" t="n">
        <f aca="false">[2]EnergyCurve!$D60</f>
        <v>37987</v>
      </c>
      <c r="AC38" s="2" t="n">
        <f aca="false">IF(TradeSum!$L$6=0,VLOOKUP(AB38,TradeSum!$DM$13:$DQ$252,2)+VLOOKUP(AB38,TradeSum!$DU$13:$DY$252,3),VLOOKUP(AB38,TradeSum!$DU$13:$DY$252,2)+VLOOKUP(AB38,TradeSum!$DU$13:$DY$252,3))</f>
        <v>26</v>
      </c>
      <c r="AD38" s="2" t="n">
        <f aca="false">VLOOKUP(AB38,TradeSum!$DM$13:$DR$252,6)</f>
        <v>31</v>
      </c>
      <c r="AE38" s="2" t="n">
        <f aca="false">IF(TradeSum!$L$6=0,VLOOKUP(AB38,TradeSum!$DM$13:$DQ$252,2),VLOOKUP(AB38,TradeSum!$DU$13:$DY$252,2))</f>
        <v>21</v>
      </c>
      <c r="AF38" s="283" t="n">
        <f aca="false">[2]EnergyCurve!$G60</f>
        <v>51.11641162642</v>
      </c>
      <c r="AG38" s="283" t="n">
        <f aca="false">[2]EnergyCurve!$Y60</f>
        <v>48.4950571840395</v>
      </c>
      <c r="AH38" s="283" t="n">
        <f aca="false">[2]EnergyCurve!$AD60</f>
        <v>45.873702741659</v>
      </c>
      <c r="AI38" s="283" t="n">
        <f aca="false">[2]EnergyCurve!$L60</f>
        <v>32.7669305297564</v>
      </c>
      <c r="AJ38" s="0" t="n">
        <f aca="false">(AE38*AF38+(AC38-AE38)*AG38)/AC38</f>
        <v>50.6123050028853</v>
      </c>
      <c r="AK38" s="0" t="n">
        <f aca="false">(AC38*16*AJ38+(AD38-AC38)*16*AH38+AD38*8*AI38)/(AD38*24)</f>
        <v>44.1543197203126</v>
      </c>
      <c r="AM38" s="0" t="n">
        <f aca="false">IF(NymexData!AC38="",VLOOKUP('Pricing Summary'!AB38,NymexData!$S$12:$U$250,3),VLOOKUP(NymexData!AA38,NymexData!$AA$12:$AC$250,3))</f>
        <v>0.3525</v>
      </c>
      <c r="AO38" s="284" t="n">
        <f aca="false">AD38*24*VLOOKUP(AB38,Interest!$X$8:$AC$367,6)</f>
        <v>689.964583645069</v>
      </c>
    </row>
    <row r="39" customFormat="false" ht="15.75" hidden="false" customHeight="false" outlineLevel="0" collapsed="false">
      <c r="A39" s="75" t="n">
        <f aca="false">TradeSum!A42</f>
        <v>38108</v>
      </c>
      <c r="B39" s="120" t="n">
        <f aca="false">IF($C$6=0,VLOOKUP(A39,NymexData!$A$12:$F$179,6),VLOOKUP(A39,NymexData!$A$12:$L$179,12))</f>
        <v>4.62672557340629</v>
      </c>
      <c r="C39" s="263" t="n">
        <f aca="false">TradeSum!I42</f>
        <v>44.6479017833706</v>
      </c>
      <c r="D39" s="120" t="n">
        <f aca="false">C39/B39</f>
        <v>9.65</v>
      </c>
      <c r="E39" s="264" t="n">
        <f aca="false">TradeSum!I86</f>
        <v>38.8669823034802</v>
      </c>
      <c r="F39" s="120" t="n">
        <f aca="false">E39/B39</f>
        <v>8.4005376344086</v>
      </c>
      <c r="G39" s="120" t="n">
        <f aca="false">F39*TradeSum!F86*24/10000+(GasPosn!B359*1.055+GasPosn!C359+GasPosn!D42*1.055)/(VLOOKUP(A39,$AB$12:$AD$47,3))</f>
        <v>1.52614456577711</v>
      </c>
      <c r="H39" s="299"/>
      <c r="I39" s="300"/>
      <c r="J39" s="301"/>
      <c r="K39" s="143"/>
      <c r="L39" s="143"/>
      <c r="M39" s="143"/>
      <c r="N39" s="143"/>
      <c r="O39" s="143"/>
      <c r="AB39" s="282" t="n">
        <f aca="false">[2]EnergyCurve!$D61</f>
        <v>38018</v>
      </c>
      <c r="AC39" s="2" t="n">
        <f aca="false">IF(TradeSum!$L$6=0,VLOOKUP(AB39,TradeSum!$DM$13:$DQ$252,2)+VLOOKUP(AB39,TradeSum!$DU$13:$DY$252,3),VLOOKUP(AB39,TradeSum!$DU$13:$DY$252,2)+VLOOKUP(AB39,TradeSum!$DU$13:$DY$252,3))</f>
        <v>24</v>
      </c>
      <c r="AD39" s="2" t="n">
        <f aca="false">VLOOKUP(AB39,TradeSum!$DM$13:$DR$252,6)</f>
        <v>29</v>
      </c>
      <c r="AE39" s="2" t="n">
        <f aca="false">IF(TradeSum!$L$6=0,VLOOKUP(AB39,TradeSum!$DM$13:$DQ$252,2),VLOOKUP(AB39,TradeSum!$DU$13:$DY$252,2))</f>
        <v>20</v>
      </c>
      <c r="AF39" s="283" t="n">
        <f aca="false">[2]EnergyCurve!$G61</f>
        <v>49.8270010518493</v>
      </c>
      <c r="AG39" s="283" t="n">
        <f aca="false">[2]EnergyCurve!$Y61</f>
        <v>47.2717702286776</v>
      </c>
      <c r="AH39" s="283" t="n">
        <f aca="false">[2]EnergyCurve!$AD61</f>
        <v>44.7165394055058</v>
      </c>
      <c r="AI39" s="283" t="n">
        <f aca="false">[2]EnergyCurve!$L61</f>
        <v>31.940385289647</v>
      </c>
      <c r="AJ39" s="0" t="n">
        <f aca="false">(AE39*AF39+(AC39-AE39)*AG39)/AC39</f>
        <v>49.4011292479874</v>
      </c>
      <c r="AK39" s="0" t="n">
        <f aca="false">(AC39*16*AJ39+(AD39-AC39)*16*AH39+AD39*8*AI39)/(AD39*24)</f>
        <v>43.0424226592898</v>
      </c>
      <c r="AM39" s="0" t="n">
        <f aca="false">IF(NymexData!AC39="",VLOOKUP('Pricing Summary'!AB39,NymexData!$S$12:$U$250,3),VLOOKUP(NymexData!AA39,NymexData!$AA$12:$AC$250,3))</f>
        <v>0.3475</v>
      </c>
      <c r="AO39" s="284" t="n">
        <f aca="false">AD39*24*VLOOKUP(AB39,Interest!$X$8:$AC$367,6)</f>
        <v>643.034459261301</v>
      </c>
    </row>
    <row r="40" customFormat="false" ht="15.75" hidden="false" customHeight="false" outlineLevel="0" collapsed="false">
      <c r="A40" s="112" t="n">
        <f aca="false">TradeSum!A43</f>
        <v>38139</v>
      </c>
      <c r="B40" s="270" t="n">
        <f aca="false">IF($C$6=0,VLOOKUP(A40,NymexData!$A$12:$F$179,6),VLOOKUP(A40,NymexData!$A$12:$L$179,12))</f>
        <v>4.68314536279637</v>
      </c>
      <c r="C40" s="271" t="n">
        <f aca="false">TradeSum!I43</f>
        <v>45.3004253362802</v>
      </c>
      <c r="D40" s="271" t="n">
        <f aca="false">C40/B40</f>
        <v>9.67307692307692</v>
      </c>
      <c r="E40" s="272" t="n">
        <f aca="false">TradeSum!I87</f>
        <v>39.5725783156293</v>
      </c>
      <c r="F40" s="271" t="n">
        <f aca="false">E40/B40</f>
        <v>8.45</v>
      </c>
      <c r="G40" s="271" t="n">
        <f aca="false">F40*TradeSum!F87*24/10000+(GasPosn!B360*1.055+GasPosn!C360+GasPosn!D43*1.055)/(VLOOKUP(A40,$AB$12:$AD$47,3))</f>
        <v>1.60827944657043</v>
      </c>
      <c r="H40" s="299"/>
      <c r="I40" s="301"/>
      <c r="J40" s="300"/>
      <c r="K40" s="143"/>
      <c r="L40" s="143"/>
      <c r="M40" s="143"/>
      <c r="N40" s="143"/>
      <c r="O40" s="143"/>
      <c r="AB40" s="282" t="n">
        <f aca="false">[2]EnergyCurve!$D62</f>
        <v>38047</v>
      </c>
      <c r="AC40" s="2" t="n">
        <f aca="false">IF(TradeSum!$L$6=0,VLOOKUP(AB40,TradeSum!$DM$13:$DQ$252,2)+VLOOKUP(AB40,TradeSum!$DU$13:$DY$252,3),VLOOKUP(AB40,TradeSum!$DU$13:$DY$252,2)+VLOOKUP(AB40,TradeSum!$DU$13:$DY$252,3))</f>
        <v>27</v>
      </c>
      <c r="AD40" s="2" t="n">
        <f aca="false">VLOOKUP(AB40,TradeSum!$DM$13:$DR$252,6)</f>
        <v>31</v>
      </c>
      <c r="AE40" s="2" t="n">
        <f aca="false">IF(TradeSum!$L$6=0,VLOOKUP(AB40,TradeSum!$DM$13:$DQ$252,2),VLOOKUP(AB40,TradeSum!$DU$13:$DY$252,2))</f>
        <v>23</v>
      </c>
      <c r="AF40" s="283" t="n">
        <f aca="false">[2]EnergyCurve!$G62</f>
        <v>47.7958155838446</v>
      </c>
      <c r="AG40" s="283" t="n">
        <f aca="false">[2]EnergyCurve!$Y62</f>
        <v>45.3447481180064</v>
      </c>
      <c r="AH40" s="283" t="n">
        <f aca="false">[2]EnergyCurve!$AD62</f>
        <v>42.8936806521682</v>
      </c>
      <c r="AI40" s="283" t="n">
        <f aca="false">[2]EnergyCurve!$L62</f>
        <v>30.6383433229773</v>
      </c>
      <c r="AJ40" s="0" t="n">
        <f aca="false">(AE40*AF40+(AC40-AE40)*AG40)/AC40</f>
        <v>47.4326944777945</v>
      </c>
      <c r="AK40" s="0" t="n">
        <f aca="false">(AC40*16*AJ40+(AD40-AC40)*16*AH40+AD40*8*AI40)/(AD40*24)</f>
        <v>41.4441246239843</v>
      </c>
      <c r="AM40" s="0" t="n">
        <f aca="false">IF(NymexData!AC40="",VLOOKUP('Pricing Summary'!AB40,NymexData!$S$12:$U$250,3),VLOOKUP(NymexData!AA40,NymexData!$AA$12:$AC$250,3))</f>
        <v>0.335</v>
      </c>
      <c r="AO40" s="284" t="n">
        <f aca="false">AD40*24*VLOOKUP(AB40,Interest!$X$8:$AC$367,6)</f>
        <v>684.68069973694</v>
      </c>
    </row>
    <row r="41" customFormat="false" ht="15.75" hidden="false" customHeight="false" outlineLevel="0" collapsed="false">
      <c r="A41" s="75" t="n">
        <f aca="false">TradeSum!A44</f>
        <v>38169</v>
      </c>
      <c r="B41" s="120" t="n">
        <f aca="false">IF($C$6=0,VLOOKUP(A41,NymexData!$A$12:$F$179,6),VLOOKUP(A41,NymexData!$A$12:$L$179,12))</f>
        <v>4.75020287488652</v>
      </c>
      <c r="C41" s="263" t="n">
        <f aca="false">TradeSum!I44</f>
        <v>45.8577277537121</v>
      </c>
      <c r="D41" s="120" t="n">
        <f aca="false">C41/B41</f>
        <v>9.65384615384615</v>
      </c>
      <c r="E41" s="264" t="n">
        <f aca="false">TradeSum!I88</f>
        <v>40.0064129220953</v>
      </c>
      <c r="F41" s="120" t="n">
        <f aca="false">E41/B41</f>
        <v>8.42204301075269</v>
      </c>
      <c r="G41" s="120" t="n">
        <f aca="false">F41*TradeSum!F88*24/10000+(GasPosn!B361*1.055+GasPosn!C361+GasPosn!D44*1.055)/(VLOOKUP(A41,$AB$12:$AD$47,3))</f>
        <v>1.61855490497198</v>
      </c>
      <c r="H41" s="299"/>
      <c r="I41" s="300"/>
      <c r="J41" s="301"/>
      <c r="K41" s="143"/>
      <c r="AB41" s="282" t="n">
        <f aca="false">[2]EnergyCurve!$D63</f>
        <v>38078</v>
      </c>
      <c r="AC41" s="2" t="n">
        <f aca="false">IF(TradeSum!$L$6=0,VLOOKUP(AB41,TradeSum!$DM$13:$DQ$252,2)+VLOOKUP(AB41,TradeSum!$DU$13:$DY$252,3),VLOOKUP(AB41,TradeSum!$DU$13:$DY$252,2)+VLOOKUP(AB41,TradeSum!$DU$13:$DY$252,3))</f>
        <v>26</v>
      </c>
      <c r="AD41" s="2" t="n">
        <f aca="false">VLOOKUP(AB41,TradeSum!$DM$13:$DR$252,6)</f>
        <v>30</v>
      </c>
      <c r="AE41" s="2" t="n">
        <f aca="false">IF(TradeSum!$L$6=0,VLOOKUP(AB41,TradeSum!$DM$13:$DQ$252,2),VLOOKUP(AB41,TradeSum!$DU$13:$DY$252,2))</f>
        <v>22</v>
      </c>
      <c r="AF41" s="283" t="n">
        <f aca="false">[2]EnergyCurve!$G63</f>
        <v>45.0401803734171</v>
      </c>
      <c r="AG41" s="283" t="n">
        <f aca="false">[2]EnergyCurve!$Y63</f>
        <v>42.7304275337547</v>
      </c>
      <c r="AH41" s="283" t="n">
        <f aca="false">[2]EnergyCurve!$AD63</f>
        <v>40.4206746940922</v>
      </c>
      <c r="AI41" s="283" t="n">
        <f aca="false">[2]EnergyCurve!$L63</f>
        <v>28.8719104957802</v>
      </c>
      <c r="AJ41" s="0" t="n">
        <f aca="false">(AE41*AF41+(AC41-AE41)*AG41)/AC41</f>
        <v>44.6848337826998</v>
      </c>
      <c r="AK41" s="0" t="n">
        <f aca="false">(AC41*16*AJ41+(AD41-AC41)*16*AH41+AD41*8*AI41)/(AD41*24)</f>
        <v>39.0348229902948</v>
      </c>
      <c r="AM41" s="0" t="n">
        <f aca="false">IF(NymexData!AC41="",VLOOKUP('Pricing Summary'!AB41,NymexData!$S$12:$U$250,3),VLOOKUP(NymexData!AA41,NymexData!$AA$12:$AC$250,3))</f>
        <v>0.3075</v>
      </c>
      <c r="AO41" s="284" t="n">
        <f aca="false">AD41*24*VLOOKUP(AB41,Interest!$X$8:$AC$367,6)</f>
        <v>659.951779038778</v>
      </c>
    </row>
    <row r="42" customFormat="false" ht="15.75" hidden="false" customHeight="false" outlineLevel="0" collapsed="false">
      <c r="A42" s="112" t="n">
        <f aca="false">TradeSum!A45</f>
        <v>38200</v>
      </c>
      <c r="B42" s="270" t="n">
        <f aca="false">IF($C$6=0,VLOOKUP(A42,NymexData!$A$12:$F$179,6),VLOOKUP(A42,NymexData!$A$12:$L$179,12))</f>
        <v>4.80704929429118</v>
      </c>
      <c r="C42" s="271" t="n">
        <f aca="false">TradeSum!I45</f>
        <v>46.4989575967012</v>
      </c>
      <c r="D42" s="271" t="n">
        <f aca="false">C42/B42</f>
        <v>9.67307692307692</v>
      </c>
      <c r="E42" s="272" t="n">
        <f aca="false">TradeSum!I89</f>
        <v>40.5368646134178</v>
      </c>
      <c r="F42" s="271" t="n">
        <f aca="false">E42/B42</f>
        <v>8.43279569892473</v>
      </c>
      <c r="G42" s="271" t="n">
        <f aca="false">F42*TradeSum!F89*24/10000+(GasPosn!B362*1.055+GasPosn!C362+GasPosn!D45*1.055)/(VLOOKUP(A42,$AB$12:$AD$47,3))</f>
        <v>1.66466315025552</v>
      </c>
      <c r="H42" s="299"/>
      <c r="I42" s="301"/>
      <c r="J42" s="300"/>
      <c r="K42" s="143"/>
      <c r="AB42" s="282" t="n">
        <f aca="false">[2]EnergyCurve!$D64</f>
        <v>38108</v>
      </c>
      <c r="AC42" s="2" t="n">
        <f aca="false">IF(TradeSum!$L$6=0,VLOOKUP(AB42,TradeSum!$DM$13:$DQ$252,2)+VLOOKUP(AB42,TradeSum!$DU$13:$DY$252,3),VLOOKUP(AB42,TradeSum!$DU$13:$DY$252,2)+VLOOKUP(AB42,TradeSum!$DU$13:$DY$252,3))</f>
        <v>25</v>
      </c>
      <c r="AD42" s="2" t="n">
        <f aca="false">VLOOKUP(AB42,TradeSum!$DM$13:$DR$252,6)</f>
        <v>31</v>
      </c>
      <c r="AE42" s="2" t="n">
        <f aca="false">IF(TradeSum!$L$6=0,VLOOKUP(AB42,TradeSum!$DM$13:$DQ$252,2),VLOOKUP(AB42,TradeSum!$DU$13:$DY$252,2))</f>
        <v>20</v>
      </c>
      <c r="AF42" s="283" t="n">
        <f aca="false">[2]EnergyCurve!$G64</f>
        <v>45.1105743407113</v>
      </c>
      <c r="AG42" s="283" t="n">
        <f aca="false">[2]EnergyCurve!$Y64</f>
        <v>42.7972115540081</v>
      </c>
      <c r="AH42" s="283" t="n">
        <f aca="false">[2]EnergyCurve!$AD64</f>
        <v>40.483848767305</v>
      </c>
      <c r="AI42" s="283" t="n">
        <f aca="false">[2]EnergyCurve!$L64</f>
        <v>28.9170348337893</v>
      </c>
      <c r="AJ42" s="0" t="n">
        <f aca="false">(AE42*AF42+(AC42-AE42)*AG42)/AC42</f>
        <v>44.6479017833706</v>
      </c>
      <c r="AK42" s="0" t="n">
        <f aca="false">(AC42*16*AJ42+(AD42-AC42)*16*AH42+AD42*8*AI42)/(AD42*24)</f>
        <v>38.8669823034802</v>
      </c>
      <c r="AM42" s="0" t="n">
        <f aca="false">IF(NymexData!AC42="",VLOOKUP('Pricing Summary'!AB42,NymexData!$S$12:$U$250,3),VLOOKUP(NymexData!AA42,NymexData!$AA$12:$AC$250,3))</f>
        <v>0.3025</v>
      </c>
      <c r="AO42" s="284" t="n">
        <f aca="false">AD42*24*VLOOKUP(AB42,Interest!$X$8:$AC$367,6)</f>
        <v>679.139850209403</v>
      </c>
    </row>
    <row r="43" customFormat="false" ht="15.75" hidden="false" customHeight="false" outlineLevel="0" collapsed="false">
      <c r="A43" s="75" t="n">
        <f aca="false">TradeSum!A46</f>
        <v>38231</v>
      </c>
      <c r="B43" s="120" t="n">
        <f aca="false">IF($C$6=0,VLOOKUP(A43,NymexData!$A$12:$F$179,6),VLOOKUP(A43,NymexData!$A$12:$L$179,12))</f>
        <v>4.79825492762754</v>
      </c>
      <c r="C43" s="263" t="n">
        <f aca="false">TradeSum!I46</f>
        <v>46.3991251501583</v>
      </c>
      <c r="D43" s="120" t="n">
        <f aca="false">C43/B43</f>
        <v>9.67</v>
      </c>
      <c r="E43" s="264" t="n">
        <f aca="false">TradeSum!I90</f>
        <v>40.4386262511721</v>
      </c>
      <c r="F43" s="120" t="n">
        <f aca="false">E43/B43</f>
        <v>8.42777777777778</v>
      </c>
      <c r="G43" s="120" t="n">
        <f aca="false">F43*TradeSum!F90*24/10000+(GasPosn!B363*1.055+GasPosn!C363+GasPosn!D46*1.055)/(VLOOKUP(A43,$AB$12:$AD$47,3))</f>
        <v>1.6885090498595</v>
      </c>
      <c r="H43" s="299"/>
      <c r="I43" s="300"/>
      <c r="J43" s="301"/>
      <c r="K43" s="143"/>
      <c r="AB43" s="282" t="n">
        <f aca="false">[2]EnergyCurve!$D65</f>
        <v>38139</v>
      </c>
      <c r="AC43" s="2" t="n">
        <f aca="false">IF(TradeSum!$L$6=0,VLOOKUP(AB43,TradeSum!$DM$13:$DQ$252,2)+VLOOKUP(AB43,TradeSum!$DU$13:$DY$252,3),VLOOKUP(AB43,TradeSum!$DU$13:$DY$252,2)+VLOOKUP(AB43,TradeSum!$DU$13:$DY$252,3))</f>
        <v>26</v>
      </c>
      <c r="AD43" s="2" t="n">
        <f aca="false">VLOOKUP(AB43,TradeSum!$DM$13:$DR$252,6)</f>
        <v>30</v>
      </c>
      <c r="AE43" s="2" t="n">
        <f aca="false">IF(TradeSum!$L$6=0,VLOOKUP(AB43,TradeSum!$DM$13:$DQ$252,2),VLOOKUP(AB43,TradeSum!$DU$13:$DY$252,2))</f>
        <v>22</v>
      </c>
      <c r="AF43" s="283" t="n">
        <f aca="false">[2]EnergyCurve!$G65</f>
        <v>45.6606672872646</v>
      </c>
      <c r="AG43" s="283" t="n">
        <f aca="false">[2]EnergyCurve!$Y65</f>
        <v>43.3190946058664</v>
      </c>
      <c r="AH43" s="283" t="n">
        <f aca="false">[2]EnergyCurve!$AD65</f>
        <v>40.9775219244682</v>
      </c>
      <c r="AI43" s="283" t="n">
        <f aca="false">[2]EnergyCurve!$L65</f>
        <v>29.2696585174773</v>
      </c>
      <c r="AJ43" s="0" t="n">
        <f aca="false">(AE43*AF43+(AC43-AE43)*AG43)/AC43</f>
        <v>45.3004253362802</v>
      </c>
      <c r="AK43" s="0" t="n">
        <f aca="false">(AC43*16*AJ43+(AD43-AC43)*16*AH43+AD43*8*AI43)/(AD43*24)</f>
        <v>39.5725783156293</v>
      </c>
      <c r="AM43" s="0" t="n">
        <f aca="false">IF(NymexData!AC43="",VLOOKUP('Pricing Summary'!AB43,NymexData!$S$12:$U$250,3),VLOOKUP(NymexData!AA43,NymexData!$AA$12:$AC$250,3))</f>
        <v>0.3025</v>
      </c>
      <c r="AO43" s="284" t="n">
        <f aca="false">AD43*24*VLOOKUP(AB43,Interest!$X$8:$AC$367,6)</f>
        <v>654.508904830795</v>
      </c>
    </row>
    <row r="44" customFormat="false" ht="15.75" hidden="false" customHeight="false" outlineLevel="0" collapsed="false">
      <c r="A44" s="112" t="n">
        <f aca="false">TradeSum!A47</f>
        <v>38261</v>
      </c>
      <c r="B44" s="270" t="n">
        <f aca="false">IF($C$6=0,VLOOKUP(A44,NymexData!$A$12:$F$179,6),VLOOKUP(A44,NymexData!$A$12:$L$179,12))</f>
        <v>4.79866164250497</v>
      </c>
      <c r="C44" s="271" t="n">
        <f aca="false">TradeSum!I47</f>
        <v>46.3255412411057</v>
      </c>
      <c r="D44" s="271" t="n">
        <f aca="false">C44/B44</f>
        <v>9.65384615384615</v>
      </c>
      <c r="E44" s="272" t="n">
        <f aca="false">TradeSum!I91</f>
        <v>40.414534747226</v>
      </c>
      <c r="F44" s="271" t="n">
        <f aca="false">E44/B44</f>
        <v>8.42204301075269</v>
      </c>
      <c r="G44" s="271" t="n">
        <f aca="false">F44*TradeSum!F91*24/10000+(GasPosn!B364*1.055+GasPosn!C364+GasPosn!D47*1.055)/(VLOOKUP(A44,$AB$12:$AD$47,3))</f>
        <v>1.73126627682245</v>
      </c>
      <c r="H44" s="299"/>
      <c r="I44" s="300"/>
      <c r="J44" s="300"/>
      <c r="K44" s="143"/>
      <c r="AB44" s="282" t="n">
        <f aca="false">[2]EnergyCurve!$D66</f>
        <v>38169</v>
      </c>
      <c r="AC44" s="2" t="n">
        <f aca="false">IF(TradeSum!$L$6=0,VLOOKUP(AB44,TradeSum!$DM$13:$DQ$252,2)+VLOOKUP(AB44,TradeSum!$DU$13:$DY$252,3),VLOOKUP(AB44,TradeSum!$DU$13:$DY$252,2)+VLOOKUP(AB44,TradeSum!$DU$13:$DY$252,3))</f>
        <v>26</v>
      </c>
      <c r="AD44" s="2" t="n">
        <f aca="false">VLOOKUP(AB44,TradeSum!$DM$13:$DR$252,6)</f>
        <v>31</v>
      </c>
      <c r="AE44" s="2" t="n">
        <f aca="false">IF(TradeSum!$L$6=0,VLOOKUP(AB44,TradeSum!$DM$13:$DQ$252,2),VLOOKUP(AB44,TradeSum!$DU$13:$DY$252,2))</f>
        <v>21</v>
      </c>
      <c r="AF44" s="283" t="n">
        <f aca="false">[2]EnergyCurve!$G66</f>
        <v>46.3144780301435</v>
      </c>
      <c r="AG44" s="283" t="n">
        <f aca="false">[2]EnergyCurve!$Y66</f>
        <v>43.9393765927003</v>
      </c>
      <c r="AH44" s="283" t="n">
        <f aca="false">[2]EnergyCurve!$AD66</f>
        <v>41.564275155257</v>
      </c>
      <c r="AI44" s="283" t="n">
        <f aca="false">[2]EnergyCurve!$L66</f>
        <v>29.6887679680407</v>
      </c>
      <c r="AJ44" s="0" t="n">
        <f aca="false">(AE44*AF44+(AC44-AE44)*AG44)/AC44</f>
        <v>45.8577277537121</v>
      </c>
      <c r="AK44" s="0" t="n">
        <f aca="false">(AC44*16*AJ44+(AD44-AC44)*16*AH44+AD44*8*AI44)/(AD44*24)</f>
        <v>40.0064129220953</v>
      </c>
      <c r="AM44" s="0" t="n">
        <f aca="false">IF(NymexData!AC44="",VLOOKUP('Pricing Summary'!AB44,NymexData!$S$12:$U$250,3),VLOOKUP(NymexData!AA44,NymexData!$AA$12:$AC$250,3))</f>
        <v>0.3025</v>
      </c>
      <c r="AO44" s="284" t="n">
        <f aca="false">AD44*24*VLOOKUP(AB44,Interest!$X$8:$AC$367,6)</f>
        <v>673.433649345758</v>
      </c>
    </row>
    <row r="45" customFormat="false" ht="15.75" hidden="false" customHeight="false" outlineLevel="0" collapsed="false">
      <c r="A45" s="75" t="n">
        <f aca="false">TradeSum!A48</f>
        <v>38292</v>
      </c>
      <c r="B45" s="120" t="n">
        <f aca="false">IF($C$6=0,VLOOKUP(A45,NymexData!$A$12:$F$179,6),VLOOKUP(A45,NymexData!$A$12:$L$179,12))</f>
        <v>5.0809040963114</v>
      </c>
      <c r="C45" s="263" t="n">
        <f aca="false">TradeSum!I48</f>
        <v>49.1323426113313</v>
      </c>
      <c r="D45" s="120" t="n">
        <f aca="false">C45/B45</f>
        <v>9.67</v>
      </c>
      <c r="E45" s="264" t="n">
        <f aca="false">TradeSum!I92</f>
        <v>42.8207306339133</v>
      </c>
      <c r="F45" s="120" t="n">
        <f aca="false">E45/B45</f>
        <v>8.42777777777778</v>
      </c>
      <c r="G45" s="120" t="n">
        <f aca="false">F45*TradeSum!F92*24/10000+(GasPosn!B365*1.055+GasPosn!C365+GasPosn!D48*1.055)/(VLOOKUP(A45,$AB$12:$AD$47,3))</f>
        <v>1.27039235499245</v>
      </c>
      <c r="H45" s="299"/>
      <c r="I45" s="143"/>
      <c r="J45" s="143"/>
      <c r="K45" s="143"/>
      <c r="AB45" s="282" t="n">
        <f aca="false">[2]EnergyCurve!$D67</f>
        <v>38200</v>
      </c>
      <c r="AC45" s="2" t="n">
        <f aca="false">IF(TradeSum!$L$6=0,VLOOKUP(AB45,TradeSum!$DM$13:$DQ$252,2)+VLOOKUP(AB45,TradeSum!$DU$13:$DY$252,3),VLOOKUP(AB45,TradeSum!$DU$13:$DY$252,2)+VLOOKUP(AB45,TradeSum!$DU$13:$DY$252,3))</f>
        <v>26</v>
      </c>
      <c r="AD45" s="2" t="n">
        <f aca="false">VLOOKUP(AB45,TradeSum!$DM$13:$DR$252,6)</f>
        <v>31</v>
      </c>
      <c r="AE45" s="2" t="n">
        <f aca="false">IF(TradeSum!$L$6=0,VLOOKUP(AB45,TradeSum!$DM$13:$DQ$252,2),VLOOKUP(AB45,TradeSum!$DU$13:$DY$252,2))</f>
        <v>22</v>
      </c>
      <c r="AF45" s="283" t="n">
        <f aca="false">[2]EnergyCurve!$G67</f>
        <v>46.868730619339</v>
      </c>
      <c r="AG45" s="283" t="n">
        <f aca="false">[2]EnergyCurve!$Y67</f>
        <v>44.4652059721934</v>
      </c>
      <c r="AH45" s="283" t="n">
        <f aca="false">[2]EnergyCurve!$AD67</f>
        <v>42.0616813250478</v>
      </c>
      <c r="AI45" s="283" t="n">
        <f aca="false">[2]EnergyCurve!$L67</f>
        <v>30.0440580893198</v>
      </c>
      <c r="AJ45" s="0" t="n">
        <f aca="false">(AE45*AF45+(AC45-AE45)*AG45)/AC45</f>
        <v>46.4989575967012</v>
      </c>
      <c r="AK45" s="0" t="n">
        <f aca="false">(AC45*16*AJ45+(AD45-AC45)*16*AH45+AD45*8*AI45)/(AD45*24)</f>
        <v>40.5368646134178</v>
      </c>
      <c r="AM45" s="0" t="n">
        <f aca="false">IF(NymexData!AC45="",VLOOKUP('Pricing Summary'!AB45,NymexData!$S$12:$U$250,3),VLOOKUP(NymexData!AA45,NymexData!$AA$12:$AC$250,3))</f>
        <v>0.3025</v>
      </c>
      <c r="AO45" s="284" t="n">
        <f aca="false">AD45*24*VLOOKUP(AB45,Interest!$X$8:$AC$367,6)</f>
        <v>670.472033139792</v>
      </c>
    </row>
    <row r="46" customFormat="false" ht="15.75" hidden="false" customHeight="false" outlineLevel="0" collapsed="false">
      <c r="A46" s="112" t="n">
        <f aca="false">TradeSum!A49</f>
        <v>38322</v>
      </c>
      <c r="B46" s="270" t="n">
        <f aca="false">IF($C$6=0,VLOOKUP(A46,NymexData!$A$12:$F$179,6),VLOOKUP(A46,NymexData!$A$12:$L$179,12))</f>
        <v>5.30619350910334</v>
      </c>
      <c r="C46" s="271" t="n">
        <f aca="false">TradeSum!I49</f>
        <v>51.4292601651555</v>
      </c>
      <c r="D46" s="271" t="n">
        <f aca="false">C46/B46</f>
        <v>9.69230769230769</v>
      </c>
      <c r="E46" s="272" t="n">
        <f aca="false">TradeSum!I93</f>
        <v>44.8031016454129</v>
      </c>
      <c r="F46" s="271" t="n">
        <f aca="false">E46/B46</f>
        <v>8.44354838709678</v>
      </c>
      <c r="G46" s="271" t="n">
        <f aca="false">F46*TradeSum!F93*24/10000+(GasPosn!B366*1.055+GasPosn!C366+GasPosn!D49*1.055)/(VLOOKUP(A46,$AB$12:$AD$47,3))</f>
        <v>1.08746661174686</v>
      </c>
      <c r="H46" s="299"/>
      <c r="I46" s="143"/>
      <c r="J46" s="143"/>
      <c r="K46" s="143"/>
      <c r="AB46" s="282" t="n">
        <f aca="false">[2]EnergyCurve!$D68</f>
        <v>38231</v>
      </c>
      <c r="AC46" s="2" t="n">
        <f aca="false">IF(TradeSum!$L$6=0,VLOOKUP(AB46,TradeSum!$DM$13:$DQ$252,2)+VLOOKUP(AB46,TradeSum!$DU$13:$DY$252,3),VLOOKUP(AB46,TradeSum!$DU$13:$DY$252,2)+VLOOKUP(AB46,TradeSum!$DU$13:$DY$252,3))</f>
        <v>25</v>
      </c>
      <c r="AD46" s="2" t="n">
        <f aca="false">VLOOKUP(AB46,TradeSum!$DM$13:$DR$252,6)</f>
        <v>30</v>
      </c>
      <c r="AE46" s="2" t="n">
        <f aca="false">IF(TradeSum!$L$6=0,VLOOKUP(AB46,TradeSum!$DM$13:$DQ$252,2),VLOOKUP(AB46,TradeSum!$DU$13:$DY$252,2))</f>
        <v>21</v>
      </c>
      <c r="AF46" s="283" t="n">
        <f aca="false">[2]EnergyCurve!$G68</f>
        <v>46.7829855443685</v>
      </c>
      <c r="AG46" s="283" t="n">
        <f aca="false">[2]EnergyCurve!$Y68</f>
        <v>44.3838580805547</v>
      </c>
      <c r="AH46" s="283" t="n">
        <f aca="false">[2]EnergyCurve!$AD68</f>
        <v>41.984730616741</v>
      </c>
      <c r="AI46" s="283" t="n">
        <f aca="false">[2]EnergyCurve!$L68</f>
        <v>29.9890932976721</v>
      </c>
      <c r="AJ46" s="0" t="n">
        <f aca="false">(AE46*AF46+(AC46-AE46)*AG46)/AC46</f>
        <v>46.3991251501583</v>
      </c>
      <c r="AK46" s="0" t="n">
        <f aca="false">(AC46*16*AJ46+(AD46-AC46)*16*AH46+AD46*8*AI46)/(AD46*24)</f>
        <v>40.4386262511721</v>
      </c>
      <c r="AM46" s="0" t="n">
        <f aca="false">IF(NymexData!AC46="",VLOOKUP('Pricing Summary'!AB46,NymexData!$S$12:$U$250,3),VLOOKUP(NymexData!AA46,NymexData!$AA$12:$AC$250,3))</f>
        <v>0.3025</v>
      </c>
      <c r="AO46" s="284" t="n">
        <f aca="false">AD46*24*VLOOKUP(AB46,Interest!$X$8:$AC$367,6)</f>
        <v>646.003525032656</v>
      </c>
    </row>
    <row r="47" customFormat="false" ht="16.5" hidden="false" customHeight="false" outlineLevel="0" collapsed="false">
      <c r="A47" s="302" t="n">
        <f aca="false">TradeSum!A50</f>
        <v>38353</v>
      </c>
      <c r="B47" s="167" t="n">
        <f aca="false">IF($C$6=0,VLOOKUP(A47,NymexData!$A$12:$F$179,6),VLOOKUP(A47,NymexData!$A$12:$L$179,12))</f>
        <v>5.39420581279631</v>
      </c>
      <c r="C47" s="303" t="n">
        <f aca="false">TradeSum!I50</f>
        <v>50.5976505240294</v>
      </c>
      <c r="D47" s="167" t="n">
        <f aca="false">C47/B47</f>
        <v>9.38</v>
      </c>
      <c r="E47" s="304" t="n">
        <f aca="false">TradeSum!I94</f>
        <v>44.3571924229675</v>
      </c>
      <c r="F47" s="167" t="n">
        <f aca="false">E47/B47</f>
        <v>8.22311827956989</v>
      </c>
      <c r="G47" s="167" t="n">
        <f aca="false">F47*TradeSum!F94*24/10000+(GasPosn!B367*1.055+GasPosn!C367+GasPosn!D50*1.055)/(VLOOKUP(A47,$AB$12:$AD$47,3))</f>
        <v>1.24755725421076</v>
      </c>
      <c r="H47" s="299"/>
      <c r="AB47" s="282" t="n">
        <f aca="false">[2]EnergyCurve!$D69</f>
        <v>38261</v>
      </c>
      <c r="AC47" s="2" t="n">
        <f aca="false">IF(TradeSum!$L$6=0,VLOOKUP(AB47,TradeSum!$DM$13:$DQ$252,2)+VLOOKUP(AB47,TradeSum!$DU$13:$DY$252,3),VLOOKUP(AB47,TradeSum!$DU$13:$DY$252,2)+VLOOKUP(AB47,TradeSum!$DU$13:$DY$252,3))</f>
        <v>26</v>
      </c>
      <c r="AD47" s="2" t="n">
        <f aca="false">VLOOKUP(AB47,TradeSum!$DM$13:$DR$252,6)</f>
        <v>31</v>
      </c>
      <c r="AE47" s="2" t="n">
        <f aca="false">IF(TradeSum!$L$6=0,VLOOKUP(AB47,TradeSum!$DM$13:$DQ$252,2),VLOOKUP(AB47,TradeSum!$DU$13:$DY$252,2))</f>
        <v>21</v>
      </c>
      <c r="AF47" s="283" t="n">
        <f aca="false">[2]EnergyCurve!$G69</f>
        <v>46.7869510144235</v>
      </c>
      <c r="AG47" s="283" t="n">
        <f aca="false">[2]EnergyCurve!$Y69</f>
        <v>44.387620193171</v>
      </c>
      <c r="AH47" s="283" t="n">
        <f aca="false">[2]EnergyCurve!$AD69</f>
        <v>41.9882893719185</v>
      </c>
      <c r="AI47" s="283" t="n">
        <f aca="false">[2]EnergyCurve!$L69</f>
        <v>29.9916352656561</v>
      </c>
      <c r="AJ47" s="0" t="n">
        <f aca="false">(AE47*AF47+(AC47-AE47)*AG47)/AC47</f>
        <v>46.3255412411057</v>
      </c>
      <c r="AK47" s="0" t="n">
        <f aca="false">(AC47*16*AJ47+(AD47-AC47)*16*AH47+AD47*8*AI47)/(AD47*24)</f>
        <v>40.414534747226</v>
      </c>
      <c r="AM47" s="0" t="n">
        <f aca="false">IF(NymexData!AC47="",VLOOKUP('Pricing Summary'!AB47,NymexData!$S$12:$U$250,3),VLOOKUP(NymexData!AA47,NymexData!$AA$12:$AC$250,3))</f>
        <v>0.3025</v>
      </c>
      <c r="AO47" s="284" t="n">
        <f aca="false">AD47*24*VLOOKUP(AB47,Interest!$X$8:$AC$367,6)</f>
        <v>664.526093946468</v>
      </c>
    </row>
    <row r="48" customFormat="false" ht="12.75" hidden="false" customHeight="false" outlineLevel="0" collapsed="false">
      <c r="A48" s="293" t="str">
        <f aca="false">TradeSum!A51</f>
        <v>   </v>
      </c>
      <c r="B48" s="305"/>
      <c r="AB48" s="282" t="n">
        <f aca="false">[2]EnergyCurve!$D70</f>
        <v>38292</v>
      </c>
      <c r="AC48" s="2" t="n">
        <f aca="false">IF(TradeSum!$L$6=0,VLOOKUP(AB48,TradeSum!$DM$13:$DQ$252,2)+VLOOKUP(AB48,TradeSum!$DU$13:$DY$252,3),VLOOKUP(AB48,TradeSum!$DU$13:$DY$252,2)+VLOOKUP(AB48,TradeSum!$DU$13:$DY$252,3))</f>
        <v>25</v>
      </c>
      <c r="AD48" s="2" t="n">
        <f aca="false">VLOOKUP(AB48,TradeSum!$DM$13:$DR$252,6)</f>
        <v>30</v>
      </c>
      <c r="AE48" s="2" t="n">
        <f aca="false">IF(TradeSum!$L$6=0,VLOOKUP(AB48,TradeSum!$DM$13:$DQ$252,2),VLOOKUP(AB48,TradeSum!$DU$13:$DY$252,2))</f>
        <v>21</v>
      </c>
      <c r="AF48" s="283" t="n">
        <f aca="false">[2]EnergyCurve!$G70</f>
        <v>49.5388149390362</v>
      </c>
      <c r="AG48" s="283" t="n">
        <f aca="false">[2]EnergyCurve!$Y70</f>
        <v>46.9983628908805</v>
      </c>
      <c r="AH48" s="283" t="n">
        <f aca="false">[2]EnergyCurve!$AD70</f>
        <v>44.4579108427248</v>
      </c>
      <c r="AI48" s="283" t="n">
        <f aca="false">[2]EnergyCurve!$L70</f>
        <v>31.7556506019463</v>
      </c>
      <c r="AJ48" s="0" t="n">
        <f aca="false">(AE48*AF48+(AC48-AE48)*AG48)/AC48</f>
        <v>49.1323426113313</v>
      </c>
      <c r="AK48" s="0" t="n">
        <f aca="false">(AC48*16*AJ48+(AD48-AC48)*16*AH48+AD48*8*AI48)/(AD48*24)</f>
        <v>42.8207306339133</v>
      </c>
      <c r="AM48" s="0" t="n">
        <f aca="false">IF(NymexData!AC48="",VLOOKUP('Pricing Summary'!AB48,NymexData!$S$12:$U$250,3),VLOOKUP(NymexData!AA48,NymexData!$AA$12:$AC$250,3))</f>
        <v>0.3025</v>
      </c>
      <c r="AO48" s="284" t="n">
        <f aca="false">AD48*24*VLOOKUP(AB48,Interest!$X$8:$AC$367,6)</f>
        <v>640.233849031122</v>
      </c>
    </row>
    <row r="49" customFormat="false" ht="12.75" hidden="false" customHeight="false" outlineLevel="0" collapsed="false">
      <c r="A49" s="293"/>
      <c r="B49" s="293"/>
      <c r="AB49" s="282" t="n">
        <f aca="false">[2]EnergyCurve!$D71</f>
        <v>38322</v>
      </c>
      <c r="AC49" s="2" t="n">
        <f aca="false">IF(TradeSum!$L$6=0,VLOOKUP(AB49,TradeSum!$DM$13:$DQ$252,2)+VLOOKUP(AB49,TradeSum!$DU$13:$DY$252,3),VLOOKUP(AB49,TradeSum!$DU$13:$DY$252,2)+VLOOKUP(AB49,TradeSum!$DU$13:$DY$252,3))</f>
        <v>26</v>
      </c>
      <c r="AD49" s="2" t="n">
        <f aca="false">VLOOKUP(AB49,TradeSum!$DM$13:$DR$252,6)</f>
        <v>31</v>
      </c>
      <c r="AE49" s="2" t="n">
        <f aca="false">IF(TradeSum!$L$6=0,VLOOKUP(AB49,TradeSum!$DM$13:$DQ$252,2),VLOOKUP(AB49,TradeSum!$DU$13:$DY$252,2))</f>
        <v>23</v>
      </c>
      <c r="AF49" s="283" t="n">
        <f aca="false">[2]EnergyCurve!$G71</f>
        <v>51.7353867137576</v>
      </c>
      <c r="AG49" s="283" t="n">
        <f aca="false">[2]EnergyCurve!$Y71</f>
        <v>49.0822899592059</v>
      </c>
      <c r="AH49" s="283" t="n">
        <f aca="false">[2]EnergyCurve!$AD71</f>
        <v>46.4291932046542</v>
      </c>
      <c r="AI49" s="283" t="n">
        <f aca="false">[2]EnergyCurve!$L71</f>
        <v>33.1637094318959</v>
      </c>
      <c r="AJ49" s="0" t="n">
        <f aca="false">(AE49*AF49+(AC49-AE49)*AG49)/AC49</f>
        <v>51.4292601651555</v>
      </c>
      <c r="AK49" s="0" t="n">
        <f aca="false">(AC49*16*AJ49+(AD49-AC49)*16*AH49+AD49*8*AI49)/(AD49*24)</f>
        <v>44.8031016454129</v>
      </c>
      <c r="AM49" s="0" t="n">
        <f aca="false">IF(NymexData!AC49="",VLOOKUP('Pricing Summary'!AB49,NymexData!$S$12:$U$250,3),VLOOKUP(NymexData!AA49,NymexData!$AA$12:$AC$250,3))</f>
        <v>0.2975</v>
      </c>
      <c r="AO49" s="284" t="n">
        <f aca="false">AD49*24*VLOOKUP(AB49,Interest!$X$8:$AC$367,6)</f>
        <v>658.757244593768</v>
      </c>
    </row>
    <row r="50" customFormat="false" ht="12.75" hidden="false" customHeight="false" outlineLevel="0" collapsed="false">
      <c r="AB50" s="282" t="n">
        <f aca="false">[2]EnergyCurve!$D72</f>
        <v>38353</v>
      </c>
      <c r="AC50" s="2" t="n">
        <f aca="false">IF(TradeSum!$L$6=0,VLOOKUP(AB50,TradeSum!$DM$13:$DQ$252,2)+VLOOKUP(AB50,TradeSum!$DU$13:$DY$252,3),VLOOKUP(AB50,TradeSum!$DU$13:$DY$252,2)+VLOOKUP(AB50,TradeSum!$DU$13:$DY$252,3))</f>
        <v>25</v>
      </c>
      <c r="AD50" s="2" t="n">
        <f aca="false">VLOOKUP(AB50,TradeSum!$DM$13:$DR$252,6)</f>
        <v>31</v>
      </c>
      <c r="AE50" s="2" t="n">
        <f aca="false">IF(TradeSum!$L$6=0,VLOOKUP(AB50,TradeSum!$DM$13:$DQ$252,2),VLOOKUP(AB50,TradeSum!$DU$13:$DY$252,2))</f>
        <v>21</v>
      </c>
      <c r="AF50" s="283" t="n">
        <f aca="false">[2]EnergyCurve!$G72</f>
        <v>51.2449552215649</v>
      </c>
      <c r="AG50" s="283" t="n">
        <f aca="false">[2]EnergyCurve!$Y72</f>
        <v>47.1993008619677</v>
      </c>
      <c r="AH50" s="283" t="n">
        <f aca="false">[2]EnergyCurve!$AD72</f>
        <v>45.8507494087686</v>
      </c>
      <c r="AI50" s="283" t="n">
        <f aca="false">[2]EnergyCurve!$L72</f>
        <v>33.7137863299769</v>
      </c>
      <c r="AJ50" s="0" t="n">
        <f aca="false">(AE50*AF50+(AC50-AE50)*AG50)/AC50</f>
        <v>50.5976505240294</v>
      </c>
      <c r="AK50" s="0" t="n">
        <f aca="false">(AC50*16*AJ50+(AD50-AC50)*16*AH50+AD50*8*AI50)/(AD50*24)</f>
        <v>44.3571924229675</v>
      </c>
      <c r="AM50" s="0" t="n">
        <f aca="false">IF(NymexData!AC50="",VLOOKUP('Pricing Summary'!AB50,NymexData!$S$12:$U$250,3),VLOOKUP(NymexData!AA50,NymexData!$AA$12:$AC$250,3))</f>
        <v>0.2975</v>
      </c>
      <c r="AO50" s="284" t="n">
        <f aca="false">AD50*24*VLOOKUP(AB50,Interest!$X$8:$AC$367,6)</f>
        <v>655.890548019543</v>
      </c>
    </row>
    <row r="51" customFormat="false" ht="12.75" hidden="false" customHeight="false" outlineLevel="0" collapsed="false">
      <c r="AB51" s="282" t="n">
        <f aca="false">[2]EnergyCurve!$D73</f>
        <v>38384</v>
      </c>
      <c r="AC51" s="2" t="n">
        <f aca="false">IF(TradeSum!$L$6=0,VLOOKUP(AB51,TradeSum!$DM$13:$DQ$252,2)+VLOOKUP(AB51,TradeSum!$DU$13:$DY$252,3),VLOOKUP(AB51,TradeSum!$DU$13:$DY$252,2)+VLOOKUP(AB51,TradeSum!$DU$13:$DY$252,3))</f>
        <v>24</v>
      </c>
      <c r="AD51" s="2" t="n">
        <f aca="false">VLOOKUP(AB51,TradeSum!$DM$13:$DR$252,6)</f>
        <v>28</v>
      </c>
      <c r="AE51" s="2" t="n">
        <f aca="false">IF(TradeSum!$L$6=0,VLOOKUP(AB51,TradeSum!$DM$13:$DQ$252,2),VLOOKUP(AB51,TradeSum!$DU$13:$DY$252,2))</f>
        <v>20</v>
      </c>
      <c r="AF51" s="283" t="n">
        <f aca="false">[2]EnergyCurve!$G73</f>
        <v>49.985138887285</v>
      </c>
      <c r="AG51" s="283" t="n">
        <f aca="false">[2]EnergyCurve!$Y73</f>
        <v>46.0389437119731</v>
      </c>
      <c r="AH51" s="283" t="n">
        <f aca="false">[2]EnergyCurve!$AD73</f>
        <v>44.7235453202024</v>
      </c>
      <c r="AI51" s="283" t="n">
        <f aca="false">[2]EnergyCurve!$L73</f>
        <v>32.8849597942665</v>
      </c>
      <c r="AJ51" s="0" t="n">
        <f aca="false">(AE51*AF51+(AC51-AE51)*AG51)/AC51</f>
        <v>49.3274396913997</v>
      </c>
      <c r="AK51" s="0" t="n">
        <f aca="false">(AC51*16*AJ51+(AD51-AC51)*16*AH51+AD51*8*AI51)/(AD51*24)</f>
        <v>43.4081469284318</v>
      </c>
      <c r="AM51" s="0" t="n">
        <f aca="false">IF(NymexData!AC51="",VLOOKUP('Pricing Summary'!AB51,NymexData!$S$12:$U$250,3),VLOOKUP(NymexData!AA51,NymexData!$AA$12:$AC$250,3))</f>
        <v>0.295</v>
      </c>
      <c r="AO51" s="284" t="n">
        <f aca="false">AD51*24*VLOOKUP(AB51,Interest!$X$8:$AC$367,6)</f>
        <v>589.992582799864</v>
      </c>
    </row>
    <row r="52" customFormat="false" ht="12.75" hidden="false" customHeight="false" outlineLevel="0" collapsed="false">
      <c r="AB52" s="282" t="n">
        <f aca="false">[2]EnergyCurve!$D74</f>
        <v>38412</v>
      </c>
      <c r="AC52" s="2" t="n">
        <f aca="false">IF(TradeSum!$L$6=0,VLOOKUP(AB52,TradeSum!$DM$13:$DQ$252,2)+VLOOKUP(AB52,TradeSum!$DU$13:$DY$252,3),VLOOKUP(AB52,TradeSum!$DU$13:$DY$252,2)+VLOOKUP(AB52,TradeSum!$DU$13:$DY$252,3))</f>
        <v>27</v>
      </c>
      <c r="AD52" s="2" t="n">
        <f aca="false">VLOOKUP(AB52,TradeSum!$DM$13:$DR$252,6)</f>
        <v>31</v>
      </c>
      <c r="AE52" s="2" t="n">
        <f aca="false">IF(TradeSum!$L$6=0,VLOOKUP(AB52,TradeSum!$DM$13:$DQ$252,2),VLOOKUP(AB52,TradeSum!$DU$13:$DY$252,2))</f>
        <v>23</v>
      </c>
      <c r="AF52" s="283" t="n">
        <f aca="false">[2]EnergyCurve!$G74</f>
        <v>48.0044374233539</v>
      </c>
      <c r="AG52" s="283" t="n">
        <f aca="false">[2]EnergyCurve!$Y74</f>
        <v>44.214613416247</v>
      </c>
      <c r="AH52" s="283" t="n">
        <f aca="false">[2]EnergyCurve!$AD74</f>
        <v>42.9513387472114</v>
      </c>
      <c r="AI52" s="283" t="n">
        <f aca="false">[2]EnergyCurve!$L74</f>
        <v>31.5818667258907</v>
      </c>
      <c r="AJ52" s="0" t="n">
        <f aca="false">(AE52*AF52+(AC52-AE52)*AG52)/AC52</f>
        <v>47.4429820148936</v>
      </c>
      <c r="AK52" s="0" t="n">
        <f aca="false">(AC52*16*AJ52+(AD52-AC52)*16*AH52+AD52*8*AI52)/(AD52*24)</f>
        <v>41.7695656697265</v>
      </c>
      <c r="AM52" s="0" t="n">
        <f aca="false">IF(NymexData!AC52="",VLOOKUP('Pricing Summary'!AB52,NymexData!$S$12:$U$250,3),VLOOKUP(NymexData!AA52,NymexData!$AA$12:$AC$250,3))</f>
        <v>0.28</v>
      </c>
      <c r="AO52" s="284" t="n">
        <f aca="false">AD52*24*VLOOKUP(AB52,Interest!$X$8:$AC$367,6)</f>
        <v>650.364227079588</v>
      </c>
    </row>
    <row r="53" customFormat="false" ht="12.75" hidden="false" customHeight="false" outlineLevel="0" collapsed="false">
      <c r="AB53" s="282" t="n">
        <f aca="false">[2]EnergyCurve!$D75</f>
        <v>38443</v>
      </c>
      <c r="AC53" s="2" t="n">
        <f aca="false">IF(TradeSum!$L$6=0,VLOOKUP(AB53,TradeSum!$DM$13:$DQ$252,2)+VLOOKUP(AB53,TradeSum!$DU$13:$DY$252,3),VLOOKUP(AB53,TradeSum!$DU$13:$DY$252,2)+VLOOKUP(AB53,TradeSum!$DU$13:$DY$252,3))</f>
        <v>26</v>
      </c>
      <c r="AD53" s="2" t="n">
        <f aca="false">VLOOKUP(AB53,TradeSum!$DM$13:$DR$252,6)</f>
        <v>30</v>
      </c>
      <c r="AE53" s="2" t="n">
        <f aca="false">IF(TradeSum!$L$6=0,VLOOKUP(AB53,TradeSum!$DM$13:$DQ$252,2),VLOOKUP(AB53,TradeSum!$DU$13:$DY$252,2))</f>
        <v>21</v>
      </c>
      <c r="AF53" s="283" t="n">
        <f aca="false">[2]EnergyCurve!$G75</f>
        <v>45.1071449062582</v>
      </c>
      <c r="AG53" s="283" t="n">
        <f aca="false">[2]EnergyCurve!$Y75</f>
        <v>41.546054518922</v>
      </c>
      <c r="AH53" s="283" t="n">
        <f aca="false">[2]EnergyCurve!$AD75</f>
        <v>40.3590243898099</v>
      </c>
      <c r="AI53" s="283" t="n">
        <f aca="false">[2]EnergyCurve!$L75</f>
        <v>29.6757532278014</v>
      </c>
      <c r="AJ53" s="0" t="n">
        <f aca="false">(AE53*AF53+(AC53-AE53)*AG53)/AC53</f>
        <v>44.4223198317704</v>
      </c>
      <c r="AK53" s="0" t="n">
        <f aca="false">(AC53*16*AJ53+(AD53-AC53)*16*AH53+AD53*8*AI53)/(AD53*24)</f>
        <v>39.1456158133843</v>
      </c>
      <c r="AM53" s="0" t="n">
        <f aca="false">IF(NymexData!AC53="",VLOOKUP('Pricing Summary'!AB53,NymexData!$S$12:$U$250,3),VLOOKUP(NymexData!AA53,NymexData!$AA$12:$AC$250,3))</f>
        <v>0.27</v>
      </c>
      <c r="AO53" s="284" t="n">
        <f aca="false">AD53*24*VLOOKUP(AB53,Interest!$X$8:$AC$367,6)</f>
        <v>626.607397940497</v>
      </c>
    </row>
    <row r="54" customFormat="false" ht="12.75" hidden="false" customHeight="false" outlineLevel="0" collapsed="false">
      <c r="AB54" s="282" t="n">
        <f aca="false">[2]EnergyCurve!$D76</f>
        <v>38473</v>
      </c>
      <c r="AC54" s="2" t="n">
        <f aca="false">IF(TradeSum!$L$6=0,VLOOKUP(AB54,TradeSum!$DM$13:$DQ$252,2)+VLOOKUP(AB54,TradeSum!$DU$13:$DY$252,3),VLOOKUP(AB54,TradeSum!$DU$13:$DY$252,2)+VLOOKUP(AB54,TradeSum!$DU$13:$DY$252,3))</f>
        <v>25</v>
      </c>
      <c r="AD54" s="2" t="n">
        <f aca="false">VLOOKUP(AB54,TradeSum!$DM$13:$DR$252,6)</f>
        <v>31</v>
      </c>
      <c r="AE54" s="2" t="n">
        <f aca="false">IF(TradeSum!$L$6=0,VLOOKUP(AB54,TradeSum!$DM$13:$DQ$252,2),VLOOKUP(AB54,TradeSum!$DU$13:$DY$252,2))</f>
        <v>21</v>
      </c>
      <c r="AF54" s="283" t="n">
        <f aca="false">[2]EnergyCurve!$G76</f>
        <v>45.1732392006542</v>
      </c>
      <c r="AG54" s="283" t="n">
        <f aca="false">[2]EnergyCurve!$Y76</f>
        <v>41.6069308427078</v>
      </c>
      <c r="AH54" s="283" t="n">
        <f aca="false">[2]EnergyCurve!$AD76</f>
        <v>40.4181613900591</v>
      </c>
      <c r="AI54" s="283" t="n">
        <f aca="false">[2]EnergyCurve!$L76</f>
        <v>29.7192363162199</v>
      </c>
      <c r="AJ54" s="0" t="n">
        <f aca="false">(AE54*AF54+(AC54-AE54)*AG54)/AC54</f>
        <v>44.6026298633828</v>
      </c>
      <c r="AK54" s="0" t="n">
        <f aca="false">(AC54*16*AJ54+(AD54-AC54)*16*AH54+AD54*8*AI54)/(AD54*24)</f>
        <v>39.1015672650824</v>
      </c>
      <c r="AM54" s="0" t="n">
        <f aca="false">IF(NymexData!AC54="",VLOOKUP('Pricing Summary'!AB54,NymexData!$S$12:$U$250,3),VLOOKUP(NymexData!AA54,NymexData!$AA$12:$AC$250,3))</f>
        <v>0.2625</v>
      </c>
      <c r="AO54" s="284" t="n">
        <f aca="false">AD54*24*VLOOKUP(AB54,Interest!$X$8:$AC$367,6)</f>
        <v>644.556442609041</v>
      </c>
    </row>
    <row r="55" customFormat="false" ht="12.75" hidden="false" customHeight="false" outlineLevel="0" collapsed="false">
      <c r="AB55" s="282" t="n">
        <f aca="false">[2]EnergyCurve!$D77</f>
        <v>38504</v>
      </c>
      <c r="AC55" s="2" t="n">
        <f aca="false">IF(TradeSum!$L$6=0,VLOOKUP(AB55,TradeSum!$DM$13:$DQ$252,2)+VLOOKUP(AB55,TradeSum!$DU$13:$DY$252,3),VLOOKUP(AB55,TradeSum!$DU$13:$DY$252,2)+VLOOKUP(AB55,TradeSum!$DU$13:$DY$252,3))</f>
        <v>26</v>
      </c>
      <c r="AD55" s="2" t="n">
        <f aca="false">VLOOKUP(AB55,TradeSum!$DM$13:$DR$252,6)</f>
        <v>30</v>
      </c>
      <c r="AE55" s="2" t="n">
        <f aca="false">IF(TradeSum!$L$6=0,VLOOKUP(AB55,TradeSum!$DM$13:$DQ$252,2),VLOOKUP(AB55,TradeSum!$DU$13:$DY$252,2))</f>
        <v>22</v>
      </c>
      <c r="AF55" s="283" t="n">
        <f aca="false">[2]EnergyCurve!$G77</f>
        <v>45.7060656133996</v>
      </c>
      <c r="AG55" s="283" t="n">
        <f aca="false">[2]EnergyCurve!$Y77</f>
        <v>42.0976920123417</v>
      </c>
      <c r="AH55" s="283" t="n">
        <f aca="false">[2]EnergyCurve!$AD77</f>
        <v>40.8949008119891</v>
      </c>
      <c r="AI55" s="283" t="n">
        <f aca="false">[2]EnergyCurve!$L77</f>
        <v>30.0697800088155</v>
      </c>
      <c r="AJ55" s="0" t="n">
        <f aca="false">(AE55*AF55+(AC55-AE55)*AG55)/AC55</f>
        <v>45.1509312132368</v>
      </c>
      <c r="AK55" s="0" t="n">
        <f aca="false">(AC55*16*AJ55+(AD55-AC55)*16*AH55+AD55*8*AI55)/(AD55*24)</f>
        <v>39.7455669983188</v>
      </c>
      <c r="AM55" s="0" t="n">
        <f aca="false">IF(NymexData!AC55="",VLOOKUP('Pricing Summary'!AB55,NymexData!$S$12:$U$250,3),VLOOKUP(NymexData!AA55,NymexData!$AA$12:$AC$250,3))</f>
        <v>0.2575</v>
      </c>
      <c r="AO55" s="284" t="n">
        <f aca="false">AD55*24*VLOOKUP(AB55,Interest!$X$8:$AC$367,6)</f>
        <v>620.941728195405</v>
      </c>
    </row>
    <row r="56" customFormat="false" ht="12.75" hidden="false" customHeight="false" outlineLevel="0" collapsed="false">
      <c r="AB56" s="282" t="n">
        <f aca="false">[2]EnergyCurve!$D78</f>
        <v>38534</v>
      </c>
      <c r="AC56" s="2" t="n">
        <f aca="false">IF(TradeSum!$L$6=0,VLOOKUP(AB56,TradeSum!$DM$13:$DQ$252,2)+VLOOKUP(AB56,TradeSum!$DU$13:$DY$252,3),VLOOKUP(AB56,TradeSum!$DU$13:$DY$252,2)+VLOOKUP(AB56,TradeSum!$DU$13:$DY$252,3))</f>
        <v>25</v>
      </c>
      <c r="AD56" s="2" t="n">
        <f aca="false">VLOOKUP(AB56,TradeSum!$DM$13:$DR$252,6)</f>
        <v>31</v>
      </c>
      <c r="AE56" s="2" t="n">
        <f aca="false">IF(TradeSum!$L$6=0,VLOOKUP(AB56,TradeSum!$DM$13:$DQ$252,2),VLOOKUP(AB56,TradeSum!$DU$13:$DY$252,2))</f>
        <v>20</v>
      </c>
      <c r="AF56" s="283" t="n">
        <f aca="false">[2]EnergyCurve!$G78</f>
        <v>46.3402305201956</v>
      </c>
      <c r="AG56" s="283" t="n">
        <f aca="false">[2]EnergyCurve!$Y78</f>
        <v>42.6817912686012</v>
      </c>
      <c r="AH56" s="283" t="n">
        <f aca="false">[2]EnergyCurve!$AD78</f>
        <v>41.4623115180698</v>
      </c>
      <c r="AI56" s="283" t="n">
        <f aca="false">[2]EnergyCurve!$L78</f>
        <v>30.4869937632866</v>
      </c>
      <c r="AJ56" s="0" t="n">
        <f aca="false">(AE56*AF56+(AC56-AE56)*AG56)/AC56</f>
        <v>45.6085426698767</v>
      </c>
      <c r="AK56" s="0" t="n">
        <f aca="false">(AC56*16*AJ56+(AD56-AC56)*16*AH56+AD56*8*AI56)/(AD56*24)</f>
        <v>40.0330287997049</v>
      </c>
      <c r="AM56" s="0" t="n">
        <f aca="false">IF(NymexData!AC56="",VLOOKUP('Pricing Summary'!AB56,NymexData!$S$12:$U$250,3),VLOOKUP(NymexData!AA56,NymexData!$AA$12:$AC$250,3))</f>
        <v>0.2575</v>
      </c>
      <c r="AO56" s="284" t="n">
        <f aca="false">AD56*24*VLOOKUP(AB56,Interest!$X$8:$AC$367,6)</f>
        <v>638.656457535023</v>
      </c>
    </row>
    <row r="57" customFormat="false" ht="12.75" hidden="false" customHeight="false" outlineLevel="0" collapsed="false">
      <c r="AB57" s="282" t="n">
        <f aca="false">[2]EnergyCurve!$D79</f>
        <v>38565</v>
      </c>
      <c r="AC57" s="2" t="n">
        <f aca="false">IF(TradeSum!$L$6=0,VLOOKUP(AB57,TradeSum!$DM$13:$DQ$252,2)+VLOOKUP(AB57,TradeSum!$DU$13:$DY$252,3),VLOOKUP(AB57,TradeSum!$DU$13:$DY$252,2)+VLOOKUP(AB57,TradeSum!$DU$13:$DY$252,3))</f>
        <v>27</v>
      </c>
      <c r="AD57" s="2" t="n">
        <f aca="false">VLOOKUP(AB57,TradeSum!$DM$13:$DR$252,6)</f>
        <v>31</v>
      </c>
      <c r="AE57" s="2" t="n">
        <f aca="false">IF(TradeSum!$L$6=0,VLOOKUP(AB57,TradeSum!$DM$13:$DQ$252,2),VLOOKUP(AB57,TradeSum!$DU$13:$DY$252,2))</f>
        <v>23</v>
      </c>
      <c r="AF57" s="283" t="n">
        <f aca="false">[2]EnergyCurve!$G79</f>
        <v>46.8774641521316</v>
      </c>
      <c r="AG57" s="283" t="n">
        <f aca="false">[2]EnergyCurve!$Y79</f>
        <v>43.1766117190686</v>
      </c>
      <c r="AH57" s="283" t="n">
        <f aca="false">[2]EnergyCurve!$AD79</f>
        <v>41.9429942413809</v>
      </c>
      <c r="AI57" s="283" t="n">
        <f aca="false">[2]EnergyCurve!$L79</f>
        <v>30.8404369421918</v>
      </c>
      <c r="AJ57" s="0" t="n">
        <f aca="false">(AE57*AF57+(AC57-AE57)*AG57)/AC57</f>
        <v>46.3291897176037</v>
      </c>
      <c r="AK57" s="0" t="n">
        <f aca="false">(AC57*16*AJ57+(AD57-AC57)*16*AH57+AD57*8*AI57)/(AD57*24)</f>
        <v>40.7889649880602</v>
      </c>
      <c r="AM57" s="0" t="n">
        <f aca="false">IF(NymexData!AC57="",VLOOKUP('Pricing Summary'!AB57,NymexData!$S$12:$U$250,3),VLOOKUP(NymexData!AA57,NymexData!$AA$12:$AC$250,3))</f>
        <v>0.2575</v>
      </c>
      <c r="AO57" s="284" t="n">
        <f aca="false">AD57*24*VLOOKUP(AB57,Interest!$X$8:$AC$367,6)</f>
        <v>635.623911737833</v>
      </c>
    </row>
    <row r="58" customFormat="false" ht="12.75" hidden="false" customHeight="false" outlineLevel="0" collapsed="false">
      <c r="AB58" s="282" t="n">
        <f aca="false">[2]EnergyCurve!$D80</f>
        <v>38596</v>
      </c>
      <c r="AC58" s="2" t="n">
        <f aca="false">IF(TradeSum!$L$6=0,VLOOKUP(AB58,TradeSum!$DM$13:$DQ$252,2)+VLOOKUP(AB58,TradeSum!$DU$13:$DY$252,3),VLOOKUP(AB58,TradeSum!$DU$13:$DY$252,2)+VLOOKUP(AB58,TradeSum!$DU$13:$DY$252,3))</f>
        <v>25</v>
      </c>
      <c r="AD58" s="2" t="n">
        <f aca="false">VLOOKUP(AB58,TradeSum!$DM$13:$DR$252,6)</f>
        <v>30</v>
      </c>
      <c r="AE58" s="2" t="n">
        <f aca="false">IF(TradeSum!$L$6=0,VLOOKUP(AB58,TradeSum!$DM$13:$DQ$252,2),VLOOKUP(AB58,TradeSum!$DU$13:$DY$252,2))</f>
        <v>21</v>
      </c>
      <c r="AF58" s="283" t="n">
        <f aca="false">[2]EnergyCurve!$G80</f>
        <v>46.791928963563</v>
      </c>
      <c r="AG58" s="283" t="n">
        <f aca="false">[2]EnergyCurve!$Y80</f>
        <v>43.0978293085448</v>
      </c>
      <c r="AH58" s="283" t="n">
        <f aca="false">[2]EnergyCurve!$AD80</f>
        <v>41.8664627568721</v>
      </c>
      <c r="AI58" s="283" t="n">
        <f aca="false">[2]EnergyCurve!$L80</f>
        <v>30.7841637918177</v>
      </c>
      <c r="AJ58" s="0" t="n">
        <f aca="false">(AE58*AF58+(AC58-AE58)*AG58)/AC58</f>
        <v>46.2008730187601</v>
      </c>
      <c r="AK58" s="0" t="n">
        <f aca="false">(AC58*16*AJ58+(AD58-AC58)*16*AH58+AD58*8*AI58)/(AD58*24)</f>
        <v>40.5803688029028</v>
      </c>
      <c r="AM58" s="0" t="n">
        <f aca="false">IF(NymexData!AC58="",VLOOKUP('Pricing Summary'!AB58,NymexData!$S$12:$U$250,3),VLOOKUP(NymexData!AA58,NymexData!$AA$12:$AC$250,3))</f>
        <v>0.2575</v>
      </c>
      <c r="AO58" s="284" t="n">
        <f aca="false">AD58*24*VLOOKUP(AB58,Interest!$X$8:$AC$367,6)</f>
        <v>612.232378533656</v>
      </c>
    </row>
    <row r="59" customFormat="false" ht="12.75" hidden="false" customHeight="false" outlineLevel="0" collapsed="false">
      <c r="AB59" s="282" t="n">
        <f aca="false">[2]EnergyCurve!$D81</f>
        <v>38626</v>
      </c>
      <c r="AC59" s="2" t="n">
        <f aca="false">IF(TradeSum!$L$6=0,VLOOKUP(AB59,TradeSum!$DM$13:$DQ$252,2)+VLOOKUP(AB59,TradeSum!$DU$13:$DY$252,3),VLOOKUP(AB59,TradeSum!$DU$13:$DY$252,2)+VLOOKUP(AB59,TradeSum!$DU$13:$DY$252,3))</f>
        <v>26</v>
      </c>
      <c r="AD59" s="2" t="n">
        <f aca="false">VLOOKUP(AB59,TradeSum!$DM$13:$DR$252,6)</f>
        <v>31</v>
      </c>
      <c r="AE59" s="2" t="n">
        <f aca="false">IF(TradeSum!$L$6=0,VLOOKUP(AB59,TradeSum!$DM$13:$DQ$252,2),VLOOKUP(AB59,TradeSum!$DU$13:$DY$252,2))</f>
        <v>21</v>
      </c>
      <c r="AF59" s="283" t="n">
        <f aca="false">[2]EnergyCurve!$G81</f>
        <v>46.7929027991804</v>
      </c>
      <c r="AG59" s="283" t="n">
        <f aca="false">[2]EnergyCurve!$Y81</f>
        <v>43.098726262403</v>
      </c>
      <c r="AH59" s="283" t="n">
        <f aca="false">[2]EnergyCurve!$AD81</f>
        <v>41.8673340834772</v>
      </c>
      <c r="AI59" s="283" t="n">
        <f aca="false">[2]EnergyCurve!$L81</f>
        <v>30.784804473145</v>
      </c>
      <c r="AJ59" s="0" t="n">
        <f aca="false">(AE59*AF59+(AC59-AE59)*AG59)/AC59</f>
        <v>46.0824842344155</v>
      </c>
      <c r="AK59" s="0" t="n">
        <f aca="false">(AC59*16*AJ59+(AD59-AC59)*16*AH59+AD59*8*AI59)/(AD59*24)</f>
        <v>40.5300156956115</v>
      </c>
      <c r="AM59" s="0" t="n">
        <f aca="false">IF(NymexData!AC59="",VLOOKUP('Pricing Summary'!AB59,NymexData!$S$12:$U$250,3),VLOOKUP(NymexData!AA59,NymexData!$AA$12:$AC$250,3))</f>
        <v>0.2575</v>
      </c>
      <c r="AO59" s="284" t="n">
        <f aca="false">AD59*24*VLOOKUP(AB59,Interest!$X$8:$AC$367,6)</f>
        <v>629.591621548018</v>
      </c>
    </row>
    <row r="60" customFormat="false" ht="12.75" hidden="false" customHeight="false" outlineLevel="0" collapsed="false">
      <c r="AB60" s="282" t="n">
        <f aca="false">[2]EnergyCurve!$D82</f>
        <v>38657</v>
      </c>
      <c r="AC60" s="2" t="n">
        <f aca="false">IF(TradeSum!$L$6=0,VLOOKUP(AB60,TradeSum!$DM$13:$DQ$252,2)+VLOOKUP(AB60,TradeSum!$DU$13:$DY$252,3),VLOOKUP(AB60,TradeSum!$DU$13:$DY$252,2)+VLOOKUP(AB60,TradeSum!$DU$13:$DY$252,3))</f>
        <v>25</v>
      </c>
      <c r="AD60" s="2" t="n">
        <f aca="false">VLOOKUP(AB60,TradeSum!$DM$13:$DR$252,6)</f>
        <v>30</v>
      </c>
      <c r="AE60" s="2" t="n">
        <f aca="false">IF(TradeSum!$L$6=0,VLOOKUP(AB60,TradeSum!$DM$13:$DQ$252,2),VLOOKUP(AB60,TradeSum!$DU$13:$DY$252,2))</f>
        <v>21</v>
      </c>
      <c r="AF60" s="283" t="n">
        <f aca="false">[2]EnergyCurve!$G82</f>
        <v>49.543668633242</v>
      </c>
      <c r="AG60" s="283" t="n">
        <f aca="false">[2]EnergyCurve!$Y82</f>
        <v>45.6323263727229</v>
      </c>
      <c r="AH60" s="283" t="n">
        <f aca="false">[2]EnergyCurve!$AD82</f>
        <v>44.3285456192166</v>
      </c>
      <c r="AI60" s="283" t="n">
        <f aca="false">[2]EnergyCurve!$L82</f>
        <v>32.5945188376592</v>
      </c>
      <c r="AJ60" s="0" t="n">
        <f aca="false">(AE60*AF60+(AC60-AE60)*AG60)/AC60</f>
        <v>48.917853871559</v>
      </c>
      <c r="AK60" s="0" t="n">
        <f aca="false">(AC60*16*AJ60+(AD60-AC60)*16*AH60+AD60*8*AI60)/(AD60*24)</f>
        <v>42.9668190544432</v>
      </c>
      <c r="AM60" s="0" t="n">
        <f aca="false">IF(NymexData!AC60="",VLOOKUP('Pricing Summary'!AB60,NymexData!$S$12:$U$250,3),VLOOKUP(NymexData!AA60,NymexData!$AA$12:$AC$250,3))</f>
        <v>0.2575</v>
      </c>
      <c r="AO60" s="284" t="n">
        <f aca="false">AD60*24*VLOOKUP(AB60,Interest!$X$8:$AC$367,6)</f>
        <v>606.353779903323</v>
      </c>
    </row>
    <row r="61" customFormat="false" ht="12.75" hidden="false" customHeight="false" outlineLevel="0" collapsed="false">
      <c r="AB61" s="282" t="n">
        <f aca="false">[2]EnergyCurve!$D83</f>
        <v>38687</v>
      </c>
      <c r="AC61" s="2" t="n">
        <f aca="false">IF(TradeSum!$L$6=0,VLOOKUP(AB61,TradeSum!$DM$13:$DQ$252,2)+VLOOKUP(AB61,TradeSum!$DU$13:$DY$252,3),VLOOKUP(AB61,TradeSum!$DU$13:$DY$252,2)+VLOOKUP(AB61,TradeSum!$DU$13:$DY$252,3))</f>
        <v>26</v>
      </c>
      <c r="AD61" s="2" t="n">
        <f aca="false">VLOOKUP(AB61,TradeSum!$DM$13:$DR$252,6)</f>
        <v>31</v>
      </c>
      <c r="AE61" s="2" t="n">
        <f aca="false">IF(TradeSum!$L$6=0,VLOOKUP(AB61,TradeSum!$DM$13:$DQ$252,2),VLOOKUP(AB61,TradeSum!$DU$13:$DY$252,2))</f>
        <v>21</v>
      </c>
      <c r="AF61" s="283" t="n">
        <f aca="false">[2]EnergyCurve!$G83</f>
        <v>51.7004653712795</v>
      </c>
      <c r="AG61" s="283" t="n">
        <f aca="false">[2]EnergyCurve!$Y83</f>
        <v>47.6188496840733</v>
      </c>
      <c r="AH61" s="283" t="n">
        <f aca="false">[2]EnergyCurve!$AD83</f>
        <v>46.2583111216712</v>
      </c>
      <c r="AI61" s="283" t="n">
        <f aca="false">[2]EnergyCurve!$L83</f>
        <v>34.0134640600523</v>
      </c>
      <c r="AJ61" s="0" t="n">
        <f aca="false">(AE61*AF61+(AC61-AE61)*AG61)/AC61</f>
        <v>50.915539277586</v>
      </c>
      <c r="AK61" s="0" t="n">
        <f aca="false">(AC61*16*AJ61+(AD61-AC61)*16*AH61+AD61*8*AI61)/(AD61*24)</f>
        <v>44.7807369840087</v>
      </c>
      <c r="AM61" s="0" t="n">
        <f aca="false">IF(NymexData!AC61="",VLOOKUP('Pricing Summary'!AB61,NymexData!$S$12:$U$250,3),VLOOKUP(NymexData!AA61,NymexData!$AA$12:$AC$250,3))</f>
        <v>0.2575</v>
      </c>
      <c r="AO61" s="284" t="n">
        <f aca="false">AD61*24*VLOOKUP(AB61,Interest!$X$8:$AC$367,6)</f>
        <v>623.476118543616</v>
      </c>
    </row>
    <row r="62" customFormat="false" ht="12.75" hidden="false" customHeight="false" outlineLevel="0" collapsed="false">
      <c r="AB62" s="282" t="n">
        <f aca="false">[2]EnergyCurve!$D84</f>
        <v>38718</v>
      </c>
      <c r="AC62" s="2" t="n">
        <f aca="false">IF(TradeSum!$L$6=0,VLOOKUP(AB62,TradeSum!$DM$13:$DQ$252,2)+VLOOKUP(AB62,TradeSum!$DU$13:$DY$252,3),VLOOKUP(AB62,TradeSum!$DU$13:$DY$252,2)+VLOOKUP(AB62,TradeSum!$DU$13:$DY$252,3))</f>
        <v>25</v>
      </c>
      <c r="AD62" s="2" t="n">
        <f aca="false">VLOOKUP(AB62,TradeSum!$DM$13:$DR$252,6)</f>
        <v>31</v>
      </c>
      <c r="AE62" s="2" t="n">
        <f aca="false">IF(TradeSum!$L$6=0,VLOOKUP(AB62,TradeSum!$DM$13:$DQ$252,2),VLOOKUP(AB62,TradeSum!$DU$13:$DY$252,2))</f>
        <v>21</v>
      </c>
      <c r="AF62" s="283" t="n">
        <f aca="false">[2]EnergyCurve!$G84</f>
        <v>47.7777823949353</v>
      </c>
      <c r="AG62" s="283" t="n">
        <f aca="false">[2]EnergyCurve!$Y84</f>
        <v>44.2899489176688</v>
      </c>
      <c r="AH62" s="283" t="n">
        <f aca="false">[2]EnergyCurve!$AD84</f>
        <v>42.9058880139917</v>
      </c>
      <c r="AI62" s="283" t="n">
        <f aca="false">[2]EnergyCurve!$L84</f>
        <v>28.7884667964847</v>
      </c>
      <c r="AJ62" s="0" t="n">
        <f aca="false">(AE62*AF62+(AC62-AE62)*AG62)/AC62</f>
        <v>47.2197290385726</v>
      </c>
      <c r="AK62" s="0" t="n">
        <f aca="false">(AC62*16*AJ62+(AD62-AC62)*16*AH62+AD62*8*AI62)/(AD62*24)</f>
        <v>40.5193503095437</v>
      </c>
      <c r="AM62" s="0" t="n">
        <f aca="false">IF(NymexData!AC62="",VLOOKUP('Pricing Summary'!AB62,NymexData!$S$12:$U$250,3),VLOOKUP(NymexData!AA62,NymexData!$AA$12:$AC$250,3))</f>
        <v>0.2575</v>
      </c>
      <c r="AO62" s="284" t="n">
        <f aca="false">AD62*24*VLOOKUP(AB62,Interest!$X$8:$AC$367,6)</f>
        <v>620.337509571082</v>
      </c>
    </row>
    <row r="63" customFormat="false" ht="12.75" hidden="false" customHeight="false" outlineLevel="0" collapsed="false">
      <c r="AB63" s="282" t="n">
        <f aca="false">[2]EnergyCurve!$D85</f>
        <v>38749</v>
      </c>
      <c r="AC63" s="2" t="n">
        <f aca="false">IF(TradeSum!$L$6=0,VLOOKUP(AB63,TradeSum!$DM$13:$DQ$252,2)+VLOOKUP(AB63,TradeSum!$DU$13:$DY$252,3),VLOOKUP(AB63,TradeSum!$DU$13:$DY$252,2)+VLOOKUP(AB63,TradeSum!$DU$13:$DY$252,3))</f>
        <v>24</v>
      </c>
      <c r="AD63" s="2" t="n">
        <f aca="false">VLOOKUP(AB63,TradeSum!$DM$13:$DR$252,6)</f>
        <v>28</v>
      </c>
      <c r="AE63" s="2" t="n">
        <f aca="false">IF(TradeSum!$L$6=0,VLOOKUP(AB63,TradeSum!$DM$13:$DQ$252,2),VLOOKUP(AB63,TradeSum!$DU$13:$DY$252,2))</f>
        <v>20</v>
      </c>
      <c r="AF63" s="283" t="n">
        <f aca="false">[2]EnergyCurve!$G85</f>
        <v>46.6597721809747</v>
      </c>
      <c r="AG63" s="283" t="n">
        <f aca="false">[2]EnergyCurve!$Y85</f>
        <v>43.2535547448201</v>
      </c>
      <c r="AH63" s="283" t="n">
        <f aca="false">[2]EnergyCurve!$AD85</f>
        <v>41.9018811590445</v>
      </c>
      <c r="AI63" s="283" t="n">
        <f aca="false">[2]EnergyCurve!$L85</f>
        <v>28.1148105841331</v>
      </c>
      <c r="AJ63" s="0" t="n">
        <f aca="false">(AE63*AF63+(AC63-AE63)*AG63)/AC63</f>
        <v>46.092069274949</v>
      </c>
      <c r="AK63" s="0" t="n">
        <f aca="false">(AC63*16*AJ63+(AD63-AC63)*16*AH63+AD63*8*AI63)/(AD63*24)</f>
        <v>39.7005841764956</v>
      </c>
      <c r="AM63" s="0" t="n">
        <f aca="false">IF(NymexData!AC63="",VLOOKUP('Pricing Summary'!AB63,NymexData!$S$12:$U$250,3),VLOOKUP(NymexData!AA63,NymexData!$AA$12:$AC$250,3))</f>
        <v>0.25</v>
      </c>
      <c r="AO63" s="284" t="n">
        <f aca="false">AD63*24*VLOOKUP(AB63,Interest!$X$8:$AC$367,6)</f>
        <v>557.647818771442</v>
      </c>
    </row>
    <row r="64" customFormat="false" ht="12.75" hidden="false" customHeight="false" outlineLevel="0" collapsed="false">
      <c r="AB64" s="282" t="n">
        <f aca="false">[2]EnergyCurve!$D86</f>
        <v>38777</v>
      </c>
      <c r="AC64" s="2" t="n">
        <f aca="false">IF(TradeSum!$L$6=0,VLOOKUP(AB64,TradeSum!$DM$13:$DQ$252,2)+VLOOKUP(AB64,TradeSum!$DU$13:$DY$252,3),VLOOKUP(AB64,TradeSum!$DU$13:$DY$252,2)+VLOOKUP(AB64,TradeSum!$DU$13:$DY$252,3))</f>
        <v>27</v>
      </c>
      <c r="AD64" s="2" t="n">
        <f aca="false">VLOOKUP(AB64,TradeSum!$DM$13:$DR$252,6)</f>
        <v>31</v>
      </c>
      <c r="AE64" s="2" t="n">
        <f aca="false">IF(TradeSum!$L$6=0,VLOOKUP(AB64,TradeSum!$DM$13:$DQ$252,2),VLOOKUP(AB64,TradeSum!$DU$13:$DY$252,2))</f>
        <v>23</v>
      </c>
      <c r="AF64" s="283" t="n">
        <f aca="false">[2]EnergyCurve!$G86</f>
        <v>44.8838826999699</v>
      </c>
      <c r="AG64" s="283" t="n">
        <f aca="false">[2]EnergyCurve!$Y86</f>
        <v>41.607307253738</v>
      </c>
      <c r="AH64" s="283" t="n">
        <f aca="false">[2]EnergyCurve!$AD86</f>
        <v>40.3070789020587</v>
      </c>
      <c r="AI64" s="283" t="n">
        <f aca="false">[2]EnergyCurve!$L86</f>
        <v>27.0447497149297</v>
      </c>
      <c r="AJ64" s="0" t="n">
        <f aca="false">(AE64*AF64+(AC64-AE64)*AG64)/AC64</f>
        <v>44.3984641153429</v>
      </c>
      <c r="AK64" s="0" t="n">
        <f aca="false">(AC64*16*AJ64+(AD64-AC64)*16*AH64+AD64*8*AI64)/(AD64*24)</f>
        <v>38.2619455334173</v>
      </c>
      <c r="AM64" s="0" t="n">
        <f aca="false">IF(NymexData!AC64="",VLOOKUP('Pricing Summary'!AB64,NymexData!$S$12:$U$250,3),VLOOKUP(NymexData!AA64,NymexData!$AA$12:$AC$250,3))</f>
        <v>0.2425</v>
      </c>
      <c r="AO64" s="284" t="n">
        <f aca="false">AD64*24*VLOOKUP(AB64,Interest!$X$8:$AC$367,6)</f>
        <v>614.30895115932</v>
      </c>
    </row>
    <row r="65" customFormat="false" ht="12.75" hidden="false" customHeight="false" outlineLevel="0" collapsed="false">
      <c r="AB65" s="282" t="n">
        <f aca="false">[2]EnergyCurve!$D87</f>
        <v>38808</v>
      </c>
      <c r="AC65" s="2" t="n">
        <f aca="false">IF(TradeSum!$L$6=0,VLOOKUP(AB65,TradeSum!$DM$13:$DQ$252,2)+VLOOKUP(AB65,TradeSum!$DU$13:$DY$252,3),VLOOKUP(AB65,TradeSum!$DU$13:$DY$252,2)+VLOOKUP(AB65,TradeSum!$DU$13:$DY$252,3))</f>
        <v>25</v>
      </c>
      <c r="AD65" s="2" t="n">
        <f aca="false">VLOOKUP(AB65,TradeSum!$DM$13:$DR$252,6)</f>
        <v>30</v>
      </c>
      <c r="AE65" s="2" t="n">
        <f aca="false">IF(TradeSum!$L$6=0,VLOOKUP(AB65,TradeSum!$DM$13:$DQ$252,2),VLOOKUP(AB65,TradeSum!$DU$13:$DY$252,2))</f>
        <v>20</v>
      </c>
      <c r="AF65" s="283" t="n">
        <f aca="false">[2]EnergyCurve!$G87</f>
        <v>42.3363357337236</v>
      </c>
      <c r="AG65" s="283" t="n">
        <f aca="false">[2]EnergyCurve!$Y87</f>
        <v>39.245734167994</v>
      </c>
      <c r="AH65" s="283" t="n">
        <f aca="false">[2]EnergyCurve!$AD87</f>
        <v>38.0193049752442</v>
      </c>
      <c r="AI65" s="283" t="n">
        <f aca="false">[2]EnergyCurve!$L87</f>
        <v>25.5097272091961</v>
      </c>
      <c r="AJ65" s="0" t="n">
        <f aca="false">(AE65*AF65+(AC65-AE65)*AG65)/AC65</f>
        <v>41.7182154205777</v>
      </c>
      <c r="AK65" s="0" t="n">
        <f aca="false">(AC65*16*AJ65+(AD65-AC65)*16*AH65+AD65*8*AI65)/(AD65*24)</f>
        <v>35.9043959673023</v>
      </c>
      <c r="AM65" s="0" t="n">
        <f aca="false">IF(NymexData!AC65="",VLOOKUP('Pricing Summary'!AB65,NymexData!$S$12:$U$250,3),VLOOKUP(NymexData!AA65,NymexData!$AA$12:$AC$250,3))</f>
        <v>0.24</v>
      </c>
      <c r="AO65" s="284" t="n">
        <f aca="false">AD65*24*VLOOKUP(AB65,Interest!$X$8:$AC$367,6)</f>
        <v>591.470390040325</v>
      </c>
    </row>
    <row r="66" customFormat="false" ht="12.75" hidden="false" customHeight="false" outlineLevel="0" collapsed="false">
      <c r="AB66" s="282" t="n">
        <f aca="false">[2]EnergyCurve!$D88</f>
        <v>38838</v>
      </c>
      <c r="AC66" s="2" t="n">
        <f aca="false">IF(TradeSum!$L$6=0,VLOOKUP(AB66,TradeSum!$DM$13:$DQ$252,2)+VLOOKUP(AB66,TradeSum!$DU$13:$DY$252,3),VLOOKUP(AB66,TradeSum!$DU$13:$DY$252,2)+VLOOKUP(AB66,TradeSum!$DU$13:$DY$252,3))</f>
        <v>26</v>
      </c>
      <c r="AD66" s="2" t="n">
        <f aca="false">VLOOKUP(AB66,TradeSum!$DM$13:$DR$252,6)</f>
        <v>31</v>
      </c>
      <c r="AE66" s="2" t="n">
        <f aca="false">IF(TradeSum!$L$6=0,VLOOKUP(AB66,TradeSum!$DM$13:$DQ$252,2),VLOOKUP(AB66,TradeSum!$DU$13:$DY$252,2))</f>
        <v>22</v>
      </c>
      <c r="AF66" s="283" t="n">
        <f aca="false">[2]EnergyCurve!$G88</f>
        <v>42.4143455339245</v>
      </c>
      <c r="AG66" s="283" t="n">
        <f aca="false">[2]EnergyCurve!$Y88</f>
        <v>39.3180491623866</v>
      </c>
      <c r="AH66" s="283" t="n">
        <f aca="false">[2]EnergyCurve!$AD88</f>
        <v>38.089360126062</v>
      </c>
      <c r="AI66" s="283" t="n">
        <f aca="false">[2]EnergyCurve!$L88</f>
        <v>25.5567319555513</v>
      </c>
      <c r="AJ66" s="0" t="n">
        <f aca="false">(AE66*AF66+(AC66-AE66)*AG66)/AC66</f>
        <v>41.9379922459956</v>
      </c>
      <c r="AK66" s="0" t="n">
        <f aca="false">(AC66*16*AJ66+(AD66-AC66)*16*AH66+AD66*8*AI66)/(AD66*24)</f>
        <v>36.0637407384353</v>
      </c>
      <c r="AM66" s="0" t="n">
        <f aca="false">IF(NymexData!AC66="",VLOOKUP('Pricing Summary'!AB66,NymexData!$S$12:$U$250,3),VLOOKUP(NymexData!AA66,NymexData!$AA$12:$AC$250,3))</f>
        <v>0.2375</v>
      </c>
      <c r="AO66" s="284" t="n">
        <f aca="false">AD66*24*VLOOKUP(AB66,Interest!$X$8:$AC$367,6)</f>
        <v>608.003067294038</v>
      </c>
    </row>
    <row r="67" customFormat="false" ht="12.75" hidden="false" customHeight="false" outlineLevel="0" collapsed="false">
      <c r="AB67" s="282" t="n">
        <f aca="false">[2]EnergyCurve!$D89</f>
        <v>38869</v>
      </c>
      <c r="AC67" s="2" t="n">
        <f aca="false">IF(TradeSum!$L$6=0,VLOOKUP(AB67,TradeSum!$DM$13:$DQ$252,2)+VLOOKUP(AB67,TradeSum!$DU$13:$DY$252,3),VLOOKUP(AB67,TradeSum!$DU$13:$DY$252,2)+VLOOKUP(AB67,TradeSum!$DU$13:$DY$252,3))</f>
        <v>26</v>
      </c>
      <c r="AD67" s="2" t="n">
        <f aca="false">VLOOKUP(AB67,TradeSum!$DM$13:$DR$252,6)</f>
        <v>30</v>
      </c>
      <c r="AE67" s="2" t="n">
        <f aca="false">IF(TradeSum!$L$6=0,VLOOKUP(AB67,TradeSum!$DM$13:$DQ$252,2),VLOOKUP(AB67,TradeSum!$DU$13:$DY$252,2))</f>
        <v>22</v>
      </c>
      <c r="AF67" s="283" t="n">
        <f aca="false">[2]EnergyCurve!$G89</f>
        <v>42.9184842594797</v>
      </c>
      <c r="AG67" s="283" t="n">
        <f aca="false">[2]EnergyCurve!$Y89</f>
        <v>39.7853851768062</v>
      </c>
      <c r="AH67" s="283" t="n">
        <f aca="false">[2]EnergyCurve!$AD89</f>
        <v>38.542091890031</v>
      </c>
      <c r="AI67" s="283" t="n">
        <f aca="false">[2]EnergyCurve!$L89</f>
        <v>25.8605003649241</v>
      </c>
      <c r="AJ67" s="0" t="n">
        <f aca="false">(AE67*AF67+(AC67-AE67)*AG67)/AC67</f>
        <v>42.4364690159915</v>
      </c>
      <c r="AK67" s="0" t="n">
        <f aca="false">(AC67*16*AJ67+(AD67-AC67)*16*AH67+AD67*8*AI67)/(AD67*24)</f>
        <v>36.5649792766614</v>
      </c>
      <c r="AM67" s="0" t="n">
        <f aca="false">IF(NymexData!AC67="",VLOOKUP('Pricing Summary'!AB67,NymexData!$S$12:$U$250,3),VLOOKUP(NymexData!AA67,NymexData!$AA$12:$AC$250,3))</f>
        <v>0.2375</v>
      </c>
      <c r="AO67" s="284" t="n">
        <f aca="false">AD67*24*VLOOKUP(AB67,Interest!$X$8:$AC$367,6)</f>
        <v>585.333126399829</v>
      </c>
    </row>
    <row r="68" customFormat="false" ht="12.75" hidden="false" customHeight="false" outlineLevel="0" collapsed="false">
      <c r="AB68" s="282" t="n">
        <f aca="false">[2]EnergyCurve!$D90</f>
        <v>38899</v>
      </c>
      <c r="AC68" s="2" t="n">
        <f aca="false">IF(TradeSum!$L$6=0,VLOOKUP(AB68,TradeSum!$DM$13:$DQ$252,2)+VLOOKUP(AB68,TradeSum!$DU$13:$DY$252,3),VLOOKUP(AB68,TradeSum!$DU$13:$DY$252,2)+VLOOKUP(AB68,TradeSum!$DU$13:$DY$252,3))</f>
        <v>25</v>
      </c>
      <c r="AD68" s="2" t="n">
        <f aca="false">VLOOKUP(AB68,TradeSum!$DM$13:$DR$252,6)</f>
        <v>31</v>
      </c>
      <c r="AE68" s="2" t="n">
        <f aca="false">IF(TradeSum!$L$6=0,VLOOKUP(AB68,TradeSum!$DM$13:$DQ$252,2),VLOOKUP(AB68,TradeSum!$DU$13:$DY$252,2))</f>
        <v>20</v>
      </c>
      <c r="AF68" s="283" t="n">
        <f aca="false">[2]EnergyCurve!$G90</f>
        <v>43.513187406147</v>
      </c>
      <c r="AG68" s="283" t="n">
        <f aca="false">[2]EnergyCurve!$Y90</f>
        <v>40.3366743046554</v>
      </c>
      <c r="AH68" s="283" t="n">
        <f aca="false">[2]EnergyCurve!$AD90</f>
        <v>39.0761532326349</v>
      </c>
      <c r="AI68" s="283" t="n">
        <f aca="false">[2]EnergyCurve!$L90</f>
        <v>26.218838298026</v>
      </c>
      <c r="AJ68" s="0" t="n">
        <f aca="false">(AE68*AF68+(AC68-AE68)*AG68)/AC68</f>
        <v>42.8778847858487</v>
      </c>
      <c r="AK68" s="0" t="n">
        <f aca="false">(AC68*16*AJ68+(AD68-AC68)*16*AH68+AD68*8*AI68)/(AD68*24)</f>
        <v>36.8343232830415</v>
      </c>
      <c r="AM68" s="0" t="n">
        <f aca="false">IF(NymexData!AC68="",VLOOKUP('Pricing Summary'!AB68,NymexData!$S$12:$U$250,3),VLOOKUP(NymexData!AA68,NymexData!$AA$12:$AC$250,3))</f>
        <v>0.2375</v>
      </c>
      <c r="AO68" s="284" t="n">
        <f aca="false">AD68*24*VLOOKUP(AB68,Interest!$X$8:$AC$367,6)</f>
        <v>601.626612840324</v>
      </c>
    </row>
    <row r="69" customFormat="false" ht="12.75" hidden="false" customHeight="false" outlineLevel="0" collapsed="false">
      <c r="AB69" s="282" t="n">
        <f aca="false">[2]EnergyCurve!$D91</f>
        <v>38930</v>
      </c>
      <c r="AC69" s="2" t="n">
        <f aca="false">IF(TradeSum!$L$6=0,VLOOKUP(AB69,TradeSum!$DM$13:$DQ$252,2)+VLOOKUP(AB69,TradeSum!$DU$13:$DY$252,3),VLOOKUP(AB69,TradeSum!$DU$13:$DY$252,2)+VLOOKUP(AB69,TradeSum!$DU$13:$DY$252,3))</f>
        <v>27</v>
      </c>
      <c r="AD69" s="2" t="n">
        <f aca="false">VLOOKUP(AB69,TradeSum!$DM$13:$DR$252,6)</f>
        <v>31</v>
      </c>
      <c r="AE69" s="2" t="n">
        <f aca="false">IF(TradeSum!$L$6=0,VLOOKUP(AB69,TradeSum!$DM$13:$DQ$252,2),VLOOKUP(AB69,TradeSum!$DU$13:$DY$252,2))</f>
        <v>23</v>
      </c>
      <c r="AF69" s="283" t="n">
        <f aca="false">[2]EnergyCurve!$G91</f>
        <v>44.0190782636579</v>
      </c>
      <c r="AG69" s="283" t="n">
        <f aca="false">[2]EnergyCurve!$Y91</f>
        <v>40.8056345433677</v>
      </c>
      <c r="AH69" s="283" t="n">
        <f aca="false">[2]EnergyCurve!$AD91</f>
        <v>39.5304584638875</v>
      </c>
      <c r="AI69" s="283" t="n">
        <f aca="false">[2]EnergyCurve!$L91</f>
        <v>26.523662453189</v>
      </c>
      <c r="AJ69" s="0" t="n">
        <f aca="false">(AE69*AF69+(AC69-AE69)*AG69)/AC69</f>
        <v>43.5430125273187</v>
      </c>
      <c r="AK69" s="0" t="n">
        <f aca="false">(AC69*16*AJ69+(AD69-AC69)*16*AH69+AD69*8*AI69)/(AD69*24)</f>
        <v>37.5247298950018</v>
      </c>
      <c r="AM69" s="0" t="n">
        <f aca="false">IF(NymexData!AC69="",VLOOKUP('Pricing Summary'!AB69,NymexData!$S$12:$U$250,3),VLOOKUP(NymexData!AA69,NymexData!$AA$12:$AC$250,3))</f>
        <v>0.2375</v>
      </c>
      <c r="AO69" s="284" t="n">
        <f aca="false">AD69*24*VLOOKUP(AB69,Interest!$X$8:$AC$367,6)</f>
        <v>598.360247348535</v>
      </c>
    </row>
    <row r="70" customFormat="false" ht="12.75" hidden="false" customHeight="false" outlineLevel="0" collapsed="false">
      <c r="AB70" s="282" t="n">
        <f aca="false">[2]EnergyCurve!$D92</f>
        <v>38961</v>
      </c>
      <c r="AC70" s="2" t="n">
        <f aca="false">IF(TradeSum!$L$6=0,VLOOKUP(AB70,TradeSum!$DM$13:$DQ$252,2)+VLOOKUP(AB70,TradeSum!$DU$13:$DY$252,3),VLOOKUP(AB70,TradeSum!$DU$13:$DY$252,2)+VLOOKUP(AB70,TradeSum!$DU$13:$DY$252,3))</f>
        <v>25</v>
      </c>
      <c r="AD70" s="2" t="n">
        <f aca="false">VLOOKUP(AB70,TradeSum!$DM$13:$DR$252,6)</f>
        <v>30</v>
      </c>
      <c r="AE70" s="2" t="n">
        <f aca="false">IF(TradeSum!$L$6=0,VLOOKUP(AB70,TradeSum!$DM$13:$DQ$252,2),VLOOKUP(AB70,TradeSum!$DU$13:$DY$252,2))</f>
        <v>20</v>
      </c>
      <c r="AF70" s="283" t="n">
        <f aca="false">[2]EnergyCurve!$G92</f>
        <v>43.9584129388511</v>
      </c>
      <c r="AG70" s="283" t="n">
        <f aca="false">[2]EnergyCurve!$Y92</f>
        <v>40.7493978575676</v>
      </c>
      <c r="AH70" s="283" t="n">
        <f aca="false">[2]EnergyCurve!$AD92</f>
        <v>39.4759791745186</v>
      </c>
      <c r="AI70" s="283" t="n">
        <f aca="false">[2]EnergyCurve!$L92</f>
        <v>26.4871086074189</v>
      </c>
      <c r="AJ70" s="0" t="n">
        <f aca="false">(AE70*AF70+(AC70-AE70)*AG70)/AC70</f>
        <v>43.3166099225944</v>
      </c>
      <c r="AK70" s="0" t="n">
        <f aca="false">(AC70*16*AJ70+(AD70-AC70)*16*AH70+AD70*8*AI70)/(AD70*24)</f>
        <v>37.280039401083</v>
      </c>
      <c r="AM70" s="0" t="n">
        <f aca="false">IF(NymexData!AC70="",VLOOKUP('Pricing Summary'!AB70,NymexData!$S$12:$U$250,3),VLOOKUP(NymexData!AA70,NymexData!$AA$12:$AC$250,3))</f>
        <v>0.2375</v>
      </c>
      <c r="AO70" s="284" t="n">
        <f aca="false">AD70*24*VLOOKUP(AB70,Interest!$X$8:$AC$367,6)</f>
        <v>575.952232047754</v>
      </c>
    </row>
    <row r="71" customFormat="false" ht="12.75" hidden="false" customHeight="false" outlineLevel="0" collapsed="false">
      <c r="AB71" s="282" t="n">
        <f aca="false">[2]EnergyCurve!$D93</f>
        <v>38991</v>
      </c>
      <c r="AC71" s="2" t="n">
        <f aca="false">IF(TradeSum!$L$6=0,VLOOKUP(AB71,TradeSum!$DM$13:$DQ$252,2)+VLOOKUP(AB71,TradeSum!$DU$13:$DY$252,3),VLOOKUP(AB71,TradeSum!$DU$13:$DY$252,2)+VLOOKUP(AB71,TradeSum!$DU$13:$DY$252,3))</f>
        <v>26</v>
      </c>
      <c r="AD71" s="2" t="n">
        <f aca="false">VLOOKUP(AB71,TradeSum!$DM$13:$DR$252,6)</f>
        <v>31</v>
      </c>
      <c r="AE71" s="2" t="n">
        <f aca="false">IF(TradeSum!$L$6=0,VLOOKUP(AB71,TradeSum!$DM$13:$DQ$252,2),VLOOKUP(AB71,TradeSum!$DU$13:$DY$252,2))</f>
        <v>22</v>
      </c>
      <c r="AF71" s="283" t="n">
        <f aca="false">[2]EnergyCurve!$G93</f>
        <v>43.975066813609</v>
      </c>
      <c r="AG71" s="283" t="n">
        <f aca="false">[2]EnergyCurve!$Y93</f>
        <v>40.7648359801705</v>
      </c>
      <c r="AH71" s="283" t="n">
        <f aca="false">[2]EnergyCurve!$AD93</f>
        <v>39.4909348557902</v>
      </c>
      <c r="AI71" s="283" t="n">
        <f aca="false">[2]EnergyCurve!$L93</f>
        <v>26.4971433871108</v>
      </c>
      <c r="AJ71" s="0" t="n">
        <f aca="false">(AE71*AF71+(AC71-AE71)*AG71)/AC71</f>
        <v>43.4811851469261</v>
      </c>
      <c r="AK71" s="0" t="n">
        <f aca="false">(AC71*16*AJ71+(AD71-AC71)*16*AH71+AD71*8*AI71)/(AD71*24)</f>
        <v>37.3907787225645</v>
      </c>
      <c r="AM71" s="0" t="n">
        <f aca="false">IF(NymexData!AC71="",VLOOKUP('Pricing Summary'!AB71,NymexData!$S$12:$U$250,3),VLOOKUP(NymexData!AA71,NymexData!$AA$12:$AC$250,3))</f>
        <v>0.2375</v>
      </c>
      <c r="AO71" s="284" t="n">
        <f aca="false">AD71*24*VLOOKUP(AB71,Interest!$X$8:$AC$367,6)</f>
        <v>591.884282848339</v>
      </c>
    </row>
    <row r="72" customFormat="false" ht="12.75" hidden="false" customHeight="false" outlineLevel="0" collapsed="false">
      <c r="AB72" s="282" t="n">
        <f aca="false">[2]EnergyCurve!$D94</f>
        <v>39022</v>
      </c>
      <c r="AC72" s="2" t="n">
        <f aca="false">IF(TradeSum!$L$6=0,VLOOKUP(AB72,TradeSum!$DM$13:$DQ$252,2)+VLOOKUP(AB72,TradeSum!$DU$13:$DY$252,3),VLOOKUP(AB72,TradeSum!$DU$13:$DY$252,2)+VLOOKUP(AB72,TradeSum!$DU$13:$DY$252,3))</f>
        <v>25</v>
      </c>
      <c r="AD72" s="2" t="n">
        <f aca="false">VLOOKUP(AB72,TradeSum!$DM$13:$DR$252,6)</f>
        <v>30</v>
      </c>
      <c r="AE72" s="2" t="n">
        <f aca="false">IF(TradeSum!$L$6=0,VLOOKUP(AB72,TradeSum!$DM$13:$DQ$252,2),VLOOKUP(AB72,TradeSum!$DU$13:$DY$252,2))</f>
        <v>21</v>
      </c>
      <c r="AF72" s="283" t="n">
        <f aca="false">[2]EnergyCurve!$G94</f>
        <v>46.4245480216726</v>
      </c>
      <c r="AG72" s="283" t="n">
        <f aca="false">[2]EnergyCurve!$Y94</f>
        <v>43.0355022217127</v>
      </c>
      <c r="AH72" s="283" t="n">
        <f aca="false">[2]EnergyCurve!$AD94</f>
        <v>41.6906427772842</v>
      </c>
      <c r="AI72" s="283" t="n">
        <f aca="false">[2]EnergyCurve!$L94</f>
        <v>27.9730764441132</v>
      </c>
      <c r="AJ72" s="0" t="n">
        <f aca="false">(AE72*AF72+(AC72-AE72)*AG72)/AC72</f>
        <v>45.882300693679</v>
      </c>
      <c r="AK72" s="0" t="n">
        <f aca="false">(AC72*16*AJ72+(AD72-AC72)*16*AH72+AD72*8*AI72)/(AD72*24)</f>
        <v>39.4468195086688</v>
      </c>
      <c r="AM72" s="0" t="n">
        <f aca="false">IF(NymexData!AC72="",VLOOKUP('Pricing Summary'!AB72,NymexData!$S$12:$U$250,3),VLOOKUP(NymexData!AA72,NymexData!$AA$12:$AC$250,3))</f>
        <v>0.2375</v>
      </c>
      <c r="AO72" s="284" t="n">
        <f aca="false">AD72*24*VLOOKUP(AB72,Interest!$X$8:$AC$367,6)</f>
        <v>569.77666951991</v>
      </c>
    </row>
    <row r="73" customFormat="false" ht="12.75" hidden="false" customHeight="false" outlineLevel="0" collapsed="false">
      <c r="AB73" s="282" t="n">
        <f aca="false">[2]EnergyCurve!$D95</f>
        <v>39052</v>
      </c>
      <c r="AC73" s="2" t="n">
        <f aca="false">IF(TradeSum!$L$6=0,VLOOKUP(AB73,TradeSum!$DM$13:$DQ$252,2)+VLOOKUP(AB73,TradeSum!$DU$13:$DY$252,3),VLOOKUP(AB73,TradeSum!$DU$13:$DY$252,2)+VLOOKUP(AB73,TradeSum!$DU$13:$DY$252,3))</f>
        <v>25</v>
      </c>
      <c r="AD73" s="2" t="n">
        <f aca="false">VLOOKUP(AB73,TradeSum!$DM$13:$DR$252,6)</f>
        <v>31</v>
      </c>
      <c r="AE73" s="2" t="n">
        <f aca="false">IF(TradeSum!$L$6=0,VLOOKUP(AB73,TradeSum!$DM$13:$DQ$252,2),VLOOKUP(AB73,TradeSum!$DU$13:$DY$252,2))</f>
        <v>20</v>
      </c>
      <c r="AF73" s="283" t="n">
        <f aca="false">[2]EnergyCurve!$G95</f>
        <v>48.3859791903773</v>
      </c>
      <c r="AG73" s="283" t="n">
        <f aca="false">[2]EnergyCurve!$Y95</f>
        <v>44.8537466422964</v>
      </c>
      <c r="AH73" s="283" t="n">
        <f aca="false">[2]EnergyCurve!$AD95</f>
        <v>43.4520670597246</v>
      </c>
      <c r="AI73" s="283" t="n">
        <f aca="false">[2]EnergyCurve!$L95</f>
        <v>29.1549353174927</v>
      </c>
      <c r="AJ73" s="0" t="n">
        <f aca="false">(AE73*AF73+(AC73-AE73)*AG73)/AC73</f>
        <v>47.6795326807611</v>
      </c>
      <c r="AK73" s="0" t="n">
        <f aca="false">(AC73*16*AJ73+(AD73-AC73)*16*AH73+AD73*8*AI73)/(AD73*24)</f>
        <v>40.9591874580325</v>
      </c>
      <c r="AM73" s="0" t="n">
        <f aca="false">IF(NymexData!AC73="",VLOOKUP('Pricing Summary'!AB73,NymexData!$S$12:$U$250,3),VLOOKUP(NymexData!AA73,NymexData!$AA$12:$AC$250,3))</f>
        <v>0.24</v>
      </c>
      <c r="AO73" s="284" t="n">
        <f aca="false">AD73*24*VLOOKUP(AB73,Interest!$X$8:$AC$367,6)</f>
        <v>585.951743254753</v>
      </c>
    </row>
    <row r="74" customFormat="false" ht="12.75" hidden="false" customHeight="false" outlineLevel="0" collapsed="false">
      <c r="AB74" s="282" t="n">
        <f aca="false">[2]EnergyCurve!$D96</f>
        <v>39083</v>
      </c>
      <c r="AC74" s="2" t="n">
        <f aca="false">IF(TradeSum!$L$6=0,VLOOKUP(AB74,TradeSum!$DM$13:$DQ$252,2)+VLOOKUP(AB74,TradeSum!$DU$13:$DY$252,3),VLOOKUP(AB74,TradeSum!$DU$13:$DY$252,2)+VLOOKUP(AB74,TradeSum!$DU$13:$DY$252,3))</f>
        <v>26</v>
      </c>
      <c r="AD74" s="2" t="n">
        <f aca="false">VLOOKUP(AB74,TradeSum!$DM$13:$DR$252,6)</f>
        <v>31</v>
      </c>
      <c r="AE74" s="2" t="n">
        <f aca="false">IF(TradeSum!$L$6=0,VLOOKUP(AB74,TradeSum!$DM$13:$DQ$252,2),VLOOKUP(AB74,TradeSum!$DU$13:$DY$252,2))</f>
        <v>22</v>
      </c>
      <c r="AF74" s="283" t="n">
        <f aca="false">[2]EnergyCurve!$G96</f>
        <v>49.2246159726762</v>
      </c>
      <c r="AG74" s="283" t="n">
        <f aca="false">[2]EnergyCurve!$Y96</f>
        <v>45.6311619677184</v>
      </c>
      <c r="AH74" s="283" t="n">
        <f aca="false">[2]EnergyCurve!$AD96</f>
        <v>44.2051881562272</v>
      </c>
      <c r="AI74" s="283" t="n">
        <f aca="false">[2]EnergyCurve!$L96</f>
        <v>29.660255279017</v>
      </c>
      <c r="AJ74" s="0" t="n">
        <f aca="false">(AE74*AF74+(AC74-AE74)*AG74)/AC74</f>
        <v>48.6717768949904</v>
      </c>
      <c r="AK74" s="0" t="n">
        <f aca="false">(AC74*16*AJ74+(AD74-AC74)*16*AH74+AD74*8*AI74)/(AD74*24)</f>
        <v>41.8543246639925</v>
      </c>
      <c r="AM74" s="0" t="n">
        <f aca="false">IF(NymexData!AC74="",VLOOKUP('Pricing Summary'!AB74,NymexData!$S$12:$U$250,3),VLOOKUP(NymexData!AA74,NymexData!$AA$12:$AC$250,3))</f>
        <v>0.2425</v>
      </c>
      <c r="AO74" s="284" t="n">
        <f aca="false">AD74*24*VLOOKUP(AB74,Interest!$X$8:$AC$367,6)</f>
        <v>583.112429178317</v>
      </c>
    </row>
    <row r="75" customFormat="false" ht="12.75" hidden="false" customHeight="false" outlineLevel="0" collapsed="false">
      <c r="AB75" s="282" t="n">
        <f aca="false">[2]EnergyCurve!$D97</f>
        <v>39114</v>
      </c>
      <c r="AC75" s="2" t="n">
        <f aca="false">IF(TradeSum!$L$6=0,VLOOKUP(AB75,TradeSum!$DM$13:$DQ$252,2)+VLOOKUP(AB75,TradeSum!$DU$13:$DY$252,3),VLOOKUP(AB75,TradeSum!$DU$13:$DY$252,2)+VLOOKUP(AB75,TradeSum!$DU$13:$DY$252,3))</f>
        <v>24</v>
      </c>
      <c r="AD75" s="2" t="n">
        <f aca="false">VLOOKUP(AB75,TradeSum!$DM$13:$DR$252,6)</f>
        <v>28</v>
      </c>
      <c r="AE75" s="2" t="n">
        <f aca="false">IF(TradeSum!$L$6=0,VLOOKUP(AB75,TradeSum!$DM$13:$DQ$252,2),VLOOKUP(AB75,TradeSum!$DU$13:$DY$252,2))</f>
        <v>20</v>
      </c>
      <c r="AF75" s="283" t="n">
        <f aca="false">[2]EnergyCurve!$G97</f>
        <v>48.0887670224774</v>
      </c>
      <c r="AG75" s="283" t="n">
        <f aca="false">[2]EnergyCurve!$Y97</f>
        <v>44.5782313070474</v>
      </c>
      <c r="AH75" s="283" t="n">
        <f aca="false">[2]EnergyCurve!$AD97</f>
        <v>43.1851615787022</v>
      </c>
      <c r="AI75" s="283" t="n">
        <f aca="false">[2]EnergyCurve!$L97</f>
        <v>28.9758503495808</v>
      </c>
      <c r="AJ75" s="0" t="n">
        <f aca="false">(AE75*AF75+(AC75-AE75)*AG75)/AC75</f>
        <v>47.5036777365724</v>
      </c>
      <c r="AK75" s="0" t="n">
        <f aca="false">(AC75*16*AJ75+(AD75-AC75)*16*AH75+AD75*8*AI75)/(AD75*24)</f>
        <v>40.9164480211114</v>
      </c>
      <c r="AM75" s="0" t="n">
        <f aca="false">IF(NymexData!AC75="",VLOOKUP('Pricing Summary'!AB75,NymexData!$S$12:$U$250,3),VLOOKUP(NymexData!AA75,NymexData!$AA$12:$AC$250,3))</f>
        <v>0.2375</v>
      </c>
      <c r="AO75" s="284" t="n">
        <f aca="false">AD75*24*VLOOKUP(AB75,Interest!$X$8:$AC$367,6)</f>
        <v>524.313430939747</v>
      </c>
    </row>
    <row r="76" customFormat="false" ht="12.75" hidden="false" customHeight="false" outlineLevel="0" collapsed="false">
      <c r="AB76" s="282" t="n">
        <f aca="false">[2]EnergyCurve!$D98</f>
        <v>39142</v>
      </c>
      <c r="AC76" s="2" t="n">
        <f aca="false">IF(TradeSum!$L$6=0,VLOOKUP(AB76,TradeSum!$DM$13:$DQ$252,2)+VLOOKUP(AB76,TradeSum!$DU$13:$DY$252,3),VLOOKUP(AB76,TradeSum!$DU$13:$DY$252,2)+VLOOKUP(AB76,TradeSum!$DU$13:$DY$252,3))</f>
        <v>27</v>
      </c>
      <c r="AD76" s="2" t="n">
        <f aca="false">VLOOKUP(AB76,TradeSum!$DM$13:$DR$252,6)</f>
        <v>31</v>
      </c>
      <c r="AE76" s="2" t="n">
        <f aca="false">IF(TradeSum!$L$6=0,VLOOKUP(AB76,TradeSum!$DM$13:$DQ$252,2),VLOOKUP(AB76,TradeSum!$DU$13:$DY$252,2))</f>
        <v>22</v>
      </c>
      <c r="AF76" s="283" t="n">
        <f aca="false">[2]EnergyCurve!$G98</f>
        <v>46.2947561374688</v>
      </c>
      <c r="AG76" s="283" t="n">
        <f aca="false">[2]EnergyCurve!$Y98</f>
        <v>42.915185295452</v>
      </c>
      <c r="AH76" s="283" t="n">
        <f aca="false">[2]EnergyCurve!$AD98</f>
        <v>41.5740857549691</v>
      </c>
      <c r="AI76" s="283" t="n">
        <f aca="false">[2]EnergyCurve!$L98</f>
        <v>27.8948704420438</v>
      </c>
      <c r="AJ76" s="0" t="n">
        <f aca="false">(AE76*AF76+(AC76-AE76)*AG76)/AC76</f>
        <v>45.6689096852435</v>
      </c>
      <c r="AK76" s="0" t="n">
        <f aca="false">(AC76*16*AJ76+(AD76-AC76)*16*AH76+AD76*8*AI76)/(AD76*24)</f>
        <v>39.391987018777</v>
      </c>
      <c r="AM76" s="0" t="n">
        <f aca="false">IF(NymexData!AC76="",VLOOKUP('Pricing Summary'!AB76,NymexData!$S$12:$U$250,3),VLOOKUP(NymexData!AA76,NymexData!$AA$12:$AC$250,3))</f>
        <v>0.2325</v>
      </c>
      <c r="AO76" s="284" t="n">
        <f aca="false">AD76*24*VLOOKUP(AB76,Interest!$X$8:$AC$367,6)</f>
        <v>577.697574321937</v>
      </c>
    </row>
    <row r="77" customFormat="false" ht="12.75" hidden="false" customHeight="false" outlineLevel="0" collapsed="false">
      <c r="AB77" s="282" t="n">
        <f aca="false">[2]EnergyCurve!$D99</f>
        <v>39173</v>
      </c>
      <c r="AC77" s="2" t="n">
        <f aca="false">IF(TradeSum!$L$6=0,VLOOKUP(AB77,TradeSum!$DM$13:$DQ$252,2)+VLOOKUP(AB77,TradeSum!$DU$13:$DY$252,3),VLOOKUP(AB77,TradeSum!$DU$13:$DY$252,2)+VLOOKUP(AB77,TradeSum!$DU$13:$DY$252,3))</f>
        <v>25</v>
      </c>
      <c r="AD77" s="2" t="n">
        <f aca="false">VLOOKUP(AB77,TradeSum!$DM$13:$DR$252,6)</f>
        <v>30</v>
      </c>
      <c r="AE77" s="2" t="n">
        <f aca="false">IF(TradeSum!$L$6=0,VLOOKUP(AB77,TradeSum!$DM$13:$DQ$252,2),VLOOKUP(AB77,TradeSum!$DU$13:$DY$252,2))</f>
        <v>21</v>
      </c>
      <c r="AF77" s="283" t="n">
        <f aca="false">[2]EnergyCurve!$G99</f>
        <v>43.6618827776803</v>
      </c>
      <c r="AG77" s="283" t="n">
        <f aca="false">[2]EnergyCurve!$Y99</f>
        <v>40.4745147417662</v>
      </c>
      <c r="AH77" s="283" t="n">
        <f aca="false">[2]EnergyCurve!$AD99</f>
        <v>39.209686156086</v>
      </c>
      <c r="AI77" s="283" t="n">
        <f aca="false">[2]EnergyCurve!$L99</f>
        <v>26.308434582148</v>
      </c>
      <c r="AJ77" s="0" t="n">
        <f aca="false">(AE77*AF77+(AC77-AE77)*AG77)/AC77</f>
        <v>43.151903891934</v>
      </c>
      <c r="AK77" s="0" t="n">
        <f aca="false">(AC77*16*AJ77+(AD77-AC77)*16*AH77+AD77*8*AI77)/(AD77*24)</f>
        <v>37.0993899291334</v>
      </c>
      <c r="AM77" s="0" t="n">
        <f aca="false">IF(NymexData!AC77="",VLOOKUP('Pricing Summary'!AB77,NymexData!$S$12:$U$250,3),VLOOKUP(NymexData!AA77,NymexData!$AA$12:$AC$250,3))</f>
        <v>0.2325</v>
      </c>
      <c r="AO77" s="284" t="n">
        <f aca="false">AD77*24*VLOOKUP(AB77,Interest!$X$8:$AC$367,6)</f>
        <v>556.374692843027</v>
      </c>
    </row>
    <row r="78" customFormat="false" ht="12.75" hidden="false" customHeight="false" outlineLevel="0" collapsed="false">
      <c r="AB78" s="282" t="n">
        <f aca="false">[2]EnergyCurve!$D100</f>
        <v>39203</v>
      </c>
      <c r="AC78" s="2" t="n">
        <f aca="false">IF(TradeSum!$L$6=0,VLOOKUP(AB78,TradeSum!$DM$13:$DQ$252,2)+VLOOKUP(AB78,TradeSum!$DU$13:$DY$252,3),VLOOKUP(AB78,TradeSum!$DU$13:$DY$252,2)+VLOOKUP(AB78,TradeSum!$DU$13:$DY$252,3))</f>
        <v>26</v>
      </c>
      <c r="AD78" s="2" t="n">
        <f aca="false">VLOOKUP(AB78,TradeSum!$DM$13:$DR$252,6)</f>
        <v>31</v>
      </c>
      <c r="AE78" s="2" t="n">
        <f aca="false">IF(TradeSum!$L$6=0,VLOOKUP(AB78,TradeSum!$DM$13:$DQ$252,2),VLOOKUP(AB78,TradeSum!$DU$13:$DY$252,2))</f>
        <v>22</v>
      </c>
      <c r="AF78" s="283" t="n">
        <f aca="false">[2]EnergyCurve!$G100</f>
        <v>43.7259814914705</v>
      </c>
      <c r="AG78" s="283" t="n">
        <f aca="false">[2]EnergyCurve!$Y100</f>
        <v>40.5339341751755</v>
      </c>
      <c r="AH78" s="283" t="n">
        <f aca="false">[2]EnergyCurve!$AD100</f>
        <v>39.2672487322012</v>
      </c>
      <c r="AI78" s="283" t="n">
        <f aca="false">[2]EnergyCurve!$L100</f>
        <v>26.3470572138641</v>
      </c>
      <c r="AJ78" s="0" t="n">
        <f aca="false">(AE78*AF78+(AC78-AE78)*AG78)/AC78</f>
        <v>43.2348972889636</v>
      </c>
      <c r="AK78" s="0" t="n">
        <f aca="false">(AC78*16*AJ78+(AD78-AC78)*16*AH78+AD78*8*AI78)/(AD78*24)</f>
        <v>37.1789883868592</v>
      </c>
      <c r="AM78" s="0" t="n">
        <f aca="false">IF(NymexData!AC78="",VLOOKUP('Pricing Summary'!AB78,NymexData!$S$12:$U$250,3),VLOOKUP(NymexData!AA78,NymexData!$AA$12:$AC$250,3))</f>
        <v>0.2325</v>
      </c>
      <c r="AO78" s="284" t="n">
        <f aca="false">AD78*24*VLOOKUP(AB78,Interest!$X$8:$AC$367,6)</f>
        <v>572.085212423294</v>
      </c>
    </row>
    <row r="79" customFormat="false" ht="12.75" hidden="false" customHeight="false" outlineLevel="0" collapsed="false">
      <c r="AB79" s="282" t="n">
        <f aca="false">[2]EnergyCurve!$D101</f>
        <v>39234</v>
      </c>
      <c r="AC79" s="2" t="n">
        <f aca="false">IF(TradeSum!$L$6=0,VLOOKUP(AB79,TradeSum!$DM$13:$DQ$252,2)+VLOOKUP(AB79,TradeSum!$DU$13:$DY$252,3),VLOOKUP(AB79,TradeSum!$DU$13:$DY$252,2)+VLOOKUP(AB79,TradeSum!$DU$13:$DY$252,3))</f>
        <v>26</v>
      </c>
      <c r="AD79" s="2" t="n">
        <f aca="false">VLOOKUP(AB79,TradeSum!$DM$13:$DR$252,6)</f>
        <v>30</v>
      </c>
      <c r="AE79" s="2" t="n">
        <f aca="false">IF(TradeSum!$L$6=0,VLOOKUP(AB79,TradeSum!$DM$13:$DQ$252,2),VLOOKUP(AB79,TradeSum!$DU$13:$DY$252,2))</f>
        <v>21</v>
      </c>
      <c r="AF79" s="283" t="n">
        <f aca="false">[2]EnergyCurve!$G101</f>
        <v>44.215825909094</v>
      </c>
      <c r="AG79" s="283" t="n">
        <f aca="false">[2]EnergyCurve!$Y101</f>
        <v>40.9880193827059</v>
      </c>
      <c r="AH79" s="283" t="n">
        <f aca="false">[2]EnergyCurve!$AD101</f>
        <v>39.7071437769964</v>
      </c>
      <c r="AI79" s="283" t="n">
        <f aca="false">[2]EnergyCurve!$L101</f>
        <v>26.6422125987589</v>
      </c>
      <c r="AJ79" s="0" t="n">
        <f aca="false">(AE79*AF79+(AC79-AE79)*AG79)/AC79</f>
        <v>43.5950938847886</v>
      </c>
      <c r="AK79" s="0" t="n">
        <f aca="false">(AC79*16*AJ79+(AD79-AC79)*16*AH79+AD79*8*AI79)/(AD79*24)</f>
        <v>37.598537890975</v>
      </c>
      <c r="AM79" s="0" t="n">
        <f aca="false">IF(NymexData!AC79="",VLOOKUP('Pricing Summary'!AB79,NymexData!$S$12:$U$250,3),VLOOKUP(NymexData!AA79,NymexData!$AA$12:$AC$250,3))</f>
        <v>0.2325</v>
      </c>
      <c r="AO79" s="284" t="n">
        <f aca="false">AD79*24*VLOOKUP(AB79,Interest!$X$8:$AC$367,6)</f>
        <v>550.936783750113</v>
      </c>
    </row>
    <row r="80" customFormat="false" ht="12.75" hidden="false" customHeight="false" outlineLevel="0" collapsed="false">
      <c r="AB80" s="282" t="n">
        <f aca="false">[2]EnergyCurve!$D102</f>
        <v>39264</v>
      </c>
      <c r="AC80" s="2" t="n">
        <f aca="false">IF(TradeSum!$L$6=0,VLOOKUP(AB80,TradeSum!$DM$13:$DQ$252,2)+VLOOKUP(AB80,TradeSum!$DU$13:$DY$252,3),VLOOKUP(AB80,TradeSum!$DU$13:$DY$252,2)+VLOOKUP(AB80,TradeSum!$DU$13:$DY$252,3))</f>
        <v>25</v>
      </c>
      <c r="AD80" s="2" t="n">
        <f aca="false">VLOOKUP(AB80,TradeSum!$DM$13:$DR$252,6)</f>
        <v>31</v>
      </c>
      <c r="AE80" s="2" t="n">
        <f aca="false">IF(TradeSum!$L$6=0,VLOOKUP(AB80,TradeSum!$DM$13:$DQ$252,2),VLOOKUP(AB80,TradeSum!$DU$13:$DY$252,2))</f>
        <v>21</v>
      </c>
      <c r="AF80" s="283" t="n">
        <f aca="false">[2]EnergyCurve!$G102</f>
        <v>44.795930479133</v>
      </c>
      <c r="AG80" s="283" t="n">
        <f aca="false">[2]EnergyCurve!$Y102</f>
        <v>41.5257756469368</v>
      </c>
      <c r="AH80" s="283" t="n">
        <f aca="false">[2]EnergyCurve!$AD102</f>
        <v>40.22809515797</v>
      </c>
      <c r="AI80" s="283" t="n">
        <f aca="false">[2]EnergyCurve!$L102</f>
        <v>26.9917541705089</v>
      </c>
      <c r="AJ80" s="0" t="n">
        <f aca="false">(AE80*AF80+(AC80-AE80)*AG80)/AC80</f>
        <v>44.2727057059816</v>
      </c>
      <c r="AK80" s="0" t="n">
        <f aca="false">(AC80*16*AJ80+(AD80-AC80)*16*AH80+AD80*8*AI80)/(AD80*24)</f>
        <v>37.9905032954892</v>
      </c>
      <c r="AM80" s="0" t="n">
        <f aca="false">IF(NymexData!AC80="",VLOOKUP('Pricing Summary'!AB80,NymexData!$S$12:$U$250,3),VLOOKUP(NymexData!AA80,NymexData!$AA$12:$AC$250,3))</f>
        <v>0.2325</v>
      </c>
      <c r="AO80" s="284" t="n">
        <f aca="false">AD80*24*VLOOKUP(AB80,Interest!$X$8:$AC$367,6)</f>
        <v>566.460131174365</v>
      </c>
    </row>
    <row r="81" customFormat="false" ht="12.75" hidden="false" customHeight="false" outlineLevel="0" collapsed="false">
      <c r="AB81" s="282" t="n">
        <f aca="false">[2]EnergyCurve!$D103</f>
        <v>39295</v>
      </c>
      <c r="AC81" s="2" t="n">
        <f aca="false">IF(TradeSum!$L$6=0,VLOOKUP(AB81,TradeSum!$DM$13:$DQ$252,2)+VLOOKUP(AB81,TradeSum!$DU$13:$DY$252,3),VLOOKUP(AB81,TradeSum!$DU$13:$DY$252,2)+VLOOKUP(AB81,TradeSum!$DU$13:$DY$252,3))</f>
        <v>27</v>
      </c>
      <c r="AD81" s="2" t="n">
        <f aca="false">VLOOKUP(AB81,TradeSum!$DM$13:$DR$252,6)</f>
        <v>31</v>
      </c>
      <c r="AE81" s="2" t="n">
        <f aca="false">IF(TradeSum!$L$6=0,VLOOKUP(AB81,TradeSum!$DM$13:$DQ$252,2),VLOOKUP(AB81,TradeSum!$DU$13:$DY$252,2))</f>
        <v>23</v>
      </c>
      <c r="AF81" s="283" t="n">
        <f aca="false">[2]EnergyCurve!$G103</f>
        <v>45.2855983206987</v>
      </c>
      <c r="AG81" s="283" t="n">
        <f aca="false">[2]EnergyCurve!$Y103</f>
        <v>41.9796971686662</v>
      </c>
      <c r="AH81" s="283" t="n">
        <f aca="false">[2]EnergyCurve!$AD103</f>
        <v>40.6678316321454</v>
      </c>
      <c r="AI81" s="283" t="n">
        <f aca="false">[2]EnergyCurve!$L103</f>
        <v>27.286803159633</v>
      </c>
      <c r="AJ81" s="0" t="n">
        <f aca="false">(AE81*AF81+(AC81-AE81)*AG81)/AC81</f>
        <v>44.7958351870642</v>
      </c>
      <c r="AK81" s="0" t="n">
        <f aca="false">(AC81*16*AJ81+(AD81-AC81)*16*AH81+AD81*8*AI81)/(AD81*24)</f>
        <v>38.6043940979275</v>
      </c>
      <c r="AM81" s="0" t="n">
        <f aca="false">IF(NymexData!AC81="",VLOOKUP('Pricing Summary'!AB81,NymexData!$S$12:$U$250,3),VLOOKUP(NymexData!AA81,NymexData!$AA$12:$AC$250,3))</f>
        <v>0.2325</v>
      </c>
      <c r="AO81" s="284" t="n">
        <f aca="false">AD81*24*VLOOKUP(AB81,Interest!$X$8:$AC$367,6)</f>
        <v>563.597080824189</v>
      </c>
    </row>
    <row r="82" customFormat="false" ht="12.75" hidden="false" customHeight="false" outlineLevel="0" collapsed="false">
      <c r="AB82" s="282" t="n">
        <f aca="false">[2]EnergyCurve!$D104</f>
        <v>39326</v>
      </c>
      <c r="AC82" s="2" t="n">
        <f aca="false">IF(TradeSum!$L$6=0,VLOOKUP(AB82,TradeSum!$DM$13:$DQ$252,2)+VLOOKUP(AB82,TradeSum!$DU$13:$DY$252,3),VLOOKUP(AB82,TradeSum!$DU$13:$DY$252,2)+VLOOKUP(AB82,TradeSum!$DU$13:$DY$252,3))</f>
        <v>24</v>
      </c>
      <c r="AD82" s="2" t="n">
        <f aca="false">VLOOKUP(AB82,TradeSum!$DM$13:$DR$252,6)</f>
        <v>30</v>
      </c>
      <c r="AE82" s="2" t="n">
        <f aca="false">IF(TradeSum!$L$6=0,VLOOKUP(AB82,TradeSum!$DM$13:$DQ$252,2),VLOOKUP(AB82,TradeSum!$DU$13:$DY$252,2))</f>
        <v>19</v>
      </c>
      <c r="AF82" s="283" t="n">
        <f aca="false">[2]EnergyCurve!$G104</f>
        <v>45.2074192815281</v>
      </c>
      <c r="AG82" s="283" t="n">
        <f aca="false">[2]EnergyCurve!$Y104</f>
        <v>41.907225289945</v>
      </c>
      <c r="AH82" s="283" t="n">
        <f aca="false">[2]EnergyCurve!$AD104</f>
        <v>40.5976244996342</v>
      </c>
      <c r="AI82" s="283" t="n">
        <f aca="false">[2]EnergyCurve!$L104</f>
        <v>27.2396964384642</v>
      </c>
      <c r="AJ82" s="0" t="n">
        <f aca="false">(AE82*AF82+(AC82-AE82)*AG82)/AC82</f>
        <v>44.519878866615</v>
      </c>
      <c r="AK82" s="0" t="n">
        <f aca="false">(AC82*16*AJ82+(AD82-AC82)*16*AH82+AD82*8*AI82)/(AD82*24)</f>
        <v>38.2368508083006</v>
      </c>
      <c r="AM82" s="0" t="n">
        <f aca="false">IF(NymexData!AC82="",VLOOKUP('Pricing Summary'!AB82,NymexData!$S$12:$U$250,3),VLOOKUP(NymexData!AA82,NymexData!$AA$12:$AC$250,3))</f>
        <v>0.2325</v>
      </c>
      <c r="AO82" s="284" t="n">
        <f aca="false">AD82*24*VLOOKUP(AB82,Interest!$X$8:$AC$367,6)</f>
        <v>542.713868734975</v>
      </c>
    </row>
    <row r="83" customFormat="false" ht="12.75" hidden="false" customHeight="false" outlineLevel="0" collapsed="false">
      <c r="AB83" s="282" t="n">
        <f aca="false">[2]EnergyCurve!$D105</f>
        <v>39356</v>
      </c>
      <c r="AC83" s="2" t="n">
        <f aca="false">IF(TradeSum!$L$6=0,VLOOKUP(AB83,TradeSum!$DM$13:$DQ$252,2)+VLOOKUP(AB83,TradeSum!$DU$13:$DY$252,3),VLOOKUP(AB83,TradeSum!$DU$13:$DY$252,2)+VLOOKUP(AB83,TradeSum!$DU$13:$DY$252,3))</f>
        <v>27</v>
      </c>
      <c r="AD83" s="2" t="n">
        <f aca="false">VLOOKUP(AB83,TradeSum!$DM$13:$DR$252,6)</f>
        <v>31</v>
      </c>
      <c r="AE83" s="2" t="n">
        <f aca="false">IF(TradeSum!$L$6=0,VLOOKUP(AB83,TradeSum!$DM$13:$DQ$252,2),VLOOKUP(AB83,TradeSum!$DU$13:$DY$252,2))</f>
        <v>23</v>
      </c>
      <c r="AF83" s="283" t="n">
        <f aca="false">[2]EnergyCurve!$G105</f>
        <v>45.2066135930023</v>
      </c>
      <c r="AG83" s="283" t="n">
        <f aca="false">[2]EnergyCurve!$Y105</f>
        <v>41.9064784176151</v>
      </c>
      <c r="AH83" s="283" t="n">
        <f aca="false">[2]EnergyCurve!$AD105</f>
        <v>40.5969009670647</v>
      </c>
      <c r="AI83" s="283" t="n">
        <f aca="false">[2]EnergyCurve!$L105</f>
        <v>27.2392109714498</v>
      </c>
      <c r="AJ83" s="0" t="n">
        <f aca="false">(AE83*AF83+(AC83-AE83)*AG83)/AC83</f>
        <v>44.7177046781301</v>
      </c>
      <c r="AK83" s="0" t="n">
        <f aca="false">(AC83*16*AJ83+(AD83-AC83)*16*AH83+AD83*8*AI83)/(AD83*24)</f>
        <v>38.5370623706504</v>
      </c>
      <c r="AM83" s="0" t="n">
        <f aca="false">IF(NymexData!AC83="",VLOOKUP('Pricing Summary'!AB83,NymexData!$S$12:$U$250,3),VLOOKUP(NymexData!AA83,NymexData!$AA$12:$AC$250,3))</f>
        <v>0.2325</v>
      </c>
      <c r="AO83" s="284" t="n">
        <f aca="false">AD83*24*VLOOKUP(AB83,Interest!$X$8:$AC$367,6)</f>
        <v>557.955596170131</v>
      </c>
    </row>
    <row r="84" customFormat="false" ht="12.75" hidden="false" customHeight="false" outlineLevel="0" collapsed="false">
      <c r="AB84" s="282" t="n">
        <f aca="false">[2]EnergyCurve!$D106</f>
        <v>39387</v>
      </c>
      <c r="AC84" s="2" t="n">
        <f aca="false">IF(TradeSum!$L$6=0,VLOOKUP(AB84,TradeSum!$DM$13:$DQ$252,2)+VLOOKUP(AB84,TradeSum!$DU$13:$DY$252,3),VLOOKUP(AB84,TradeSum!$DU$13:$DY$252,2)+VLOOKUP(AB84,TradeSum!$DU$13:$DY$252,3))</f>
        <v>25</v>
      </c>
      <c r="AD84" s="2" t="n">
        <f aca="false">VLOOKUP(AB84,TradeSum!$DM$13:$DR$252,6)</f>
        <v>30</v>
      </c>
      <c r="AE84" s="2" t="n">
        <f aca="false">IF(TradeSum!$L$6=0,VLOOKUP(AB84,TradeSum!$DM$13:$DQ$252,2),VLOOKUP(AB84,TradeSum!$DU$13:$DY$252,2))</f>
        <v>21</v>
      </c>
      <c r="AF84" s="283" t="n">
        <f aca="false">[2]EnergyCurve!$G106</f>
        <v>47.6443746736202</v>
      </c>
      <c r="AG84" s="283" t="n">
        <f aca="false">[2]EnergyCurve!$Y106</f>
        <v>44.1662801145958</v>
      </c>
      <c r="AH84" s="283" t="n">
        <f aca="false">[2]EnergyCurve!$AD106</f>
        <v>42.7860838610147</v>
      </c>
      <c r="AI84" s="283" t="n">
        <f aca="false">[2]EnergyCurve!$L106</f>
        <v>28.7080820744873</v>
      </c>
      <c r="AJ84" s="0" t="n">
        <f aca="false">(AE84*AF84+(AC84-AE84)*AG84)/AC84</f>
        <v>47.0878795441763</v>
      </c>
      <c r="AK84" s="0" t="n">
        <f aca="false">(AC84*16*AJ84+(AD84-AC84)*16*AH84+AD84*8*AI84)/(AD84*24)</f>
        <v>40.4833030894842</v>
      </c>
      <c r="AM84" s="0" t="n">
        <f aca="false">IF(NymexData!AC84="",VLOOKUP('Pricing Summary'!AB84,NymexData!$S$12:$U$250,3),VLOOKUP(NymexData!AA84,NymexData!$AA$12:$AC$250,3))</f>
        <v>0.2325</v>
      </c>
      <c r="AO84" s="284" t="n">
        <f aca="false">AD84*24*VLOOKUP(AB84,Interest!$X$8:$AC$367,6)</f>
        <v>537.249554252613</v>
      </c>
    </row>
    <row r="85" customFormat="false" ht="12.75" hidden="false" customHeight="false" outlineLevel="0" collapsed="false">
      <c r="AB85" s="282" t="n">
        <f aca="false">[2]EnergyCurve!$D107</f>
        <v>39417</v>
      </c>
      <c r="AC85" s="2" t="n">
        <f aca="false">IF(TradeSum!$L$6=0,VLOOKUP(AB85,TradeSum!$DM$13:$DQ$252,2)+VLOOKUP(AB85,TradeSum!$DU$13:$DY$252,3),VLOOKUP(AB85,TradeSum!$DU$13:$DY$252,2)+VLOOKUP(AB85,TradeSum!$DU$13:$DY$252,3))</f>
        <v>25</v>
      </c>
      <c r="AD85" s="2" t="n">
        <f aca="false">VLOOKUP(AB85,TradeSum!$DM$13:$DR$252,6)</f>
        <v>31</v>
      </c>
      <c r="AE85" s="2" t="n">
        <f aca="false">IF(TradeSum!$L$6=0,VLOOKUP(AB85,TradeSum!$DM$13:$DQ$252,2),VLOOKUP(AB85,TradeSum!$DU$13:$DY$252,2))</f>
        <v>20</v>
      </c>
      <c r="AF85" s="283" t="n">
        <f aca="false">[2]EnergyCurve!$G107</f>
        <v>49.6045875683661</v>
      </c>
      <c r="AG85" s="283" t="n">
        <f aca="false">[2]EnergyCurve!$Y107</f>
        <v>45.9833951966314</v>
      </c>
      <c r="AH85" s="283" t="n">
        <f aca="false">[2]EnergyCurve!$AD107</f>
        <v>44.5464140967367</v>
      </c>
      <c r="AI85" s="283" t="n">
        <f aca="false">[2]EnergyCurve!$L107</f>
        <v>29.8892068778104</v>
      </c>
      <c r="AJ85" s="0" t="n">
        <f aca="false">(AE85*AF85+(AC85-AE85)*AG85)/AC85</f>
        <v>48.8803490940192</v>
      </c>
      <c r="AK85" s="0" t="n">
        <f aca="false">(AC85*16*AJ85+(AD85-AC85)*16*AH85+AD85*8*AI85)/(AD85*24)</f>
        <v>41.9907509362787</v>
      </c>
      <c r="AM85" s="0" t="n">
        <f aca="false">IF(NymexData!AC85="",VLOOKUP('Pricing Summary'!AB85,NymexData!$S$12:$U$250,3),VLOOKUP(NymexData!AA85,NymexData!$AA$12:$AC$250,3))</f>
        <v>0.2325</v>
      </c>
      <c r="AO85" s="284" t="n">
        <f aca="false">AD85*24*VLOOKUP(AB85,Interest!$X$8:$AC$367,6)</f>
        <v>552.305062011391</v>
      </c>
    </row>
    <row r="86" customFormat="false" ht="12.75" hidden="false" customHeight="false" outlineLevel="0" collapsed="false">
      <c r="AB86" s="282" t="n">
        <f aca="false">[2]EnergyCurve!$D108</f>
        <v>39448</v>
      </c>
      <c r="AC86" s="2" t="n">
        <f aca="false">IF(TradeSum!$L$6=0,VLOOKUP(AB86,TradeSum!$DM$13:$DQ$252,2)+VLOOKUP(AB86,TradeSum!$DU$13:$DY$252,3),VLOOKUP(AB86,TradeSum!$DU$13:$DY$252,2)+VLOOKUP(AB86,TradeSum!$DU$13:$DY$252,3))</f>
        <v>26</v>
      </c>
      <c r="AD86" s="2" t="n">
        <f aca="false">VLOOKUP(AB86,TradeSum!$DM$13:$DR$252,6)</f>
        <v>31</v>
      </c>
      <c r="AE86" s="2" t="n">
        <f aca="false">IF(TradeSum!$L$6=0,VLOOKUP(AB86,TradeSum!$DM$13:$DQ$252,2),VLOOKUP(AB86,TradeSum!$DU$13:$DY$252,2))</f>
        <v>22</v>
      </c>
      <c r="AF86" s="283" t="n">
        <f aca="false">[2]EnergyCurve!$G108</f>
        <v>50.4743391697719</v>
      </c>
      <c r="AG86" s="283" t="n">
        <f aca="false">[2]EnergyCurve!$Y108</f>
        <v>46.7896539233111</v>
      </c>
      <c r="AH86" s="283" t="n">
        <f aca="false">[2]EnergyCurve!$AD108</f>
        <v>45.3274772382076</v>
      </c>
      <c r="AI86" s="283" t="n">
        <f aca="false">[2]EnergyCurve!$L108</f>
        <v>30.4132750501522</v>
      </c>
      <c r="AJ86" s="0" t="n">
        <f aca="false">(AE86*AF86+(AC86-AE86)*AG86)/AC86</f>
        <v>49.9074645164702</v>
      </c>
      <c r="AK86" s="0" t="n">
        <f aca="false">(AC86*16*AJ86+(AD86-AC86)*16*AH86+AD86*8*AI86)/(AD86*24)</f>
        <v>42.9169296106801</v>
      </c>
      <c r="AM86" s="0" t="n">
        <f aca="false">IF(NymexData!AC86="",VLOOKUP('Pricing Summary'!AB86,NymexData!$S$12:$U$250,3),VLOOKUP(NymexData!AA86,NymexData!$AA$12:$AC$250,3))</f>
        <v>0.2325</v>
      </c>
      <c r="AO86" s="284" t="n">
        <f aca="false">AD86*24*VLOOKUP(AB86,Interest!$X$8:$AC$367,6)</f>
        <v>549.430473748103</v>
      </c>
    </row>
    <row r="87" customFormat="false" ht="12.75" hidden="false" customHeight="false" outlineLevel="0" collapsed="false">
      <c r="AB87" s="282" t="n">
        <f aca="false">[2]EnergyCurve!$D109</f>
        <v>39479</v>
      </c>
      <c r="AC87" s="2" t="n">
        <f aca="false">IF(TradeSum!$L$6=0,VLOOKUP(AB87,TradeSum!$DM$13:$DQ$252,2)+VLOOKUP(AB87,TradeSum!$DU$13:$DY$252,3),VLOOKUP(AB87,TradeSum!$DU$13:$DY$252,2)+VLOOKUP(AB87,TradeSum!$DU$13:$DY$252,3))</f>
        <v>25</v>
      </c>
      <c r="AD87" s="2" t="n">
        <f aca="false">VLOOKUP(AB87,TradeSum!$DM$13:$DR$252,6)</f>
        <v>29</v>
      </c>
      <c r="AE87" s="2" t="n">
        <f aca="false">IF(TradeSum!$L$6=0,VLOOKUP(AB87,TradeSum!$DM$13:$DQ$252,2),VLOOKUP(AB87,TradeSum!$DU$13:$DY$252,2))</f>
        <v>21</v>
      </c>
      <c r="AF87" s="283" t="n">
        <f aca="false">[2]EnergyCurve!$G109</f>
        <v>49.3376838007116</v>
      </c>
      <c r="AG87" s="283" t="n">
        <f aca="false">[2]EnergyCurve!$Y109</f>
        <v>45.73597571329</v>
      </c>
      <c r="AH87" s="283" t="n">
        <f aca="false">[2]EnergyCurve!$AD109</f>
        <v>44.3067264722497</v>
      </c>
      <c r="AI87" s="283" t="n">
        <f aca="false">[2]EnergyCurve!$L109</f>
        <v>29.7283842136385</v>
      </c>
      <c r="AJ87" s="0" t="n">
        <f aca="false">(AE87*AF87+(AC87-AE87)*AG87)/AC87</f>
        <v>48.7614105067242</v>
      </c>
      <c r="AK87" s="0" t="n">
        <f aca="false">(AC87*16*AJ87+(AD87-AC87)*16*AH87+AD87*8*AI87)/(AD87*24)</f>
        <v>42.0074422909163</v>
      </c>
      <c r="AM87" s="0" t="n">
        <f aca="false">IF(NymexData!AC87="",VLOOKUP('Pricing Summary'!AB87,NymexData!$S$12:$U$250,3),VLOOKUP(NymexData!AA87,NymexData!$AA$12:$AC$250,3))</f>
        <v>0.2325</v>
      </c>
      <c r="AO87" s="284" t="n">
        <f aca="false">AD87*24*VLOOKUP(AB87,Interest!$X$8:$AC$367,6)</f>
        <v>511.428216143032</v>
      </c>
    </row>
    <row r="88" customFormat="false" ht="12.75" hidden="false" customHeight="false" outlineLevel="0" collapsed="false">
      <c r="AB88" s="282" t="n">
        <f aca="false">[2]EnergyCurve!$D110</f>
        <v>39508</v>
      </c>
      <c r="AC88" s="2" t="n">
        <f aca="false">IF(TradeSum!$L$6=0,VLOOKUP(AB88,TradeSum!$DM$13:$DQ$252,2)+VLOOKUP(AB88,TradeSum!$DU$13:$DY$252,3),VLOOKUP(AB88,TradeSum!$DU$13:$DY$252,2)+VLOOKUP(AB88,TradeSum!$DU$13:$DY$252,3))</f>
        <v>26</v>
      </c>
      <c r="AD88" s="2" t="n">
        <f aca="false">VLOOKUP(AB88,TradeSum!$DM$13:$DR$252,6)</f>
        <v>31</v>
      </c>
      <c r="AE88" s="2" t="n">
        <f aca="false">IF(TradeSum!$L$6=0,VLOOKUP(AB88,TradeSum!$DM$13:$DQ$252,2),VLOOKUP(AB88,TradeSum!$DU$13:$DY$252,2))</f>
        <v>21</v>
      </c>
      <c r="AF88" s="283" t="n">
        <f aca="false">[2]EnergyCurve!$G110</f>
        <v>47.5430981637325</v>
      </c>
      <c r="AG88" s="283" t="n">
        <f aca="false">[2]EnergyCurve!$Y110</f>
        <v>44.0723969072839</v>
      </c>
      <c r="AH88" s="283" t="n">
        <f aca="false">[2]EnergyCurve!$AD110</f>
        <v>42.6951345039312</v>
      </c>
      <c r="AI88" s="283" t="n">
        <f aca="false">[2]EnergyCurve!$L110</f>
        <v>28.6470579897345</v>
      </c>
      <c r="AJ88" s="0" t="n">
        <f aca="false">(AE88*AF88+(AC88-AE88)*AG88)/AC88</f>
        <v>46.8756556144154</v>
      </c>
      <c r="AK88" s="0" t="n">
        <f aca="false">(AC88*16*AJ88+(AD88-AC88)*16*AH88+AD88*8*AI88)/(AD88*24)</f>
        <v>40.3499380072117</v>
      </c>
      <c r="AM88" s="0" t="n">
        <f aca="false">IF(NymexData!AC88="",VLOOKUP('Pricing Summary'!AB88,NymexData!$S$12:$U$250,3),VLOOKUP(NymexData!AA88,NymexData!$AA$12:$AC$250,3))</f>
        <v>0.2225</v>
      </c>
      <c r="AO88" s="284" t="n">
        <f aca="false">AD88*24*VLOOKUP(AB88,Interest!$X$8:$AC$367,6)</f>
        <v>543.861874424327</v>
      </c>
    </row>
    <row r="89" customFormat="false" ht="12.75" hidden="false" customHeight="false" outlineLevel="0" collapsed="false">
      <c r="AB89" s="282" t="n">
        <f aca="false">[2]EnergyCurve!$D111</f>
        <v>39539</v>
      </c>
      <c r="AC89" s="2" t="n">
        <f aca="false">IF(TradeSum!$L$6=0,VLOOKUP(AB89,TradeSum!$DM$13:$DQ$252,2)+VLOOKUP(AB89,TradeSum!$DU$13:$DY$252,3),VLOOKUP(AB89,TradeSum!$DU$13:$DY$252,2)+VLOOKUP(AB89,TradeSum!$DU$13:$DY$252,3))</f>
        <v>26</v>
      </c>
      <c r="AD89" s="2" t="n">
        <f aca="false">VLOOKUP(AB89,TradeSum!$DM$13:$DR$252,6)</f>
        <v>30</v>
      </c>
      <c r="AE89" s="2" t="n">
        <f aca="false">IF(TradeSum!$L$6=0,VLOOKUP(AB89,TradeSum!$DM$13:$DQ$252,2),VLOOKUP(AB89,TradeSum!$DU$13:$DY$252,2))</f>
        <v>22</v>
      </c>
      <c r="AF89" s="283" t="n">
        <f aca="false">[2]EnergyCurve!$G111</f>
        <v>44.8453483694022</v>
      </c>
      <c r="AG89" s="283" t="n">
        <f aca="false">[2]EnergyCurve!$Y111</f>
        <v>41.5715859739534</v>
      </c>
      <c r="AH89" s="283" t="n">
        <f aca="false">[2]EnergyCurve!$AD111</f>
        <v>40.2724739122673</v>
      </c>
      <c r="AI89" s="283" t="n">
        <f aca="false">[2]EnergyCurve!$L111</f>
        <v>27.0215308830697</v>
      </c>
      <c r="AJ89" s="0" t="n">
        <f aca="false">(AE89*AF89+(AC89-AE89)*AG89)/AC89</f>
        <v>44.3416926162562</v>
      </c>
      <c r="AK89" s="0" t="n">
        <f aca="false">(AC89*16*AJ89+(AD89-AC89)*16*AH89+AD89*8*AI89)/(AD89*24)</f>
        <v>38.2065970426173</v>
      </c>
      <c r="AM89" s="0" t="n">
        <f aca="false">IF(NymexData!AC89="",VLOOKUP('Pricing Summary'!AB89,NymexData!$S$12:$U$250,3),VLOOKUP(NymexData!AA89,NymexData!$AA$12:$AC$250,3))</f>
        <v>0.2225</v>
      </c>
      <c r="AO89" s="284" t="n">
        <f aca="false">AD89*24*VLOOKUP(AB89,Interest!$X$8:$AC$367,6)</f>
        <v>523.601503860498</v>
      </c>
    </row>
    <row r="90" customFormat="false" ht="12.75" hidden="false" customHeight="false" outlineLevel="0" collapsed="false">
      <c r="AB90" s="282" t="n">
        <f aca="false">[2]EnergyCurve!$D112</f>
        <v>39569</v>
      </c>
      <c r="AC90" s="2" t="n">
        <f aca="false">IF(TradeSum!$L$6=0,VLOOKUP(AB90,TradeSum!$DM$13:$DQ$252,2)+VLOOKUP(AB90,TradeSum!$DU$13:$DY$252,3),VLOOKUP(AB90,TradeSum!$DU$13:$DY$252,2)+VLOOKUP(AB90,TradeSum!$DU$13:$DY$252,3))</f>
        <v>26</v>
      </c>
      <c r="AD90" s="2" t="n">
        <f aca="false">VLOOKUP(AB90,TradeSum!$DM$13:$DR$252,6)</f>
        <v>31</v>
      </c>
      <c r="AE90" s="2" t="n">
        <f aca="false">IF(TradeSum!$L$6=0,VLOOKUP(AB90,TradeSum!$DM$13:$DQ$252,2),VLOOKUP(AB90,TradeSum!$DU$13:$DY$252,2))</f>
        <v>21</v>
      </c>
      <c r="AF90" s="283" t="n">
        <f aca="false">[2]EnergyCurve!$G112</f>
        <v>44.9085465630396</v>
      </c>
      <c r="AG90" s="283" t="n">
        <f aca="false">[2]EnergyCurve!$Y112</f>
        <v>41.6301706262244</v>
      </c>
      <c r="AH90" s="283" t="n">
        <f aca="false">[2]EnergyCurve!$AD112</f>
        <v>40.3292277941549</v>
      </c>
      <c r="AI90" s="283" t="n">
        <f aca="false">[2]EnergyCurve!$L112</f>
        <v>27.0596109070459</v>
      </c>
      <c r="AJ90" s="0" t="n">
        <f aca="false">(AE90*AF90+(AC90-AE90)*AG90)/AC90</f>
        <v>44.2780896521136</v>
      </c>
      <c r="AK90" s="0" t="n">
        <f aca="false">(AC90*16*AJ90+(AD90-AC90)*16*AH90+AD90*8*AI90)/(AD90*24)</f>
        <v>38.11398793516</v>
      </c>
      <c r="AM90" s="0" t="n">
        <f aca="false">IF(NymexData!AC90="",VLOOKUP('Pricing Summary'!AB90,NymexData!$S$12:$U$250,3),VLOOKUP(NymexData!AA90,NymexData!$AA$12:$AC$250,3))</f>
        <v>0.2225</v>
      </c>
      <c r="AO90" s="284" t="n">
        <f aca="false">AD90*24*VLOOKUP(AB90,Interest!$X$8:$AC$367,6)</f>
        <v>538.19503947674</v>
      </c>
    </row>
    <row r="91" customFormat="false" ht="12.75" hidden="false" customHeight="false" outlineLevel="0" collapsed="false">
      <c r="AB91" s="282" t="n">
        <f aca="false">[2]EnergyCurve!$D113</f>
        <v>39600</v>
      </c>
      <c r="AC91" s="2" t="n">
        <f aca="false">IF(TradeSum!$L$6=0,VLOOKUP(AB91,TradeSum!$DM$13:$DQ$252,2)+VLOOKUP(AB91,TradeSum!$DU$13:$DY$252,3),VLOOKUP(AB91,TradeSum!$DU$13:$DY$252,2)+VLOOKUP(AB91,TradeSum!$DU$13:$DY$252,3))</f>
        <v>25</v>
      </c>
      <c r="AD91" s="2" t="n">
        <f aca="false">VLOOKUP(AB91,TradeSum!$DM$13:$DR$252,6)</f>
        <v>30</v>
      </c>
      <c r="AE91" s="2" t="n">
        <f aca="false">IF(TradeSum!$L$6=0,VLOOKUP(AB91,TradeSum!$DM$13:$DQ$252,2),VLOOKUP(AB91,TradeSum!$DU$13:$DY$252,2))</f>
        <v>21</v>
      </c>
      <c r="AF91" s="283" t="n">
        <f aca="false">[2]EnergyCurve!$G113</f>
        <v>45.3973431069486</v>
      </c>
      <c r="AG91" s="283" t="n">
        <f aca="false">[2]EnergyCurve!$Y113</f>
        <v>42.0832844560357</v>
      </c>
      <c r="AH91" s="283" t="n">
        <f aca="false">[2]EnergyCurve!$AD113</f>
        <v>40.7681818167846</v>
      </c>
      <c r="AI91" s="283" t="n">
        <f aca="false">[2]EnergyCurve!$L113</f>
        <v>27.3541348964232</v>
      </c>
      <c r="AJ91" s="0" t="n">
        <f aca="false">(AE91*AF91+(AC91-AE91)*AG91)/AC91</f>
        <v>44.8670937228025</v>
      </c>
      <c r="AK91" s="0" t="n">
        <f aca="false">(AC91*16*AJ91+(AD91-AC91)*16*AH91+AD91*8*AI91)/(AD91*24)</f>
        <v>38.5740061244519</v>
      </c>
      <c r="AM91" s="0" t="n">
        <f aca="false">IF(NymexData!AC91="",VLOOKUP('Pricing Summary'!AB91,NymexData!$S$12:$U$250,3),VLOOKUP(NymexData!AA91,NymexData!$AA$12:$AC$250,3))</f>
        <v>0.2225</v>
      </c>
      <c r="AO91" s="284" t="n">
        <f aca="false">AD91*24*VLOOKUP(AB91,Interest!$X$8:$AC$367,6)</f>
        <v>518.11507174734</v>
      </c>
    </row>
    <row r="92" customFormat="false" ht="12.75" hidden="false" customHeight="false" outlineLevel="0" collapsed="false">
      <c r="AB92" s="282" t="n">
        <f aca="false">[2]EnergyCurve!$D114</f>
        <v>39630</v>
      </c>
      <c r="AC92" s="2" t="n">
        <f aca="false">IF(TradeSum!$L$6=0,VLOOKUP(AB92,TradeSum!$DM$13:$DQ$252,2)+VLOOKUP(AB92,TradeSum!$DU$13:$DY$252,3),VLOOKUP(AB92,TradeSum!$DU$13:$DY$252,2)+VLOOKUP(AB92,TradeSum!$DU$13:$DY$252,3))</f>
        <v>26</v>
      </c>
      <c r="AD92" s="2" t="n">
        <f aca="false">VLOOKUP(AB92,TradeSum!$DM$13:$DR$252,6)</f>
        <v>31</v>
      </c>
      <c r="AE92" s="2" t="n">
        <f aca="false">IF(TradeSum!$L$6=0,VLOOKUP(AB92,TradeSum!$DM$13:$DQ$252,2),VLOOKUP(AB92,TradeSum!$DU$13:$DY$252,2))</f>
        <v>22</v>
      </c>
      <c r="AF92" s="283" t="n">
        <f aca="false">[2]EnergyCurve!$G114</f>
        <v>45.9763828172702</v>
      </c>
      <c r="AG92" s="283" t="n">
        <f aca="false">[2]EnergyCurve!$Y114</f>
        <v>42.6200535965425</v>
      </c>
      <c r="AH92" s="283" t="n">
        <f aca="false">[2]EnergyCurve!$AD114</f>
        <v>41.2881769216505</v>
      </c>
      <c r="AI92" s="283" t="n">
        <f aca="false">[2]EnergyCurve!$L114</f>
        <v>27.7030348377526</v>
      </c>
      <c r="AJ92" s="0" t="n">
        <f aca="false">(AE92*AF92+(AC92-AE92)*AG92)/AC92</f>
        <v>45.4600244756198</v>
      </c>
      <c r="AK92" s="0" t="n">
        <f aca="false">(AC92*16*AJ92+(AD92-AC92)*16*AH92+AD92*8*AI92)/(AD92*24)</f>
        <v>39.0924421711727</v>
      </c>
      <c r="AM92" s="0" t="n">
        <f aca="false">IF(NymexData!AC92="",VLOOKUP('Pricing Summary'!AB92,NymexData!$S$12:$U$250,3),VLOOKUP(NymexData!AA92,NymexData!$AA$12:$AC$250,3))</f>
        <v>0.22</v>
      </c>
      <c r="AO92" s="284" t="n">
        <f aca="false">AD92*24*VLOOKUP(AB92,Interest!$X$8:$AC$367,6)</f>
        <v>532.52413665283</v>
      </c>
    </row>
    <row r="93" customFormat="false" ht="12.75" hidden="false" customHeight="false" outlineLevel="0" collapsed="false">
      <c r="AB93" s="282" t="n">
        <f aca="false">[2]EnergyCurve!$D115</f>
        <v>39661</v>
      </c>
      <c r="AC93" s="2" t="n">
        <f aca="false">IF(TradeSum!$L$6=0,VLOOKUP(AB93,TradeSum!$DM$13:$DQ$252,2)+VLOOKUP(AB93,TradeSum!$DU$13:$DY$252,3),VLOOKUP(AB93,TradeSum!$DU$13:$DY$252,2)+VLOOKUP(AB93,TradeSum!$DU$13:$DY$252,3))</f>
        <v>26</v>
      </c>
      <c r="AD93" s="2" t="n">
        <f aca="false">VLOOKUP(AB93,TradeSum!$DM$13:$DR$252,6)</f>
        <v>31</v>
      </c>
      <c r="AE93" s="2" t="n">
        <f aca="false">IF(TradeSum!$L$6=0,VLOOKUP(AB93,TradeSum!$DM$13:$DQ$252,2),VLOOKUP(AB93,TradeSum!$DU$13:$DY$252,2))</f>
        <v>21</v>
      </c>
      <c r="AF93" s="283" t="n">
        <f aca="false">[2]EnergyCurve!$G115</f>
        <v>46.4649584744508</v>
      </c>
      <c r="AG93" s="283" t="n">
        <f aca="false">[2]EnergyCurve!$Y115</f>
        <v>43.0729626646126</v>
      </c>
      <c r="AH93" s="283" t="n">
        <f aca="false">[2]EnergyCurve!$AD115</f>
        <v>41.7269325813435</v>
      </c>
      <c r="AI93" s="283" t="n">
        <f aca="false">[2]EnergyCurve!$L115</f>
        <v>27.9974257319982</v>
      </c>
      <c r="AJ93" s="0" t="n">
        <f aca="false">(AE93*AF93+(AC93-AE93)*AG93)/AC93</f>
        <v>45.8126515879435</v>
      </c>
      <c r="AK93" s="0" t="n">
        <f aca="false">(AC93*16*AJ93+(AD93-AC93)*16*AH93+AD93*8*AI93)/(AD93*24)</f>
        <v>39.4349183449295</v>
      </c>
      <c r="AM93" s="0" t="n">
        <f aca="false">IF(NymexData!AC93="",VLOOKUP('Pricing Summary'!AB93,NymexData!$S$12:$U$250,3),VLOOKUP(NymexData!AA93,NymexData!$AA$12:$AC$250,3))</f>
        <v>0.22</v>
      </c>
      <c r="AO93" s="284" t="n">
        <f aca="false">AD93*24*VLOOKUP(AB93,Interest!$X$8:$AC$367,6)</f>
        <v>529.641091498236</v>
      </c>
    </row>
    <row r="94" customFormat="false" ht="12.75" hidden="false" customHeight="false" outlineLevel="0" collapsed="false">
      <c r="AB94" s="282" t="n">
        <f aca="false">[2]EnergyCurve!$D116</f>
        <v>39692</v>
      </c>
      <c r="AC94" s="2" t="n">
        <f aca="false">IF(TradeSum!$L$6=0,VLOOKUP(AB94,TradeSum!$DM$13:$DQ$252,2)+VLOOKUP(AB94,TradeSum!$DU$13:$DY$252,3),VLOOKUP(AB94,TradeSum!$DU$13:$DY$252,2)+VLOOKUP(AB94,TradeSum!$DU$13:$DY$252,3))</f>
        <v>25</v>
      </c>
      <c r="AD94" s="2" t="n">
        <f aca="false">VLOOKUP(AB94,TradeSum!$DM$13:$DR$252,6)</f>
        <v>30</v>
      </c>
      <c r="AE94" s="2" t="n">
        <f aca="false">IF(TradeSum!$L$6=0,VLOOKUP(AB94,TradeSum!$DM$13:$DQ$252,2),VLOOKUP(AB94,TradeSum!$DU$13:$DY$252,2))</f>
        <v>21</v>
      </c>
      <c r="AF94" s="283" t="n">
        <f aca="false">[2]EnergyCurve!$G116</f>
        <v>46.3858511158852</v>
      </c>
      <c r="AG94" s="283" t="n">
        <f aca="false">[2]EnergyCurve!$Y116</f>
        <v>42.9996302348878</v>
      </c>
      <c r="AH94" s="283" t="n">
        <f aca="false">[2]EnergyCurve!$AD116</f>
        <v>41.6558917900476</v>
      </c>
      <c r="AI94" s="283" t="n">
        <f aca="false">[2]EnergyCurve!$L116</f>
        <v>27.9497596526771</v>
      </c>
      <c r="AJ94" s="0" t="n">
        <f aca="false">(AE94*AF94+(AC94-AE94)*AG94)/AC94</f>
        <v>45.8440557749257</v>
      </c>
      <c r="AK94" s="0" t="n">
        <f aca="false">(AC94*16*AJ94+(AD94-AC94)*16*AH94+AD94*8*AI94)/(AD94*24)</f>
        <v>39.4139388469675</v>
      </c>
      <c r="AM94" s="0" t="n">
        <f aca="false">IF(NymexData!AC94="",VLOOKUP('Pricing Summary'!AB94,NymexData!$S$12:$U$250,3),VLOOKUP(NymexData!AA94,NymexData!$AA$12:$AC$250,3))</f>
        <v>0.22</v>
      </c>
      <c r="AO94" s="284" t="n">
        <f aca="false">AD94*24*VLOOKUP(AB94,Interest!$X$8:$AC$367,6)</f>
        <v>509.834719314318</v>
      </c>
    </row>
    <row r="95" customFormat="false" ht="12.75" hidden="false" customHeight="false" outlineLevel="0" collapsed="false">
      <c r="AB95" s="282" t="n">
        <f aca="false">[2]EnergyCurve!$D117</f>
        <v>39722</v>
      </c>
      <c r="AC95" s="2" t="n">
        <f aca="false">IF(TradeSum!$L$6=0,VLOOKUP(AB95,TradeSum!$DM$13:$DQ$252,2)+VLOOKUP(AB95,TradeSum!$DU$13:$DY$252,3),VLOOKUP(AB95,TradeSum!$DU$13:$DY$252,2)+VLOOKUP(AB95,TradeSum!$DU$13:$DY$252,3))</f>
        <v>27</v>
      </c>
      <c r="AD95" s="2" t="n">
        <f aca="false">VLOOKUP(AB95,TradeSum!$DM$13:$DR$252,6)</f>
        <v>31</v>
      </c>
      <c r="AE95" s="2" t="n">
        <f aca="false">IF(TradeSum!$L$6=0,VLOOKUP(AB95,TradeSum!$DM$13:$DQ$252,2),VLOOKUP(AB95,TradeSum!$DU$13:$DY$252,2))</f>
        <v>23</v>
      </c>
      <c r="AF95" s="283" t="n">
        <f aca="false">[2]EnergyCurve!$G117</f>
        <v>46.3841224860292</v>
      </c>
      <c r="AG95" s="283" t="n">
        <f aca="false">[2]EnergyCurve!$Y117</f>
        <v>42.9980277970143</v>
      </c>
      <c r="AH95" s="283" t="n">
        <f aca="false">[2]EnergyCurve!$AD117</f>
        <v>41.6543394283576</v>
      </c>
      <c r="AI95" s="283" t="n">
        <f aca="false">[2]EnergyCurve!$L117</f>
        <v>27.9487180680593</v>
      </c>
      <c r="AJ95" s="0" t="n">
        <f aca="false">(AE95*AF95+(AC95-AE95)*AG95)/AC95</f>
        <v>45.8824788283973</v>
      </c>
      <c r="AK95" s="0" t="n">
        <f aca="false">(AC95*16*AJ95+(AD95-AC95)*16*AH95+AD95*8*AI95)/(AD95*24)</f>
        <v>39.5408476588189</v>
      </c>
      <c r="AM95" s="0" t="n">
        <f aca="false">IF(NymexData!AC95="",VLOOKUP('Pricing Summary'!AB95,NymexData!$S$12:$U$250,3),VLOOKUP(NymexData!AA95,NymexData!$AA$12:$AC$250,3))</f>
        <v>0.22</v>
      </c>
      <c r="AO95" s="284" t="n">
        <f aca="false">AD95*24*VLOOKUP(AB95,Interest!$X$8:$AC$367,6)</f>
        <v>523.966690262729</v>
      </c>
    </row>
    <row r="96" customFormat="false" ht="12.75" hidden="false" customHeight="false" outlineLevel="0" collapsed="false">
      <c r="AB96" s="282" t="n">
        <f aca="false">[2]EnergyCurve!$D118</f>
        <v>39753</v>
      </c>
      <c r="AC96" s="2" t="n">
        <f aca="false">IF(TradeSum!$L$6=0,VLOOKUP(AB96,TradeSum!$DM$13:$DQ$252,2)+VLOOKUP(AB96,TradeSum!$DU$13:$DY$252,3),VLOOKUP(AB96,TradeSum!$DU$13:$DY$252,2)+VLOOKUP(AB96,TradeSum!$DU$13:$DY$252,3))</f>
        <v>24</v>
      </c>
      <c r="AD96" s="2" t="n">
        <f aca="false">VLOOKUP(AB96,TradeSum!$DM$13:$DR$252,6)</f>
        <v>30</v>
      </c>
      <c r="AE96" s="2" t="n">
        <f aca="false">IF(TradeSum!$L$6=0,VLOOKUP(AB96,TradeSum!$DM$13:$DQ$252,2),VLOOKUP(AB96,TradeSum!$DU$13:$DY$252,2))</f>
        <v>19</v>
      </c>
      <c r="AF96" s="283" t="n">
        <f aca="false">[2]EnergyCurve!$G118</f>
        <v>48.6291612809157</v>
      </c>
      <c r="AG96" s="283" t="n">
        <f aca="false">[2]EnergyCurve!$Y118</f>
        <v>45.0791761584387</v>
      </c>
      <c r="AH96" s="283" t="n">
        <f aca="false">[2]EnergyCurve!$AD118</f>
        <v>43.6704519034875</v>
      </c>
      <c r="AI96" s="283" t="n">
        <f aca="false">[2]EnergyCurve!$L118</f>
        <v>29.3014645029851</v>
      </c>
      <c r="AJ96" s="0" t="n">
        <f aca="false">(AE96*AF96+(AC96-AE96)*AG96)/AC96</f>
        <v>47.8895810470663</v>
      </c>
      <c r="AK96" s="0" t="n">
        <f aca="false">(AC96*16*AJ96+(AD96-AC96)*16*AH96+AD96*8*AI96)/(AD96*24)</f>
        <v>41.1309916465621</v>
      </c>
      <c r="AM96" s="0" t="n">
        <f aca="false">IF(NymexData!AC96="",VLOOKUP('Pricing Summary'!AB96,NymexData!$S$12:$U$250,3),VLOOKUP(NymexData!AA96,NymexData!$AA$12:$AC$250,3))</f>
        <v>0.22</v>
      </c>
      <c r="AO96" s="284" t="n">
        <f aca="false">AD96*24*VLOOKUP(AB96,Interest!$X$8:$AC$367,6)</f>
        <v>504.342650712881</v>
      </c>
    </row>
    <row r="97" customFormat="false" ht="12.75" hidden="false" customHeight="false" outlineLevel="0" collapsed="false">
      <c r="AB97" s="282" t="n">
        <f aca="false">[2]EnergyCurve!$D119</f>
        <v>39783</v>
      </c>
      <c r="AC97" s="2" t="n">
        <f aca="false">IF(TradeSum!$L$6=0,VLOOKUP(AB97,TradeSum!$DM$13:$DQ$252,2)+VLOOKUP(AB97,TradeSum!$DU$13:$DY$252,3),VLOOKUP(AB97,TradeSum!$DU$13:$DY$252,2)+VLOOKUP(AB97,TradeSum!$DU$13:$DY$252,3))</f>
        <v>26</v>
      </c>
      <c r="AD97" s="2" t="n">
        <f aca="false">VLOOKUP(AB97,TradeSum!$DM$13:$DR$252,6)</f>
        <v>31</v>
      </c>
      <c r="AE97" s="2" t="n">
        <f aca="false">IF(TradeSum!$L$6=0,VLOOKUP(AB97,TradeSum!$DM$13:$DQ$252,2),VLOOKUP(AB97,TradeSum!$DU$13:$DY$252,2))</f>
        <v>22</v>
      </c>
      <c r="AF97" s="283" t="n">
        <f aca="false">[2]EnergyCurve!$G119</f>
        <v>50.6151553296013</v>
      </c>
      <c r="AG97" s="283" t="n">
        <f aca="false">[2]EnergyCurve!$Y119</f>
        <v>46.9201903403025</v>
      </c>
      <c r="AH97" s="283" t="n">
        <f aca="false">[2]EnergyCurve!$AD119</f>
        <v>45.453934392168</v>
      </c>
      <c r="AI97" s="283" t="n">
        <f aca="false">[2]EnergyCurve!$L119</f>
        <v>30.4981237211966</v>
      </c>
      <c r="AJ97" s="0" t="n">
        <f aca="false">(AE97*AF97+(AC97-AE97)*AG97)/AC97</f>
        <v>50.0466991774015</v>
      </c>
      <c r="AK97" s="0" t="n">
        <f aca="false">(AC97*16*AJ97+(AD97-AC97)*16*AH97+AD97*8*AI97)/(AD97*24)</f>
        <v>43.036661682835</v>
      </c>
      <c r="AM97" s="0" t="n">
        <f aca="false">IF(NymexData!AC97="",VLOOKUP('Pricing Summary'!AB97,NymexData!$S$12:$U$250,3),VLOOKUP(NymexData!AA97,NymexData!$AA$12:$AC$250,3))</f>
        <v>0.2225</v>
      </c>
      <c r="AO97" s="284" t="n">
        <f aca="false">AD97*24*VLOOKUP(AB97,Interest!$X$8:$AC$367,6)</f>
        <v>518.29169641003</v>
      </c>
    </row>
    <row r="98" customFormat="false" ht="12.75" hidden="false" customHeight="false" outlineLevel="0" collapsed="false">
      <c r="AB98" s="282" t="n">
        <f aca="false">[2]EnergyCurve!$D120</f>
        <v>39814</v>
      </c>
      <c r="AC98" s="2" t="n">
        <f aca="false">IF(TradeSum!$L$6=0,VLOOKUP(AB98,TradeSum!$DM$13:$DQ$252,2)+VLOOKUP(AB98,TradeSum!$DU$13:$DY$252,3),VLOOKUP(AB98,TradeSum!$DU$13:$DY$252,2)+VLOOKUP(AB98,TradeSum!$DU$13:$DY$252,3))</f>
        <v>26</v>
      </c>
      <c r="AD98" s="2" t="n">
        <f aca="false">VLOOKUP(AB98,TradeSum!$DM$13:$DR$252,6)</f>
        <v>31</v>
      </c>
      <c r="AE98" s="2" t="n">
        <f aca="false">IF(TradeSum!$L$6=0,VLOOKUP(AB98,TradeSum!$DM$13:$DQ$252,2),VLOOKUP(AB98,TradeSum!$DU$13:$DY$252,2))</f>
        <v>21</v>
      </c>
      <c r="AF98" s="283" t="n">
        <f aca="false">[2]EnergyCurve!$G120</f>
        <v>51.5457984323792</v>
      </c>
      <c r="AG98" s="283" t="n">
        <f aca="false">[2]EnergyCurve!$Y120</f>
        <v>47.7828954181963</v>
      </c>
      <c r="AH98" s="283" t="n">
        <f aca="false">[2]EnergyCurve!$AD120</f>
        <v>46.2896799363776</v>
      </c>
      <c r="AI98" s="283" t="n">
        <f aca="false">[2]EnergyCurve!$L120</f>
        <v>31.0588820218276</v>
      </c>
      <c r="AJ98" s="0" t="n">
        <f aca="false">(AE98*AF98+(AC98-AE98)*AG98)/AC98</f>
        <v>50.8221632373441</v>
      </c>
      <c r="AK98" s="0" t="n">
        <f aca="false">(AC98*16*AJ98+(AD98-AC98)*16*AH98+AD98*8*AI98)/(AD98*24)</f>
        <v>43.7470390363691</v>
      </c>
      <c r="AM98" s="0" t="n">
        <f aca="false">IF(NymexData!AC98="",VLOOKUP('Pricing Summary'!AB98,NymexData!$S$12:$U$250,3),VLOOKUP(NymexData!AA98,NymexData!$AA$12:$AC$250,3))</f>
        <v>0.225</v>
      </c>
      <c r="AO98" s="284" t="n">
        <f aca="false">AD98*24*VLOOKUP(AB98,Interest!$X$8:$AC$367,6)</f>
        <v>515.407892213421</v>
      </c>
    </row>
    <row r="99" customFormat="false" ht="12.75" hidden="false" customHeight="false" outlineLevel="0" collapsed="false">
      <c r="AB99" s="282" t="n">
        <f aca="false">[2]EnergyCurve!$D121</f>
        <v>39845</v>
      </c>
      <c r="AC99" s="2" t="n">
        <f aca="false">IF(TradeSum!$L$6=0,VLOOKUP(AB99,TradeSum!$DM$13:$DQ$252,2)+VLOOKUP(AB99,TradeSum!$DU$13:$DY$252,3),VLOOKUP(AB99,TradeSum!$DU$13:$DY$252,2)+VLOOKUP(AB99,TradeSum!$DU$13:$DY$252,3))</f>
        <v>24</v>
      </c>
      <c r="AD99" s="2" t="n">
        <f aca="false">VLOOKUP(AB99,TradeSum!$DM$13:$DR$252,6)</f>
        <v>28</v>
      </c>
      <c r="AE99" s="2" t="n">
        <f aca="false">IF(TradeSum!$L$6=0,VLOOKUP(AB99,TradeSum!$DM$13:$DQ$252,2),VLOOKUP(AB99,TradeSum!$DU$13:$DY$252,2))</f>
        <v>20</v>
      </c>
      <c r="AF99" s="283" t="n">
        <f aca="false">[2]EnergyCurve!$G121</f>
        <v>50.4367771482423</v>
      </c>
      <c r="AG99" s="283" t="n">
        <f aca="false">[2]EnergyCurve!$Y121</f>
        <v>46.7548339728782</v>
      </c>
      <c r="AH99" s="283" t="n">
        <f aca="false">[2]EnergyCurve!$AD121</f>
        <v>45.2937454112257</v>
      </c>
      <c r="AI99" s="283" t="n">
        <f aca="false">[2]EnergyCurve!$L121</f>
        <v>30.3906420823708</v>
      </c>
      <c r="AJ99" s="0" t="n">
        <f aca="false">(AE99*AF99+(AC99-AE99)*AG99)/AC99</f>
        <v>49.8231199523483</v>
      </c>
      <c r="AK99" s="0" t="n">
        <f aca="false">(AC99*16*AJ99+(AD99-AC99)*16*AH99+AD99*8*AI99)/(AD99*24)</f>
        <v>42.914258325106</v>
      </c>
      <c r="AM99" s="0" t="n">
        <f aca="false">IF(NymexData!AC99="",VLOOKUP('Pricing Summary'!AB99,NymexData!$S$12:$U$250,3),VLOOKUP(NymexData!AA99,NymexData!$AA$12:$AC$250,3))</f>
        <v>0.22</v>
      </c>
      <c r="AO99" s="284" t="n">
        <f aca="false">AD99*24*VLOOKUP(AB99,Interest!$X$8:$AC$367,6)</f>
        <v>463.117701403898</v>
      </c>
    </row>
    <row r="100" customFormat="false" ht="12.75" hidden="false" customHeight="false" outlineLevel="0" collapsed="false">
      <c r="AB100" s="282" t="n">
        <f aca="false">[2]EnergyCurve!$D122</f>
        <v>39873</v>
      </c>
      <c r="AC100" s="2" t="n">
        <f aca="false">IF(TradeSum!$L$6=0,VLOOKUP(AB100,TradeSum!$DM$13:$DQ$252,2)+VLOOKUP(AB100,TradeSum!$DU$13:$DY$252,3),VLOOKUP(AB100,TradeSum!$DU$13:$DY$252,2)+VLOOKUP(AB100,TradeSum!$DU$13:$DY$252,3))</f>
        <v>26</v>
      </c>
      <c r="AD100" s="2" t="n">
        <f aca="false">VLOOKUP(AB100,TradeSum!$DM$13:$DR$252,6)</f>
        <v>31</v>
      </c>
      <c r="AE100" s="2" t="n">
        <f aca="false">IF(TradeSum!$L$6=0,VLOOKUP(AB100,TradeSum!$DM$13:$DQ$252,2),VLOOKUP(AB100,TradeSum!$DU$13:$DY$252,2))</f>
        <v>22</v>
      </c>
      <c r="AF100" s="283" t="n">
        <f aca="false">[2]EnergyCurve!$G122</f>
        <v>48.6652410159352</v>
      </c>
      <c r="AG100" s="283" t="n">
        <f aca="false">[2]EnergyCurve!$Y122</f>
        <v>45.1126220309944</v>
      </c>
      <c r="AH100" s="283" t="n">
        <f aca="false">[2]EnergyCurve!$AD122</f>
        <v>43.7028525925258</v>
      </c>
      <c r="AI100" s="283" t="n">
        <f aca="false">[2]EnergyCurve!$L122</f>
        <v>29.3232043201464</v>
      </c>
      <c r="AJ100" s="0" t="n">
        <f aca="false">(AE100*AF100+(AC100-AE100)*AG100)/AC100</f>
        <v>48.1186842490213</v>
      </c>
      <c r="AK100" s="0" t="n">
        <f aca="false">(AC100*16*AJ100+(AD100-AC100)*16*AH100+AD100*8*AI100)/(AD100*24)</f>
        <v>41.3787036645043</v>
      </c>
      <c r="AM100" s="0" t="n">
        <f aca="false">IF(NymexData!AC100="",VLOOKUP('Pricing Summary'!AB100,NymexData!$S$12:$U$250,3),VLOOKUP(NymexData!AA100,NymexData!$AA$12:$AC$250,3))</f>
        <v>0.205</v>
      </c>
      <c r="AO100" s="284" t="n">
        <f aca="false">AD100*24*VLOOKUP(AB100,Interest!$X$8:$AC$367,6)</f>
        <v>509.920544458468</v>
      </c>
    </row>
    <row r="101" customFormat="false" ht="12.75" hidden="false" customHeight="false" outlineLevel="0" collapsed="false">
      <c r="AB101" s="282" t="n">
        <f aca="false">[2]EnergyCurve!$D123</f>
        <v>39904</v>
      </c>
      <c r="AC101" s="2" t="n">
        <f aca="false">IF(TradeSum!$L$6=0,VLOOKUP(AB101,TradeSum!$DM$13:$DQ$252,2)+VLOOKUP(AB101,TradeSum!$DU$13:$DY$252,3),VLOOKUP(AB101,TradeSum!$DU$13:$DY$252,2)+VLOOKUP(AB101,TradeSum!$DU$13:$DY$252,3))</f>
        <v>26</v>
      </c>
      <c r="AD101" s="2" t="n">
        <f aca="false">VLOOKUP(AB101,TradeSum!$DM$13:$DR$252,6)</f>
        <v>30</v>
      </c>
      <c r="AE101" s="2" t="n">
        <f aca="false">IF(TradeSum!$L$6=0,VLOOKUP(AB101,TradeSum!$DM$13:$DQ$252,2),VLOOKUP(AB101,TradeSum!$DU$13:$DY$252,2))</f>
        <v>22</v>
      </c>
      <c r="AF101" s="283" t="n">
        <f aca="false">[2]EnergyCurve!$G123</f>
        <v>45.5369844141605</v>
      </c>
      <c r="AG101" s="283" t="n">
        <f aca="false">[2]EnergyCurve!$Y123</f>
        <v>42.212731786012</v>
      </c>
      <c r="AH101" s="283" t="n">
        <f aca="false">[2]EnergyCurve!$AD123</f>
        <v>40.8935839176992</v>
      </c>
      <c r="AI101" s="283" t="n">
        <f aca="false">[2]EnergyCurve!$L123</f>
        <v>27.4382756609078</v>
      </c>
      <c r="AJ101" s="0" t="n">
        <f aca="false">(AE101*AF101+(AC101-AE101)*AG101)/AC101</f>
        <v>45.0255609329069</v>
      </c>
      <c r="AK101" s="0" t="n">
        <f aca="false">(AC101*16*AJ101+(AD101-AC101)*16*AH101+AD101*8*AI101)/(AD101*24)</f>
        <v>38.795845663111</v>
      </c>
      <c r="AM101" s="0" t="n">
        <f aca="false">IF(NymexData!AC101="",VLOOKUP('Pricing Summary'!AB101,NymexData!$S$12:$U$250,3),VLOOKUP(NymexData!AA101,NymexData!$AA$12:$AC$250,3))</f>
        <v>0.195</v>
      </c>
      <c r="AO101" s="284" t="n">
        <f aca="false">AD101*24*VLOOKUP(AB101,Interest!$X$8:$AC$367,6)</f>
        <v>490.750664247835</v>
      </c>
    </row>
    <row r="102" customFormat="false" ht="12.75" hidden="false" customHeight="false" outlineLevel="0" collapsed="false">
      <c r="AB102" s="282" t="n">
        <f aca="false">[2]EnergyCurve!$D124</f>
        <v>39934</v>
      </c>
      <c r="AC102" s="2" t="n">
        <f aca="false">IF(TradeSum!$L$6=0,VLOOKUP(AB102,TradeSum!$DM$13:$DQ$252,2)+VLOOKUP(AB102,TradeSum!$DU$13:$DY$252,3),VLOOKUP(AB102,TradeSum!$DU$13:$DY$252,2)+VLOOKUP(AB102,TradeSum!$DU$13:$DY$252,3))</f>
        <v>25</v>
      </c>
      <c r="AD102" s="2" t="n">
        <f aca="false">VLOOKUP(AB102,TradeSum!$DM$13:$DR$252,6)</f>
        <v>31</v>
      </c>
      <c r="AE102" s="2" t="n">
        <f aca="false">IF(TradeSum!$L$6=0,VLOOKUP(AB102,TradeSum!$DM$13:$DQ$252,2),VLOOKUP(AB102,TradeSum!$DU$13:$DY$252,2))</f>
        <v>20</v>
      </c>
      <c r="AF102" s="283" t="n">
        <f aca="false">[2]EnergyCurve!$G124</f>
        <v>45.6269874072508</v>
      </c>
      <c r="AG102" s="283" t="n">
        <f aca="false">[2]EnergyCurve!$Y124</f>
        <v>42.2961644563159</v>
      </c>
      <c r="AH102" s="283" t="n">
        <f aca="false">[2]EnergyCurve!$AD124</f>
        <v>40.9744093170561</v>
      </c>
      <c r="AI102" s="283" t="n">
        <f aca="false">[2]EnergyCurve!$L124</f>
        <v>27.4925068966054</v>
      </c>
      <c r="AJ102" s="0" t="n">
        <f aca="false">(AE102*AF102+(AC102-AE102)*AG102)/AC102</f>
        <v>44.9608228170638</v>
      </c>
      <c r="AK102" s="0" t="n">
        <f aca="false">(AC102*16*AJ102+(AD102-AC102)*16*AH102+AD102*8*AI102)/(AD102*24)</f>
        <v>38.6236749080928</v>
      </c>
      <c r="AM102" s="0" t="n">
        <f aca="false">IF(NymexData!AC102="",VLOOKUP('Pricing Summary'!AB102,NymexData!$S$12:$U$250,3),VLOOKUP(NymexData!AA102,NymexData!$AA$12:$AC$250,3))</f>
        <v>0.195</v>
      </c>
      <c r="AO102" s="284" t="n">
        <f aca="false">AD102*24*VLOOKUP(AB102,Interest!$X$8:$AC$367,6)</f>
        <v>504.249898154998</v>
      </c>
    </row>
    <row r="103" customFormat="false" ht="12.75" hidden="false" customHeight="false" outlineLevel="0" collapsed="false">
      <c r="AB103" s="282" t="n">
        <f aca="false">[2]EnergyCurve!$D125</f>
        <v>39965</v>
      </c>
      <c r="AC103" s="2" t="n">
        <f aca="false">IF(TradeSum!$L$6=0,VLOOKUP(AB103,TradeSum!$DM$13:$DQ$252,2)+VLOOKUP(AB103,TradeSum!$DU$13:$DY$252,3),VLOOKUP(AB103,TradeSum!$DU$13:$DY$252,2)+VLOOKUP(AB103,TradeSum!$DU$13:$DY$252,3))</f>
        <v>26</v>
      </c>
      <c r="AD103" s="2" t="n">
        <f aca="false">VLOOKUP(AB103,TradeSum!$DM$13:$DR$252,6)</f>
        <v>30</v>
      </c>
      <c r="AE103" s="2" t="n">
        <f aca="false">IF(TradeSum!$L$6=0,VLOOKUP(AB103,TradeSum!$DM$13:$DQ$252,2),VLOOKUP(AB103,TradeSum!$DU$13:$DY$252,2))</f>
        <v>22</v>
      </c>
      <c r="AF103" s="283" t="n">
        <f aca="false">[2]EnergyCurve!$G125</f>
        <v>46.145718218853</v>
      </c>
      <c r="AG103" s="283" t="n">
        <f aca="false">[2]EnergyCurve!$Y125</f>
        <v>42.7770273175926</v>
      </c>
      <c r="AH103" s="283" t="n">
        <f aca="false">[2]EnergyCurve!$AD125</f>
        <v>41.4402452139178</v>
      </c>
      <c r="AI103" s="283" t="n">
        <f aca="false">[2]EnergyCurve!$L125</f>
        <v>27.8050677564352</v>
      </c>
      <c r="AJ103" s="0" t="n">
        <f aca="false">(AE103*AF103+(AC103-AE103)*AG103)/AC103</f>
        <v>45.6274580801976</v>
      </c>
      <c r="AK103" s="0" t="n">
        <f aca="false">(AC103*16*AJ103+(AD103-AC103)*16*AH103+AD103*8*AI103)/(AD103*24)</f>
        <v>39.3144646063853</v>
      </c>
      <c r="AM103" s="0" t="n">
        <f aca="false">IF(NymexData!AC103="",VLOOKUP('Pricing Summary'!AB103,NymexData!$S$12:$U$250,3),VLOOKUP(NymexData!AA103,NymexData!$AA$12:$AC$250,3))</f>
        <v>0.195</v>
      </c>
      <c r="AO103" s="284" t="n">
        <f aca="false">AD103*24*VLOOKUP(AB103,Interest!$X$8:$AC$367,6)</f>
        <v>485.264489570324</v>
      </c>
    </row>
    <row r="104" customFormat="false" ht="12.75" hidden="false" customHeight="false" outlineLevel="0" collapsed="false">
      <c r="AB104" s="282" t="n">
        <f aca="false">[2]EnergyCurve!$D126</f>
        <v>39995</v>
      </c>
      <c r="AC104" s="2" t="n">
        <f aca="false">IF(TradeSum!$L$6=0,VLOOKUP(AB104,TradeSum!$DM$13:$DQ$252,2)+VLOOKUP(AB104,TradeSum!$DU$13:$DY$252,3),VLOOKUP(AB104,TradeSum!$DU$13:$DY$252,2)+VLOOKUP(AB104,TradeSum!$DU$13:$DY$252,3))</f>
        <v>26</v>
      </c>
      <c r="AD104" s="2" t="n">
        <f aca="false">VLOOKUP(AB104,TradeSum!$DM$13:$DR$252,6)</f>
        <v>31</v>
      </c>
      <c r="AE104" s="2" t="n">
        <f aca="false">IF(TradeSum!$L$6=0,VLOOKUP(AB104,TradeSum!$DM$13:$DQ$252,2),VLOOKUP(AB104,TradeSum!$DU$13:$DY$252,2))</f>
        <v>23</v>
      </c>
      <c r="AF104" s="283" t="n">
        <f aca="false">[2]EnergyCurve!$G126</f>
        <v>46.7553598854148</v>
      </c>
      <c r="AG104" s="283" t="n">
        <f aca="false">[2]EnergyCurve!$Y126</f>
        <v>43.3421644360739</v>
      </c>
      <c r="AH104" s="283" t="n">
        <f aca="false">[2]EnergyCurve!$AD126</f>
        <v>41.9877217974466</v>
      </c>
      <c r="AI104" s="283" t="n">
        <f aca="false">[2]EnergyCurve!$L126</f>
        <v>28.1724068834481</v>
      </c>
      <c r="AJ104" s="0" t="n">
        <f aca="false">(AE104*AF104+(AC104-AE104)*AG104)/AC104</f>
        <v>46.36152964126</v>
      </c>
      <c r="AK104" s="0" t="n">
        <f aca="false">(AC104*16*AJ104+(AD104-AC104)*16*AH104+AD104*8*AI104)/(AD104*24)</f>
        <v>39.8281868032998</v>
      </c>
      <c r="AM104" s="0" t="n">
        <f aca="false">IF(NymexData!AC104="",VLOOKUP('Pricing Summary'!AB104,NymexData!$S$12:$U$250,3),VLOOKUP(NymexData!AA104,NymexData!$AA$12:$AC$250,3))</f>
        <v>0.195</v>
      </c>
      <c r="AO104" s="284" t="n">
        <f aca="false">AD104*24*VLOOKUP(AB104,Interest!$X$8:$AC$367,6)</f>
        <v>498.58331569999</v>
      </c>
    </row>
    <row r="105" customFormat="false" ht="12.75" hidden="false" customHeight="false" outlineLevel="0" collapsed="false">
      <c r="AB105" s="282" t="n">
        <f aca="false">[2]EnergyCurve!$D127</f>
        <v>40026</v>
      </c>
      <c r="AC105" s="2" t="n">
        <f aca="false">IF(TradeSum!$L$6=0,VLOOKUP(AB105,TradeSum!$DM$13:$DQ$252,2)+VLOOKUP(AB105,TradeSum!$DU$13:$DY$252,3),VLOOKUP(AB105,TradeSum!$DU$13:$DY$252,2)+VLOOKUP(AB105,TradeSum!$DU$13:$DY$252,3))</f>
        <v>26</v>
      </c>
      <c r="AD105" s="2" t="n">
        <f aca="false">VLOOKUP(AB105,TradeSum!$DM$13:$DR$252,6)</f>
        <v>31</v>
      </c>
      <c r="AE105" s="2" t="n">
        <f aca="false">IF(TradeSum!$L$6=0,VLOOKUP(AB105,TradeSum!$DM$13:$DQ$252,2),VLOOKUP(AB105,TradeSum!$DU$13:$DY$252,2))</f>
        <v>21</v>
      </c>
      <c r="AF105" s="283" t="n">
        <f aca="false">[2]EnergyCurve!$G127</f>
        <v>47.2763993667024</v>
      </c>
      <c r="AG105" s="283" t="n">
        <f aca="false">[2]EnergyCurve!$Y127</f>
        <v>43.8251674314738</v>
      </c>
      <c r="AH105" s="283" t="n">
        <f aca="false">[2]EnergyCurve!$AD127</f>
        <v>42.4556309492403</v>
      </c>
      <c r="AI105" s="283" t="n">
        <f aca="false">[2]EnergyCurve!$L127</f>
        <v>28.486358830458</v>
      </c>
      <c r="AJ105" s="0" t="n">
        <f aca="false">(AE105*AF105+(AC105-AE105)*AG105)/AC105</f>
        <v>46.61270091762</v>
      </c>
      <c r="AK105" s="0" t="n">
        <f aca="false">(AC105*16*AJ105+(AD105-AC105)*16*AH105+AD105*8*AI105)/(AD105*24)</f>
        <v>40.1235901177725</v>
      </c>
      <c r="AM105" s="0" t="n">
        <f aca="false">IF(NymexData!AC105="",VLOOKUP('Pricing Summary'!AB105,NymexData!$S$12:$U$250,3),VLOOKUP(NymexData!AA105,NymexData!$AA$12:$AC$250,3))</f>
        <v>0.195</v>
      </c>
      <c r="AO105" s="284" t="n">
        <f aca="false">AD105*24*VLOOKUP(AB105,Interest!$X$8:$AC$367,6)</f>
        <v>495.705552694105</v>
      </c>
    </row>
    <row r="106" customFormat="false" ht="12.75" hidden="false" customHeight="false" outlineLevel="0" collapsed="false">
      <c r="AB106" s="282" t="n">
        <f aca="false">[2]EnergyCurve!$D128</f>
        <v>40057</v>
      </c>
      <c r="AC106" s="2" t="n">
        <f aca="false">IF(TradeSum!$L$6=0,VLOOKUP(AB106,TradeSum!$DM$13:$DQ$252,2)+VLOOKUP(AB106,TradeSum!$DU$13:$DY$252,3),VLOOKUP(AB106,TradeSum!$DU$13:$DY$252,2)+VLOOKUP(AB106,TradeSum!$DU$13:$DY$252,3))</f>
        <v>25</v>
      </c>
      <c r="AD106" s="2" t="n">
        <f aca="false">VLOOKUP(AB106,TradeSum!$DM$13:$DR$252,6)</f>
        <v>30</v>
      </c>
      <c r="AE106" s="2" t="n">
        <f aca="false">IF(TradeSum!$L$6=0,VLOOKUP(AB106,TradeSum!$DM$13:$DQ$252,2),VLOOKUP(AB106,TradeSum!$DU$13:$DY$252,2))</f>
        <v>21</v>
      </c>
      <c r="AF106" s="283" t="n">
        <f aca="false">[2]EnergyCurve!$G128</f>
        <v>47.2278782231581</v>
      </c>
      <c r="AG106" s="283" t="n">
        <f aca="false">[2]EnergyCurve!$Y128</f>
        <v>43.7801883876321</v>
      </c>
      <c r="AH106" s="283" t="n">
        <f aca="false">[2]EnergyCurve!$AD128</f>
        <v>42.4120575005186</v>
      </c>
      <c r="AI106" s="283" t="n">
        <f aca="false">[2]EnergyCurve!$L128</f>
        <v>28.4571224519609</v>
      </c>
      <c r="AJ106" s="0" t="n">
        <f aca="false">(AE106*AF106+(AC106-AE106)*AG106)/AC106</f>
        <v>46.6762478494739</v>
      </c>
      <c r="AK106" s="0" t="n">
        <f aca="false">(AC106*16*AJ106+(AD106-AC106)*16*AH106+AD106*8*AI106)/(AD106*24)</f>
        <v>40.1294071226412</v>
      </c>
      <c r="AM106" s="0" t="n">
        <f aca="false">IF(NymexData!AC106="",VLOOKUP('Pricing Summary'!AB106,NymexData!$S$12:$U$250,3),VLOOKUP(NymexData!AA106,NymexData!$AA$12:$AC$250,3))</f>
        <v>0.195</v>
      </c>
      <c r="AO106" s="284" t="n">
        <f aca="false">AD106*24*VLOOKUP(AB106,Interest!$X$8:$AC$367,6)</f>
        <v>476.999296549708</v>
      </c>
    </row>
    <row r="107" customFormat="false" ht="12.75" hidden="false" customHeight="false" outlineLevel="0" collapsed="false">
      <c r="AB107" s="282" t="n">
        <f aca="false">[2]EnergyCurve!$D129</f>
        <v>40087</v>
      </c>
      <c r="AC107" s="2" t="n">
        <f aca="false">IF(TradeSum!$L$6=0,VLOOKUP(AB107,TradeSum!$DM$13:$DQ$252,2)+VLOOKUP(AB107,TradeSum!$DU$13:$DY$252,3),VLOOKUP(AB107,TradeSum!$DU$13:$DY$252,2)+VLOOKUP(AB107,TradeSum!$DU$13:$DY$252,3))</f>
        <v>27</v>
      </c>
      <c r="AD107" s="2" t="n">
        <f aca="false">VLOOKUP(AB107,TradeSum!$DM$13:$DR$252,6)</f>
        <v>31</v>
      </c>
      <c r="AE107" s="2" t="n">
        <f aca="false">IF(TradeSum!$L$6=0,VLOOKUP(AB107,TradeSum!$DM$13:$DQ$252,2),VLOOKUP(AB107,TradeSum!$DU$13:$DY$252,2))</f>
        <v>22</v>
      </c>
      <c r="AF107" s="283" t="n">
        <f aca="false">[2]EnergyCurve!$G129</f>
        <v>47.256729014276</v>
      </c>
      <c r="AG107" s="283" t="n">
        <f aca="false">[2]EnergyCurve!$Y129</f>
        <v>43.8069330375675</v>
      </c>
      <c r="AH107" s="283" t="n">
        <f aca="false">[2]EnergyCurve!$AD129</f>
        <v>42.4379663801435</v>
      </c>
      <c r="AI107" s="283" t="n">
        <f aca="false">[2]EnergyCurve!$L129</f>
        <v>28.4745064744189</v>
      </c>
      <c r="AJ107" s="0" t="n">
        <f aca="false">(AE107*AF107+(AC107-AE107)*AG107)/AC107</f>
        <v>46.6178779074781</v>
      </c>
      <c r="AK107" s="0" t="n">
        <f aca="false">(AC107*16*AJ107+(AD107-AC107)*16*AH107+AD107*8*AI107)/(AD107*24)</f>
        <v>40.2105251478704</v>
      </c>
      <c r="AM107" s="0" t="n">
        <f aca="false">IF(NymexData!AC107="",VLOOKUP('Pricing Summary'!AB107,NymexData!$S$12:$U$250,3),VLOOKUP(NymexData!AA107,NymexData!$AA$12:$AC$250,3))</f>
        <v>0.195</v>
      </c>
      <c r="AO107" s="284" t="n">
        <f aca="false">AD107*24*VLOOKUP(AB107,Interest!$X$8:$AC$367,6)</f>
        <v>490.047558781183</v>
      </c>
    </row>
    <row r="108" customFormat="false" ht="12.75" hidden="false" customHeight="false" outlineLevel="0" collapsed="false">
      <c r="AB108" s="282" t="n">
        <f aca="false">[2]EnergyCurve!$D130</f>
        <v>40118</v>
      </c>
      <c r="AC108" s="2" t="n">
        <f aca="false">IF(TradeSum!$L$6=0,VLOOKUP(AB108,TradeSum!$DM$13:$DQ$252,2)+VLOOKUP(AB108,TradeSum!$DU$13:$DY$252,3),VLOOKUP(AB108,TradeSum!$DU$13:$DY$252,2)+VLOOKUP(AB108,TradeSum!$DU$13:$DY$252,3))</f>
        <v>24</v>
      </c>
      <c r="AD108" s="2" t="n">
        <f aca="false">VLOOKUP(AB108,TradeSum!$DM$13:$DR$252,6)</f>
        <v>30</v>
      </c>
      <c r="AE108" s="2" t="n">
        <f aca="false">IF(TradeSum!$L$6=0,VLOOKUP(AB108,TradeSum!$DM$13:$DQ$252,2),VLOOKUP(AB108,TradeSum!$DU$13:$DY$252,2))</f>
        <v>20</v>
      </c>
      <c r="AF108" s="283" t="n">
        <f aca="false">[2]EnergyCurve!$G130</f>
        <v>50.0014625860079</v>
      </c>
      <c r="AG108" s="283" t="n">
        <f aca="false">[2]EnergyCurve!$Y130</f>
        <v>46.3512978781069</v>
      </c>
      <c r="AH108" s="283" t="n">
        <f aca="false">[2]EnergyCurve!$AD130</f>
        <v>44.9028198194161</v>
      </c>
      <c r="AI108" s="283" t="n">
        <f aca="false">[2]EnergyCurve!$L130</f>
        <v>30.1283436207695</v>
      </c>
      <c r="AJ108" s="0" t="n">
        <f aca="false">(AE108*AF108+(AC108-AE108)*AG108)/AC108</f>
        <v>49.3931018013577</v>
      </c>
      <c r="AK108" s="0" t="n">
        <f aca="false">(AC108*16*AJ108+(AD108-AC108)*16*AH108+AD108*8*AI108)/(AD108*24)</f>
        <v>42.3728114769028</v>
      </c>
      <c r="AM108" s="0" t="n">
        <f aca="false">IF(NymexData!AC108="",VLOOKUP('Pricing Summary'!AB108,NymexData!$S$12:$U$250,3),VLOOKUP(NymexData!AA108,NymexData!$AA$12:$AC$250,3))</f>
        <v>0.195</v>
      </c>
      <c r="AO108" s="284" t="n">
        <f aca="false">AD108*24*VLOOKUP(AB108,Interest!$X$8:$AC$367,6)</f>
        <v>471.526937885852</v>
      </c>
    </row>
    <row r="109" customFormat="false" ht="12.75" hidden="false" customHeight="false" outlineLevel="0" collapsed="false">
      <c r="AB109" s="282" t="n">
        <f aca="false">[2]EnergyCurve!$D131</f>
        <v>40148</v>
      </c>
      <c r="AC109" s="2" t="n">
        <f aca="false">IF(TradeSum!$L$6=0,VLOOKUP(AB109,TradeSum!$DM$13:$DQ$252,2)+VLOOKUP(AB109,TradeSum!$DU$13:$DY$252,3),VLOOKUP(AB109,TradeSum!$DU$13:$DY$252,2)+VLOOKUP(AB109,TradeSum!$DU$13:$DY$252,3))</f>
        <v>26</v>
      </c>
      <c r="AD109" s="2" t="n">
        <f aca="false">VLOOKUP(AB109,TradeSum!$DM$13:$DR$252,6)</f>
        <v>31</v>
      </c>
      <c r="AE109" s="2" t="n">
        <f aca="false">IF(TradeSum!$L$6=0,VLOOKUP(AB109,TradeSum!$DM$13:$DQ$252,2),VLOOKUP(AB109,TradeSum!$DU$13:$DY$252,2))</f>
        <v>22</v>
      </c>
      <c r="AF109" s="283" t="n">
        <f aca="false">[2]EnergyCurve!$G131</f>
        <v>52.0084413561351</v>
      </c>
      <c r="AG109" s="283" t="n">
        <f aca="false">[2]EnergyCurve!$Y131</f>
        <v>48.2117648724312</v>
      </c>
      <c r="AH109" s="283" t="n">
        <f aca="false">[2]EnergyCurve!$AD131</f>
        <v>46.7051472201677</v>
      </c>
      <c r="AI109" s="283" t="n">
        <f aca="false">[2]EnergyCurve!$L131</f>
        <v>31.3376471670803</v>
      </c>
      <c r="AJ109" s="0" t="n">
        <f aca="false">(AE109*AF109+(AC109-AE109)*AG109)/AC109</f>
        <v>51.4243372817191</v>
      </c>
      <c r="AK109" s="0" t="n">
        <f aca="false">(AC109*16*AJ109+(AD109-AC109)*16*AH109+AD109*8*AI109)/(AD109*24)</f>
        <v>44.2213341186082</v>
      </c>
      <c r="AM109" s="0" t="n">
        <f aca="false">IF(NymexData!AC109="",VLOOKUP('Pricing Summary'!AB109,NymexData!$S$12:$U$250,3),VLOOKUP(NymexData!AA109,NymexData!$AA$12:$AC$250,3))</f>
        <v>0.195</v>
      </c>
      <c r="AO109" s="284" t="n">
        <f aca="false">AD109*24*VLOOKUP(AB109,Interest!$X$8:$AC$367,6)</f>
        <v>484.39686486346</v>
      </c>
    </row>
    <row r="110" customFormat="false" ht="12.75" hidden="false" customHeight="false" outlineLevel="0" collapsed="false">
      <c r="AB110" s="282" t="n">
        <f aca="false">[2]EnergyCurve!$D132</f>
        <v>40179</v>
      </c>
      <c r="AC110" s="2" t="n">
        <f aca="false">IF(TradeSum!$L$6=0,VLOOKUP(AB110,TradeSum!$DM$13:$DQ$252,2)+VLOOKUP(AB110,TradeSum!$DU$13:$DY$252,3),VLOOKUP(AB110,TradeSum!$DU$13:$DY$252,2)+VLOOKUP(AB110,TradeSum!$DU$13:$DY$252,3))</f>
        <v>25</v>
      </c>
      <c r="AD110" s="2" t="n">
        <f aca="false">VLOOKUP(AB110,TradeSum!$DM$13:$DR$252,6)</f>
        <v>31</v>
      </c>
      <c r="AE110" s="2" t="n">
        <f aca="false">IF(TradeSum!$L$6=0,VLOOKUP(AB110,TradeSum!$DM$13:$DQ$252,2),VLOOKUP(AB110,TradeSum!$DU$13:$DY$252,2))</f>
        <v>20</v>
      </c>
      <c r="AF110" s="283" t="n">
        <f aca="false">[2]EnergyCurve!$G132</f>
        <v>52.9858548566221</v>
      </c>
      <c r="AG110" s="283" t="n">
        <f aca="false">[2]EnergyCurve!$Y132</f>
        <v>49.1178260548062</v>
      </c>
      <c r="AH110" s="283" t="n">
        <f aca="false">[2]EnergyCurve!$AD132</f>
        <v>47.5828939905935</v>
      </c>
      <c r="AI110" s="283" t="n">
        <f aca="false">[2]EnergyCurve!$L132</f>
        <v>31.926586935624</v>
      </c>
      <c r="AJ110" s="0" t="n">
        <f aca="false">(AE110*AF110+(AC110-AE110)*AG110)/AC110</f>
        <v>52.2122490962589</v>
      </c>
      <c r="AK110" s="0" t="n">
        <f aca="false">(AC110*16*AJ110+(AD110-AC110)*16*AH110+AD110*8*AI110)/(AD110*24)</f>
        <v>44.8530255667141</v>
      </c>
      <c r="AM110" s="0" t="n">
        <f aca="false">IF(NymexData!AC110="",VLOOKUP('Pricing Summary'!AB110,NymexData!$S$12:$U$250,3),VLOOKUP(NymexData!AA110,NymexData!$AA$12:$AC$250,3))</f>
        <v>0.195</v>
      </c>
      <c r="AO110" s="284" t="n">
        <f aca="false">AD110*24*VLOOKUP(AB110,Interest!$X$8:$AC$367,6)</f>
        <v>481.528402557718</v>
      </c>
    </row>
    <row r="111" customFormat="false" ht="12.75" hidden="false" customHeight="false" outlineLevel="0" collapsed="false">
      <c r="AB111" s="282" t="n">
        <f aca="false">[2]EnergyCurve!$D133</f>
        <v>40210</v>
      </c>
      <c r="AC111" s="2" t="n">
        <f aca="false">IF(TradeSum!$L$6=0,VLOOKUP(AB111,TradeSum!$DM$13:$DQ$252,2)+VLOOKUP(AB111,TradeSum!$DU$13:$DY$252,3),VLOOKUP(AB111,TradeSum!$DU$13:$DY$252,2)+VLOOKUP(AB111,TradeSum!$DU$13:$DY$252,3))</f>
        <v>24</v>
      </c>
      <c r="AD111" s="2" t="n">
        <f aca="false">VLOOKUP(AB111,TradeSum!$DM$13:$DR$252,6)</f>
        <v>28</v>
      </c>
      <c r="AE111" s="2" t="n">
        <f aca="false">IF(TradeSum!$L$6=0,VLOOKUP(AB111,TradeSum!$DM$13:$DQ$252,2),VLOOKUP(AB111,TradeSum!$DU$13:$DY$252,2))</f>
        <v>20</v>
      </c>
      <c r="AF111" s="283" t="n">
        <f aca="false">[2]EnergyCurve!$G133</f>
        <v>51.8765725498619</v>
      </c>
      <c r="AG111" s="283" t="n">
        <f aca="false">[2]EnergyCurve!$Y133</f>
        <v>48.0895226418186</v>
      </c>
      <c r="AH111" s="283" t="n">
        <f aca="false">[2]EnergyCurve!$AD133</f>
        <v>46.5867250592618</v>
      </c>
      <c r="AI111" s="283" t="n">
        <f aca="false">[2]EnergyCurve!$L133</f>
        <v>31.2581897171821</v>
      </c>
      <c r="AJ111" s="0" t="n">
        <f aca="false">(AE111*AF111+(AC111-AE111)*AG111)/AC111</f>
        <v>51.245397565188</v>
      </c>
      <c r="AK111" s="0" t="n">
        <f aca="false">(AC111*16*AJ111+(AD111-AC111)*16*AH111+AD111*8*AI111)/(AD111*24)</f>
        <v>44.1393118533835</v>
      </c>
      <c r="AM111" s="0" t="n">
        <f aca="false">IF(NymexData!AC111="",VLOOKUP('Pricing Summary'!AB111,NymexData!$S$12:$U$250,3),VLOOKUP(NymexData!AA111,NymexData!$AA$12:$AC$250,3))</f>
        <v>0.19</v>
      </c>
      <c r="AO111" s="284" t="n">
        <f aca="false">AD111*24*VLOOKUP(AB111,Interest!$X$8:$AC$367,6)</f>
        <v>432.527383271797</v>
      </c>
    </row>
    <row r="112" customFormat="false" ht="12.75" hidden="false" customHeight="false" outlineLevel="0" collapsed="false">
      <c r="AB112" s="282" t="n">
        <f aca="false">[2]EnergyCurve!$D134</f>
        <v>40238</v>
      </c>
      <c r="AC112" s="2" t="n">
        <f aca="false">IF(TradeSum!$L$6=0,VLOOKUP(AB112,TradeSum!$DM$13:$DQ$252,2)+VLOOKUP(AB112,TradeSum!$DU$13:$DY$252,3),VLOOKUP(AB112,TradeSum!$DU$13:$DY$252,2)+VLOOKUP(AB112,TradeSum!$DU$13:$DY$252,3))</f>
        <v>27</v>
      </c>
      <c r="AD112" s="2" t="n">
        <f aca="false">VLOOKUP(AB112,TradeSum!$DM$13:$DR$252,6)</f>
        <v>31</v>
      </c>
      <c r="AE112" s="2" t="n">
        <f aca="false">IF(TradeSum!$L$6=0,VLOOKUP(AB112,TradeSum!$DM$13:$DQ$252,2),VLOOKUP(AB112,TradeSum!$DU$13:$DY$252,2))</f>
        <v>23</v>
      </c>
      <c r="AF112" s="283" t="n">
        <f aca="false">[2]EnergyCurve!$G134</f>
        <v>50.0988649304716</v>
      </c>
      <c r="AG112" s="283" t="n">
        <f aca="false">[2]EnergyCurve!$Y134</f>
        <v>46.44158973856</v>
      </c>
      <c r="AH112" s="283" t="n">
        <f aca="false">[2]EnergyCurve!$AD134</f>
        <v>44.99029005923</v>
      </c>
      <c r="AI112" s="283" t="n">
        <f aca="false">[2]EnergyCurve!$L134</f>
        <v>30.187033330064</v>
      </c>
      <c r="AJ112" s="0" t="n">
        <f aca="false">(AE112*AF112+(AC112-AE112)*AG112)/AC112</f>
        <v>49.5570463835218</v>
      </c>
      <c r="AK112" s="0" t="n">
        <f aca="false">(AC112*16*AJ112+(AD112-AC112)*16*AH112+AD112*8*AI112)/(AD112*24)</f>
        <v>42.707536112</v>
      </c>
      <c r="AM112" s="0" t="n">
        <f aca="false">IF(NymexData!AC112="",VLOOKUP('Pricing Summary'!AB112,NymexData!$S$12:$U$250,3),VLOOKUP(NymexData!AA112,NymexData!$AA$12:$AC$250,3))</f>
        <v>0.1875</v>
      </c>
      <c r="AO112" s="284" t="n">
        <f aca="false">AD112*24*VLOOKUP(AB112,Interest!$X$8:$AC$367,6)</f>
        <v>476.075765924242</v>
      </c>
    </row>
    <row r="113" customFormat="false" ht="12.75" hidden="false" customHeight="false" outlineLevel="0" collapsed="false">
      <c r="AB113" s="282" t="n">
        <f aca="false">[2]EnergyCurve!$D135</f>
        <v>40269</v>
      </c>
      <c r="AC113" s="2" t="n">
        <f aca="false">IF(TradeSum!$L$6=0,VLOOKUP(AB113,TradeSum!$DM$13:$DQ$252,2)+VLOOKUP(AB113,TradeSum!$DU$13:$DY$252,3),VLOOKUP(AB113,TradeSum!$DU$13:$DY$252,2)+VLOOKUP(AB113,TradeSum!$DU$13:$DY$252,3))</f>
        <v>26</v>
      </c>
      <c r="AD113" s="2" t="n">
        <f aca="false">VLOOKUP(AB113,TradeSum!$DM$13:$DR$252,6)</f>
        <v>30</v>
      </c>
      <c r="AE113" s="2" t="n">
        <f aca="false">IF(TradeSum!$L$6=0,VLOOKUP(AB113,TradeSum!$DM$13:$DQ$252,2),VLOOKUP(AB113,TradeSum!$DU$13:$DY$252,2))</f>
        <v>22</v>
      </c>
      <c r="AF113" s="283" t="n">
        <f aca="false">[2]EnergyCurve!$G135</f>
        <v>46.4984398878782</v>
      </c>
      <c r="AG113" s="283" t="n">
        <f aca="false">[2]EnergyCurve!$Y135</f>
        <v>43.1039998960632</v>
      </c>
      <c r="AH113" s="283" t="n">
        <f aca="false">[2]EnergyCurve!$AD135</f>
        <v>41.7569998993113</v>
      </c>
      <c r="AI113" s="283" t="n">
        <f aca="false">[2]EnergyCurve!$L135</f>
        <v>28.0175999324411</v>
      </c>
      <c r="AJ113" s="0" t="n">
        <f aca="false">(AE113*AF113+(AC113-AE113)*AG113)/AC113</f>
        <v>45.9762183506759</v>
      </c>
      <c r="AK113" s="0" t="n">
        <f aca="false">(AC113*16*AJ113+(AD113-AC113)*16*AH113+AD113*8*AI113)/(AD113*24)</f>
        <v>39.614970571143</v>
      </c>
      <c r="AM113" s="0" t="n">
        <f aca="false">IF(NymexData!AC113="",VLOOKUP('Pricing Summary'!AB113,NymexData!$S$12:$U$250,3),VLOOKUP(NymexData!AA113,NymexData!$AA$12:$AC$250,3))</f>
        <v>0.185</v>
      </c>
      <c r="AO113" s="284" t="n">
        <f aca="false">AD113*24*VLOOKUP(AB113,Interest!$X$8:$AC$367,6)</f>
        <v>458.016183446759</v>
      </c>
    </row>
    <row r="114" customFormat="false" ht="12.75" hidden="false" customHeight="false" outlineLevel="0" collapsed="false">
      <c r="AB114" s="282" t="n">
        <f aca="false">[2]EnergyCurve!$D136</f>
        <v>40299</v>
      </c>
      <c r="AC114" s="2" t="n">
        <f aca="false">IF(TradeSum!$L$6=0,VLOOKUP(AB114,TradeSum!$DM$13:$DQ$252,2)+VLOOKUP(AB114,TradeSum!$DU$13:$DY$252,3),VLOOKUP(AB114,TradeSum!$DU$13:$DY$252,2)+VLOOKUP(AB114,TradeSum!$DU$13:$DY$252,3))</f>
        <v>25</v>
      </c>
      <c r="AD114" s="2" t="n">
        <f aca="false">VLOOKUP(AB114,TradeSum!$DM$13:$DR$252,6)</f>
        <v>31</v>
      </c>
      <c r="AE114" s="2" t="n">
        <f aca="false">IF(TradeSum!$L$6=0,VLOOKUP(AB114,TradeSum!$DM$13:$DQ$252,2),VLOOKUP(AB114,TradeSum!$DU$13:$DY$252,2))</f>
        <v>20</v>
      </c>
      <c r="AF114" s="283" t="n">
        <f aca="false">[2]EnergyCurve!$G136</f>
        <v>46.5955962056185</v>
      </c>
      <c r="AG114" s="283" t="n">
        <f aca="false">[2]EnergyCurve!$Y136</f>
        <v>43.1940636900287</v>
      </c>
      <c r="AH114" s="283" t="n">
        <f aca="false">[2]EnergyCurve!$AD136</f>
        <v>41.8442491997153</v>
      </c>
      <c r="AI114" s="283" t="n">
        <f aca="false">[2]EnergyCurve!$L136</f>
        <v>28.0761413985187</v>
      </c>
      <c r="AJ114" s="0" t="n">
        <f aca="false">(AE114*AF114+(AC114-AE114)*AG114)/AC114</f>
        <v>45.9152897025005</v>
      </c>
      <c r="AK114" s="0" t="n">
        <f aca="false">(AC114*16*AJ114+(AD114-AC114)*16*AH114+AD114*8*AI114)/(AD114*24)</f>
        <v>39.4436113857601</v>
      </c>
      <c r="AM114" s="0" t="n">
        <f aca="false">IF(NymexData!AC114="",VLOOKUP('Pricing Summary'!AB114,NymexData!$S$12:$U$250,3),VLOOKUP(NymexData!AA114,NymexData!$AA$12:$AC$250,3))</f>
        <v>0.185</v>
      </c>
      <c r="AO114" s="284" t="n">
        <f aca="false">AD114*24*VLOOKUP(AB114,Interest!$X$8:$AC$367,6)</f>
        <v>470.448521446178</v>
      </c>
    </row>
    <row r="115" customFormat="false" ht="12.75" hidden="false" customHeight="false" outlineLevel="0" collapsed="false">
      <c r="AB115" s="282" t="n">
        <f aca="false">[2]EnergyCurve!$D137</f>
        <v>40330</v>
      </c>
      <c r="AC115" s="2" t="n">
        <f aca="false">IF(TradeSum!$L$6=0,VLOOKUP(AB115,TradeSum!$DM$13:$DQ$252,2)+VLOOKUP(AB115,TradeSum!$DU$13:$DY$252,3),VLOOKUP(AB115,TradeSum!$DU$13:$DY$252,2)+VLOOKUP(AB115,TradeSum!$DU$13:$DY$252,3))</f>
        <v>26</v>
      </c>
      <c r="AD115" s="2" t="n">
        <f aca="false">VLOOKUP(AB115,TradeSum!$DM$13:$DR$252,6)</f>
        <v>30</v>
      </c>
      <c r="AE115" s="2" t="n">
        <f aca="false">IF(TradeSum!$L$6=0,VLOOKUP(AB115,TradeSum!$DM$13:$DQ$252,2),VLOOKUP(AB115,TradeSum!$DU$13:$DY$252,2))</f>
        <v>22</v>
      </c>
      <c r="AF115" s="283" t="n">
        <f aca="false">[2]EnergyCurve!$G137</f>
        <v>47.1250677600239</v>
      </c>
      <c r="AG115" s="283" t="n">
        <f aca="false">[2]EnergyCurve!$Y137</f>
        <v>43.6848832074381</v>
      </c>
      <c r="AH115" s="283" t="n">
        <f aca="false">[2]EnergyCurve!$AD137</f>
        <v>42.3197306072057</v>
      </c>
      <c r="AI115" s="283" t="n">
        <f aca="false">[2]EnergyCurve!$L137</f>
        <v>28.3951740848348</v>
      </c>
      <c r="AJ115" s="0" t="n">
        <f aca="false">(AE115*AF115+(AC115-AE115)*AG115)/AC115</f>
        <v>46.5958085980876</v>
      </c>
      <c r="AK115" s="0" t="n">
        <f aca="false">(AC115*16*AJ115+(AD115-AC115)*16*AH115+AD115*8*AI115)/(AD115*24)</f>
        <v>40.1488346055916</v>
      </c>
      <c r="AM115" s="0" t="n">
        <f aca="false">IF(NymexData!AC115="",VLOOKUP('Pricing Summary'!AB115,NymexData!$S$12:$U$250,3),VLOOKUP(NymexData!AA115,NymexData!$AA$12:$AC$250,3))</f>
        <v>0.185</v>
      </c>
      <c r="AO115" s="284" t="n">
        <f aca="false">AD115*24*VLOOKUP(AB115,Interest!$X$8:$AC$367,6)</f>
        <v>452.575671294896</v>
      </c>
    </row>
    <row r="116" customFormat="false" ht="12.75" hidden="false" customHeight="false" outlineLevel="0" collapsed="false">
      <c r="AB116" s="282" t="n">
        <f aca="false">[2]EnergyCurve!$D138</f>
        <v>40360</v>
      </c>
      <c r="AC116" s="2" t="n">
        <f aca="false">IF(TradeSum!$L$6=0,VLOOKUP(AB116,TradeSum!$DM$13:$DQ$252,2)+VLOOKUP(AB116,TradeSum!$DU$13:$DY$252,3),VLOOKUP(AB116,TradeSum!$DU$13:$DY$252,2)+VLOOKUP(AB116,TradeSum!$DU$13:$DY$252,3))</f>
        <v>26</v>
      </c>
      <c r="AD116" s="2" t="n">
        <f aca="false">VLOOKUP(AB116,TradeSum!$DM$13:$DR$252,6)</f>
        <v>31</v>
      </c>
      <c r="AE116" s="2" t="n">
        <f aca="false">IF(TradeSum!$L$6=0,VLOOKUP(AB116,TradeSum!$DM$13:$DQ$252,2),VLOOKUP(AB116,TradeSum!$DU$13:$DY$252,2))</f>
        <v>21</v>
      </c>
      <c r="AF116" s="283" t="n">
        <f aca="false">[2]EnergyCurve!$G138</f>
        <v>47.7460986795256</v>
      </c>
      <c r="AG116" s="283" t="n">
        <f aca="false">[2]EnergyCurve!$Y138</f>
        <v>44.2605781501976</v>
      </c>
      <c r="AH116" s="283" t="n">
        <f aca="false">[2]EnergyCurve!$AD138</f>
        <v>42.8774350830039</v>
      </c>
      <c r="AI116" s="283" t="n">
        <f aca="false">[2]EnergyCurve!$L138</f>
        <v>28.7693757976284</v>
      </c>
      <c r="AJ116" s="0" t="n">
        <f aca="false">(AE116*AF116+(AC116-AE116)*AG116)/AC116</f>
        <v>47.0758062700395</v>
      </c>
      <c r="AK116" s="0" t="n">
        <f aca="false">(AC116*16*AJ116+(AD116-AC116)*16*AH116+AD116*8*AI116)/(AD116*24)</f>
        <v>40.522225017189</v>
      </c>
      <c r="AM116" s="0" t="n">
        <f aca="false">IF(NymexData!AC116="",VLOOKUP('Pricing Summary'!AB116,NymexData!$S$12:$U$250,3),VLOOKUP(NymexData!AA116,NymexData!$AA$12:$AC$250,3))</f>
        <v>0.185</v>
      </c>
      <c r="AO116" s="284" t="n">
        <f aca="false">AD116*24*VLOOKUP(AB116,Interest!$X$8:$AC$367,6)</f>
        <v>464.832875124641</v>
      </c>
    </row>
    <row r="117" customFormat="false" ht="12.75" hidden="false" customHeight="false" outlineLevel="0" collapsed="false">
      <c r="AB117" s="282" t="n">
        <f aca="false">[2]EnergyCurve!$D139</f>
        <v>40391</v>
      </c>
      <c r="AC117" s="2" t="n">
        <f aca="false">IF(TradeSum!$L$6=0,VLOOKUP(AB117,TradeSum!$DM$13:$DQ$252,2)+VLOOKUP(AB117,TradeSum!$DU$13:$DY$252,3),VLOOKUP(AB117,TradeSum!$DU$13:$DY$252,2)+VLOOKUP(AB117,TradeSum!$DU$13:$DY$252,3))</f>
        <v>26</v>
      </c>
      <c r="AD117" s="2" t="n">
        <f aca="false">VLOOKUP(AB117,TradeSum!$DM$13:$DR$252,6)</f>
        <v>31</v>
      </c>
      <c r="AE117" s="2" t="n">
        <f aca="false">IF(TradeSum!$L$6=0,VLOOKUP(AB117,TradeSum!$DM$13:$DQ$252,2),VLOOKUP(AB117,TradeSum!$DU$13:$DY$252,2))</f>
        <v>22</v>
      </c>
      <c r="AF117" s="283" t="n">
        <f aca="false">[2]EnergyCurve!$G139</f>
        <v>48.2782057527817</v>
      </c>
      <c r="AG117" s="283" t="n">
        <f aca="false">[2]EnergyCurve!$Y139</f>
        <v>44.7538407905276</v>
      </c>
      <c r="AH117" s="283" t="n">
        <f aca="false">[2]EnergyCurve!$AD139</f>
        <v>43.3552832658236</v>
      </c>
      <c r="AI117" s="283" t="n">
        <f aca="false">[2]EnergyCurve!$L139</f>
        <v>29.089996513843</v>
      </c>
      <c r="AJ117" s="0" t="n">
        <f aca="false">(AE117*AF117+(AC117-AE117)*AG117)/AC117</f>
        <v>47.7359957585887</v>
      </c>
      <c r="AK117" s="0" t="n">
        <f aca="false">(AC117*16*AJ117+(AD117-AC117)*16*AH117+AD117*8*AI117)/(AD117*24)</f>
        <v>41.049618322946</v>
      </c>
      <c r="AM117" s="0" t="n">
        <f aca="false">IF(NymexData!AC117="",VLOOKUP('Pricing Summary'!AB117,NymexData!$S$12:$U$250,3),VLOOKUP(NymexData!AA117,NymexData!$AA$12:$AC$250,3))</f>
        <v>0.185</v>
      </c>
      <c r="AO117" s="284" t="n">
        <f aca="false">AD117*24*VLOOKUP(AB117,Interest!$X$8:$AC$367,6)</f>
        <v>461.983850416904</v>
      </c>
    </row>
    <row r="118" customFormat="false" ht="12.75" hidden="false" customHeight="false" outlineLevel="0" collapsed="false">
      <c r="AB118" s="282" t="n">
        <f aca="false">[2]EnergyCurve!$D140</f>
        <v>40422</v>
      </c>
      <c r="AC118" s="2" t="n">
        <f aca="false">IF(TradeSum!$L$6=0,VLOOKUP(AB118,TradeSum!$DM$13:$DQ$252,2)+VLOOKUP(AB118,TradeSum!$DU$13:$DY$252,3),VLOOKUP(AB118,TradeSum!$DU$13:$DY$252,2)+VLOOKUP(AB118,TradeSum!$DU$13:$DY$252,3))</f>
        <v>25</v>
      </c>
      <c r="AD118" s="2" t="n">
        <f aca="false">VLOOKUP(AB118,TradeSum!$DM$13:$DR$252,6)</f>
        <v>30</v>
      </c>
      <c r="AE118" s="2" t="n">
        <f aca="false">IF(TradeSum!$L$6=0,VLOOKUP(AB118,TradeSum!$DM$13:$DQ$252,2),VLOOKUP(AB118,TradeSum!$DU$13:$DY$252,2))</f>
        <v>21</v>
      </c>
      <c r="AF118" s="283" t="n">
        <f aca="false">[2]EnergyCurve!$G140</f>
        <v>48.2362327147414</v>
      </c>
      <c r="AG118" s="283" t="n">
        <f aca="false">[2]EnergyCurve!$Y140</f>
        <v>44.7149318329005</v>
      </c>
      <c r="AH118" s="283" t="n">
        <f aca="false">[2]EnergyCurve!$AD140</f>
        <v>43.3175902131223</v>
      </c>
      <c r="AI118" s="283" t="n">
        <f aca="false">[2]EnergyCurve!$L140</f>
        <v>29.0647056913853</v>
      </c>
      <c r="AJ118" s="0" t="n">
        <f aca="false">(AE118*AF118+(AC118-AE118)*AG118)/AC118</f>
        <v>47.6728245736468</v>
      </c>
      <c r="AK118" s="0" t="n">
        <f aca="false">(AC118*16*AJ118+(AD118-AC118)*16*AH118+AD118*8*AI118)/(AD118*24)</f>
        <v>40.9862033506125</v>
      </c>
      <c r="AM118" s="0" t="n">
        <f aca="false">IF(NymexData!AC118="",VLOOKUP('Pricing Summary'!AB118,NymexData!$S$12:$U$250,3),VLOOKUP(NymexData!AA118,NymexData!$AA$12:$AC$250,3))</f>
        <v>0.185</v>
      </c>
      <c r="AO118" s="284" t="n">
        <f aca="false">AD118*24*VLOOKUP(AB118,Interest!$X$8:$AC$367,6)</f>
        <v>444.39300527885</v>
      </c>
    </row>
    <row r="119" customFormat="false" ht="12.75" hidden="false" customHeight="false" outlineLevel="0" collapsed="false">
      <c r="AB119" s="282" t="n">
        <f aca="false">[2]EnergyCurve!$D141</f>
        <v>40452</v>
      </c>
      <c r="AC119" s="2" t="n">
        <f aca="false">IF(TradeSum!$L$6=0,VLOOKUP(AB119,TradeSum!$DM$13:$DQ$252,2)+VLOOKUP(AB119,TradeSum!$DU$13:$DY$252,3),VLOOKUP(AB119,TradeSum!$DU$13:$DY$252,2)+VLOOKUP(AB119,TradeSum!$DU$13:$DY$252,3))</f>
        <v>26</v>
      </c>
      <c r="AD119" s="2" t="n">
        <f aca="false">VLOOKUP(AB119,TradeSum!$DM$13:$DR$252,6)</f>
        <v>31</v>
      </c>
      <c r="AE119" s="2" t="n">
        <f aca="false">IF(TradeSum!$L$6=0,VLOOKUP(AB119,TradeSum!$DM$13:$DQ$252,2),VLOOKUP(AB119,TradeSum!$DU$13:$DY$252,2))</f>
        <v>21</v>
      </c>
      <c r="AF119" s="283" t="n">
        <f aca="false">[2]EnergyCurve!$G141</f>
        <v>48.2720459310668</v>
      </c>
      <c r="AG119" s="283" t="n">
        <f aca="false">[2]EnergyCurve!$Y141</f>
        <v>44.7481306429357</v>
      </c>
      <c r="AH119" s="283" t="n">
        <f aca="false">[2]EnergyCurve!$AD141</f>
        <v>43.3497515603439</v>
      </c>
      <c r="AI119" s="283" t="n">
        <f aca="false">[2]EnergyCurve!$L141</f>
        <v>29.0862849179082</v>
      </c>
      <c r="AJ119" s="0" t="n">
        <f aca="false">(AE119*AF119+(AC119-AE119)*AG119)/AC119</f>
        <v>47.5943699141185</v>
      </c>
      <c r="AK119" s="0" t="n">
        <f aca="false">(AC119*16*AJ119+(AD119-AC119)*16*AH119+AD119*8*AI119)/(AD119*24)</f>
        <v>40.9685976730404</v>
      </c>
      <c r="AM119" s="0" t="n">
        <f aca="false">IF(NymexData!AC119="",VLOOKUP('Pricing Summary'!AB119,NymexData!$S$12:$U$250,3),VLOOKUP(NymexData!AA119,NymexData!$AA$12:$AC$250,3))</f>
        <v>0.185</v>
      </c>
      <c r="AO119" s="284" t="n">
        <f aca="false">AD119*24*VLOOKUP(AB119,Interest!$X$8:$AC$367,6)</f>
        <v>456.387950056342</v>
      </c>
    </row>
    <row r="120" customFormat="false" ht="12.75" hidden="false" customHeight="false" outlineLevel="0" collapsed="false">
      <c r="AB120" s="282" t="n">
        <f aca="false">[2]EnergyCurve!$D142</f>
        <v>40483</v>
      </c>
      <c r="AC120" s="2" t="n">
        <f aca="false">IF(TradeSum!$L$6=0,VLOOKUP(AB120,TradeSum!$DM$13:$DQ$252,2)+VLOOKUP(AB120,TradeSum!$DU$13:$DY$252,3),VLOOKUP(AB120,TradeSum!$DU$13:$DY$252,2)+VLOOKUP(AB120,TradeSum!$DU$13:$DY$252,3))</f>
        <v>25</v>
      </c>
      <c r="AD120" s="2" t="n">
        <f aca="false">VLOOKUP(AB120,TradeSum!$DM$13:$DR$252,6)</f>
        <v>30</v>
      </c>
      <c r="AE120" s="2" t="n">
        <f aca="false">IF(TradeSum!$L$6=0,VLOOKUP(AB120,TradeSum!$DM$13:$DQ$252,2),VLOOKUP(AB120,TradeSum!$DU$13:$DY$252,2))</f>
        <v>21</v>
      </c>
      <c r="AF120" s="283" t="n">
        <f aca="false">[2]EnergyCurve!$G142</f>
        <v>50.6540567970746</v>
      </c>
      <c r="AG120" s="283" t="n">
        <f aca="false">[2]EnergyCurve!$Y142</f>
        <v>46.9562519555732</v>
      </c>
      <c r="AH120" s="283" t="n">
        <f aca="false">[2]EnergyCurve!$AD142</f>
        <v>45.4888690819615</v>
      </c>
      <c r="AI120" s="283" t="n">
        <f aca="false">[2]EnergyCurve!$L142</f>
        <v>30.5215637711226</v>
      </c>
      <c r="AJ120" s="0" t="n">
        <f aca="false">(AE120*AF120+(AC120-AE120)*AG120)/AC120</f>
        <v>50.0624080224344</v>
      </c>
      <c r="AK120" s="0" t="n">
        <f aca="false">(AC120*16*AJ120+(AD120-AC120)*16*AH120+AD120*8*AI120)/(AD120*24)</f>
        <v>43.0406222786112</v>
      </c>
      <c r="AM120" s="0" t="n">
        <f aca="false">IF(NymexData!AC120="",VLOOKUP('Pricing Summary'!AB120,NymexData!$S$12:$U$250,3),VLOOKUP(NymexData!AA120,NymexData!$AA$12:$AC$250,3))</f>
        <v>0.185</v>
      </c>
      <c r="AO120" s="284" t="n">
        <f aca="false">AD120*24*VLOOKUP(AB120,Interest!$X$8:$AC$367,6)</f>
        <v>438.984265804906</v>
      </c>
    </row>
    <row r="121" customFormat="false" ht="12.75" hidden="false" customHeight="false" outlineLevel="0" collapsed="false">
      <c r="AB121" s="282" t="n">
        <f aca="false">[2]EnergyCurve!$D143</f>
        <v>40513</v>
      </c>
      <c r="AC121" s="2" t="n">
        <f aca="false">IF(TradeSum!$L$6=0,VLOOKUP(AB121,TradeSum!$DM$13:$DQ$252,2)+VLOOKUP(AB121,TradeSum!$DU$13:$DY$252,3),VLOOKUP(AB121,TradeSum!$DU$13:$DY$252,2)+VLOOKUP(AB121,TradeSum!$DU$13:$DY$252,3))</f>
        <v>26</v>
      </c>
      <c r="AD121" s="2" t="n">
        <f aca="false">VLOOKUP(AB121,TradeSum!$DM$13:$DR$252,6)</f>
        <v>31</v>
      </c>
      <c r="AE121" s="2" t="n">
        <f aca="false">IF(TradeSum!$L$6=0,VLOOKUP(AB121,TradeSum!$DM$13:$DQ$252,2),VLOOKUP(AB121,TradeSum!$DU$13:$DY$252,2))</f>
        <v>23</v>
      </c>
      <c r="AF121" s="283" t="n">
        <f aca="false">[2]EnergyCurve!$G143</f>
        <v>52.6850985862745</v>
      </c>
      <c r="AG121" s="283" t="n">
        <f aca="false">[2]EnergyCurve!$Y143</f>
        <v>48.8390253406947</v>
      </c>
      <c r="AH121" s="283" t="n">
        <f aca="false">[2]EnergyCurve!$AD143</f>
        <v>47.312805798798</v>
      </c>
      <c r="AI121" s="283" t="n">
        <f aca="false">[2]EnergyCurve!$L143</f>
        <v>31.7453664714516</v>
      </c>
      <c r="AJ121" s="0" t="n">
        <f aca="false">(AE121*AF121+(AC121-AE121)*AG121)/AC121</f>
        <v>52.2413209040922</v>
      </c>
      <c r="AK121" s="0" t="n">
        <f aca="false">(AC121*16*AJ121+(AD121-AC121)*16*AH121+AD121*8*AI121)/(AD121*24)</f>
        <v>44.8793882324277</v>
      </c>
      <c r="AM121" s="0" t="n">
        <f aca="false">IF(NymexData!AC121="",VLOOKUP('Pricing Summary'!AB121,NymexData!$S$12:$U$250,3),VLOOKUP(NymexData!AA121,NymexData!$AA$12:$AC$250,3))</f>
        <v>0.185</v>
      </c>
      <c r="AO121" s="284" t="n">
        <f aca="false">AD121*24*VLOOKUP(AB121,Interest!$X$8:$AC$367,6)</f>
        <v>450.80660787774</v>
      </c>
    </row>
    <row r="122" customFormat="false" ht="12.75" hidden="false" customHeight="false" outlineLevel="0" collapsed="false">
      <c r="AB122" s="282" t="n">
        <f aca="false">[2]EnergyCurve!$D144</f>
        <v>40544</v>
      </c>
      <c r="AC122" s="2" t="n">
        <f aca="false">IF(TradeSum!$L$6=0,VLOOKUP(AB122,TradeSum!$DM$13:$DQ$252,2)+VLOOKUP(AB122,TradeSum!$DU$13:$DY$252,3),VLOOKUP(AB122,TradeSum!$DU$13:$DY$252,2)+VLOOKUP(AB122,TradeSum!$DU$13:$DY$252,3))</f>
        <v>25</v>
      </c>
      <c r="AD122" s="2" t="n">
        <f aca="false">VLOOKUP(AB122,TradeSum!$DM$13:$DR$252,6)</f>
        <v>31</v>
      </c>
      <c r="AE122" s="2" t="n">
        <f aca="false">IF(TradeSum!$L$6=0,VLOOKUP(AB122,TradeSum!$DM$13:$DQ$252,2),VLOOKUP(AB122,TradeSum!$DU$13:$DY$252,2))</f>
        <v>21</v>
      </c>
      <c r="AF122" s="283" t="n">
        <f aca="false">[2]EnergyCurve!$G144</f>
        <v>42.7704012252907</v>
      </c>
      <c r="AG122" s="283" t="n">
        <f aca="false">[2]EnergyCurve!$Y144</f>
        <v>40.6318811640262</v>
      </c>
      <c r="AH122" s="283" t="n">
        <f aca="false">[2]EnergyCurve!$AD144</f>
        <v>27.800760796439</v>
      </c>
      <c r="AI122" s="283" t="n">
        <f aca="false">[2]EnergyCurve!$L144</f>
        <v>27.800760796439</v>
      </c>
      <c r="AJ122" s="0" t="n">
        <f aca="false">(AE122*AF122+(AC122-AE122)*AG122)/AC122</f>
        <v>42.4282380154884</v>
      </c>
      <c r="AK122" s="0" t="n">
        <f aca="false">(AC122*16*AJ122+(AD122-AC122)*16*AH122+AD122*8*AI122)/(AD122*24)</f>
        <v>35.664995860444</v>
      </c>
      <c r="AM122" s="0" t="n">
        <f aca="false">IF(NymexData!AC122="",VLOOKUP('Pricing Summary'!AB122,NymexData!$S$12:$U$250,3),VLOOKUP(NymexData!AA122,NymexData!$AA$12:$AC$250,3))</f>
        <v>0.185</v>
      </c>
      <c r="AO122" s="284" t="n">
        <f aca="false">AD122*24*VLOOKUP(AB122,Interest!$X$8:$AC$367,6)</f>
        <v>447.976135070192</v>
      </c>
    </row>
    <row r="123" customFormat="false" ht="12.75" hidden="false" customHeight="false" outlineLevel="0" collapsed="false">
      <c r="AB123" s="282" t="n">
        <f aca="false">[2]EnergyCurve!$D145</f>
        <v>40575</v>
      </c>
      <c r="AC123" s="2" t="n">
        <f aca="false">IF(TradeSum!$L$6=0,VLOOKUP(AB123,TradeSum!$DM$13:$DQ$252,2)+VLOOKUP(AB123,TradeSum!$DU$13:$DY$252,3),VLOOKUP(AB123,TradeSum!$DU$13:$DY$252,2)+VLOOKUP(AB123,TradeSum!$DU$13:$DY$252,3))</f>
        <v>24</v>
      </c>
      <c r="AD123" s="2" t="n">
        <f aca="false">VLOOKUP(AB123,TradeSum!$DM$13:$DR$252,6)</f>
        <v>28</v>
      </c>
      <c r="AE123" s="2" t="n">
        <f aca="false">IF(TradeSum!$L$6=0,VLOOKUP(AB123,TradeSum!$DM$13:$DQ$252,2),VLOOKUP(AB123,TradeSum!$DU$13:$DY$252,2))</f>
        <v>20</v>
      </c>
      <c r="AF123" s="283" t="n">
        <f aca="false">[2]EnergyCurve!$G145</f>
        <v>41.8501848985973</v>
      </c>
      <c r="AG123" s="283" t="n">
        <f aca="false">[2]EnergyCurve!$Y145</f>
        <v>39.7576756536675</v>
      </c>
      <c r="AH123" s="283" t="n">
        <f aca="false">[2]EnergyCurve!$AD145</f>
        <v>27.2026201840883</v>
      </c>
      <c r="AI123" s="283" t="n">
        <f aca="false">[2]EnergyCurve!$L145</f>
        <v>27.2026201840883</v>
      </c>
      <c r="AJ123" s="0" t="n">
        <f aca="false">(AE123*AF123+(AC123-AE123)*AG123)/AC123</f>
        <v>41.5014333577757</v>
      </c>
      <c r="AK123" s="0" t="n">
        <f aca="false">(AC123*16*AJ123+(AD123-AC123)*16*AH123+AD123*8*AI123)/(AD123*24)</f>
        <v>35.3733705690525</v>
      </c>
      <c r="AM123" s="0" t="n">
        <f aca="false">IF(NymexData!AC123="",VLOOKUP('Pricing Summary'!AB123,NymexData!$S$12:$U$250,3),VLOOKUP(NymexData!AA123,NymexData!$AA$12:$AC$250,3))</f>
        <v>0.185</v>
      </c>
      <c r="AO123" s="284" t="n">
        <f aca="false">AD123*24*VLOOKUP(AB123,Interest!$X$8:$AC$367,6)</f>
        <v>402.251989254493</v>
      </c>
    </row>
    <row r="124" customFormat="false" ht="12.75" hidden="false" customHeight="false" outlineLevel="0" collapsed="false">
      <c r="AB124" s="282" t="n">
        <f aca="false">[2]EnergyCurve!$D146</f>
        <v>40603</v>
      </c>
      <c r="AC124" s="2" t="n">
        <f aca="false">IF(TradeSum!$L$6=0,VLOOKUP(AB124,TradeSum!$DM$13:$DQ$252,2)+VLOOKUP(AB124,TradeSum!$DU$13:$DY$252,3),VLOOKUP(AB124,TradeSum!$DU$13:$DY$252,2)+VLOOKUP(AB124,TradeSum!$DU$13:$DY$252,3))</f>
        <v>27</v>
      </c>
      <c r="AD124" s="2" t="n">
        <f aca="false">VLOOKUP(AB124,TradeSum!$DM$13:$DR$252,6)</f>
        <v>31</v>
      </c>
      <c r="AE124" s="2" t="n">
        <f aca="false">IF(TradeSum!$L$6=0,VLOOKUP(AB124,TradeSum!$DM$13:$DQ$252,2),VLOOKUP(AB124,TradeSum!$DU$13:$DY$252,2))</f>
        <v>23</v>
      </c>
      <c r="AF124" s="283" t="n">
        <f aca="false">[2]EnergyCurve!$G146</f>
        <v>40.3802433423855</v>
      </c>
      <c r="AG124" s="283" t="n">
        <f aca="false">[2]EnergyCurve!$Y146</f>
        <v>38.3612311752662</v>
      </c>
      <c r="AH124" s="283" t="n">
        <f aca="false">[2]EnergyCurve!$AD146</f>
        <v>26.2471581725506</v>
      </c>
      <c r="AI124" s="283" t="n">
        <f aca="false">[2]EnergyCurve!$L146</f>
        <v>26.2471581725506</v>
      </c>
      <c r="AJ124" s="0" t="n">
        <f aca="false">(AE124*AF124+(AC124-AE124)*AG124)/AC124</f>
        <v>40.0811304287382</v>
      </c>
      <c r="AK124" s="0" t="n">
        <f aca="false">(AC124*16*AJ124+(AD124-AC124)*16*AH124+AD124*8*AI124)/(AD124*24)</f>
        <v>34.2797872245305</v>
      </c>
      <c r="AM124" s="0" t="n">
        <f aca="false">IF(NymexData!AC124="",VLOOKUP('Pricing Summary'!AB124,NymexData!$S$12:$U$250,3),VLOOKUP(NymexData!AA124,NymexData!$AA$12:$AC$250,3))</f>
        <v>0.18</v>
      </c>
      <c r="AO124" s="284" t="n">
        <f aca="false">AD124*24*VLOOKUP(AB124,Interest!$X$8:$AC$367,6)</f>
        <v>442.600844250358</v>
      </c>
    </row>
    <row r="125" customFormat="false" ht="12.75" hidden="false" customHeight="false" outlineLevel="0" collapsed="false">
      <c r="AB125" s="282" t="n">
        <f aca="false">[2]EnergyCurve!$D147</f>
        <v>40634</v>
      </c>
      <c r="AC125" s="2" t="n">
        <f aca="false">IF(TradeSum!$L$6=0,VLOOKUP(AB125,TradeSum!$DM$13:$DQ$252,2)+VLOOKUP(AB125,TradeSum!$DU$13:$DY$252,3),VLOOKUP(AB125,TradeSum!$DU$13:$DY$252,2)+VLOOKUP(AB125,TradeSum!$DU$13:$DY$252,3))</f>
        <v>26</v>
      </c>
      <c r="AD125" s="2" t="n">
        <f aca="false">VLOOKUP(AB125,TradeSum!$DM$13:$DR$252,6)</f>
        <v>30</v>
      </c>
      <c r="AE125" s="2" t="n">
        <f aca="false">IF(TradeSum!$L$6=0,VLOOKUP(AB125,TradeSum!$DM$13:$DQ$252,2),VLOOKUP(AB125,TradeSum!$DU$13:$DY$252,2))</f>
        <v>21</v>
      </c>
      <c r="AF125" s="283" t="n">
        <f aca="false">[2]EnergyCurve!$G147</f>
        <v>37.7845557390769</v>
      </c>
      <c r="AG125" s="283" t="n">
        <f aca="false">[2]EnergyCurve!$Y147</f>
        <v>35.895327952123</v>
      </c>
      <c r="AH125" s="283" t="n">
        <f aca="false">[2]EnergyCurve!$AD147</f>
        <v>24.5599612304</v>
      </c>
      <c r="AI125" s="283" t="n">
        <f aca="false">[2]EnergyCurve!$L147</f>
        <v>24.5599612304</v>
      </c>
      <c r="AJ125" s="0" t="n">
        <f aca="false">(AE125*AF125+(AC125-AE125)*AG125)/AC125</f>
        <v>37.4212427031242</v>
      </c>
      <c r="AK125" s="0" t="n">
        <f aca="false">(AC125*16*AJ125+(AD125-AC125)*16*AH125+AD125*8*AI125)/(AD125*24)</f>
        <v>31.9909238590851</v>
      </c>
      <c r="AM125" s="0" t="n">
        <f aca="false">IF(NymexData!AC125="",VLOOKUP('Pricing Summary'!AB125,NymexData!$S$12:$U$250,3),VLOOKUP(NymexData!AA125,NymexData!$AA$12:$AC$250,3))</f>
        <v>0.18</v>
      </c>
      <c r="AO125" s="284" t="n">
        <f aca="false">AD125*24*VLOOKUP(AB125,Interest!$X$8:$AC$367,6)</f>
        <v>425.660739165786</v>
      </c>
    </row>
    <row r="126" customFormat="false" ht="12.75" hidden="false" customHeight="false" outlineLevel="0" collapsed="false">
      <c r="AB126" s="282" t="n">
        <f aca="false">[2]EnergyCurve!$D148</f>
        <v>40664</v>
      </c>
      <c r="AC126" s="2" t="n">
        <f aca="false">IF(TradeSum!$L$6=0,VLOOKUP(AB126,TradeSum!$DM$13:$DQ$252,2)+VLOOKUP(AB126,TradeSum!$DU$13:$DY$252,3),VLOOKUP(AB126,TradeSum!$DU$13:$DY$252,2)+VLOOKUP(AB126,TradeSum!$DU$13:$DY$252,3))</f>
        <v>25</v>
      </c>
      <c r="AD126" s="2" t="n">
        <f aca="false">VLOOKUP(AB126,TradeSum!$DM$13:$DR$252,6)</f>
        <v>31</v>
      </c>
      <c r="AE126" s="2" t="n">
        <f aca="false">IF(TradeSum!$L$6=0,VLOOKUP(AB126,TradeSum!$DM$13:$DQ$252,2),VLOOKUP(AB126,TradeSum!$DU$13:$DY$252,2))</f>
        <v>21</v>
      </c>
      <c r="AF126" s="283" t="n">
        <f aca="false">[2]EnergyCurve!$G148</f>
        <v>37.8592362027232</v>
      </c>
      <c r="AG126" s="283" t="n">
        <f aca="false">[2]EnergyCurve!$Y148</f>
        <v>35.966274392587</v>
      </c>
      <c r="AH126" s="283" t="n">
        <f aca="false">[2]EnergyCurve!$AD148</f>
        <v>24.6085035317701</v>
      </c>
      <c r="AI126" s="283" t="n">
        <f aca="false">[2]EnergyCurve!$L148</f>
        <v>24.6085035317701</v>
      </c>
      <c r="AJ126" s="0" t="n">
        <f aca="false">(AE126*AF126+(AC126-AE126)*AG126)/AC126</f>
        <v>37.5563623131014</v>
      </c>
      <c r="AK126" s="0" t="n">
        <f aca="false">(AC126*16*AJ126+(AD126-AC126)*16*AH126+AD126*8*AI126)/(AD126*24)</f>
        <v>31.5697179303353</v>
      </c>
      <c r="AM126" s="0" t="n">
        <f aca="false">IF(NymexData!AC126="",VLOOKUP('Pricing Summary'!AB126,NymexData!$S$12:$U$250,3),VLOOKUP(NymexData!AA126,NymexData!$AA$12:$AC$250,3))</f>
        <v>0.18</v>
      </c>
      <c r="AO126" s="284" t="n">
        <f aca="false">AD126*24*VLOOKUP(AB126,Interest!$X$8:$AC$367,6)</f>
        <v>437.060424786704</v>
      </c>
    </row>
    <row r="127" customFormat="false" ht="12.75" hidden="false" customHeight="false" outlineLevel="0" collapsed="false">
      <c r="AB127" s="282" t="n">
        <f aca="false">[2]EnergyCurve!$D149</f>
        <v>40695</v>
      </c>
      <c r="AC127" s="2" t="n">
        <f aca="false">IF(TradeSum!$L$6=0,VLOOKUP(AB127,TradeSum!$DM$13:$DQ$252,2)+VLOOKUP(AB127,TradeSum!$DU$13:$DY$252,3),VLOOKUP(AB127,TradeSum!$DU$13:$DY$252,2)+VLOOKUP(AB127,TradeSum!$DU$13:$DY$252,3))</f>
        <v>26</v>
      </c>
      <c r="AD127" s="2" t="n">
        <f aca="false">VLOOKUP(AB127,TradeSum!$DM$13:$DR$252,6)</f>
        <v>30</v>
      </c>
      <c r="AE127" s="2" t="n">
        <f aca="false">IF(TradeSum!$L$6=0,VLOOKUP(AB127,TradeSum!$DM$13:$DQ$252,2),VLOOKUP(AB127,TradeSum!$DU$13:$DY$252,2))</f>
        <v>22</v>
      </c>
      <c r="AF127" s="283" t="n">
        <f aca="false">[2]EnergyCurve!$G149</f>
        <v>38.2896558608696</v>
      </c>
      <c r="AG127" s="283" t="n">
        <f aca="false">[2]EnergyCurve!$Y149</f>
        <v>36.3751730678261</v>
      </c>
      <c r="AH127" s="283" t="n">
        <f aca="false">[2]EnergyCurve!$AD149</f>
        <v>24.8882763095652</v>
      </c>
      <c r="AI127" s="283" t="n">
        <f aca="false">[2]EnergyCurve!$L149</f>
        <v>24.8882763095652</v>
      </c>
      <c r="AJ127" s="0" t="n">
        <f aca="false">(AE127*AF127+(AC127-AE127)*AG127)/AC127</f>
        <v>37.9951200465552</v>
      </c>
      <c r="AK127" s="0" t="n">
        <f aca="false">(AC127*16*AJ127+(AD127-AC127)*16*AH127+AD127*8*AI127)/(AD127*24)</f>
        <v>32.4611193576039</v>
      </c>
      <c r="AM127" s="0" t="n">
        <f aca="false">IF(NymexData!AC127="",VLOOKUP('Pricing Summary'!AB127,NymexData!$S$12:$U$250,3),VLOOKUP(NymexData!AA127,NymexData!$AA$12:$AC$250,3))</f>
        <v>0.18</v>
      </c>
      <c r="AO127" s="284" t="n">
        <f aca="false">AD127*24*VLOOKUP(AB127,Interest!$X$8:$AC$367,6)</f>
        <v>420.307586379829</v>
      </c>
    </row>
    <row r="128" customFormat="false" ht="12.75" hidden="false" customHeight="false" outlineLevel="0" collapsed="false">
      <c r="AB128" s="282" t="n">
        <f aca="false">[2]EnergyCurve!$D150</f>
        <v>40725</v>
      </c>
      <c r="AC128" s="2" t="n">
        <f aca="false">IF(TradeSum!$L$6=0,VLOOKUP(AB128,TradeSum!$DM$13:$DQ$252,2)+VLOOKUP(AB128,TradeSum!$DU$13:$DY$252,3),VLOOKUP(AB128,TradeSum!$DU$13:$DY$252,2)+VLOOKUP(AB128,TradeSum!$DU$13:$DY$252,3))</f>
        <v>25</v>
      </c>
      <c r="AD128" s="2" t="n">
        <f aca="false">VLOOKUP(AB128,TradeSum!$DM$13:$DR$252,6)</f>
        <v>31</v>
      </c>
      <c r="AE128" s="2" t="n">
        <f aca="false">IF(TradeSum!$L$6=0,VLOOKUP(AB128,TradeSum!$DM$13:$DQ$252,2),VLOOKUP(AB128,TradeSum!$DU$13:$DY$252,2))</f>
        <v>20</v>
      </c>
      <c r="AF128" s="283" t="n">
        <f aca="false">[2]EnergyCurve!$G150</f>
        <v>38.7955092858914</v>
      </c>
      <c r="AG128" s="283" t="n">
        <f aca="false">[2]EnergyCurve!$Y150</f>
        <v>36.8557338215968</v>
      </c>
      <c r="AH128" s="283" t="n">
        <f aca="false">[2]EnergyCurve!$AD150</f>
        <v>25.2170810358294</v>
      </c>
      <c r="AI128" s="283" t="n">
        <f aca="false">[2]EnergyCurve!$L150</f>
        <v>25.2170810358294</v>
      </c>
      <c r="AJ128" s="0" t="n">
        <f aca="false">(AE128*AF128+(AC128-AE128)*AG128)/AC128</f>
        <v>38.4075541930324</v>
      </c>
      <c r="AK128" s="0" t="n">
        <f aca="false">(AC128*16*AJ128+(AD128-AC128)*16*AH128+AD128*8*AI128)/(AD128*24)</f>
        <v>32.3087332708848</v>
      </c>
      <c r="AM128" s="0" t="n">
        <f aca="false">IF(NymexData!AC128="",VLOOKUP('Pricing Summary'!AB128,NymexData!$S$12:$U$250,3),VLOOKUP(NymexData!AA128,NymexData!$AA$12:$AC$250,3))</f>
        <v>0.18</v>
      </c>
      <c r="AO128" s="284" t="n">
        <f aca="false">AD128*24*VLOOKUP(AB128,Interest!$X$8:$AC$367,6)</f>
        <v>431.538457820022</v>
      </c>
    </row>
    <row r="129" customFormat="false" ht="12.75" hidden="false" customHeight="false" outlineLevel="0" collapsed="false">
      <c r="AB129" s="282" t="n">
        <f aca="false">[2]EnergyCurve!$D151</f>
        <v>40756</v>
      </c>
      <c r="AC129" s="2" t="n">
        <f aca="false">IF(TradeSum!$L$6=0,VLOOKUP(AB129,TradeSum!$DM$13:$DQ$252,2)+VLOOKUP(AB129,TradeSum!$DU$13:$DY$252,3),VLOOKUP(AB129,TradeSum!$DU$13:$DY$252,2)+VLOOKUP(AB129,TradeSum!$DU$13:$DY$252,3))</f>
        <v>27</v>
      </c>
      <c r="AD129" s="2" t="n">
        <f aca="false">VLOOKUP(AB129,TradeSum!$DM$13:$DR$252,6)</f>
        <v>31</v>
      </c>
      <c r="AE129" s="2" t="n">
        <f aca="false">IF(TradeSum!$L$6=0,VLOOKUP(AB129,TradeSum!$DM$13:$DQ$252,2),VLOOKUP(AB129,TradeSum!$DU$13:$DY$252,2))</f>
        <v>23</v>
      </c>
      <c r="AF129" s="283" t="n">
        <f aca="false">[2]EnergyCurve!$G151</f>
        <v>39.227844575025</v>
      </c>
      <c r="AG129" s="283" t="n">
        <f aca="false">[2]EnergyCurve!$Y151</f>
        <v>37.2664523462738</v>
      </c>
      <c r="AH129" s="283" t="n">
        <f aca="false">[2]EnergyCurve!$AD151</f>
        <v>25.4980989737663</v>
      </c>
      <c r="AI129" s="283" t="n">
        <f aca="false">[2]EnergyCurve!$L151</f>
        <v>25.4980989737663</v>
      </c>
      <c r="AJ129" s="0" t="n">
        <f aca="false">(AE129*AF129+(AC129-AE129)*AG129)/AC129</f>
        <v>38.9372679485434</v>
      </c>
      <c r="AK129" s="0" t="n">
        <f aca="false">(AC129*16*AJ129+(AD129-AC129)*16*AH129+AD129*8*AI129)/(AD129*24)</f>
        <v>33.3014874107336</v>
      </c>
      <c r="AM129" s="0" t="n">
        <f aca="false">IF(NymexData!AC129="",VLOOKUP('Pricing Summary'!AB129,NymexData!$S$12:$U$250,3),VLOOKUP(NymexData!AA129,NymexData!$AA$12:$AC$250,3))</f>
        <v>0.18</v>
      </c>
      <c r="AO129" s="284" t="n">
        <f aca="false">AD129*24*VLOOKUP(AB129,Interest!$X$8:$AC$367,6)</f>
        <v>428.73962897056</v>
      </c>
    </row>
    <row r="130" customFormat="false" ht="12.75" hidden="false" customHeight="false" outlineLevel="0" collapsed="false">
      <c r="AB130" s="282" t="n">
        <f aca="false">[2]EnergyCurve!$D152</f>
        <v>40787</v>
      </c>
      <c r="AC130" s="2" t="n">
        <f aca="false">IF(TradeSum!$L$6=0,VLOOKUP(AB130,TradeSum!$DM$13:$DQ$252,2)+VLOOKUP(AB130,TradeSum!$DU$13:$DY$252,3),VLOOKUP(AB130,TradeSum!$DU$13:$DY$252,2)+VLOOKUP(AB130,TradeSum!$DU$13:$DY$252,3))</f>
        <v>25</v>
      </c>
      <c r="AD130" s="2" t="n">
        <f aca="false">VLOOKUP(AB130,TradeSum!$DM$13:$DR$252,6)</f>
        <v>30</v>
      </c>
      <c r="AE130" s="2" t="n">
        <f aca="false">IF(TradeSum!$L$6=0,VLOOKUP(AB130,TradeSum!$DM$13:$DQ$252,2),VLOOKUP(AB130,TradeSum!$DU$13:$DY$252,2))</f>
        <v>21</v>
      </c>
      <c r="AF130" s="283" t="n">
        <f aca="false">[2]EnergyCurve!$G152</f>
        <v>39.1875838973285</v>
      </c>
      <c r="AG130" s="283" t="n">
        <f aca="false">[2]EnergyCurve!$Y152</f>
        <v>37.228204702462</v>
      </c>
      <c r="AH130" s="283" t="n">
        <f aca="false">[2]EnergyCurve!$AD152</f>
        <v>25.4719295332635</v>
      </c>
      <c r="AI130" s="283" t="n">
        <f aca="false">[2]EnergyCurve!$L152</f>
        <v>25.4719295332635</v>
      </c>
      <c r="AJ130" s="0" t="n">
        <f aca="false">(AE130*AF130+(AC130-AE130)*AG130)/AC130</f>
        <v>38.8740832261498</v>
      </c>
      <c r="AK130" s="0" t="n">
        <f aca="false">(AC130*16*AJ130+(AD130-AC130)*16*AH130+AD130*8*AI130)/(AD130*24)</f>
        <v>32.9175704737559</v>
      </c>
      <c r="AM130" s="0" t="n">
        <f aca="false">IF(NymexData!AC130="",VLOOKUP('Pricing Summary'!AB130,NymexData!$S$12:$U$250,3),VLOOKUP(NymexData!AA130,NymexData!$AA$12:$AC$250,3))</f>
        <v>0.18</v>
      </c>
      <c r="AO130" s="284" t="n">
        <f aca="false">AD130*24*VLOOKUP(AB130,Interest!$X$8:$AC$367,6)</f>
        <v>412.269075137228</v>
      </c>
    </row>
    <row r="131" customFormat="false" ht="12.75" hidden="false" customHeight="false" outlineLevel="0" collapsed="false">
      <c r="AB131" s="282" t="n">
        <f aca="false">[2]EnergyCurve!$D153</f>
        <v>40817</v>
      </c>
      <c r="AC131" s="2" t="n">
        <f aca="false">IF(TradeSum!$L$6=0,VLOOKUP(AB131,TradeSum!$DM$13:$DQ$252,2)+VLOOKUP(AB131,TradeSum!$DU$13:$DY$252,3),VLOOKUP(AB131,TradeSum!$DU$13:$DY$252,2)+VLOOKUP(AB131,TradeSum!$DU$13:$DY$252,3))</f>
        <v>26</v>
      </c>
      <c r="AD131" s="2" t="n">
        <f aca="false">VLOOKUP(AB131,TradeSum!$DM$13:$DR$252,6)</f>
        <v>31</v>
      </c>
      <c r="AE131" s="2" t="n">
        <f aca="false">IF(TradeSum!$L$6=0,VLOOKUP(AB131,TradeSum!$DM$13:$DQ$252,2),VLOOKUP(AB131,TradeSum!$DU$13:$DY$252,2))</f>
        <v>21</v>
      </c>
      <c r="AF131" s="283" t="n">
        <f aca="false">[2]EnergyCurve!$G153</f>
        <v>39.2115229951658</v>
      </c>
      <c r="AG131" s="283" t="n">
        <f aca="false">[2]EnergyCurve!$Y153</f>
        <v>37.2509468454075</v>
      </c>
      <c r="AH131" s="283" t="n">
        <f aca="false">[2]EnergyCurve!$AD153</f>
        <v>25.4874899468578</v>
      </c>
      <c r="AI131" s="283" t="n">
        <f aca="false">[2]EnergyCurve!$L153</f>
        <v>25.4874899468578</v>
      </c>
      <c r="AJ131" s="0" t="n">
        <f aca="false">(AE131*AF131+(AC131-AE131)*AG131)/AC131</f>
        <v>38.8344891202123</v>
      </c>
      <c r="AK131" s="0" t="n">
        <f aca="false">(AC131*16*AJ131+(AD131-AC131)*16*AH131+AD131*8*AI131)/(AD131*24)</f>
        <v>32.9503281943248</v>
      </c>
      <c r="AM131" s="0" t="n">
        <f aca="false">IF(NymexData!AC131="",VLOOKUP('Pricing Summary'!AB131,NymexData!$S$12:$U$250,3),VLOOKUP(NymexData!AA131,NymexData!$AA$12:$AC$250,3))</f>
        <v>0.18</v>
      </c>
      <c r="AO131" s="284" t="n">
        <f aca="false">AD131*24*VLOOKUP(AB131,Interest!$X$8:$AC$367,6)</f>
        <v>423.247517614839</v>
      </c>
    </row>
    <row r="132" customFormat="false" ht="12.75" hidden="false" customHeight="false" outlineLevel="0" collapsed="false">
      <c r="AB132" s="282" t="n">
        <f aca="false">[2]EnergyCurve!$D154</f>
        <v>40848</v>
      </c>
      <c r="AC132" s="2" t="n">
        <f aca="false">IF(TradeSum!$L$6=0,VLOOKUP(AB132,TradeSum!$DM$13:$DQ$252,2)+VLOOKUP(AB132,TradeSum!$DU$13:$DY$252,3),VLOOKUP(AB132,TradeSum!$DU$13:$DY$252,2)+VLOOKUP(AB132,TradeSum!$DU$13:$DY$252,3))</f>
        <v>25</v>
      </c>
      <c r="AD132" s="2" t="n">
        <f aca="false">VLOOKUP(AB132,TradeSum!$DM$13:$DR$252,6)</f>
        <v>30</v>
      </c>
      <c r="AE132" s="2" t="n">
        <f aca="false">IF(TradeSum!$L$6=0,VLOOKUP(AB132,TradeSum!$DM$13:$DQ$252,2),VLOOKUP(AB132,TradeSum!$DU$13:$DY$252,2))</f>
        <v>21</v>
      </c>
      <c r="AF132" s="283" t="n">
        <f aca="false">[2]EnergyCurve!$G154</f>
        <v>41.4889803183558</v>
      </c>
      <c r="AG132" s="283" t="n">
        <f aca="false">[2]EnergyCurve!$Y154</f>
        <v>39.414531302438</v>
      </c>
      <c r="AH132" s="283" t="n">
        <f aca="false">[2]EnergyCurve!$AD154</f>
        <v>26.9678372069313</v>
      </c>
      <c r="AI132" s="283" t="n">
        <f aca="false">[2]EnergyCurve!$L154</f>
        <v>26.9678372069313</v>
      </c>
      <c r="AJ132" s="0" t="n">
        <f aca="false">(AE132*AF132+(AC132-AE132)*AG132)/AC132</f>
        <v>41.157068475809</v>
      </c>
      <c r="AK132" s="0" t="n">
        <f aca="false">(AC132*16*AJ132+(AD132-AC132)*16*AH132+AD132*8*AI132)/(AD132*24)</f>
        <v>34.8507434674189</v>
      </c>
      <c r="AM132" s="0" t="n">
        <f aca="false">IF(NymexData!AC132="",VLOOKUP('Pricing Summary'!AB132,NymexData!$S$12:$U$250,3),VLOOKUP(NymexData!AA132,NymexData!$AA$12:$AC$250,3))</f>
        <v>0.18</v>
      </c>
      <c r="AO132" s="284" t="n">
        <f aca="false">AD132*24*VLOOKUP(AB132,Interest!$X$8:$AC$367,6)</f>
        <v>407.077161411796</v>
      </c>
    </row>
    <row r="133" customFormat="false" ht="12.75" hidden="false" customHeight="false" outlineLevel="0" collapsed="false">
      <c r="AB133" s="282" t="n">
        <f aca="false">[2]EnergyCurve!$D155</f>
        <v>40878</v>
      </c>
      <c r="AC133" s="2" t="n">
        <f aca="false">IF(TradeSum!$L$6=0,VLOOKUP(AB133,TradeSum!$DM$13:$DQ$252,2)+VLOOKUP(AB133,TradeSum!$DU$13:$DY$252,3),VLOOKUP(AB133,TradeSum!$DU$13:$DY$252,2)+VLOOKUP(AB133,TradeSum!$DU$13:$DY$252,3))</f>
        <v>26</v>
      </c>
      <c r="AD133" s="2" t="n">
        <f aca="false">VLOOKUP(AB133,TradeSum!$DM$13:$DR$252,6)</f>
        <v>31</v>
      </c>
      <c r="AE133" s="2" t="n">
        <f aca="false">IF(TradeSum!$L$6=0,VLOOKUP(AB133,TradeSum!$DM$13:$DQ$252,2),VLOOKUP(AB133,TradeSum!$DU$13:$DY$252,2))</f>
        <v>21</v>
      </c>
      <c r="AF133" s="283" t="n">
        <f aca="false">[2]EnergyCurve!$G155</f>
        <v>43.1542816592904</v>
      </c>
      <c r="AG133" s="283" t="n">
        <f aca="false">[2]EnergyCurve!$Y155</f>
        <v>40.9965675763259</v>
      </c>
      <c r="AH133" s="283" t="n">
        <f aca="false">[2]EnergyCurve!$AD155</f>
        <v>28.0502830785388</v>
      </c>
      <c r="AI133" s="283" t="n">
        <f aca="false">[2]EnergyCurve!$L155</f>
        <v>28.0502830785388</v>
      </c>
      <c r="AJ133" s="0" t="n">
        <f aca="false">(AE133*AF133+(AC133-AE133)*AG133)/AC133</f>
        <v>42.7393366433357</v>
      </c>
      <c r="AK133" s="0" t="n">
        <f aca="false">(AC133*16*AJ133+(AD133-AC133)*16*AH133+AD133*8*AI133)/(AD133*24)</f>
        <v>36.2635173298231</v>
      </c>
      <c r="AM133" s="0" t="n">
        <f aca="false">IF(NymexData!AC133="",VLOOKUP('Pricing Summary'!AB133,NymexData!$S$12:$U$250,3),VLOOKUP(NymexData!AA133,NymexData!$AA$12:$AC$250,3))</f>
        <v>0.18</v>
      </c>
      <c r="AO133" s="284" t="n">
        <f aca="false">AD133*24*VLOOKUP(AB133,Interest!$X$8:$AC$367,6)</f>
        <v>418.333372343927</v>
      </c>
    </row>
    <row r="134" customFormat="false" ht="12.75" hidden="false" customHeight="false" outlineLevel="0" collapsed="false">
      <c r="AB134" s="282" t="n">
        <f aca="false">[2]EnergyCurve!$D156</f>
        <v>40909</v>
      </c>
      <c r="AC134" s="2" t="n">
        <f aca="false">IF(TradeSum!$L$6=0,VLOOKUP(AB134,TradeSum!$DM$13:$DQ$252,2)+VLOOKUP(AB134,TradeSum!$DU$13:$DY$252,3),VLOOKUP(AB134,TradeSum!$DU$13:$DY$252,2)+VLOOKUP(AB134,TradeSum!$DU$13:$DY$252,3))</f>
        <v>25</v>
      </c>
      <c r="AD134" s="2" t="n">
        <f aca="false">VLOOKUP(AB134,TradeSum!$DM$13:$DR$252,6)</f>
        <v>31</v>
      </c>
      <c r="AE134" s="2" t="n">
        <f aca="false">IF(TradeSum!$L$6=0,VLOOKUP(AB134,TradeSum!$DM$13:$DQ$252,2),VLOOKUP(AB134,TradeSum!$DU$13:$DY$252,2))</f>
        <v>21</v>
      </c>
      <c r="AF134" s="283" t="n">
        <f aca="false">[2]EnergyCurve!$G156</f>
        <v>42.7704012252907</v>
      </c>
      <c r="AG134" s="283" t="n">
        <f aca="false">[2]EnergyCurve!$Y156</f>
        <v>40.6318811640262</v>
      </c>
      <c r="AH134" s="283" t="n">
        <f aca="false">[2]EnergyCurve!$AD156</f>
        <v>27.800760796439</v>
      </c>
      <c r="AI134" s="283" t="n">
        <f aca="false">[2]EnergyCurve!$L156</f>
        <v>27.800760796439</v>
      </c>
      <c r="AJ134" s="0" t="n">
        <f aca="false">(AE134*AF134+(AC134-AE134)*AG134)/AC134</f>
        <v>42.4282380154884</v>
      </c>
      <c r="AK134" s="0" t="n">
        <f aca="false">(AC134*16*AJ134+(AD134-AC134)*16*AH134+AD134*8*AI134)/(AD134*24)</f>
        <v>35.664995860444</v>
      </c>
      <c r="AM134" s="0" t="n">
        <f aca="false">IF(NymexData!AC134="",VLOOKUP('Pricing Summary'!AB134,NymexData!$S$12:$U$250,3),VLOOKUP(NymexData!AA134,NymexData!$AA$12:$AC$250,3))</f>
        <v>0.18</v>
      </c>
      <c r="AO134" s="284" t="n">
        <f aca="false">AD134*24*VLOOKUP(AB134,Interest!$X$8:$AC$367,6)</f>
        <v>416.01787147198</v>
      </c>
    </row>
    <row r="135" customFormat="false" ht="12.75" hidden="false" customHeight="false" outlineLevel="0" collapsed="false">
      <c r="AB135" s="282" t="n">
        <f aca="false">[2]EnergyCurve!$D157</f>
        <v>40940</v>
      </c>
      <c r="AC135" s="2" t="n">
        <f aca="false">IF(TradeSum!$L$6=0,VLOOKUP(AB135,TradeSum!$DM$13:$DQ$252,2)+VLOOKUP(AB135,TradeSum!$DU$13:$DY$252,3),VLOOKUP(AB135,TradeSum!$DU$13:$DY$252,2)+VLOOKUP(AB135,TradeSum!$DU$13:$DY$252,3))</f>
        <v>25</v>
      </c>
      <c r="AD135" s="2" t="n">
        <f aca="false">VLOOKUP(AB135,TradeSum!$DM$13:$DR$252,6)</f>
        <v>29</v>
      </c>
      <c r="AE135" s="2" t="n">
        <f aca="false">IF(TradeSum!$L$6=0,VLOOKUP(AB135,TradeSum!$DM$13:$DQ$252,2),VLOOKUP(AB135,TradeSum!$DU$13:$DY$252,2))</f>
        <v>21</v>
      </c>
      <c r="AF135" s="283" t="n">
        <f aca="false">[2]EnergyCurve!$G157</f>
        <v>41.8501848985973</v>
      </c>
      <c r="AG135" s="283" t="n">
        <f aca="false">[2]EnergyCurve!$Y157</f>
        <v>39.7576756536675</v>
      </c>
      <c r="AH135" s="283" t="n">
        <f aca="false">[2]EnergyCurve!$AD157</f>
        <v>27.2026201840883</v>
      </c>
      <c r="AI135" s="283" t="n">
        <f aca="false">[2]EnergyCurve!$L157</f>
        <v>27.2026201840883</v>
      </c>
      <c r="AJ135" s="0" t="n">
        <f aca="false">(AE135*AF135+(AC135-AE135)*AG135)/AC135</f>
        <v>41.5153834194085</v>
      </c>
      <c r="AK135" s="0" t="n">
        <f aca="false">(AC135*16*AJ135+(AD135-AC135)*16*AH135+AD135*8*AI135)/(AD135*24)</f>
        <v>35.4283461813988</v>
      </c>
      <c r="AM135" s="0" t="n">
        <f aca="false">IF(NymexData!AC135="",VLOOKUP('Pricing Summary'!AB135,NymexData!$S$12:$U$250,3),VLOOKUP(NymexData!AA135,NymexData!$AA$12:$AC$250,3))</f>
        <v>0.175</v>
      </c>
      <c r="AO135" s="284" t="n">
        <f aca="false">AD135*24*VLOOKUP(AB135,Interest!$X$8:$AC$367,6)</f>
        <v>387.139058339291</v>
      </c>
    </row>
    <row r="136" customFormat="false" ht="12.75" hidden="false" customHeight="false" outlineLevel="0" collapsed="false">
      <c r="AB136" s="282" t="n">
        <f aca="false">[2]EnergyCurve!$D158</f>
        <v>40969</v>
      </c>
      <c r="AC136" s="2" t="n">
        <f aca="false">IF(TradeSum!$L$6=0,VLOOKUP(AB136,TradeSum!$DM$13:$DQ$252,2)+VLOOKUP(AB136,TradeSum!$DU$13:$DY$252,3),VLOOKUP(AB136,TradeSum!$DU$13:$DY$252,2)+VLOOKUP(AB136,TradeSum!$DU$13:$DY$252,3))</f>
        <v>27</v>
      </c>
      <c r="AD136" s="2" t="n">
        <f aca="false">VLOOKUP(AB136,TradeSum!$DM$13:$DR$252,6)</f>
        <v>31</v>
      </c>
      <c r="AE136" s="2" t="n">
        <f aca="false">IF(TradeSum!$L$6=0,VLOOKUP(AB136,TradeSum!$DM$13:$DQ$252,2),VLOOKUP(AB136,TradeSum!$DU$13:$DY$252,2))</f>
        <v>22</v>
      </c>
      <c r="AF136" s="283" t="n">
        <f aca="false">[2]EnergyCurve!$G158</f>
        <v>40.3802433423855</v>
      </c>
      <c r="AG136" s="283" t="n">
        <f aca="false">[2]EnergyCurve!$Y158</f>
        <v>38.3612311752662</v>
      </c>
      <c r="AH136" s="283" t="n">
        <f aca="false">[2]EnergyCurve!$AD158</f>
        <v>26.2471581725506</v>
      </c>
      <c r="AI136" s="283" t="n">
        <f aca="false">[2]EnergyCurve!$L158</f>
        <v>26.2471581725506</v>
      </c>
      <c r="AJ136" s="0" t="n">
        <f aca="false">(AE136*AF136+(AC136-AE136)*AG136)/AC136</f>
        <v>40.0063522003264</v>
      </c>
      <c r="AK136" s="0" t="n">
        <f aca="false">(AC136*16*AJ136+(AD136-AC136)*16*AH136+AD136*8*AI136)/(AD136*24)</f>
        <v>34.2363676080333</v>
      </c>
      <c r="AM136" s="0" t="n">
        <f aca="false">IF(NymexData!AC136="",VLOOKUP('Pricing Summary'!AB136,NymexData!$S$12:$U$250,3),VLOOKUP(NymexData!AA136,NymexData!$AA$12:$AC$250,3))</f>
        <v>0.17</v>
      </c>
      <c r="AO136" s="284" t="n">
        <f aca="false">AD136*24*VLOOKUP(AB136,Interest!$X$8:$AC$367,6)</f>
        <v>411.558011431593</v>
      </c>
    </row>
    <row r="137" customFormat="false" ht="12.75" hidden="false" customHeight="false" outlineLevel="0" collapsed="false">
      <c r="AB137" s="282" t="n">
        <f aca="false">[2]EnergyCurve!$D159</f>
        <v>41000</v>
      </c>
      <c r="AC137" s="2" t="n">
        <f aca="false">IF(TradeSum!$L$6=0,VLOOKUP(AB137,TradeSum!$DM$13:$DQ$252,2)+VLOOKUP(AB137,TradeSum!$DU$13:$DY$252,3),VLOOKUP(AB137,TradeSum!$DU$13:$DY$252,2)+VLOOKUP(AB137,TradeSum!$DU$13:$DY$252,3))</f>
        <v>25</v>
      </c>
      <c r="AD137" s="2" t="n">
        <f aca="false">VLOOKUP(AB137,TradeSum!$DM$13:$DR$252,6)</f>
        <v>30</v>
      </c>
      <c r="AE137" s="2" t="n">
        <f aca="false">IF(TradeSum!$L$6=0,VLOOKUP(AB137,TradeSum!$DM$13:$DQ$252,2),VLOOKUP(AB137,TradeSum!$DU$13:$DY$252,2))</f>
        <v>21</v>
      </c>
      <c r="AF137" s="283" t="n">
        <f aca="false">[2]EnergyCurve!$G159</f>
        <v>37.7845557390769</v>
      </c>
      <c r="AG137" s="283" t="n">
        <f aca="false">[2]EnergyCurve!$Y159</f>
        <v>35.895327952123</v>
      </c>
      <c r="AH137" s="283" t="n">
        <f aca="false">[2]EnergyCurve!$AD159</f>
        <v>24.5599612304</v>
      </c>
      <c r="AI137" s="283" t="n">
        <f aca="false">[2]EnergyCurve!$L159</f>
        <v>24.5599612304</v>
      </c>
      <c r="AJ137" s="0" t="n">
        <f aca="false">(AE137*AF137+(AC137-AE137)*AG137)/AC137</f>
        <v>37.4822792931643</v>
      </c>
      <c r="AK137" s="0" t="n">
        <f aca="false">(AC137*16*AJ137+(AD137-AC137)*16*AH137+AD137*8*AI137)/(AD137*24)</f>
        <v>31.7390268208246</v>
      </c>
      <c r="AM137" s="0" t="n">
        <f aca="false">IF(NymexData!AC137="",VLOOKUP('Pricing Summary'!AB137,NymexData!$S$12:$U$250,3),VLOOKUP(NymexData!AA137,NymexData!$AA$12:$AC$250,3))</f>
        <v>0.17</v>
      </c>
      <c r="AO137" s="284" t="n">
        <f aca="false">AD137*24*VLOOKUP(AB137,Interest!$X$8:$AC$367,6)</f>
        <v>396.124475894366</v>
      </c>
    </row>
    <row r="138" customFormat="false" ht="12.75" hidden="false" customHeight="false" outlineLevel="0" collapsed="false">
      <c r="AB138" s="282" t="n">
        <f aca="false">[2]EnergyCurve!$D160</f>
        <v>41030</v>
      </c>
      <c r="AC138" s="2" t="n">
        <f aca="false">IF(TradeSum!$L$6=0,VLOOKUP(AB138,TradeSum!$DM$13:$DQ$252,2)+VLOOKUP(AB138,TradeSum!$DU$13:$DY$252,3),VLOOKUP(AB138,TradeSum!$DU$13:$DY$252,2)+VLOOKUP(AB138,TradeSum!$DU$13:$DY$252,3))</f>
        <v>26</v>
      </c>
      <c r="AD138" s="2" t="n">
        <f aca="false">VLOOKUP(AB138,TradeSum!$DM$13:$DR$252,6)</f>
        <v>31</v>
      </c>
      <c r="AE138" s="2" t="n">
        <f aca="false">IF(TradeSum!$L$6=0,VLOOKUP(AB138,TradeSum!$DM$13:$DQ$252,2),VLOOKUP(AB138,TradeSum!$DU$13:$DY$252,2))</f>
        <v>22</v>
      </c>
      <c r="AF138" s="283" t="n">
        <f aca="false">[2]EnergyCurve!$G160</f>
        <v>37.8592362027232</v>
      </c>
      <c r="AG138" s="283" t="n">
        <f aca="false">[2]EnergyCurve!$Y160</f>
        <v>35.966274392587</v>
      </c>
      <c r="AH138" s="283" t="n">
        <f aca="false">[2]EnergyCurve!$AD160</f>
        <v>24.6085035317701</v>
      </c>
      <c r="AI138" s="283" t="n">
        <f aca="false">[2]EnergyCurve!$L160</f>
        <v>24.6085035317701</v>
      </c>
      <c r="AJ138" s="0" t="n">
        <f aca="false">(AE138*AF138+(AC138-AE138)*AG138)/AC138</f>
        <v>37.5680113088561</v>
      </c>
      <c r="AK138" s="0" t="n">
        <f aca="false">(AC138*16*AJ138+(AD138-AC138)*16*AH138+AD138*8*AI138)/(AD138*24)</f>
        <v>31.854679923259</v>
      </c>
      <c r="AM138" s="0" t="n">
        <f aca="false">IF(NymexData!AC138="",VLOOKUP('Pricing Summary'!AB138,NymexData!$S$12:$U$250,3),VLOOKUP(NymexData!AA138,NymexData!$AA$12:$AC$250,3))</f>
        <v>0.17</v>
      </c>
      <c r="AO138" s="284" t="n">
        <f aca="false">AD138*24*VLOOKUP(AB138,Interest!$X$8:$AC$367,6)</f>
        <v>407.053323066497</v>
      </c>
    </row>
    <row r="139" customFormat="false" ht="12.75" hidden="false" customHeight="false" outlineLevel="0" collapsed="false">
      <c r="AB139" s="282" t="n">
        <f aca="false">[2]EnergyCurve!$D161</f>
        <v>41061</v>
      </c>
      <c r="AC139" s="2" t="n">
        <f aca="false">IF(TradeSum!$L$6=0,VLOOKUP(AB139,TradeSum!$DM$13:$DQ$252,2)+VLOOKUP(AB139,TradeSum!$DU$13:$DY$252,3),VLOOKUP(AB139,TradeSum!$DU$13:$DY$252,2)+VLOOKUP(AB139,TradeSum!$DU$13:$DY$252,3))</f>
        <v>26</v>
      </c>
      <c r="AD139" s="2" t="n">
        <f aca="false">VLOOKUP(AB139,TradeSum!$DM$13:$DR$252,6)</f>
        <v>30</v>
      </c>
      <c r="AE139" s="2" t="n">
        <f aca="false">IF(TradeSum!$L$6=0,VLOOKUP(AB139,TradeSum!$DM$13:$DQ$252,2),VLOOKUP(AB139,TradeSum!$DU$13:$DY$252,2))</f>
        <v>21</v>
      </c>
      <c r="AF139" s="283" t="n">
        <f aca="false">[2]EnergyCurve!$G161</f>
        <v>38.2896558608696</v>
      </c>
      <c r="AG139" s="283" t="n">
        <f aca="false">[2]EnergyCurve!$Y161</f>
        <v>36.3751730678261</v>
      </c>
      <c r="AH139" s="283" t="n">
        <f aca="false">[2]EnergyCurve!$AD161</f>
        <v>24.8882763095652</v>
      </c>
      <c r="AI139" s="283" t="n">
        <f aca="false">[2]EnergyCurve!$L161</f>
        <v>24.8882763095652</v>
      </c>
      <c r="AJ139" s="0" t="n">
        <f aca="false">(AE139*AF139+(AC139-AE139)*AG139)/AC139</f>
        <v>37.9214860929766</v>
      </c>
      <c r="AK139" s="0" t="n">
        <f aca="false">(AC139*16*AJ139+(AD139-AC139)*16*AH139+AD139*8*AI139)/(AD139*24)</f>
        <v>32.4185752955363</v>
      </c>
      <c r="AM139" s="0" t="n">
        <f aca="false">IF(NymexData!AC139="",VLOOKUP('Pricing Summary'!AB139,NymexData!$S$12:$U$250,3),VLOOKUP(NymexData!AA139,NymexData!$AA$12:$AC$250,3))</f>
        <v>0.17</v>
      </c>
      <c r="AO139" s="284" t="n">
        <f aca="false">AD139*24*VLOOKUP(AB139,Interest!$X$8:$AC$367,6)</f>
        <v>391.77925039002</v>
      </c>
    </row>
    <row r="140" customFormat="false" ht="12.75" hidden="false" customHeight="false" outlineLevel="0" collapsed="false">
      <c r="AB140" s="282" t="n">
        <f aca="false">[2]EnergyCurve!$D162</f>
        <v>41091</v>
      </c>
      <c r="AC140" s="2" t="n">
        <f aca="false">IF(TradeSum!$L$6=0,VLOOKUP(AB140,TradeSum!$DM$13:$DQ$252,2)+VLOOKUP(AB140,TradeSum!$DU$13:$DY$252,3),VLOOKUP(AB140,TradeSum!$DU$13:$DY$252,2)+VLOOKUP(AB140,TradeSum!$DU$13:$DY$252,3))</f>
        <v>25</v>
      </c>
      <c r="AD140" s="2" t="n">
        <f aca="false">VLOOKUP(AB140,TradeSum!$DM$13:$DR$252,6)</f>
        <v>31</v>
      </c>
      <c r="AE140" s="2" t="n">
        <f aca="false">IF(TradeSum!$L$6=0,VLOOKUP(AB140,TradeSum!$DM$13:$DQ$252,2),VLOOKUP(AB140,TradeSum!$DU$13:$DY$252,2))</f>
        <v>21</v>
      </c>
      <c r="AF140" s="283" t="n">
        <f aca="false">[2]EnergyCurve!$G162</f>
        <v>38.7955092858914</v>
      </c>
      <c r="AG140" s="283" t="n">
        <f aca="false">[2]EnergyCurve!$Y162</f>
        <v>36.8557338215968</v>
      </c>
      <c r="AH140" s="283" t="n">
        <f aca="false">[2]EnergyCurve!$AD162</f>
        <v>25.2170810358294</v>
      </c>
      <c r="AI140" s="283" t="n">
        <f aca="false">[2]EnergyCurve!$L162</f>
        <v>25.2170810358294</v>
      </c>
      <c r="AJ140" s="0" t="n">
        <f aca="false">(AE140*AF140+(AC140-AE140)*AG140)/AC140</f>
        <v>38.4851452116042</v>
      </c>
      <c r="AK140" s="0" t="n">
        <f aca="false">(AC140*16*AJ140+(AD140-AC140)*16*AH140+AD140*8*AI140)/(AD140*24)</f>
        <v>32.3504488722675</v>
      </c>
      <c r="AM140" s="0" t="n">
        <f aca="false">IF(NymexData!AC140="",VLOOKUP('Pricing Summary'!AB140,NymexData!$S$12:$U$250,3),VLOOKUP(NymexData!AA140,NymexData!$AA$12:$AC$250,3))</f>
        <v>0.17</v>
      </c>
      <c r="AO140" s="284" t="n">
        <f aca="false">AD140*24*VLOOKUP(AB140,Interest!$X$8:$AC$367,6)</f>
        <v>402.578490040409</v>
      </c>
    </row>
    <row r="141" customFormat="false" ht="12.75" hidden="false" customHeight="false" outlineLevel="0" collapsed="false">
      <c r="AB141" s="282" t="n">
        <f aca="false">[2]EnergyCurve!$D163</f>
        <v>41122</v>
      </c>
      <c r="AC141" s="2" t="n">
        <f aca="false">IF(TradeSum!$L$6=0,VLOOKUP(AB141,TradeSum!$DM$13:$DQ$252,2)+VLOOKUP(AB141,TradeSum!$DU$13:$DY$252,3),VLOOKUP(AB141,TradeSum!$DU$13:$DY$252,2)+VLOOKUP(AB141,TradeSum!$DU$13:$DY$252,3))</f>
        <v>27</v>
      </c>
      <c r="AD141" s="2" t="n">
        <f aca="false">VLOOKUP(AB141,TradeSum!$DM$13:$DR$252,6)</f>
        <v>31</v>
      </c>
      <c r="AE141" s="2" t="n">
        <f aca="false">IF(TradeSum!$L$6=0,VLOOKUP(AB141,TradeSum!$DM$13:$DQ$252,2),VLOOKUP(AB141,TradeSum!$DU$13:$DY$252,2))</f>
        <v>23</v>
      </c>
      <c r="AF141" s="283" t="n">
        <f aca="false">[2]EnergyCurve!$G163</f>
        <v>39.227844575025</v>
      </c>
      <c r="AG141" s="283" t="n">
        <f aca="false">[2]EnergyCurve!$Y163</f>
        <v>37.2664523462738</v>
      </c>
      <c r="AH141" s="283" t="n">
        <f aca="false">[2]EnergyCurve!$AD163</f>
        <v>25.4980989737663</v>
      </c>
      <c r="AI141" s="283" t="n">
        <f aca="false">[2]EnergyCurve!$L163</f>
        <v>25.4980989737663</v>
      </c>
      <c r="AJ141" s="0" t="n">
        <f aca="false">(AE141*AF141+(AC141-AE141)*AG141)/AC141</f>
        <v>38.9372679485434</v>
      </c>
      <c r="AK141" s="0" t="n">
        <f aca="false">(AC141*16*AJ141+(AD141-AC141)*16*AH141+AD141*8*AI141)/(AD141*24)</f>
        <v>33.3014874107336</v>
      </c>
      <c r="AM141" s="0" t="n">
        <f aca="false">IF(NymexData!AC141="",VLOOKUP('Pricing Summary'!AB141,NymexData!$S$12:$U$250,3),VLOOKUP(NymexData!AA141,NymexData!$AA$12:$AC$250,3))</f>
        <v>0.17</v>
      </c>
      <c r="AO141" s="284" t="n">
        <f aca="false">AD141*24*VLOOKUP(AB141,Interest!$X$8:$AC$367,6)</f>
        <v>400.31586954306</v>
      </c>
    </row>
    <row r="142" customFormat="false" ht="12.75" hidden="false" customHeight="false" outlineLevel="0" collapsed="false">
      <c r="AB142" s="282" t="n">
        <f aca="false">[2]EnergyCurve!$D164</f>
        <v>41153</v>
      </c>
      <c r="AC142" s="2" t="n">
        <f aca="false">IF(TradeSum!$L$6=0,VLOOKUP(AB142,TradeSum!$DM$13:$DQ$252,2)+VLOOKUP(AB142,TradeSum!$DU$13:$DY$252,3),VLOOKUP(AB142,TradeSum!$DU$13:$DY$252,2)+VLOOKUP(AB142,TradeSum!$DU$13:$DY$252,3))</f>
        <v>24</v>
      </c>
      <c r="AD142" s="2" t="n">
        <f aca="false">VLOOKUP(AB142,TradeSum!$DM$13:$DR$252,6)</f>
        <v>30</v>
      </c>
      <c r="AE142" s="2" t="n">
        <f aca="false">IF(TradeSum!$L$6=0,VLOOKUP(AB142,TradeSum!$DM$13:$DQ$252,2),VLOOKUP(AB142,TradeSum!$DU$13:$DY$252,2))</f>
        <v>19</v>
      </c>
      <c r="AF142" s="283" t="n">
        <f aca="false">[2]EnergyCurve!$G164</f>
        <v>39.1875838973285</v>
      </c>
      <c r="AG142" s="283" t="n">
        <f aca="false">[2]EnergyCurve!$Y164</f>
        <v>37.228204702462</v>
      </c>
      <c r="AH142" s="283" t="n">
        <f aca="false">[2]EnergyCurve!$AD164</f>
        <v>25.4719295332635</v>
      </c>
      <c r="AI142" s="283" t="n">
        <f aca="false">[2]EnergyCurve!$L164</f>
        <v>25.4719295332635</v>
      </c>
      <c r="AJ142" s="0" t="n">
        <f aca="false">(AE142*AF142+(AC142-AE142)*AG142)/AC142</f>
        <v>38.779379898398</v>
      </c>
      <c r="AK142" s="0" t="n">
        <f aca="false">(AC142*16*AJ142+(AD142-AC142)*16*AH142+AD142*8*AI142)/(AD142*24)</f>
        <v>32.5692363946685</v>
      </c>
      <c r="AM142" s="0" t="n">
        <f aca="false">IF(NymexData!AC142="",VLOOKUP('Pricing Summary'!AB142,NymexData!$S$12:$U$250,3),VLOOKUP(NymexData!AA142,NymexData!$AA$12:$AC$250,3))</f>
        <v>0.17</v>
      </c>
      <c r="AO142" s="284" t="n">
        <f aca="false">AD142*24*VLOOKUP(AB142,Interest!$X$8:$AC$367,6)</f>
        <v>385.280574616277</v>
      </c>
    </row>
    <row r="143" customFormat="false" ht="12.75" hidden="false" customHeight="false" outlineLevel="0" collapsed="false">
      <c r="AB143" s="282" t="n">
        <f aca="false">[2]EnergyCurve!$D165</f>
        <v>41183</v>
      </c>
      <c r="AC143" s="2" t="n">
        <f aca="false">IF(TradeSum!$L$6=0,VLOOKUP(AB143,TradeSum!$DM$13:$DQ$252,2)+VLOOKUP(AB143,TradeSum!$DU$13:$DY$252,3),VLOOKUP(AB143,TradeSum!$DU$13:$DY$252,2)+VLOOKUP(AB143,TradeSum!$DU$13:$DY$252,3))</f>
        <v>27</v>
      </c>
      <c r="AD143" s="2" t="n">
        <f aca="false">VLOOKUP(AB143,TradeSum!$DM$13:$DR$252,6)</f>
        <v>31</v>
      </c>
      <c r="AE143" s="2" t="n">
        <f aca="false">IF(TradeSum!$L$6=0,VLOOKUP(AB143,TradeSum!$DM$13:$DQ$252,2),VLOOKUP(AB143,TradeSum!$DU$13:$DY$252,2))</f>
        <v>23</v>
      </c>
      <c r="AF143" s="283" t="n">
        <f aca="false">[2]EnergyCurve!$G165</f>
        <v>39.2115229951658</v>
      </c>
      <c r="AG143" s="283" t="n">
        <f aca="false">[2]EnergyCurve!$Y165</f>
        <v>37.2509468454075</v>
      </c>
      <c r="AH143" s="283" t="n">
        <f aca="false">[2]EnergyCurve!$AD165</f>
        <v>25.4874899468578</v>
      </c>
      <c r="AI143" s="283" t="n">
        <f aca="false">[2]EnergyCurve!$L165</f>
        <v>25.4874899468578</v>
      </c>
      <c r="AJ143" s="0" t="n">
        <f aca="false">(AE143*AF143+(AC143-AE143)*AG143)/AC143</f>
        <v>38.9210672692757</v>
      </c>
      <c r="AK143" s="0" t="n">
        <f aca="false">(AC143*16*AJ143+(AD143-AC143)*16*AH143+AD143*8*AI143)/(AD143*24)</f>
        <v>33.2876316179392</v>
      </c>
      <c r="AM143" s="0" t="n">
        <f aca="false">IF(NymexData!AC143="",VLOOKUP('Pricing Summary'!AB143,NymexData!$S$12:$U$250,3),VLOOKUP(NymexData!AA143,NymexData!$AA$12:$AC$250,3))</f>
        <v>0.17</v>
      </c>
      <c r="AO143" s="284" t="n">
        <f aca="false">AD143*24*VLOOKUP(AB143,Interest!$X$8:$AC$367,6)</f>
        <v>395.886258959003</v>
      </c>
    </row>
    <row r="144" customFormat="false" ht="12.75" hidden="false" customHeight="false" outlineLevel="0" collapsed="false">
      <c r="AB144" s="282" t="n">
        <f aca="false">[2]EnergyCurve!$D166</f>
        <v>41214</v>
      </c>
      <c r="AC144" s="2" t="n">
        <f aca="false">IF(TradeSum!$L$6=0,VLOOKUP(AB144,TradeSum!$DM$13:$DQ$252,2)+VLOOKUP(AB144,TradeSum!$DU$13:$DY$252,3),VLOOKUP(AB144,TradeSum!$DU$13:$DY$252,2)+VLOOKUP(AB144,TradeSum!$DU$13:$DY$252,3))</f>
        <v>25</v>
      </c>
      <c r="AD144" s="2" t="n">
        <f aca="false">VLOOKUP(AB144,TradeSum!$DM$13:$DR$252,6)</f>
        <v>30</v>
      </c>
      <c r="AE144" s="2" t="n">
        <f aca="false">IF(TradeSum!$L$6=0,VLOOKUP(AB144,TradeSum!$DM$13:$DQ$252,2),VLOOKUP(AB144,TradeSum!$DU$13:$DY$252,2))</f>
        <v>21</v>
      </c>
      <c r="AF144" s="283" t="n">
        <f aca="false">[2]EnergyCurve!$G166</f>
        <v>41.4889803183558</v>
      </c>
      <c r="AG144" s="283" t="n">
        <f aca="false">[2]EnergyCurve!$Y166</f>
        <v>39.414531302438</v>
      </c>
      <c r="AH144" s="283" t="n">
        <f aca="false">[2]EnergyCurve!$AD166</f>
        <v>26.9678372069313</v>
      </c>
      <c r="AI144" s="283" t="n">
        <f aca="false">[2]EnergyCurve!$L166</f>
        <v>26.9678372069313</v>
      </c>
      <c r="AJ144" s="0" t="n">
        <f aca="false">(AE144*AF144+(AC144-AE144)*AG144)/AC144</f>
        <v>41.157068475809</v>
      </c>
      <c r="AK144" s="0" t="n">
        <f aca="false">(AC144*16*AJ144+(AD144-AC144)*16*AH144+AD144*8*AI144)/(AD144*24)</f>
        <v>34.8507434674189</v>
      </c>
      <c r="AM144" s="0" t="n">
        <f aca="false">IF(NymexData!AC144="",VLOOKUP('Pricing Summary'!AB144,NymexData!$S$12:$U$250,3),VLOOKUP(NymexData!AA144,NymexData!$AA$12:$AC$250,3))</f>
        <v>0.17</v>
      </c>
      <c r="AO144" s="284" t="n">
        <f aca="false">AD144*24*VLOOKUP(AB144,Interest!$X$8:$AC$367,6)</f>
        <v>381.008132466115</v>
      </c>
    </row>
    <row r="145" customFormat="false" ht="12.75" hidden="false" customHeight="false" outlineLevel="0" collapsed="false">
      <c r="AB145" s="282" t="n">
        <f aca="false">[2]EnergyCurve!$D167</f>
        <v>41244</v>
      </c>
      <c r="AC145" s="2" t="n">
        <f aca="false">IF(TradeSum!$L$6=0,VLOOKUP(AB145,TradeSum!$DM$13:$DQ$252,2)+VLOOKUP(AB145,TradeSum!$DU$13:$DY$252,3),VLOOKUP(AB145,TradeSum!$DU$13:$DY$252,2)+VLOOKUP(AB145,TradeSum!$DU$13:$DY$252,3))</f>
        <v>25</v>
      </c>
      <c r="AD145" s="2" t="n">
        <f aca="false">VLOOKUP(AB145,TradeSum!$DM$13:$DR$252,6)</f>
        <v>31</v>
      </c>
      <c r="AE145" s="2" t="n">
        <f aca="false">IF(TradeSum!$L$6=0,VLOOKUP(AB145,TradeSum!$DM$13:$DQ$252,2),VLOOKUP(AB145,TradeSum!$DU$13:$DY$252,2))</f>
        <v>20</v>
      </c>
      <c r="AF145" s="283" t="n">
        <f aca="false">[2]EnergyCurve!$G167</f>
        <v>43.1542816592904</v>
      </c>
      <c r="AG145" s="283" t="n">
        <f aca="false">[2]EnergyCurve!$Y167</f>
        <v>40.9965675763259</v>
      </c>
      <c r="AH145" s="283" t="n">
        <f aca="false">[2]EnergyCurve!$AD167</f>
        <v>28.0502830785388</v>
      </c>
      <c r="AI145" s="283" t="n">
        <f aca="false">[2]EnergyCurve!$L167</f>
        <v>28.0502830785388</v>
      </c>
      <c r="AJ145" s="0" t="n">
        <f aca="false">(AE145*AF145+(AC145-AE145)*AG145)/AC145</f>
        <v>42.7227388426975</v>
      </c>
      <c r="AK145" s="0" t="n">
        <f aca="false">(AC145*16*AJ145+(AD145-AC145)*16*AH145+AD145*8*AI145)/(AD145*24)</f>
        <v>35.9387001560435</v>
      </c>
      <c r="AM145" s="0" t="n">
        <f aca="false">IF(NymexData!AC145="",VLOOKUP('Pricing Summary'!AB145,NymexData!$S$12:$U$250,3),VLOOKUP(NymexData!AA145,NymexData!$AA$12:$AC$250,3))</f>
        <v>0.17</v>
      </c>
      <c r="AO145" s="284" t="n">
        <f aca="false">AD145*24*VLOOKUP(AB145,Interest!$X$8:$AC$367,6)</f>
        <v>391.486753828905</v>
      </c>
    </row>
    <row r="146" customFormat="false" ht="12.75" hidden="false" customHeight="false" outlineLevel="0" collapsed="false">
      <c r="AB146" s="282" t="n">
        <f aca="false">[2]EnergyCurve!$D168</f>
        <v>41275</v>
      </c>
      <c r="AC146" s="2" t="n">
        <f aca="false">IF(TradeSum!$L$6=0,VLOOKUP(AB146,TradeSum!$DM$13:$DQ$252,2)+VLOOKUP(AB146,TradeSum!$DU$13:$DY$252,3),VLOOKUP(AB146,TradeSum!$DU$13:$DY$252,2)+VLOOKUP(AB146,TradeSum!$DU$13:$DY$252,3))</f>
        <v>26</v>
      </c>
      <c r="AD146" s="2" t="n">
        <f aca="false">VLOOKUP(AB146,TradeSum!$DM$13:$DR$252,6)</f>
        <v>31</v>
      </c>
      <c r="AE146" s="2" t="n">
        <f aca="false">IF(TradeSum!$L$6=0,VLOOKUP(AB146,TradeSum!$DM$13:$DQ$252,2),VLOOKUP(AB146,TradeSum!$DU$13:$DY$252,2))</f>
        <v>22</v>
      </c>
      <c r="AF146" s="283" t="n">
        <f aca="false">[2]EnergyCurve!$G168</f>
        <v>42.7704012252907</v>
      </c>
      <c r="AG146" s="283" t="n">
        <f aca="false">[2]EnergyCurve!$Y168</f>
        <v>40.6318811640262</v>
      </c>
      <c r="AH146" s="283" t="n">
        <f aca="false">[2]EnergyCurve!$AD168</f>
        <v>27.800760796439</v>
      </c>
      <c r="AI146" s="283" t="n">
        <f aca="false">[2]EnergyCurve!$L168</f>
        <v>27.800760796439</v>
      </c>
      <c r="AJ146" s="0" t="n">
        <f aca="false">(AE146*AF146+(AC146-AE146)*AG146)/AC146</f>
        <v>42.4413981389423</v>
      </c>
      <c r="AK146" s="0" t="n">
        <f aca="false">(AC146*16*AJ146+(AD146-AC146)*16*AH146+AD146*8*AI146)/(AD146*24)</f>
        <v>35.9869236116021</v>
      </c>
      <c r="AM146" s="0" t="n">
        <f aca="false">IF(NymexData!AC146="",VLOOKUP('Pricing Summary'!AB146,NymexData!$S$12:$U$250,3),VLOOKUP(NymexData!AA146,NymexData!$AA$12:$AC$250,3))</f>
        <v>0.17</v>
      </c>
      <c r="AO146" s="284" t="n">
        <f aca="false">AD146*24*VLOOKUP(AB146,Interest!$X$8:$AC$367,6)</f>
        <v>389.262506148777</v>
      </c>
    </row>
    <row r="147" customFormat="false" ht="12.75" hidden="false" customHeight="false" outlineLevel="0" collapsed="false">
      <c r="AB147" s="282" t="n">
        <f aca="false">[2]EnergyCurve!$D169</f>
        <v>41306</v>
      </c>
      <c r="AC147" s="2" t="n">
        <f aca="false">IF(TradeSum!$L$6=0,VLOOKUP(AB147,TradeSum!$DM$13:$DQ$252,2)+VLOOKUP(AB147,TradeSum!$DU$13:$DY$252,3),VLOOKUP(AB147,TradeSum!$DU$13:$DY$252,2)+VLOOKUP(AB147,TradeSum!$DU$13:$DY$252,3))</f>
        <v>24</v>
      </c>
      <c r="AD147" s="2" t="n">
        <f aca="false">VLOOKUP(AB147,TradeSum!$DM$13:$DR$252,6)</f>
        <v>28</v>
      </c>
      <c r="AE147" s="2" t="n">
        <f aca="false">IF(TradeSum!$L$6=0,VLOOKUP(AB147,TradeSum!$DM$13:$DQ$252,2),VLOOKUP(AB147,TradeSum!$DU$13:$DY$252,2))</f>
        <v>20</v>
      </c>
      <c r="AF147" s="283" t="n">
        <f aca="false">[2]EnergyCurve!$G169</f>
        <v>41.8501848985973</v>
      </c>
      <c r="AG147" s="283" t="n">
        <f aca="false">[2]EnergyCurve!$Y169</f>
        <v>39.7576756536675</v>
      </c>
      <c r="AH147" s="283" t="n">
        <f aca="false">[2]EnergyCurve!$AD169</f>
        <v>27.2026201840883</v>
      </c>
      <c r="AI147" s="283" t="n">
        <f aca="false">[2]EnergyCurve!$L169</f>
        <v>27.2026201840883</v>
      </c>
      <c r="AJ147" s="0" t="n">
        <f aca="false">(AE147*AF147+(AC147-AE147)*AG147)/AC147</f>
        <v>41.5014333577757</v>
      </c>
      <c r="AK147" s="0" t="n">
        <f aca="false">(AC147*16*AJ147+(AD147-AC147)*16*AH147+AD147*8*AI147)/(AD147*24)</f>
        <v>35.3733705690525</v>
      </c>
      <c r="AM147" s="0" t="n">
        <f aca="false">IF(NymexData!AC147="",VLOOKUP('Pricing Summary'!AB147,NymexData!$S$12:$U$250,3),VLOOKUP(NymexData!AA147,NymexData!$AA$12:$AC$250,3))</f>
        <v>0.17</v>
      </c>
      <c r="AO147" s="284" t="n">
        <f aca="false">AD147*24*VLOOKUP(AB147,Interest!$X$8:$AC$367,6)</f>
        <v>349.755105569213</v>
      </c>
    </row>
    <row r="148" customFormat="false" ht="12.75" hidden="false" customHeight="false" outlineLevel="0" collapsed="false">
      <c r="AB148" s="282" t="n">
        <f aca="false">[2]EnergyCurve!$D170</f>
        <v>41334</v>
      </c>
      <c r="AC148" s="2" t="n">
        <f aca="false">IF(TradeSum!$L$6=0,VLOOKUP(AB148,TradeSum!$DM$13:$DQ$252,2)+VLOOKUP(AB148,TradeSum!$DU$13:$DY$252,3),VLOOKUP(AB148,TradeSum!$DU$13:$DY$252,2)+VLOOKUP(AB148,TradeSum!$DU$13:$DY$252,3))</f>
        <v>26</v>
      </c>
      <c r="AD148" s="2" t="n">
        <f aca="false">VLOOKUP(AB148,TradeSum!$DM$13:$DR$252,6)</f>
        <v>31</v>
      </c>
      <c r="AE148" s="2" t="n">
        <f aca="false">IF(TradeSum!$L$6=0,VLOOKUP(AB148,TradeSum!$DM$13:$DQ$252,2),VLOOKUP(AB148,TradeSum!$DU$13:$DY$252,2))</f>
        <v>21</v>
      </c>
      <c r="AF148" s="283" t="n">
        <f aca="false">[2]EnergyCurve!$G170</f>
        <v>40.3802433423855</v>
      </c>
      <c r="AG148" s="283" t="n">
        <f aca="false">[2]EnergyCurve!$Y170</f>
        <v>38.3612311752662</v>
      </c>
      <c r="AH148" s="283" t="n">
        <f aca="false">[2]EnergyCurve!$AD170</f>
        <v>26.2471581725506</v>
      </c>
      <c r="AI148" s="283" t="n">
        <f aca="false">[2]EnergyCurve!$L170</f>
        <v>26.2471581725506</v>
      </c>
      <c r="AJ148" s="0" t="n">
        <f aca="false">(AE148*AF148+(AC148-AE148)*AG148)/AC148</f>
        <v>39.9919717717856</v>
      </c>
      <c r="AK148" s="0" t="n">
        <f aca="false">(AC148*16*AJ148+(AD148-AC148)*16*AH148+AD148*8*AI148)/(AD148*24)</f>
        <v>33.932430292553</v>
      </c>
      <c r="AM148" s="0" t="n">
        <f aca="false">IF(NymexData!AC148="",VLOOKUP('Pricing Summary'!AB148,NymexData!$S$12:$U$250,3),VLOOKUP(NymexData!AA148,NymexData!$AA$12:$AC$250,3))</f>
        <v>0.17</v>
      </c>
      <c r="AO148" s="284" t="n">
        <f aca="false">AD148*24*VLOOKUP(AB148,Interest!$X$8:$AC$367,6)</f>
        <v>385.050846141656</v>
      </c>
    </row>
    <row r="149" customFormat="false" ht="12.75" hidden="false" customHeight="false" outlineLevel="0" collapsed="false">
      <c r="AB149" s="282" t="n">
        <f aca="false">[2]EnergyCurve!$D171</f>
        <v>41365</v>
      </c>
      <c r="AC149" s="2" t="n">
        <f aca="false">IF(TradeSum!$L$6=0,VLOOKUP(AB149,TradeSum!$DM$13:$DQ$252,2)+VLOOKUP(AB149,TradeSum!$DU$13:$DY$252,3),VLOOKUP(AB149,TradeSum!$DU$13:$DY$252,2)+VLOOKUP(AB149,TradeSum!$DU$13:$DY$252,3))</f>
        <v>26</v>
      </c>
      <c r="AD149" s="2" t="n">
        <f aca="false">VLOOKUP(AB149,TradeSum!$DM$13:$DR$252,6)</f>
        <v>30</v>
      </c>
      <c r="AE149" s="2" t="n">
        <f aca="false">IF(TradeSum!$L$6=0,VLOOKUP(AB149,TradeSum!$DM$13:$DQ$252,2),VLOOKUP(AB149,TradeSum!$DU$13:$DY$252,2))</f>
        <v>22</v>
      </c>
      <c r="AF149" s="283" t="n">
        <f aca="false">[2]EnergyCurve!$G171</f>
        <v>37.7845557390769</v>
      </c>
      <c r="AG149" s="283" t="n">
        <f aca="false">[2]EnergyCurve!$Y171</f>
        <v>35.895327952123</v>
      </c>
      <c r="AH149" s="283" t="n">
        <f aca="false">[2]EnergyCurve!$AD171</f>
        <v>24.5599612304</v>
      </c>
      <c r="AI149" s="283" t="n">
        <f aca="false">[2]EnergyCurve!$L171</f>
        <v>24.5599612304</v>
      </c>
      <c r="AJ149" s="0" t="n">
        <f aca="false">(AE149*AF149+(AC149-AE149)*AG149)/AC149</f>
        <v>37.4939053103148</v>
      </c>
      <c r="AK149" s="0" t="n">
        <f aca="false">(AC149*16*AJ149+(AD149-AC149)*16*AH149+AD149*8*AI149)/(AD149*24)</f>
        <v>32.0329066987952</v>
      </c>
      <c r="AM149" s="0" t="n">
        <f aca="false">IF(NymexData!AC149="",VLOOKUP('Pricing Summary'!AB149,NymexData!$S$12:$U$250,3),VLOOKUP(NymexData!AA149,NymexData!$AA$12:$AC$250,3))</f>
        <v>0.17</v>
      </c>
      <c r="AO149" s="284" t="n">
        <f aca="false">AD149*24*VLOOKUP(AB149,Interest!$X$8:$AC$367,6)</f>
        <v>370.557785399482</v>
      </c>
    </row>
    <row r="150" customFormat="false" ht="12.75" hidden="false" customHeight="false" outlineLevel="0" collapsed="false">
      <c r="AB150" s="282" t="n">
        <f aca="false">[2]EnergyCurve!$D172</f>
        <v>41395</v>
      </c>
      <c r="AC150" s="2" t="n">
        <f aca="false">IF(TradeSum!$L$6=0,VLOOKUP(AB150,TradeSum!$DM$13:$DQ$252,2)+VLOOKUP(AB150,TradeSum!$DU$13:$DY$252,3),VLOOKUP(AB150,TradeSum!$DU$13:$DY$252,2)+VLOOKUP(AB150,TradeSum!$DU$13:$DY$252,3))</f>
        <v>26</v>
      </c>
      <c r="AD150" s="2" t="n">
        <f aca="false">VLOOKUP(AB150,TradeSum!$DM$13:$DR$252,6)</f>
        <v>31</v>
      </c>
      <c r="AE150" s="2" t="n">
        <f aca="false">IF(TradeSum!$L$6=0,VLOOKUP(AB150,TradeSum!$DM$13:$DQ$252,2),VLOOKUP(AB150,TradeSum!$DU$13:$DY$252,2))</f>
        <v>22</v>
      </c>
      <c r="AF150" s="283" t="n">
        <f aca="false">[2]EnergyCurve!$G172</f>
        <v>37.8592362027232</v>
      </c>
      <c r="AG150" s="283" t="n">
        <f aca="false">[2]EnergyCurve!$Y172</f>
        <v>35.966274392587</v>
      </c>
      <c r="AH150" s="283" t="n">
        <f aca="false">[2]EnergyCurve!$AD172</f>
        <v>24.6085035317701</v>
      </c>
      <c r="AI150" s="283" t="n">
        <f aca="false">[2]EnergyCurve!$L172</f>
        <v>24.6085035317701</v>
      </c>
      <c r="AJ150" s="0" t="n">
        <f aca="false">(AE150*AF150+(AC150-AE150)*AG150)/AC150</f>
        <v>37.5680113088561</v>
      </c>
      <c r="AK150" s="0" t="n">
        <f aca="false">(AC150*16*AJ150+(AD150-AC150)*16*AH150+AD150*8*AI150)/(AD150*24)</f>
        <v>31.854679923259</v>
      </c>
      <c r="AM150" s="0" t="n">
        <f aca="false">IF(NymexData!AC150="",VLOOKUP('Pricing Summary'!AB150,NymexData!$S$12:$U$250,3),VLOOKUP(NymexData!AA150,NymexData!$AA$12:$AC$250,3))</f>
        <v>0.17</v>
      </c>
      <c r="AO150" s="284" t="n">
        <f aca="false">AD150*24*VLOOKUP(AB150,Interest!$X$8:$AC$367,6)</f>
        <v>380.7262404171</v>
      </c>
    </row>
    <row r="151" customFormat="false" ht="12.75" hidden="false" customHeight="false" outlineLevel="0" collapsed="false">
      <c r="AB151" s="282" t="n">
        <f aca="false">[2]EnergyCurve!$D173</f>
        <v>41426</v>
      </c>
      <c r="AC151" s="2" t="n">
        <f aca="false">IF(TradeSum!$L$6=0,VLOOKUP(AB151,TradeSum!$DM$13:$DQ$252,2)+VLOOKUP(AB151,TradeSum!$DU$13:$DY$252,3),VLOOKUP(AB151,TradeSum!$DU$13:$DY$252,2)+VLOOKUP(AB151,TradeSum!$DU$13:$DY$252,3))</f>
        <v>25</v>
      </c>
      <c r="AD151" s="2" t="n">
        <f aca="false">VLOOKUP(AB151,TradeSum!$DM$13:$DR$252,6)</f>
        <v>30</v>
      </c>
      <c r="AE151" s="2" t="n">
        <f aca="false">IF(TradeSum!$L$6=0,VLOOKUP(AB151,TradeSum!$DM$13:$DQ$252,2),VLOOKUP(AB151,TradeSum!$DU$13:$DY$252,2))</f>
        <v>20</v>
      </c>
      <c r="AF151" s="283" t="n">
        <f aca="false">[2]EnergyCurve!$G173</f>
        <v>38.2896558608696</v>
      </c>
      <c r="AG151" s="283" t="n">
        <f aca="false">[2]EnergyCurve!$Y173</f>
        <v>36.3751730678261</v>
      </c>
      <c r="AH151" s="283" t="n">
        <f aca="false">[2]EnergyCurve!$AD173</f>
        <v>24.8882763095652</v>
      </c>
      <c r="AI151" s="283" t="n">
        <f aca="false">[2]EnergyCurve!$L173</f>
        <v>24.8882763095652</v>
      </c>
      <c r="AJ151" s="0" t="n">
        <f aca="false">(AE151*AF151+(AC151-AE151)*AG151)/AC151</f>
        <v>37.9067593022609</v>
      </c>
      <c r="AK151" s="0" t="n">
        <f aca="false">(AC151*16*AJ151+(AD151-AC151)*16*AH151+AD151*8*AI151)/(AD151*24)</f>
        <v>32.1207668610628</v>
      </c>
      <c r="AM151" s="0" t="n">
        <f aca="false">IF(NymexData!AC151="",VLOOKUP('Pricing Summary'!AB151,NymexData!$S$12:$U$250,3),VLOOKUP(NymexData!AA151,NymexData!$AA$12:$AC$250,3))</f>
        <v>0.17</v>
      </c>
      <c r="AO151" s="284" t="n">
        <f aca="false">AD151*24*VLOOKUP(AB151,Interest!$X$8:$AC$367,6)</f>
        <v>366.387110006429</v>
      </c>
    </row>
    <row r="152" customFormat="false" ht="12.75" hidden="false" customHeight="false" outlineLevel="0" collapsed="false">
      <c r="AB152" s="282" t="n">
        <f aca="false">[2]EnergyCurve!$D174</f>
        <v>41456</v>
      </c>
      <c r="AC152" s="2" t="n">
        <f aca="false">IF(TradeSum!$L$6=0,VLOOKUP(AB152,TradeSum!$DM$13:$DQ$252,2)+VLOOKUP(AB152,TradeSum!$DU$13:$DY$252,3),VLOOKUP(AB152,TradeSum!$DU$13:$DY$252,2)+VLOOKUP(AB152,TradeSum!$DU$13:$DY$252,3))</f>
        <v>26</v>
      </c>
      <c r="AD152" s="2" t="n">
        <f aca="false">VLOOKUP(AB152,TradeSum!$DM$13:$DR$252,6)</f>
        <v>31</v>
      </c>
      <c r="AE152" s="2" t="n">
        <f aca="false">IF(TradeSum!$L$6=0,VLOOKUP(AB152,TradeSum!$DM$13:$DQ$252,2),VLOOKUP(AB152,TradeSum!$DU$13:$DY$252,2))</f>
        <v>22</v>
      </c>
      <c r="AF152" s="283" t="n">
        <f aca="false">[2]EnergyCurve!$G174</f>
        <v>38.7955092858914</v>
      </c>
      <c r="AG152" s="283" t="n">
        <f aca="false">[2]EnergyCurve!$Y174</f>
        <v>36.8557338215968</v>
      </c>
      <c r="AH152" s="283" t="n">
        <f aca="false">[2]EnergyCurve!$AD174</f>
        <v>25.2170810358294</v>
      </c>
      <c r="AI152" s="283" t="n">
        <f aca="false">[2]EnergyCurve!$L174</f>
        <v>25.2170810358294</v>
      </c>
      <c r="AJ152" s="0" t="n">
        <f aca="false">(AE152*AF152+(AC152-AE152)*AG152)/AC152</f>
        <v>38.4970822913845</v>
      </c>
      <c r="AK152" s="0" t="n">
        <f aca="false">(AC152*16*AJ152+(AD152-AC152)*16*AH152+AD152*8*AI152)/(AD152*24)</f>
        <v>32.6424580819462</v>
      </c>
      <c r="AM152" s="0" t="n">
        <f aca="false">IF(NymexData!AC152="",VLOOKUP('Pricing Summary'!AB152,NymexData!$S$12:$U$250,3),VLOOKUP(NymexData!AA152,NymexData!$AA$12:$AC$250,3))</f>
        <v>0.17</v>
      </c>
      <c r="AO152" s="284" t="n">
        <f aca="false">AD152*24*VLOOKUP(AB152,Interest!$X$8:$AC$367,6)</f>
        <v>376.432030019541</v>
      </c>
    </row>
    <row r="153" customFormat="false" ht="12.75" hidden="false" customHeight="false" outlineLevel="0" collapsed="false">
      <c r="AB153" s="282" t="n">
        <f aca="false">[2]EnergyCurve!$D175</f>
        <v>41487</v>
      </c>
      <c r="AC153" s="2" t="n">
        <f aca="false">IF(TradeSum!$L$6=0,VLOOKUP(AB153,TradeSum!$DM$13:$DQ$252,2)+VLOOKUP(AB153,TradeSum!$DU$13:$DY$252,3),VLOOKUP(AB153,TradeSum!$DU$13:$DY$252,2)+VLOOKUP(AB153,TradeSum!$DU$13:$DY$252,3))</f>
        <v>27</v>
      </c>
      <c r="AD153" s="2" t="n">
        <f aca="false">VLOOKUP(AB153,TradeSum!$DM$13:$DR$252,6)</f>
        <v>31</v>
      </c>
      <c r="AE153" s="2" t="n">
        <f aca="false">IF(TradeSum!$L$6=0,VLOOKUP(AB153,TradeSum!$DM$13:$DQ$252,2),VLOOKUP(AB153,TradeSum!$DU$13:$DY$252,2))</f>
        <v>22</v>
      </c>
      <c r="AF153" s="283" t="n">
        <f aca="false">[2]EnergyCurve!$G175</f>
        <v>39.227844575025</v>
      </c>
      <c r="AG153" s="283" t="n">
        <f aca="false">[2]EnergyCurve!$Y175</f>
        <v>37.2664523462738</v>
      </c>
      <c r="AH153" s="283" t="n">
        <f aca="false">[2]EnergyCurve!$AD175</f>
        <v>25.4980989737663</v>
      </c>
      <c r="AI153" s="283" t="n">
        <f aca="false">[2]EnergyCurve!$L175</f>
        <v>25.4980989737663</v>
      </c>
      <c r="AJ153" s="0" t="n">
        <f aca="false">(AE153*AF153+(AC153-AE153)*AG153)/AC153</f>
        <v>38.864623791923</v>
      </c>
      <c r="AK153" s="0" t="n">
        <f aca="false">(AC153*16*AJ153+(AD153-AC153)*16*AH153+AD153*8*AI153)/(AD153*24)</f>
        <v>33.259306932696</v>
      </c>
      <c r="AM153" s="0" t="n">
        <f aca="false">IF(NymexData!AC153="",VLOOKUP('Pricing Summary'!AB153,NymexData!$S$12:$U$250,3),VLOOKUP(NymexData!AA153,NymexData!$AA$12:$AC$250,3))</f>
        <v>0.17</v>
      </c>
      <c r="AO153" s="284" t="n">
        <f aca="false">AD153*24*VLOOKUP(AB153,Interest!$X$8:$AC$367,6)</f>
        <v>374.261397883608</v>
      </c>
    </row>
    <row r="154" customFormat="false" ht="12.75" hidden="false" customHeight="false" outlineLevel="0" collapsed="false">
      <c r="AB154" s="282" t="n">
        <f aca="false">[2]EnergyCurve!$D176</f>
        <v>41518</v>
      </c>
      <c r="AC154" s="2" t="n">
        <f aca="false">IF(TradeSum!$L$6=0,VLOOKUP(AB154,TradeSum!$DM$13:$DQ$252,2)+VLOOKUP(AB154,TradeSum!$DU$13:$DY$252,3),VLOOKUP(AB154,TradeSum!$DU$13:$DY$252,2)+VLOOKUP(AB154,TradeSum!$DU$13:$DY$252,3))</f>
        <v>24</v>
      </c>
      <c r="AD154" s="2" t="n">
        <f aca="false">VLOOKUP(AB154,TradeSum!$DM$13:$DR$252,6)</f>
        <v>30</v>
      </c>
      <c r="AE154" s="2" t="n">
        <f aca="false">IF(TradeSum!$L$6=0,VLOOKUP(AB154,TradeSum!$DM$13:$DQ$252,2),VLOOKUP(AB154,TradeSum!$DU$13:$DY$252,2))</f>
        <v>20</v>
      </c>
      <c r="AF154" s="283" t="n">
        <f aca="false">[2]EnergyCurve!$G176</f>
        <v>39.1875838973285</v>
      </c>
      <c r="AG154" s="283" t="n">
        <f aca="false">[2]EnergyCurve!$Y176</f>
        <v>37.228204702462</v>
      </c>
      <c r="AH154" s="283" t="n">
        <f aca="false">[2]EnergyCurve!$AD176</f>
        <v>25.4719295332635</v>
      </c>
      <c r="AI154" s="283" t="n">
        <f aca="false">[2]EnergyCurve!$L176</f>
        <v>25.4719295332635</v>
      </c>
      <c r="AJ154" s="0" t="n">
        <f aca="false">(AE154*AF154+(AC154-AE154)*AG154)/AC154</f>
        <v>38.8610206981841</v>
      </c>
      <c r="AK154" s="0" t="n">
        <f aca="false">(AC154*16*AJ154+(AD154-AC154)*16*AH154+AD154*8*AI154)/(AD154*24)</f>
        <v>32.6127781545545</v>
      </c>
      <c r="AM154" s="0" t="n">
        <f aca="false">IF(NymexData!AC154="",VLOOKUP('Pricing Summary'!AB154,NymexData!$S$12:$U$250,3),VLOOKUP(NymexData!AA154,NymexData!$AA$12:$AC$250,3))</f>
        <v>0.17</v>
      </c>
      <c r="AO154" s="284" t="n">
        <f aca="false">AD154*24*VLOOKUP(AB154,Interest!$X$8:$AC$367,6)</f>
        <v>360.152638816874</v>
      </c>
    </row>
    <row r="155" customFormat="false" ht="12.75" hidden="false" customHeight="false" outlineLevel="0" collapsed="false">
      <c r="AB155" s="282" t="n">
        <f aca="false">[2]EnergyCurve!$D177</f>
        <v>41548</v>
      </c>
      <c r="AC155" s="2" t="n">
        <f aca="false">IF(TradeSum!$L$6=0,VLOOKUP(AB155,TradeSum!$DM$13:$DQ$252,2)+VLOOKUP(AB155,TradeSum!$DU$13:$DY$252,3),VLOOKUP(AB155,TradeSum!$DU$13:$DY$252,2)+VLOOKUP(AB155,TradeSum!$DU$13:$DY$252,3))</f>
        <v>27</v>
      </c>
      <c r="AD155" s="2" t="n">
        <f aca="false">VLOOKUP(AB155,TradeSum!$DM$13:$DR$252,6)</f>
        <v>31</v>
      </c>
      <c r="AE155" s="2" t="n">
        <f aca="false">IF(TradeSum!$L$6=0,VLOOKUP(AB155,TradeSum!$DM$13:$DQ$252,2),VLOOKUP(AB155,TradeSum!$DU$13:$DY$252,2))</f>
        <v>23</v>
      </c>
      <c r="AF155" s="283" t="n">
        <f aca="false">[2]EnergyCurve!$G177</f>
        <v>39.2115229951658</v>
      </c>
      <c r="AG155" s="283" t="n">
        <f aca="false">[2]EnergyCurve!$Y177</f>
        <v>37.2509468454075</v>
      </c>
      <c r="AH155" s="283" t="n">
        <f aca="false">[2]EnergyCurve!$AD177</f>
        <v>25.4874899468578</v>
      </c>
      <c r="AI155" s="283" t="n">
        <f aca="false">[2]EnergyCurve!$L177</f>
        <v>25.4874899468578</v>
      </c>
      <c r="AJ155" s="0" t="n">
        <f aca="false">(AE155*AF155+(AC155-AE155)*AG155)/AC155</f>
        <v>38.9210672692757</v>
      </c>
      <c r="AK155" s="0" t="n">
        <f aca="false">(AC155*16*AJ155+(AD155-AC155)*16*AH155+AD155*8*AI155)/(AD155*24)</f>
        <v>33.2876316179392</v>
      </c>
      <c r="AM155" s="0" t="n">
        <f aca="false">IF(NymexData!AC155="",VLOOKUP('Pricing Summary'!AB155,NymexData!$S$12:$U$250,3),VLOOKUP(NymexData!AA155,NymexData!$AA$12:$AC$250,3))</f>
        <v>0.17</v>
      </c>
      <c r="AO155" s="284" t="n">
        <f aca="false">AD155*24*VLOOKUP(AB155,Interest!$X$8:$AC$367,6)</f>
        <v>370.013163056402</v>
      </c>
    </row>
    <row r="156" customFormat="false" ht="12.75" hidden="false" customHeight="false" outlineLevel="0" collapsed="false">
      <c r="AB156" s="282" t="n">
        <f aca="false">[2]EnergyCurve!$D178</f>
        <v>41579</v>
      </c>
      <c r="AC156" s="2" t="n">
        <f aca="false">IF(TradeSum!$L$6=0,VLOOKUP(AB156,TradeSum!$DM$13:$DQ$252,2)+VLOOKUP(AB156,TradeSum!$DU$13:$DY$252,3),VLOOKUP(AB156,TradeSum!$DU$13:$DY$252,2)+VLOOKUP(AB156,TradeSum!$DU$13:$DY$252,3))</f>
        <v>25</v>
      </c>
      <c r="AD156" s="2" t="n">
        <f aca="false">VLOOKUP(AB156,TradeSum!$DM$13:$DR$252,6)</f>
        <v>30</v>
      </c>
      <c r="AE156" s="2" t="n">
        <f aca="false">IF(TradeSum!$L$6=0,VLOOKUP(AB156,TradeSum!$DM$13:$DQ$252,2),VLOOKUP(AB156,TradeSum!$DU$13:$DY$252,2))</f>
        <v>20</v>
      </c>
      <c r="AF156" s="283" t="n">
        <f aca="false">[2]EnergyCurve!$G178</f>
        <v>41.4889803183558</v>
      </c>
      <c r="AG156" s="283" t="n">
        <f aca="false">[2]EnergyCurve!$Y178</f>
        <v>39.414531302438</v>
      </c>
      <c r="AH156" s="283" t="n">
        <f aca="false">[2]EnergyCurve!$AD178</f>
        <v>26.9678372069313</v>
      </c>
      <c r="AI156" s="283" t="n">
        <f aca="false">[2]EnergyCurve!$L178</f>
        <v>26.9678372069313</v>
      </c>
      <c r="AJ156" s="0" t="n">
        <f aca="false">(AE156*AF156+(AC156-AE156)*AG156)/AC156</f>
        <v>41.0740905151723</v>
      </c>
      <c r="AK156" s="0" t="n">
        <f aca="false">(AC156*16*AJ156+(AD156-AC156)*16*AH156+AD156*8*AI156)/(AD156*24)</f>
        <v>34.8046446003985</v>
      </c>
      <c r="AM156" s="0" t="n">
        <f aca="false">IF(NymexData!AC156="",VLOOKUP('Pricing Summary'!AB156,NymexData!$S$12:$U$250,3),VLOOKUP(NymexData!AA156,NymexData!$AA$12:$AC$250,3))</f>
        <v>0.17</v>
      </c>
      <c r="AO156" s="284" t="n">
        <f aca="false">AD156*24*VLOOKUP(AB156,Interest!$X$8:$AC$367,6)</f>
        <v>356.055959048283</v>
      </c>
    </row>
    <row r="157" customFormat="false" ht="12.75" hidden="false" customHeight="false" outlineLevel="0" collapsed="false">
      <c r="AB157" s="282" t="n">
        <f aca="false">[2]EnergyCurve!$D179</f>
        <v>41609</v>
      </c>
      <c r="AC157" s="2" t="n">
        <f aca="false">IF(TradeSum!$L$6=0,VLOOKUP(AB157,TradeSum!$DM$13:$DQ$252,2)+VLOOKUP(AB157,TradeSum!$DU$13:$DY$252,3),VLOOKUP(AB157,TradeSum!$DU$13:$DY$252,2)+VLOOKUP(AB157,TradeSum!$DU$13:$DY$252,3))</f>
        <v>25</v>
      </c>
      <c r="AD157" s="2" t="n">
        <f aca="false">VLOOKUP(AB157,TradeSum!$DM$13:$DR$252,6)</f>
        <v>31</v>
      </c>
      <c r="AE157" s="2" t="n">
        <f aca="false">IF(TradeSum!$L$6=0,VLOOKUP(AB157,TradeSum!$DM$13:$DQ$252,2),VLOOKUP(AB157,TradeSum!$DU$13:$DY$252,2))</f>
        <v>21</v>
      </c>
      <c r="AF157" s="283" t="n">
        <f aca="false">[2]EnergyCurve!$G179</f>
        <v>43.1542816592904</v>
      </c>
      <c r="AG157" s="283" t="n">
        <f aca="false">[2]EnergyCurve!$Y179</f>
        <v>40.9965675763259</v>
      </c>
      <c r="AH157" s="283" t="n">
        <f aca="false">[2]EnergyCurve!$AD179</f>
        <v>28.0502830785388</v>
      </c>
      <c r="AI157" s="283" t="n">
        <f aca="false">[2]EnergyCurve!$L179</f>
        <v>28.0502830785388</v>
      </c>
      <c r="AJ157" s="0" t="n">
        <f aca="false">(AE157*AF157+(AC157-AE157)*AG157)/AC157</f>
        <v>42.8090474060161</v>
      </c>
      <c r="AK157" s="0" t="n">
        <f aca="false">(AC157*16*AJ157+(AD157-AC157)*16*AH157+AD157*8*AI157)/(AD157*24)</f>
        <v>35.9851026094405</v>
      </c>
      <c r="AM157" s="0" t="n">
        <f aca="false">IF(NymexData!AC157="",VLOOKUP('Pricing Summary'!AB157,NymexData!$S$12:$U$250,3),VLOOKUP(NymexData!AA157,NymexData!$AA$12:$AC$250,3))</f>
        <v>0.17</v>
      </c>
      <c r="AO157" s="284" t="n">
        <f aca="false">AD157*24*VLOOKUP(AB157,Interest!$X$8:$AC$367,6)</f>
        <v>365.795492806995</v>
      </c>
    </row>
    <row r="158" customFormat="false" ht="12.75" hidden="false" customHeight="false" outlineLevel="0" collapsed="false">
      <c r="AB158" s="282" t="n">
        <f aca="false">[2]EnergyCurve!$D180</f>
        <v>41640</v>
      </c>
      <c r="AC158" s="2" t="n">
        <f aca="false">IF(TradeSum!$L$6=0,VLOOKUP(AB158,TradeSum!$DM$13:$DQ$252,2)+VLOOKUP(AB158,TradeSum!$DU$13:$DY$252,3),VLOOKUP(AB158,TradeSum!$DU$13:$DY$252,2)+VLOOKUP(AB158,TradeSum!$DU$13:$DY$252,3))</f>
        <v>26</v>
      </c>
      <c r="AD158" s="2" t="n">
        <f aca="false">VLOOKUP(AB158,TradeSum!$DM$13:$DR$252,6)</f>
        <v>31</v>
      </c>
      <c r="AE158" s="2" t="n">
        <f aca="false">IF(TradeSum!$L$6=0,VLOOKUP(AB158,TradeSum!$DM$13:$DQ$252,2),VLOOKUP(AB158,TradeSum!$DU$13:$DY$252,2))</f>
        <v>22</v>
      </c>
      <c r="AF158" s="283" t="n">
        <f aca="false">[2]EnergyCurve!$G180</f>
        <v>42.7704012252907</v>
      </c>
      <c r="AG158" s="283" t="n">
        <f aca="false">[2]EnergyCurve!$Y180</f>
        <v>40.6318811640262</v>
      </c>
      <c r="AH158" s="283" t="n">
        <f aca="false">[2]EnergyCurve!$AD180</f>
        <v>27.800760796439</v>
      </c>
      <c r="AI158" s="283" t="n">
        <f aca="false">[2]EnergyCurve!$L180</f>
        <v>27.800760796439</v>
      </c>
      <c r="AJ158" s="0" t="n">
        <f aca="false">(AE158*AF158+(AC158-AE158)*AG158)/AC158</f>
        <v>42.4413981389423</v>
      </c>
      <c r="AK158" s="0" t="n">
        <f aca="false">(AC158*16*AJ158+(AD158-AC158)*16*AH158+AD158*8*AI158)/(AD158*24)</f>
        <v>35.9869236116021</v>
      </c>
      <c r="AM158" s="0" t="n">
        <f aca="false">IF(NymexData!AC158="",VLOOKUP('Pricing Summary'!AB158,NymexData!$S$12:$U$250,3),VLOOKUP(NymexData!AA158,NymexData!$AA$12:$AC$250,3))</f>
        <v>0.17</v>
      </c>
      <c r="AO158" s="284" t="n">
        <f aca="false">AD158*24*VLOOKUP(AB158,Interest!$X$8:$AC$367,6)</f>
        <v>363.663818780883</v>
      </c>
    </row>
    <row r="159" customFormat="false" ht="12.75" hidden="false" customHeight="false" outlineLevel="0" collapsed="false">
      <c r="AB159" s="282" t="n">
        <f aca="false">[2]EnergyCurve!$D181</f>
        <v>41671</v>
      </c>
      <c r="AC159" s="2" t="n">
        <f aca="false">IF(TradeSum!$L$6=0,VLOOKUP(AB159,TradeSum!$DM$13:$DQ$252,2)+VLOOKUP(AB159,TradeSum!$DU$13:$DY$252,3),VLOOKUP(AB159,TradeSum!$DU$13:$DY$252,2)+VLOOKUP(AB159,TradeSum!$DU$13:$DY$252,3))</f>
        <v>24</v>
      </c>
      <c r="AD159" s="2" t="n">
        <f aca="false">VLOOKUP(AB159,TradeSum!$DM$13:$DR$252,6)</f>
        <v>28</v>
      </c>
      <c r="AE159" s="2" t="n">
        <f aca="false">IF(TradeSum!$L$6=0,VLOOKUP(AB159,TradeSum!$DM$13:$DQ$252,2),VLOOKUP(AB159,TradeSum!$DU$13:$DY$252,2))</f>
        <v>20</v>
      </c>
      <c r="AF159" s="283" t="n">
        <f aca="false">[2]EnergyCurve!$G181</f>
        <v>41.8501848985973</v>
      </c>
      <c r="AG159" s="283" t="n">
        <f aca="false">[2]EnergyCurve!$Y181</f>
        <v>39.7576756536675</v>
      </c>
      <c r="AH159" s="283" t="n">
        <f aca="false">[2]EnergyCurve!$AD181</f>
        <v>27.2026201840883</v>
      </c>
      <c r="AI159" s="283" t="n">
        <f aca="false">[2]EnergyCurve!$L181</f>
        <v>27.2026201840883</v>
      </c>
      <c r="AJ159" s="0" t="n">
        <f aca="false">(AE159*AF159+(AC159-AE159)*AG159)/AC159</f>
        <v>41.5014333577757</v>
      </c>
      <c r="AK159" s="0" t="n">
        <f aca="false">(AC159*16*AJ159+(AD159-AC159)*16*AH159+AD159*8*AI159)/(AD159*24)</f>
        <v>35.3733705690525</v>
      </c>
      <c r="AM159" s="0" t="n">
        <f aca="false">IF(NymexData!AC159="",VLOOKUP('Pricing Summary'!AB159,NymexData!$S$12:$U$250,3),VLOOKUP(NymexData!AA159,NymexData!$AA$12:$AC$250,3))</f>
        <v>0.17</v>
      </c>
      <c r="AO159" s="284" t="n">
        <f aca="false">AD159*24*VLOOKUP(AB159,Interest!$X$8:$AC$367,6)</f>
        <v>326.708867463562</v>
      </c>
    </row>
    <row r="160" customFormat="false" ht="12.75" hidden="false" customHeight="false" outlineLevel="0" collapsed="false">
      <c r="AB160" s="282" t="n">
        <f aca="false">[2]EnergyCurve!$D182</f>
        <v>41699</v>
      </c>
      <c r="AC160" s="2" t="n">
        <f aca="false">IF(TradeSum!$L$6=0,VLOOKUP(AB160,TradeSum!$DM$13:$DQ$252,2)+VLOOKUP(AB160,TradeSum!$DU$13:$DY$252,3),VLOOKUP(AB160,TradeSum!$DU$13:$DY$252,2)+VLOOKUP(AB160,TradeSum!$DU$13:$DY$252,3))</f>
        <v>26</v>
      </c>
      <c r="AD160" s="2" t="n">
        <f aca="false">VLOOKUP(AB160,TradeSum!$DM$13:$DR$252,6)</f>
        <v>31</v>
      </c>
      <c r="AE160" s="2" t="n">
        <f aca="false">IF(TradeSum!$L$6=0,VLOOKUP(AB160,TradeSum!$DM$13:$DQ$252,2),VLOOKUP(AB160,TradeSum!$DU$13:$DY$252,2))</f>
        <v>21</v>
      </c>
      <c r="AF160" s="283" t="n">
        <f aca="false">[2]EnergyCurve!$G182</f>
        <v>40.3802433423855</v>
      </c>
      <c r="AG160" s="283" t="n">
        <f aca="false">[2]EnergyCurve!$Y182</f>
        <v>38.3612311752662</v>
      </c>
      <c r="AH160" s="283" t="n">
        <f aca="false">[2]EnergyCurve!$AD182</f>
        <v>26.2471581725506</v>
      </c>
      <c r="AI160" s="283" t="n">
        <f aca="false">[2]EnergyCurve!$L182</f>
        <v>26.2471581725506</v>
      </c>
      <c r="AJ160" s="0" t="n">
        <f aca="false">(AE160*AF160+(AC160-AE160)*AG160)/AC160</f>
        <v>39.9919717717856</v>
      </c>
      <c r="AK160" s="0" t="n">
        <f aca="false">(AC160*16*AJ160+(AD160-AC160)*16*AH160+AD160*8*AI160)/(AD160*24)</f>
        <v>33.932430292553</v>
      </c>
      <c r="AM160" s="0" t="n">
        <f aca="false">IF(NymexData!AC160="",VLOOKUP('Pricing Summary'!AB160,NymexData!$S$12:$U$250,3),VLOOKUP(NymexData!AA160,NymexData!$AA$12:$AC$250,3))</f>
        <v>0.17</v>
      </c>
      <c r="AO160" s="284" t="n">
        <f aca="false">AD160*24*VLOOKUP(AB160,Interest!$X$8:$AC$367,6)</f>
        <v>359.628637394888</v>
      </c>
    </row>
    <row r="161" customFormat="false" ht="12.75" hidden="false" customHeight="false" outlineLevel="0" collapsed="false">
      <c r="AB161" s="282" t="n">
        <f aca="false">[2]EnergyCurve!$D183</f>
        <v>41730</v>
      </c>
      <c r="AC161" s="2" t="n">
        <f aca="false">IF(TradeSum!$L$6=0,VLOOKUP(AB161,TradeSum!$DM$13:$DQ$252,2)+VLOOKUP(AB161,TradeSum!$DU$13:$DY$252,3),VLOOKUP(AB161,TradeSum!$DU$13:$DY$252,2)+VLOOKUP(AB161,TradeSum!$DU$13:$DY$252,3))</f>
        <v>26</v>
      </c>
      <c r="AD161" s="2" t="n">
        <f aca="false">VLOOKUP(AB161,TradeSum!$DM$13:$DR$252,6)</f>
        <v>30</v>
      </c>
      <c r="AE161" s="2" t="n">
        <f aca="false">IF(TradeSum!$L$6=0,VLOOKUP(AB161,TradeSum!$DM$13:$DQ$252,2),VLOOKUP(AB161,TradeSum!$DU$13:$DY$252,2))</f>
        <v>22</v>
      </c>
      <c r="AF161" s="283" t="n">
        <f aca="false">[2]EnergyCurve!$G183</f>
        <v>37.7845557390769</v>
      </c>
      <c r="AG161" s="283" t="n">
        <f aca="false">[2]EnergyCurve!$Y183</f>
        <v>35.895327952123</v>
      </c>
      <c r="AH161" s="283" t="n">
        <f aca="false">[2]EnergyCurve!$AD183</f>
        <v>24.5599612304</v>
      </c>
      <c r="AI161" s="283" t="n">
        <f aca="false">[2]EnergyCurve!$L183</f>
        <v>24.5599612304</v>
      </c>
      <c r="AJ161" s="0" t="n">
        <f aca="false">(AE161*AF161+(AC161-AE161)*AG161)/AC161</f>
        <v>37.4939053103148</v>
      </c>
      <c r="AK161" s="0" t="n">
        <f aca="false">(AC161*16*AJ161+(AD161-AC161)*16*AH161+AD161*8*AI161)/(AD161*24)</f>
        <v>32.0329066987952</v>
      </c>
      <c r="AM161" s="0" t="n">
        <f aca="false">IF(NymexData!AC161="",VLOOKUP('Pricing Summary'!AB161,NymexData!$S$12:$U$250,3),VLOOKUP(NymexData!AA161,NymexData!$AA$12:$AC$250,3))</f>
        <v>0.17</v>
      </c>
      <c r="AO161" s="284" t="n">
        <f aca="false">AD161*24*VLOOKUP(AB161,Interest!$X$8:$AC$367,6)</f>
        <v>346.042476346933</v>
      </c>
    </row>
    <row r="162" customFormat="false" ht="12.75" hidden="false" customHeight="false" outlineLevel="0" collapsed="false">
      <c r="AB162" s="282" t="n">
        <f aca="false">[2]EnergyCurve!$D184</f>
        <v>41760</v>
      </c>
      <c r="AC162" s="2" t="n">
        <f aca="false">IF(TradeSum!$L$6=0,VLOOKUP(AB162,TradeSum!$DM$13:$DQ$252,2)+VLOOKUP(AB162,TradeSum!$DU$13:$DY$252,3),VLOOKUP(AB162,TradeSum!$DU$13:$DY$252,2)+VLOOKUP(AB162,TradeSum!$DU$13:$DY$252,3))</f>
        <v>26</v>
      </c>
      <c r="AD162" s="2" t="n">
        <f aca="false">VLOOKUP(AB162,TradeSum!$DM$13:$DR$252,6)</f>
        <v>31</v>
      </c>
      <c r="AE162" s="2" t="n">
        <f aca="false">IF(TradeSum!$L$6=0,VLOOKUP(AB162,TradeSum!$DM$13:$DQ$252,2),VLOOKUP(AB162,TradeSum!$DU$13:$DY$252,2))</f>
        <v>21</v>
      </c>
      <c r="AF162" s="283" t="n">
        <f aca="false">[2]EnergyCurve!$G184</f>
        <v>37.8592362027232</v>
      </c>
      <c r="AG162" s="283" t="n">
        <f aca="false">[2]EnergyCurve!$Y184</f>
        <v>35.966274392587</v>
      </c>
      <c r="AH162" s="283" t="n">
        <f aca="false">[2]EnergyCurve!$AD184</f>
        <v>24.6085035317701</v>
      </c>
      <c r="AI162" s="283" t="n">
        <f aca="false">[2]EnergyCurve!$L184</f>
        <v>24.6085035317701</v>
      </c>
      <c r="AJ162" s="0" t="n">
        <f aca="false">(AE162*AF162+(AC162-AE162)*AG162)/AC162</f>
        <v>37.4952050853893</v>
      </c>
      <c r="AK162" s="0" t="n">
        <f aca="false">(AC162*16*AJ162+(AD162-AC162)*16*AH162+AD162*8*AI162)/(AD162*24)</f>
        <v>31.8139710671271</v>
      </c>
      <c r="AM162" s="0" t="n">
        <f aca="false">IF(NymexData!AC162="",VLOOKUP('Pricing Summary'!AB162,NymexData!$S$12:$U$250,3),VLOOKUP(NymexData!AA162,NymexData!$AA$12:$AC$250,3))</f>
        <v>0.17</v>
      </c>
      <c r="AO162" s="284" t="n">
        <f aca="false">AD162*24*VLOOKUP(AB162,Interest!$X$8:$AC$367,6)</f>
        <v>355.486867062156</v>
      </c>
    </row>
    <row r="163" customFormat="false" ht="12.75" hidden="false" customHeight="false" outlineLevel="0" collapsed="false">
      <c r="AB163" s="282" t="n">
        <f aca="false">[2]EnergyCurve!$D185</f>
        <v>41791</v>
      </c>
      <c r="AC163" s="2" t="n">
        <f aca="false">IF(TradeSum!$L$6=0,VLOOKUP(AB163,TradeSum!$DM$13:$DQ$252,2)+VLOOKUP(AB163,TradeSum!$DU$13:$DY$252,3),VLOOKUP(AB163,TradeSum!$DU$13:$DY$252,2)+VLOOKUP(AB163,TradeSum!$DU$13:$DY$252,3))</f>
        <v>25</v>
      </c>
      <c r="AD163" s="2" t="n">
        <f aca="false">VLOOKUP(AB163,TradeSum!$DM$13:$DR$252,6)</f>
        <v>30</v>
      </c>
      <c r="AE163" s="2" t="n">
        <f aca="false">IF(TradeSum!$L$6=0,VLOOKUP(AB163,TradeSum!$DM$13:$DQ$252,2),VLOOKUP(AB163,TradeSum!$DU$13:$DY$252,2))</f>
        <v>21</v>
      </c>
      <c r="AF163" s="283" t="n">
        <f aca="false">[2]EnergyCurve!$G185</f>
        <v>38.2896558608696</v>
      </c>
      <c r="AG163" s="283" t="n">
        <f aca="false">[2]EnergyCurve!$Y185</f>
        <v>36.3751730678261</v>
      </c>
      <c r="AH163" s="283" t="n">
        <f aca="false">[2]EnergyCurve!$AD185</f>
        <v>24.8882763095652</v>
      </c>
      <c r="AI163" s="283" t="n">
        <f aca="false">[2]EnergyCurve!$L185</f>
        <v>24.8882763095652</v>
      </c>
      <c r="AJ163" s="0" t="n">
        <f aca="false">(AE163*AF163+(AC163-AE163)*AG163)/AC163</f>
        <v>37.9833386139826</v>
      </c>
      <c r="AK163" s="0" t="n">
        <f aca="false">(AC163*16*AJ163+(AD163-AC163)*16*AH163+AD163*8*AI163)/(AD163*24)</f>
        <v>32.1633109231305</v>
      </c>
      <c r="AM163" s="0" t="n">
        <f aca="false">IF(NymexData!AC163="",VLOOKUP('Pricing Summary'!AB163,NymexData!$S$12:$U$250,3),VLOOKUP(NymexData!AA163,NymexData!$AA$12:$AC$250,3))</f>
        <v>0.17</v>
      </c>
      <c r="AO163" s="284" t="n">
        <f aca="false">AD163*24*VLOOKUP(AB163,Interest!$X$8:$AC$367,6)</f>
        <v>342.04892303857</v>
      </c>
    </row>
    <row r="164" customFormat="false" ht="12.75" hidden="false" customHeight="false" outlineLevel="0" collapsed="false">
      <c r="AB164" s="282" t="n">
        <f aca="false">[2]EnergyCurve!$D186</f>
        <v>41821</v>
      </c>
      <c r="AC164" s="2" t="n">
        <f aca="false">IF(TradeSum!$L$6=0,VLOOKUP(AB164,TradeSum!$DM$13:$DQ$252,2)+VLOOKUP(AB164,TradeSum!$DU$13:$DY$252,3),VLOOKUP(AB164,TradeSum!$DU$13:$DY$252,2)+VLOOKUP(AB164,TradeSum!$DU$13:$DY$252,3))</f>
        <v>26</v>
      </c>
      <c r="AD164" s="2" t="n">
        <f aca="false">VLOOKUP(AB164,TradeSum!$DM$13:$DR$252,6)</f>
        <v>31</v>
      </c>
      <c r="AE164" s="2" t="n">
        <f aca="false">IF(TradeSum!$L$6=0,VLOOKUP(AB164,TradeSum!$DM$13:$DQ$252,2),VLOOKUP(AB164,TradeSum!$DU$13:$DY$252,2))</f>
        <v>22</v>
      </c>
      <c r="AF164" s="283" t="n">
        <f aca="false">[2]EnergyCurve!$G186</f>
        <v>38.7955092858914</v>
      </c>
      <c r="AG164" s="283" t="n">
        <f aca="false">[2]EnergyCurve!$Y186</f>
        <v>36.8557338215968</v>
      </c>
      <c r="AH164" s="283" t="n">
        <f aca="false">[2]EnergyCurve!$AD186</f>
        <v>25.2170810358294</v>
      </c>
      <c r="AI164" s="283" t="n">
        <f aca="false">[2]EnergyCurve!$L186</f>
        <v>25.2170810358294</v>
      </c>
      <c r="AJ164" s="0" t="n">
        <f aca="false">(AE164*AF164+(AC164-AE164)*AG164)/AC164</f>
        <v>38.4970822913845</v>
      </c>
      <c r="AK164" s="0" t="n">
        <f aca="false">(AC164*16*AJ164+(AD164-AC164)*16*AH164+AD164*8*AI164)/(AD164*24)</f>
        <v>32.6424580819462</v>
      </c>
      <c r="AM164" s="0" t="n">
        <f aca="false">IF(NymexData!AC164="",VLOOKUP('Pricing Summary'!AB164,NymexData!$S$12:$U$250,3),VLOOKUP(NymexData!AA164,NymexData!$AA$12:$AC$250,3))</f>
        <v>0.17</v>
      </c>
      <c r="AO164" s="284" t="n">
        <f aca="false">AD164*24*VLOOKUP(AB164,Interest!$X$8:$AC$367,6)</f>
        <v>351.375842031706</v>
      </c>
    </row>
    <row r="165" customFormat="false" ht="12.75" hidden="false" customHeight="false" outlineLevel="0" collapsed="false">
      <c r="AB165" s="282" t="n">
        <f aca="false">[2]EnergyCurve!$D187</f>
        <v>41852</v>
      </c>
      <c r="AC165" s="2" t="n">
        <f aca="false">IF(TradeSum!$L$6=0,VLOOKUP(AB165,TradeSum!$DM$13:$DQ$252,2)+VLOOKUP(AB165,TradeSum!$DU$13:$DY$252,3),VLOOKUP(AB165,TradeSum!$DU$13:$DY$252,2)+VLOOKUP(AB165,TradeSum!$DU$13:$DY$252,3))</f>
        <v>26</v>
      </c>
      <c r="AD165" s="2" t="n">
        <f aca="false">VLOOKUP(AB165,TradeSum!$DM$13:$DR$252,6)</f>
        <v>31</v>
      </c>
      <c r="AE165" s="2" t="n">
        <f aca="false">IF(TradeSum!$L$6=0,VLOOKUP(AB165,TradeSum!$DM$13:$DQ$252,2),VLOOKUP(AB165,TradeSum!$DU$13:$DY$252,2))</f>
        <v>21</v>
      </c>
      <c r="AF165" s="283" t="n">
        <f aca="false">[2]EnergyCurve!$G187</f>
        <v>39.227844575025</v>
      </c>
      <c r="AG165" s="283" t="n">
        <f aca="false">[2]EnergyCurve!$Y187</f>
        <v>37.2664523462738</v>
      </c>
      <c r="AH165" s="283" t="n">
        <f aca="false">[2]EnergyCurve!$AD187</f>
        <v>25.4980989737663</v>
      </c>
      <c r="AI165" s="283" t="n">
        <f aca="false">[2]EnergyCurve!$L187</f>
        <v>25.4980989737663</v>
      </c>
      <c r="AJ165" s="0" t="n">
        <f aca="false">(AE165*AF165+(AC165-AE165)*AG165)/AC165</f>
        <v>38.8506537618036</v>
      </c>
      <c r="AK165" s="0" t="n">
        <f aca="false">(AC165*16*AJ165+(AD165-AC165)*16*AH165+AD165*8*AI165)/(AD165*24)</f>
        <v>32.9640435864323</v>
      </c>
      <c r="AM165" s="0" t="n">
        <f aca="false">IF(NymexData!AC165="",VLOOKUP('Pricing Summary'!AB165,NymexData!$S$12:$U$250,3),VLOOKUP(NymexData!AA165,NymexData!$AA$12:$AC$250,3))</f>
        <v>0.17</v>
      </c>
      <c r="AO165" s="284" t="n">
        <f aca="false">AD165*24*VLOOKUP(AB165,Interest!$X$8:$AC$367,6)</f>
        <v>349.298428352807</v>
      </c>
    </row>
    <row r="166" customFormat="false" ht="12.75" hidden="false" customHeight="false" outlineLevel="0" collapsed="false">
      <c r="AB166" s="282" t="n">
        <f aca="false">[2]EnergyCurve!$D188</f>
        <v>41883</v>
      </c>
      <c r="AC166" s="2" t="n">
        <f aca="false">IF(TradeSum!$L$6=0,VLOOKUP(AB166,TradeSum!$DM$13:$DQ$252,2)+VLOOKUP(AB166,TradeSum!$DU$13:$DY$252,3),VLOOKUP(AB166,TradeSum!$DU$13:$DY$252,2)+VLOOKUP(AB166,TradeSum!$DU$13:$DY$252,3))</f>
        <v>25</v>
      </c>
      <c r="AD166" s="2" t="n">
        <f aca="false">VLOOKUP(AB166,TradeSum!$DM$13:$DR$252,6)</f>
        <v>30</v>
      </c>
      <c r="AE166" s="2" t="n">
        <f aca="false">IF(TradeSum!$L$6=0,VLOOKUP(AB166,TradeSum!$DM$13:$DQ$252,2),VLOOKUP(AB166,TradeSum!$DU$13:$DY$252,2))</f>
        <v>21</v>
      </c>
      <c r="AF166" s="283" t="n">
        <f aca="false">[2]EnergyCurve!$G188</f>
        <v>39.1875838973285</v>
      </c>
      <c r="AG166" s="283" t="n">
        <f aca="false">[2]EnergyCurve!$Y188</f>
        <v>37.228204702462</v>
      </c>
      <c r="AH166" s="283" t="n">
        <f aca="false">[2]EnergyCurve!$AD188</f>
        <v>25.4719295332635</v>
      </c>
      <c r="AI166" s="283" t="n">
        <f aca="false">[2]EnergyCurve!$L188</f>
        <v>25.4719295332635</v>
      </c>
      <c r="AJ166" s="0" t="n">
        <f aca="false">(AE166*AF166+(AC166-AE166)*AG166)/AC166</f>
        <v>38.8740832261498</v>
      </c>
      <c r="AK166" s="0" t="n">
        <f aca="false">(AC166*16*AJ166+(AD166-AC166)*16*AH166+AD166*8*AI166)/(AD166*24)</f>
        <v>32.9175704737559</v>
      </c>
      <c r="AM166" s="0" t="n">
        <f aca="false">IF(NymexData!AC166="",VLOOKUP('Pricing Summary'!AB166,NymexData!$S$12:$U$250,3),VLOOKUP(NymexData!AA166,NymexData!$AA$12:$AC$250,3))</f>
        <v>0.17</v>
      </c>
      <c r="AO166" s="284" t="n">
        <f aca="false">AD166*24*VLOOKUP(AB166,Interest!$X$8:$AC$367,6)</f>
        <v>336.082189712745</v>
      </c>
    </row>
    <row r="167" customFormat="false" ht="12.75" hidden="false" customHeight="false" outlineLevel="0" collapsed="false">
      <c r="AB167" s="282" t="n">
        <f aca="false">[2]EnergyCurve!$D189</f>
        <v>41913</v>
      </c>
      <c r="AC167" s="2" t="n">
        <f aca="false">IF(TradeSum!$L$6=0,VLOOKUP(AB167,TradeSum!$DM$13:$DQ$252,2)+VLOOKUP(AB167,TradeSum!$DU$13:$DY$252,3),VLOOKUP(AB167,TradeSum!$DU$13:$DY$252,2)+VLOOKUP(AB167,TradeSum!$DU$13:$DY$252,3))</f>
        <v>27</v>
      </c>
      <c r="AD167" s="2" t="n">
        <f aca="false">VLOOKUP(AB167,TradeSum!$DM$13:$DR$252,6)</f>
        <v>31</v>
      </c>
      <c r="AE167" s="2" t="n">
        <f aca="false">IF(TradeSum!$L$6=0,VLOOKUP(AB167,TradeSum!$DM$13:$DQ$252,2),VLOOKUP(AB167,TradeSum!$DU$13:$DY$252,2))</f>
        <v>23</v>
      </c>
      <c r="AF167" s="283" t="n">
        <f aca="false">[2]EnergyCurve!$G189</f>
        <v>39.2115229951658</v>
      </c>
      <c r="AG167" s="283" t="n">
        <f aca="false">[2]EnergyCurve!$Y189</f>
        <v>37.2509468454075</v>
      </c>
      <c r="AH167" s="283" t="n">
        <f aca="false">[2]EnergyCurve!$AD189</f>
        <v>25.4874899468578</v>
      </c>
      <c r="AI167" s="283" t="n">
        <f aca="false">[2]EnergyCurve!$L189</f>
        <v>25.4874899468578</v>
      </c>
      <c r="AJ167" s="0" t="n">
        <f aca="false">(AE167*AF167+(AC167-AE167)*AG167)/AC167</f>
        <v>38.9210672692757</v>
      </c>
      <c r="AK167" s="0" t="n">
        <f aca="false">(AC167*16*AJ167+(AD167-AC167)*16*AH167+AD167*8*AI167)/(AD167*24)</f>
        <v>33.2876316179392</v>
      </c>
      <c r="AM167" s="0" t="n">
        <f aca="false">IF(NymexData!AC167="",VLOOKUP('Pricing Summary'!AB167,NymexData!$S$12:$U$250,3),VLOOKUP(NymexData!AA167,NymexData!$AA$12:$AC$250,3))</f>
        <v>0.17</v>
      </c>
      <c r="AO167" s="284" t="n">
        <f aca="false">AD167*24*VLOOKUP(AB167,Interest!$X$8:$AC$367,6)</f>
        <v>345.233848640337</v>
      </c>
    </row>
    <row r="168" customFormat="false" ht="12.75" hidden="false" customHeight="false" outlineLevel="0" collapsed="false">
      <c r="AB168" s="282" t="n">
        <f aca="false">[2]EnergyCurve!$D190</f>
        <v>41944</v>
      </c>
      <c r="AC168" s="2" t="n">
        <f aca="false">IF(TradeSum!$L$6=0,VLOOKUP(AB168,TradeSum!$DM$13:$DQ$252,2)+VLOOKUP(AB168,TradeSum!$DU$13:$DY$252,3),VLOOKUP(AB168,TradeSum!$DU$13:$DY$252,2)+VLOOKUP(AB168,TradeSum!$DU$13:$DY$252,3))</f>
        <v>24</v>
      </c>
      <c r="AD168" s="2" t="n">
        <f aca="false">VLOOKUP(AB168,TradeSum!$DM$13:$DR$252,6)</f>
        <v>30</v>
      </c>
      <c r="AE168" s="2" t="n">
        <f aca="false">IF(TradeSum!$L$6=0,VLOOKUP(AB168,TradeSum!$DM$13:$DQ$252,2),VLOOKUP(AB168,TradeSum!$DU$13:$DY$252,2))</f>
        <v>19</v>
      </c>
      <c r="AF168" s="283" t="n">
        <f aca="false">[2]EnergyCurve!$G190</f>
        <v>41.4889803183558</v>
      </c>
      <c r="AG168" s="283" t="n">
        <f aca="false">[2]EnergyCurve!$Y190</f>
        <v>39.414531302438</v>
      </c>
      <c r="AH168" s="283" t="n">
        <f aca="false">[2]EnergyCurve!$AD190</f>
        <v>26.9678372069313</v>
      </c>
      <c r="AI168" s="283" t="n">
        <f aca="false">[2]EnergyCurve!$L190</f>
        <v>26.9678372069313</v>
      </c>
      <c r="AJ168" s="0" t="n">
        <f aca="false">(AE168*AF168+(AC168-AE168)*AG168)/AC168</f>
        <v>41.0568034400396</v>
      </c>
      <c r="AK168" s="0" t="n">
        <f aca="false">(AC168*16*AJ168+(AD168-AC168)*16*AH168+AD168*8*AI168)/(AD168*24)</f>
        <v>34.4819525312557</v>
      </c>
      <c r="AM168" s="0" t="n">
        <f aca="false">IF(NymexData!AC168="",VLOOKUP('Pricing Summary'!AB168,NymexData!$S$12:$U$250,3),VLOOKUP(NymexData!AA168,NymexData!$AA$12:$AC$250,3))</f>
        <v>0.17</v>
      </c>
      <c r="AO168" s="284" t="n">
        <f aca="false">AD168*24*VLOOKUP(AB168,Interest!$X$8:$AC$367,6)</f>
        <v>332.163388208214</v>
      </c>
    </row>
    <row r="169" customFormat="false" ht="12.75" hidden="false" customHeight="false" outlineLevel="0" collapsed="false">
      <c r="AB169" s="282" t="n">
        <f aca="false">[2]EnergyCurve!$D191</f>
        <v>41974</v>
      </c>
      <c r="AC169" s="2" t="n">
        <f aca="false">IF(TradeSum!$L$6=0,VLOOKUP(AB169,TradeSum!$DM$13:$DQ$252,2)+VLOOKUP(AB169,TradeSum!$DU$13:$DY$252,3),VLOOKUP(AB169,TradeSum!$DU$13:$DY$252,2)+VLOOKUP(AB169,TradeSum!$DU$13:$DY$252,3))</f>
        <v>26</v>
      </c>
      <c r="AD169" s="2" t="n">
        <f aca="false">VLOOKUP(AB169,TradeSum!$DM$13:$DR$252,6)</f>
        <v>31</v>
      </c>
      <c r="AE169" s="2" t="n">
        <f aca="false">IF(TradeSum!$L$6=0,VLOOKUP(AB169,TradeSum!$DM$13:$DQ$252,2),VLOOKUP(AB169,TradeSum!$DU$13:$DY$252,2))</f>
        <v>22</v>
      </c>
      <c r="AF169" s="283" t="n">
        <f aca="false">[2]EnergyCurve!$G191</f>
        <v>43.1542816592904</v>
      </c>
      <c r="AG169" s="283" t="n">
        <f aca="false">[2]EnergyCurve!$Y191</f>
        <v>40.9965675763259</v>
      </c>
      <c r="AH169" s="283" t="n">
        <f aca="false">[2]EnergyCurve!$AD191</f>
        <v>28.0502830785388</v>
      </c>
      <c r="AI169" s="283" t="n">
        <f aca="false">[2]EnergyCurve!$L191</f>
        <v>28.0502830785388</v>
      </c>
      <c r="AJ169" s="0" t="n">
        <f aca="false">(AE169*AF169+(AC169-AE169)*AG169)/AC169</f>
        <v>42.8223256465266</v>
      </c>
      <c r="AK169" s="0" t="n">
        <f aca="false">(AC169*16*AJ169+(AD169-AC169)*16*AH169+AD169*8*AI169)/(AD169*24)</f>
        <v>36.3099197832201</v>
      </c>
      <c r="AM169" s="0" t="n">
        <f aca="false">IF(NymexData!AC169="",VLOOKUP('Pricing Summary'!AB169,NymexData!$S$12:$U$250,3),VLOOKUP(NymexData!AA169,NymexData!$AA$12:$AC$250,3))</f>
        <v>0.17</v>
      </c>
      <c r="AO169" s="284" t="n">
        <f aca="false">AD169*24*VLOOKUP(AB169,Interest!$X$8:$AC$367,6)</f>
        <v>341.200106892986</v>
      </c>
    </row>
    <row r="170" customFormat="false" ht="12.75" hidden="false" customHeight="false" outlineLevel="0" collapsed="false">
      <c r="AB170" s="282" t="n">
        <f aca="false">[2]EnergyCurve!$D192</f>
        <v>42005</v>
      </c>
      <c r="AC170" s="2" t="n">
        <f aca="false">IF(TradeSum!$L$6=0,VLOOKUP(AB170,TradeSum!$DM$13:$DQ$252,2)+VLOOKUP(AB170,TradeSum!$DU$13:$DY$252,3),VLOOKUP(AB170,TradeSum!$DU$13:$DY$252,2)+VLOOKUP(AB170,TradeSum!$DU$13:$DY$252,3))</f>
        <v>26</v>
      </c>
      <c r="AD170" s="2" t="n">
        <f aca="false">VLOOKUP(AB170,TradeSum!$DM$13:$DR$252,6)</f>
        <v>31</v>
      </c>
      <c r="AE170" s="2" t="n">
        <f aca="false">IF(TradeSum!$L$6=0,VLOOKUP(AB170,TradeSum!$DM$13:$DQ$252,2),VLOOKUP(AB170,TradeSum!$DU$13:$DY$252,2))</f>
        <v>21</v>
      </c>
      <c r="AF170" s="283" t="n">
        <f aca="false">[2]EnergyCurve!$G192</f>
        <v>42.7704012252907</v>
      </c>
      <c r="AG170" s="283" t="n">
        <f aca="false">[2]EnergyCurve!$Y192</f>
        <v>40.6318811640262</v>
      </c>
      <c r="AH170" s="283" t="n">
        <f aca="false">[2]EnergyCurve!$AD192</f>
        <v>27.800760796439</v>
      </c>
      <c r="AI170" s="283" t="n">
        <f aca="false">[2]EnergyCurve!$L192</f>
        <v>27.800760796439</v>
      </c>
      <c r="AJ170" s="0" t="n">
        <f aca="false">(AE170*AF170+(AC170-AE170)*AG170)/AC170</f>
        <v>42.3591473673553</v>
      </c>
      <c r="AK170" s="0" t="n">
        <f aca="false">(AC170*16*AJ170+(AD170-AC170)*16*AH170+AD170*8*AI170)/(AD170*24)</f>
        <v>35.9409339328653</v>
      </c>
      <c r="AM170" s="0" t="n">
        <f aca="false">IF(NymexData!AC170="",VLOOKUP('Pricing Summary'!AB170,NymexData!$S$12:$U$250,3),VLOOKUP(NymexData!AA170,NymexData!$AA$12:$AC$250,3))</f>
        <v>0.17</v>
      </c>
      <c r="AO170" s="284" t="n">
        <f aca="false">AD170*24*VLOOKUP(AB170,Interest!$X$8:$AC$367,6)</f>
        <v>339.161999872139</v>
      </c>
    </row>
    <row r="171" customFormat="false" ht="12.75" hidden="false" customHeight="false" outlineLevel="0" collapsed="false">
      <c r="AB171" s="282" t="n">
        <f aca="false">[2]EnergyCurve!$D193</f>
        <v>42036</v>
      </c>
      <c r="AC171" s="2" t="n">
        <f aca="false">IF(TradeSum!$L$6=0,VLOOKUP(AB171,TradeSum!$DM$13:$DQ$252,2)+VLOOKUP(AB171,TradeSum!$DU$13:$DY$252,3),VLOOKUP(AB171,TradeSum!$DU$13:$DY$252,2)+VLOOKUP(AB171,TradeSum!$DU$13:$DY$252,3))</f>
        <v>24</v>
      </c>
      <c r="AD171" s="2" t="n">
        <f aca="false">VLOOKUP(AB171,TradeSum!$DM$13:$DR$252,6)</f>
        <v>28</v>
      </c>
      <c r="AE171" s="2" t="n">
        <f aca="false">IF(TradeSum!$L$6=0,VLOOKUP(AB171,TradeSum!$DM$13:$DQ$252,2),VLOOKUP(AB171,TradeSum!$DU$13:$DY$252,2))</f>
        <v>20</v>
      </c>
      <c r="AF171" s="283" t="n">
        <f aca="false">[2]EnergyCurve!$G193</f>
        <v>41.8501848985973</v>
      </c>
      <c r="AG171" s="283" t="n">
        <f aca="false">[2]EnergyCurve!$Y193</f>
        <v>39.7576756536675</v>
      </c>
      <c r="AH171" s="283" t="n">
        <f aca="false">[2]EnergyCurve!$AD193</f>
        <v>27.2026201840883</v>
      </c>
      <c r="AI171" s="283" t="n">
        <f aca="false">[2]EnergyCurve!$L193</f>
        <v>27.2026201840883</v>
      </c>
      <c r="AJ171" s="0" t="n">
        <f aca="false">(AE171*AF171+(AC171-AE171)*AG171)/AC171</f>
        <v>41.5014333577757</v>
      </c>
      <c r="AK171" s="0" t="n">
        <f aca="false">(AC171*16*AJ171+(AD171-AC171)*16*AH171+AD171*8*AI171)/(AD171*24)</f>
        <v>35.3733705690525</v>
      </c>
      <c r="AM171" s="0" t="n">
        <f aca="false">IF(NymexData!AC171="",VLOOKUP('Pricing Summary'!AB171,NymexData!$S$12:$U$250,3),VLOOKUP(NymexData!AA171,NymexData!$AA$12:$AC$250,3))</f>
        <v>0.17</v>
      </c>
      <c r="AO171" s="284" t="n">
        <f aca="false">AD171*24*VLOOKUP(AB171,Interest!$X$8:$AC$367,6)</f>
        <v>304.65435701286</v>
      </c>
    </row>
    <row r="172" customFormat="false" ht="12.75" hidden="false" customHeight="false" outlineLevel="0" collapsed="false">
      <c r="AB172" s="282" t="n">
        <f aca="false">[2]EnergyCurve!$D194</f>
        <v>42064</v>
      </c>
      <c r="AC172" s="2" t="n">
        <f aca="false">IF(TradeSum!$L$6=0,VLOOKUP(AB172,TradeSum!$DM$13:$DQ$252,2)+VLOOKUP(AB172,TradeSum!$DU$13:$DY$252,3),VLOOKUP(AB172,TradeSum!$DU$13:$DY$252,2)+VLOOKUP(AB172,TradeSum!$DU$13:$DY$252,3))</f>
        <v>26</v>
      </c>
      <c r="AD172" s="2" t="n">
        <f aca="false">VLOOKUP(AB172,TradeSum!$DM$13:$DR$252,6)</f>
        <v>31</v>
      </c>
      <c r="AE172" s="2" t="n">
        <f aca="false">IF(TradeSum!$L$6=0,VLOOKUP(AB172,TradeSum!$DM$13:$DQ$252,2),VLOOKUP(AB172,TradeSum!$DU$13:$DY$252,2))</f>
        <v>22</v>
      </c>
      <c r="AF172" s="283" t="n">
        <f aca="false">[2]EnergyCurve!$G194</f>
        <v>40.3802433423855</v>
      </c>
      <c r="AG172" s="283" t="n">
        <f aca="false">[2]EnergyCurve!$Y194</f>
        <v>38.3612311752662</v>
      </c>
      <c r="AH172" s="283" t="n">
        <f aca="false">[2]EnergyCurve!$AD194</f>
        <v>26.2471581725506</v>
      </c>
      <c r="AI172" s="283" t="n">
        <f aca="false">[2]EnergyCurve!$L194</f>
        <v>26.2471581725506</v>
      </c>
      <c r="AJ172" s="0" t="n">
        <f aca="false">(AE172*AF172+(AC172-AE172)*AG172)/AC172</f>
        <v>40.0696260859056</v>
      </c>
      <c r="AK172" s="0" t="n">
        <f aca="false">(AC172*16*AJ172+(AD172-AC172)*16*AH172+AD172*8*AI172)/(AD172*24)</f>
        <v>33.9758499090501</v>
      </c>
      <c r="AM172" s="0" t="n">
        <f aca="false">IF(NymexData!AC172="",VLOOKUP('Pricing Summary'!AB172,NymexData!$S$12:$U$250,3),VLOOKUP(NymexData!AA172,NymexData!$AA$12:$AC$250,3))</f>
        <v>0.17</v>
      </c>
      <c r="AO172" s="284" t="n">
        <f aca="false">AD172*24*VLOOKUP(AB172,Interest!$X$8:$AC$367,6)</f>
        <v>335.305057235306</v>
      </c>
    </row>
    <row r="173" customFormat="false" ht="12.75" hidden="false" customHeight="false" outlineLevel="0" collapsed="false">
      <c r="AB173" s="282" t="n">
        <f aca="false">[2]EnergyCurve!$D195</f>
        <v>42095</v>
      </c>
      <c r="AC173" s="2" t="n">
        <f aca="false">IF(TradeSum!$L$6=0,VLOOKUP(AB173,TradeSum!$DM$13:$DQ$252,2)+VLOOKUP(AB173,TradeSum!$DU$13:$DY$252,3),VLOOKUP(AB173,TradeSum!$DU$13:$DY$252,2)+VLOOKUP(AB173,TradeSum!$DU$13:$DY$252,3))</f>
        <v>26</v>
      </c>
      <c r="AD173" s="2" t="n">
        <f aca="false">VLOOKUP(AB173,TradeSum!$DM$13:$DR$252,6)</f>
        <v>30</v>
      </c>
      <c r="AE173" s="2" t="n">
        <f aca="false">IF(TradeSum!$L$6=0,VLOOKUP(AB173,TradeSum!$DM$13:$DQ$252,2),VLOOKUP(AB173,TradeSum!$DU$13:$DY$252,2))</f>
        <v>22</v>
      </c>
      <c r="AF173" s="283" t="n">
        <f aca="false">[2]EnergyCurve!$G195</f>
        <v>37.7845557390769</v>
      </c>
      <c r="AG173" s="283" t="n">
        <f aca="false">[2]EnergyCurve!$Y195</f>
        <v>35.895327952123</v>
      </c>
      <c r="AH173" s="283" t="n">
        <f aca="false">[2]EnergyCurve!$AD195</f>
        <v>24.5599612304</v>
      </c>
      <c r="AI173" s="283" t="n">
        <f aca="false">[2]EnergyCurve!$L195</f>
        <v>24.5599612304</v>
      </c>
      <c r="AJ173" s="0" t="n">
        <f aca="false">(AE173*AF173+(AC173-AE173)*AG173)/AC173</f>
        <v>37.4939053103148</v>
      </c>
      <c r="AK173" s="0" t="n">
        <f aca="false">(AC173*16*AJ173+(AD173-AC173)*16*AH173+AD173*8*AI173)/(AD173*24)</f>
        <v>32.0329066987952</v>
      </c>
      <c r="AM173" s="0" t="n">
        <f aca="false">IF(NymexData!AC173="",VLOOKUP('Pricing Summary'!AB173,NymexData!$S$12:$U$250,3),VLOOKUP(NymexData!AA173,NymexData!$AA$12:$AC$250,3))</f>
        <v>0.17</v>
      </c>
      <c r="AO173" s="284" t="n">
        <f aca="false">AD173*24*VLOOKUP(AB173,Interest!$X$8:$AC$367,6)</f>
        <v>322.591241561286</v>
      </c>
    </row>
    <row r="174" customFormat="false" ht="12.75" hidden="false" customHeight="false" outlineLevel="0" collapsed="false">
      <c r="AB174" s="282" t="n">
        <f aca="false">[2]EnergyCurve!$D196</f>
        <v>42125</v>
      </c>
      <c r="AC174" s="2" t="n">
        <f aca="false">IF(TradeSum!$L$6=0,VLOOKUP(AB174,TradeSum!$DM$13:$DQ$252,2)+VLOOKUP(AB174,TradeSum!$DU$13:$DY$252,3),VLOOKUP(AB174,TradeSum!$DU$13:$DY$252,2)+VLOOKUP(AB174,TradeSum!$DU$13:$DY$252,3))</f>
        <v>25</v>
      </c>
      <c r="AD174" s="2" t="n">
        <f aca="false">VLOOKUP(AB174,TradeSum!$DM$13:$DR$252,6)</f>
        <v>31</v>
      </c>
      <c r="AE174" s="2" t="n">
        <f aca="false">IF(TradeSum!$L$6=0,VLOOKUP(AB174,TradeSum!$DM$13:$DQ$252,2),VLOOKUP(AB174,TradeSum!$DU$13:$DY$252,2))</f>
        <v>20</v>
      </c>
      <c r="AF174" s="283" t="n">
        <f aca="false">[2]EnergyCurve!$G196</f>
        <v>37.8592362027232</v>
      </c>
      <c r="AG174" s="283" t="n">
        <f aca="false">[2]EnergyCurve!$Y196</f>
        <v>35.966274392587</v>
      </c>
      <c r="AH174" s="283" t="n">
        <f aca="false">[2]EnergyCurve!$AD196</f>
        <v>24.6085035317701</v>
      </c>
      <c r="AI174" s="283" t="n">
        <f aca="false">[2]EnergyCurve!$L196</f>
        <v>24.6085035317701</v>
      </c>
      <c r="AJ174" s="0" t="n">
        <f aca="false">(AE174*AF174+(AC174-AE174)*AG174)/AC174</f>
        <v>37.480643840696</v>
      </c>
      <c r="AK174" s="0" t="n">
        <f aca="false">(AC174*16*AJ174+(AD174-AC174)*16*AH174+AD174*8*AI174)/(AD174*24)</f>
        <v>31.5290090742034</v>
      </c>
      <c r="AM174" s="0" t="n">
        <f aca="false">IF(NymexData!AC174="",VLOOKUP('Pricing Summary'!AB174,NymexData!$S$12:$U$250,3),VLOOKUP(NymexData!AA174,NymexData!$AA$12:$AC$250,3))</f>
        <v>0.17</v>
      </c>
      <c r="AO174" s="284" t="n">
        <f aca="false">AD174*24*VLOOKUP(AB174,Interest!$X$8:$AC$367,6)</f>
        <v>331.347763718532</v>
      </c>
    </row>
    <row r="175" customFormat="false" ht="12.75" hidden="false" customHeight="false" outlineLevel="0" collapsed="false">
      <c r="AB175" s="282" t="n">
        <f aca="false">[2]EnergyCurve!$D197</f>
        <v>42156</v>
      </c>
      <c r="AC175" s="2" t="n">
        <f aca="false">IF(TradeSum!$L$6=0,VLOOKUP(AB175,TradeSum!$DM$13:$DQ$252,2)+VLOOKUP(AB175,TradeSum!$DU$13:$DY$252,3),VLOOKUP(AB175,TradeSum!$DU$13:$DY$252,2)+VLOOKUP(AB175,TradeSum!$DU$13:$DY$252,3))</f>
        <v>26</v>
      </c>
      <c r="AD175" s="2" t="n">
        <f aca="false">VLOOKUP(AB175,TradeSum!$DM$13:$DR$252,6)</f>
        <v>30</v>
      </c>
      <c r="AE175" s="2" t="n">
        <f aca="false">IF(TradeSum!$L$6=0,VLOOKUP(AB175,TradeSum!$DM$13:$DQ$252,2),VLOOKUP(AB175,TradeSum!$DU$13:$DY$252,2))</f>
        <v>22</v>
      </c>
      <c r="AF175" s="283" t="n">
        <f aca="false">[2]EnergyCurve!$G197</f>
        <v>38.2896558608696</v>
      </c>
      <c r="AG175" s="283" t="n">
        <f aca="false">[2]EnergyCurve!$Y197</f>
        <v>36.3751730678261</v>
      </c>
      <c r="AH175" s="283" t="n">
        <f aca="false">[2]EnergyCurve!$AD197</f>
        <v>24.8882763095652</v>
      </c>
      <c r="AI175" s="283" t="n">
        <f aca="false">[2]EnergyCurve!$L197</f>
        <v>24.8882763095652</v>
      </c>
      <c r="AJ175" s="0" t="n">
        <f aca="false">(AE175*AF175+(AC175-AE175)*AG175)/AC175</f>
        <v>37.9951200465552</v>
      </c>
      <c r="AK175" s="0" t="n">
        <f aca="false">(AC175*16*AJ175+(AD175-AC175)*16*AH175+AD175*8*AI175)/(AD175*24)</f>
        <v>32.4611193576039</v>
      </c>
      <c r="AM175" s="0" t="n">
        <f aca="false">IF(NymexData!AC175="",VLOOKUP('Pricing Summary'!AB175,NymexData!$S$12:$U$250,3),VLOOKUP(NymexData!AA175,NymexData!$AA$12:$AC$250,3))</f>
        <v>0.17</v>
      </c>
      <c r="AO175" s="284" t="n">
        <f aca="false">AD175*24*VLOOKUP(AB175,Interest!$X$8:$AC$367,6)</f>
        <v>318.776311806951</v>
      </c>
    </row>
    <row r="176" customFormat="false" ht="12.75" hidden="false" customHeight="false" outlineLevel="0" collapsed="false">
      <c r="AB176" s="282" t="n">
        <f aca="false">[2]EnergyCurve!$D198</f>
        <v>42186</v>
      </c>
      <c r="AC176" s="2" t="n">
        <f aca="false">IF(TradeSum!$L$6=0,VLOOKUP(AB176,TradeSum!$DM$13:$DQ$252,2)+VLOOKUP(AB176,TradeSum!$DU$13:$DY$252,3),VLOOKUP(AB176,TradeSum!$DU$13:$DY$252,2)+VLOOKUP(AB176,TradeSum!$DU$13:$DY$252,3))</f>
        <v>26</v>
      </c>
      <c r="AD176" s="2" t="n">
        <f aca="false">VLOOKUP(AB176,TradeSum!$DM$13:$DR$252,6)</f>
        <v>31</v>
      </c>
      <c r="AE176" s="2" t="n">
        <f aca="false">IF(TradeSum!$L$6=0,VLOOKUP(AB176,TradeSum!$DM$13:$DQ$252,2),VLOOKUP(AB176,TradeSum!$DU$13:$DY$252,2))</f>
        <v>23</v>
      </c>
      <c r="AF176" s="283" t="n">
        <f aca="false">[2]EnergyCurve!$G198</f>
        <v>38.7955092858914</v>
      </c>
      <c r="AG176" s="283" t="n">
        <f aca="false">[2]EnergyCurve!$Y198</f>
        <v>36.8557338215968</v>
      </c>
      <c r="AH176" s="283" t="n">
        <f aca="false">[2]EnergyCurve!$AD198</f>
        <v>25.2170810358294</v>
      </c>
      <c r="AI176" s="283" t="n">
        <f aca="false">[2]EnergyCurve!$L198</f>
        <v>25.2170810358294</v>
      </c>
      <c r="AJ176" s="0" t="n">
        <f aca="false">(AE176*AF176+(AC176-AE176)*AG176)/AC176</f>
        <v>38.5716890400112</v>
      </c>
      <c r="AK176" s="0" t="n">
        <f aca="false">(AC176*16*AJ176+(AD176-AC176)*16*AH176+AD176*8*AI176)/(AD176*24)</f>
        <v>32.6841736833289</v>
      </c>
      <c r="AM176" s="0" t="n">
        <f aca="false">IF(NymexData!AC176="",VLOOKUP('Pricing Summary'!AB176,NymexData!$S$12:$U$250,3),VLOOKUP(NymexData!AA176,NymexData!$AA$12:$AC$250,3))</f>
        <v>0.17</v>
      </c>
      <c r="AO176" s="284" t="n">
        <f aca="false">AD176*24*VLOOKUP(AB176,Interest!$X$8:$AC$367,6)</f>
        <v>327.421385925752</v>
      </c>
    </row>
    <row r="177" customFormat="false" ht="12.75" hidden="false" customHeight="false" outlineLevel="0" collapsed="false">
      <c r="AB177" s="282" t="n">
        <f aca="false">[2]EnergyCurve!$D199</f>
        <v>42217</v>
      </c>
      <c r="AC177" s="2" t="n">
        <f aca="false">IF(TradeSum!$L$6=0,VLOOKUP(AB177,TradeSum!$DM$13:$DQ$252,2)+VLOOKUP(AB177,TradeSum!$DU$13:$DY$252,3),VLOOKUP(AB177,TradeSum!$DU$13:$DY$252,2)+VLOOKUP(AB177,TradeSum!$DU$13:$DY$252,3))</f>
        <v>26</v>
      </c>
      <c r="AD177" s="2" t="n">
        <f aca="false">VLOOKUP(AB177,TradeSum!$DM$13:$DR$252,6)</f>
        <v>31</v>
      </c>
      <c r="AE177" s="2" t="n">
        <f aca="false">IF(TradeSum!$L$6=0,VLOOKUP(AB177,TradeSum!$DM$13:$DQ$252,2),VLOOKUP(AB177,TradeSum!$DU$13:$DY$252,2))</f>
        <v>21</v>
      </c>
      <c r="AF177" s="283" t="n">
        <f aca="false">[2]EnergyCurve!$G199</f>
        <v>39.227844575025</v>
      </c>
      <c r="AG177" s="283" t="n">
        <f aca="false">[2]EnergyCurve!$Y199</f>
        <v>37.2664523462738</v>
      </c>
      <c r="AH177" s="283" t="n">
        <f aca="false">[2]EnergyCurve!$AD199</f>
        <v>25.4980989737663</v>
      </c>
      <c r="AI177" s="283" t="n">
        <f aca="false">[2]EnergyCurve!$L199</f>
        <v>25.4980989737663</v>
      </c>
      <c r="AJ177" s="0" t="n">
        <f aca="false">(AE177*AF177+(AC177-AE177)*AG177)/AC177</f>
        <v>38.8506537618036</v>
      </c>
      <c r="AK177" s="0" t="n">
        <f aca="false">(AC177*16*AJ177+(AD177-AC177)*16*AH177+AD177*8*AI177)/(AD177*24)</f>
        <v>32.9640435864323</v>
      </c>
      <c r="AM177" s="0" t="n">
        <f aca="false">IF(NymexData!AC177="",VLOOKUP('Pricing Summary'!AB177,NymexData!$S$12:$U$250,3),VLOOKUP(NymexData!AA177,NymexData!$AA$12:$AC$250,3))</f>
        <v>0.17</v>
      </c>
      <c r="AO177" s="284" t="n">
        <f aca="false">AD177*24*VLOOKUP(AB177,Interest!$X$8:$AC$367,6)</f>
        <v>325.437865396941</v>
      </c>
    </row>
    <row r="178" customFormat="false" ht="12.75" hidden="false" customHeight="false" outlineLevel="0" collapsed="false">
      <c r="AB178" s="282" t="n">
        <f aca="false">[2]EnergyCurve!$D200</f>
        <v>42248</v>
      </c>
      <c r="AC178" s="2" t="n">
        <f aca="false">IF(TradeSum!$L$6=0,VLOOKUP(AB178,TradeSum!$DM$13:$DQ$252,2)+VLOOKUP(AB178,TradeSum!$DU$13:$DY$252,3),VLOOKUP(AB178,TradeSum!$DU$13:$DY$252,2)+VLOOKUP(AB178,TradeSum!$DU$13:$DY$252,3))</f>
        <v>25</v>
      </c>
      <c r="AD178" s="2" t="n">
        <f aca="false">VLOOKUP(AB178,TradeSum!$DM$13:$DR$252,6)</f>
        <v>30</v>
      </c>
      <c r="AE178" s="2" t="n">
        <f aca="false">IF(TradeSum!$L$6=0,VLOOKUP(AB178,TradeSum!$DM$13:$DQ$252,2),VLOOKUP(AB178,TradeSum!$DU$13:$DY$252,2))</f>
        <v>21</v>
      </c>
      <c r="AF178" s="283" t="n">
        <f aca="false">[2]EnergyCurve!$G200</f>
        <v>39.1875838973285</v>
      </c>
      <c r="AG178" s="283" t="n">
        <f aca="false">[2]EnergyCurve!$Y200</f>
        <v>37.228204702462</v>
      </c>
      <c r="AH178" s="283" t="n">
        <f aca="false">[2]EnergyCurve!$AD200</f>
        <v>25.4719295332635</v>
      </c>
      <c r="AI178" s="283" t="n">
        <f aca="false">[2]EnergyCurve!$L200</f>
        <v>25.4719295332635</v>
      </c>
      <c r="AJ178" s="0" t="n">
        <f aca="false">(AE178*AF178+(AC178-AE178)*AG178)/AC178</f>
        <v>38.8740832261498</v>
      </c>
      <c r="AK178" s="0" t="n">
        <f aca="false">(AC178*16*AJ178+(AD178-AC178)*16*AH178+AD178*8*AI178)/(AD178*24)</f>
        <v>32.9175704737559</v>
      </c>
      <c r="AM178" s="0" t="n">
        <f aca="false">IF(NymexData!AC178="",VLOOKUP('Pricing Summary'!AB178,NymexData!$S$12:$U$250,3),VLOOKUP(NymexData!AA178,NymexData!$AA$12:$AC$250,3))</f>
        <v>0.17</v>
      </c>
      <c r="AO178" s="284" t="n">
        <f aca="false">AD178*24*VLOOKUP(AB178,Interest!$X$8:$AC$367,6)</f>
        <v>313.079254417891</v>
      </c>
    </row>
    <row r="179" customFormat="false" ht="12.75" hidden="false" customHeight="false" outlineLevel="0" collapsed="false">
      <c r="AB179" s="282" t="n">
        <f aca="false">[2]EnergyCurve!$D201</f>
        <v>42278</v>
      </c>
      <c r="AC179" s="2" t="n">
        <f aca="false">IF(TradeSum!$L$6=0,VLOOKUP(AB179,TradeSum!$DM$13:$DQ$252,2)+VLOOKUP(AB179,TradeSum!$DU$13:$DY$252,3),VLOOKUP(AB179,TradeSum!$DU$13:$DY$252,2)+VLOOKUP(AB179,TradeSum!$DU$13:$DY$252,3))</f>
        <v>27</v>
      </c>
      <c r="AD179" s="2" t="n">
        <f aca="false">VLOOKUP(AB179,TradeSum!$DM$13:$DR$252,6)</f>
        <v>31</v>
      </c>
      <c r="AE179" s="2" t="n">
        <f aca="false">IF(TradeSum!$L$6=0,VLOOKUP(AB179,TradeSum!$DM$13:$DQ$252,2),VLOOKUP(AB179,TradeSum!$DU$13:$DY$252,2))</f>
        <v>22</v>
      </c>
      <c r="AF179" s="283" t="n">
        <f aca="false">[2]EnergyCurve!$G201</f>
        <v>39.2115229951658</v>
      </c>
      <c r="AG179" s="283" t="n">
        <f aca="false">[2]EnergyCurve!$Y201</f>
        <v>37.2509468454075</v>
      </c>
      <c r="AH179" s="283" t="n">
        <f aca="false">[2]EnergyCurve!$AD201</f>
        <v>25.4874899468578</v>
      </c>
      <c r="AI179" s="283" t="n">
        <f aca="false">[2]EnergyCurve!$L201</f>
        <v>25.4874899468578</v>
      </c>
      <c r="AJ179" s="0" t="n">
        <f aca="false">(AE179*AF179+(AC179-AE179)*AG179)/AC179</f>
        <v>38.8484533378032</v>
      </c>
      <c r="AK179" s="0" t="n">
        <f aca="false">(AC179*16*AJ179+(AD179-AC179)*16*AH179+AD179*8*AI179)/(AD179*24)</f>
        <v>33.2454686899874</v>
      </c>
      <c r="AM179" s="0" t="n">
        <f aca="false">IF(NymexData!AC179="",VLOOKUP('Pricing Summary'!AB179,NymexData!$S$12:$U$250,3),VLOOKUP(NymexData!AA179,NymexData!$AA$12:$AC$250,3))</f>
        <v>0.17</v>
      </c>
      <c r="AO179" s="284" t="n">
        <f aca="false">AD179*24*VLOOKUP(AB179,Interest!$X$8:$AC$367,6)</f>
        <v>321.558135336554</v>
      </c>
    </row>
    <row r="180" customFormat="false" ht="12.75" hidden="false" customHeight="false" outlineLevel="0" collapsed="false">
      <c r="AB180" s="282" t="n">
        <f aca="false">[2]EnergyCurve!$D202</f>
        <v>42309</v>
      </c>
      <c r="AC180" s="2" t="n">
        <f aca="false">IF(TradeSum!$L$6=0,VLOOKUP(AB180,TradeSum!$DM$13:$DQ$252,2)+VLOOKUP(AB180,TradeSum!$DU$13:$DY$252,3),VLOOKUP(AB180,TradeSum!$DU$13:$DY$252,2)+VLOOKUP(AB180,TradeSum!$DU$13:$DY$252,3))</f>
        <v>24</v>
      </c>
      <c r="AD180" s="2" t="n">
        <f aca="false">VLOOKUP(AB180,TradeSum!$DM$13:$DR$252,6)</f>
        <v>30</v>
      </c>
      <c r="AE180" s="2" t="n">
        <f aca="false">IF(TradeSum!$L$6=0,VLOOKUP(AB180,TradeSum!$DM$13:$DQ$252,2),VLOOKUP(AB180,TradeSum!$DU$13:$DY$252,2))</f>
        <v>20</v>
      </c>
      <c r="AF180" s="283" t="n">
        <f aca="false">[2]EnergyCurve!$G202</f>
        <v>41.4889803183558</v>
      </c>
      <c r="AG180" s="283" t="n">
        <f aca="false">[2]EnergyCurve!$Y202</f>
        <v>39.414531302438</v>
      </c>
      <c r="AH180" s="283" t="n">
        <f aca="false">[2]EnergyCurve!$AD202</f>
        <v>26.9678372069313</v>
      </c>
      <c r="AI180" s="283" t="n">
        <f aca="false">[2]EnergyCurve!$L202</f>
        <v>26.9678372069313</v>
      </c>
      <c r="AJ180" s="0" t="n">
        <f aca="false">(AE180*AF180+(AC180-AE180)*AG180)/AC180</f>
        <v>41.1432388157029</v>
      </c>
      <c r="AK180" s="0" t="n">
        <f aca="false">(AC180*16*AJ180+(AD180-AC180)*16*AH180+AD180*8*AI180)/(AD180*24)</f>
        <v>34.5280513982761</v>
      </c>
      <c r="AM180" s="0" t="n">
        <f aca="false">IF(NymexData!AC180="",VLOOKUP('Pricing Summary'!AB180,NymexData!$S$12:$U$250,3),VLOOKUP(NymexData!AA180,NymexData!$AA$12:$AC$250,3))</f>
        <v>0.17</v>
      </c>
      <c r="AO180" s="284" t="n">
        <f aca="false">AD180*24*VLOOKUP(AB180,Interest!$X$8:$AC$367,6)</f>
        <v>309.339402382336</v>
      </c>
    </row>
    <row r="181" customFormat="false" ht="12.75" hidden="false" customHeight="false" outlineLevel="0" collapsed="false">
      <c r="AB181" s="282" t="n">
        <f aca="false">[2]EnergyCurve!$D203</f>
        <v>42339</v>
      </c>
      <c r="AC181" s="2" t="n">
        <f aca="false">IF(TradeSum!$L$6=0,VLOOKUP(AB181,TradeSum!$DM$13:$DQ$252,2)+VLOOKUP(AB181,TradeSum!$DU$13:$DY$252,3),VLOOKUP(AB181,TradeSum!$DU$13:$DY$252,2)+VLOOKUP(AB181,TradeSum!$DU$13:$DY$252,3))</f>
        <v>26</v>
      </c>
      <c r="AD181" s="2" t="n">
        <f aca="false">VLOOKUP(AB181,TradeSum!$DM$13:$DR$252,6)</f>
        <v>31</v>
      </c>
      <c r="AE181" s="2" t="n">
        <f aca="false">IF(TradeSum!$L$6=0,VLOOKUP(AB181,TradeSum!$DM$13:$DQ$252,2),VLOOKUP(AB181,TradeSum!$DU$13:$DY$252,2))</f>
        <v>22</v>
      </c>
      <c r="AF181" s="283" t="n">
        <f aca="false">[2]EnergyCurve!$G203</f>
        <v>43.1542816592904</v>
      </c>
      <c r="AG181" s="283" t="n">
        <f aca="false">[2]EnergyCurve!$Y203</f>
        <v>40.9965675763259</v>
      </c>
      <c r="AH181" s="283" t="n">
        <f aca="false">[2]EnergyCurve!$AD203</f>
        <v>28.0502830785388</v>
      </c>
      <c r="AI181" s="283" t="n">
        <f aca="false">[2]EnergyCurve!$L203</f>
        <v>28.0502830785388</v>
      </c>
      <c r="AJ181" s="0" t="n">
        <f aca="false">(AE181*AF181+(AC181-AE181)*AG181)/AC181</f>
        <v>42.8223256465266</v>
      </c>
      <c r="AK181" s="0" t="n">
        <f aca="false">(AC181*16*AJ181+(AD181-AC181)*16*AH181+AD181*8*AI181)/(AD181*24)</f>
        <v>36.3099197832201</v>
      </c>
      <c r="AM181" s="0" t="n">
        <f aca="false">IF(NymexData!AC181="",VLOOKUP('Pricing Summary'!AB181,NymexData!$S$12:$U$250,3),VLOOKUP(NymexData!AA181,NymexData!$AA$12:$AC$250,3))</f>
        <v>0.17</v>
      </c>
      <c r="AO181" s="284" t="n">
        <f aca="false">AD181*24*VLOOKUP(AB181,Interest!$X$8:$AC$367,6)</f>
        <v>317.709341706265</v>
      </c>
    </row>
    <row r="182" customFormat="false" ht="12.75" hidden="false" customHeight="false" outlineLevel="0" collapsed="false">
      <c r="AB182" s="282" t="n">
        <f aca="false">[2]EnergyCurve!$D204</f>
        <v>42370</v>
      </c>
      <c r="AC182" s="2" t="n">
        <f aca="false">IF(TradeSum!$L$6=0,VLOOKUP(AB182,TradeSum!$DM$13:$DQ$252,2)+VLOOKUP(AB182,TradeSum!$DU$13:$DY$252,3),VLOOKUP(AB182,TradeSum!$DU$13:$DY$252,2)+VLOOKUP(AB182,TradeSum!$DU$13:$DY$252,3))</f>
        <v>25</v>
      </c>
      <c r="AD182" s="2" t="n">
        <f aca="false">VLOOKUP(AB182,TradeSum!$DM$13:$DR$252,6)</f>
        <v>31</v>
      </c>
      <c r="AE182" s="2" t="n">
        <f aca="false">IF(TradeSum!$L$6=0,VLOOKUP(AB182,TradeSum!$DM$13:$DQ$252,2),VLOOKUP(AB182,TradeSum!$DU$13:$DY$252,2))</f>
        <v>20</v>
      </c>
      <c r="AF182" s="283" t="n">
        <f aca="false">[2]EnergyCurve!$G204</f>
        <v>42.7704012252907</v>
      </c>
      <c r="AG182" s="283" t="n">
        <f aca="false">[2]EnergyCurve!$Y204</f>
        <v>40.6318811640262</v>
      </c>
      <c r="AH182" s="283" t="n">
        <f aca="false">[2]EnergyCurve!$AD204</f>
        <v>27.800760796439</v>
      </c>
      <c r="AI182" s="283" t="n">
        <f aca="false">[2]EnergyCurve!$L204</f>
        <v>27.800760796439</v>
      </c>
      <c r="AJ182" s="0" t="n">
        <f aca="false">(AE182*AF182+(AC182-AE182)*AG182)/AC182</f>
        <v>42.3426972130378</v>
      </c>
      <c r="AK182" s="0" t="n">
        <f aca="false">(AC182*16*AJ182+(AD182-AC182)*16*AH182+AD182*8*AI182)/(AD182*24)</f>
        <v>35.6190061817072</v>
      </c>
      <c r="AM182" s="0" t="n">
        <f aca="false">IF(NymexData!AC182="",VLOOKUP('Pricing Summary'!AB182,NymexData!$S$12:$U$250,3),VLOOKUP(NymexData!AA182,NymexData!$AA$12:$AC$250,3))</f>
        <v>0.17</v>
      </c>
      <c r="AO182" s="284" t="n">
        <f aca="false">AD182*24*VLOOKUP(AB182,Interest!$X$8:$AC$367,6)</f>
        <v>315.765253422587</v>
      </c>
    </row>
    <row r="183" customFormat="false" ht="12.75" hidden="false" customHeight="false" outlineLevel="0" collapsed="false">
      <c r="AB183" s="282" t="n">
        <f aca="false">[2]EnergyCurve!$D205</f>
        <v>42401</v>
      </c>
      <c r="AC183" s="2" t="n">
        <f aca="false">IF(TradeSum!$L$6=0,VLOOKUP(AB183,TradeSum!$DM$13:$DQ$252,2)+VLOOKUP(AB183,TradeSum!$DU$13:$DY$252,3),VLOOKUP(AB183,TradeSum!$DU$13:$DY$252,2)+VLOOKUP(AB183,TradeSum!$DU$13:$DY$252,3))</f>
        <v>25</v>
      </c>
      <c r="AD183" s="2" t="n">
        <f aca="false">VLOOKUP(AB183,TradeSum!$DM$13:$DR$252,6)</f>
        <v>29</v>
      </c>
      <c r="AE183" s="2" t="n">
        <f aca="false">IF(TradeSum!$L$6=0,VLOOKUP(AB183,TradeSum!$DM$13:$DQ$252,2),VLOOKUP(AB183,TradeSum!$DU$13:$DY$252,2))</f>
        <v>21</v>
      </c>
      <c r="AF183" s="283" t="n">
        <f aca="false">[2]EnergyCurve!$G205</f>
        <v>41.8501848985973</v>
      </c>
      <c r="AG183" s="283" t="n">
        <f aca="false">[2]EnergyCurve!$Y205</f>
        <v>39.7576756536675</v>
      </c>
      <c r="AH183" s="283" t="n">
        <f aca="false">[2]EnergyCurve!$AD205</f>
        <v>27.2026201840883</v>
      </c>
      <c r="AI183" s="283" t="n">
        <f aca="false">[2]EnergyCurve!$L205</f>
        <v>27.2026201840883</v>
      </c>
      <c r="AJ183" s="0" t="n">
        <f aca="false">(AE183*AF183+(AC183-AE183)*AG183)/AC183</f>
        <v>41.5153834194085</v>
      </c>
      <c r="AK183" s="0" t="n">
        <f aca="false">(AC183*16*AJ183+(AD183-AC183)*16*AH183+AD183*8*AI183)/(AD183*24)</f>
        <v>35.4283461813988</v>
      </c>
      <c r="AM183" s="0" t="n">
        <f aca="false">IF(NymexData!AC183="",VLOOKUP('Pricing Summary'!AB183,NymexData!$S$12:$U$250,3),VLOOKUP(NymexData!AA183,NymexData!$AA$12:$AC$250,3))</f>
        <v>0.17</v>
      </c>
      <c r="AO183" s="284" t="n">
        <f aca="false">AD183*24*VLOOKUP(AB183,Interest!$X$8:$AC$367,6)</f>
        <v>293.678723582495</v>
      </c>
    </row>
    <row r="184" customFormat="false" ht="12.75" hidden="false" customHeight="false" outlineLevel="0" collapsed="false">
      <c r="AB184" s="282" t="n">
        <f aca="false">[2]EnergyCurve!$D206</f>
        <v>42430</v>
      </c>
      <c r="AC184" s="2" t="n">
        <f aca="false">IF(TradeSum!$L$6=0,VLOOKUP(AB184,TradeSum!$DM$13:$DQ$252,2)+VLOOKUP(AB184,TradeSum!$DU$13:$DY$252,3),VLOOKUP(AB184,TradeSum!$DU$13:$DY$252,2)+VLOOKUP(AB184,TradeSum!$DU$13:$DY$252,3))</f>
        <v>27</v>
      </c>
      <c r="AD184" s="2" t="n">
        <f aca="false">VLOOKUP(AB184,TradeSum!$DM$13:$DR$252,6)</f>
        <v>31</v>
      </c>
      <c r="AE184" s="2" t="n">
        <f aca="false">IF(TradeSum!$L$6=0,VLOOKUP(AB184,TradeSum!$DM$13:$DQ$252,2),VLOOKUP(AB184,TradeSum!$DU$13:$DY$252,2))</f>
        <v>23</v>
      </c>
      <c r="AF184" s="283" t="n">
        <f aca="false">[2]EnergyCurve!$G206</f>
        <v>40.3802433423855</v>
      </c>
      <c r="AG184" s="283" t="n">
        <f aca="false">[2]EnergyCurve!$Y206</f>
        <v>38.3612311752662</v>
      </c>
      <c r="AH184" s="283" t="n">
        <f aca="false">[2]EnergyCurve!$AD206</f>
        <v>26.2471581725506</v>
      </c>
      <c r="AI184" s="283" t="n">
        <f aca="false">[2]EnergyCurve!$L206</f>
        <v>26.2471581725506</v>
      </c>
      <c r="AJ184" s="0" t="n">
        <f aca="false">(AE184*AF184+(AC184-AE184)*AG184)/AC184</f>
        <v>40.0811304287382</v>
      </c>
      <c r="AK184" s="0" t="n">
        <f aca="false">(AC184*16*AJ184+(AD184-AC184)*16*AH184+AD184*8*AI184)/(AD184*24)</f>
        <v>34.2797872245305</v>
      </c>
      <c r="AM184" s="0" t="n">
        <f aca="false">IF(NymexData!AC184="",VLOOKUP('Pricing Summary'!AB184,NymexData!$S$12:$U$250,3),VLOOKUP(NymexData!AA184,NymexData!$AA$12:$AC$250,3))</f>
        <v>0.17</v>
      </c>
      <c r="AO184" s="284" t="n">
        <f aca="false">AD184*24*VLOOKUP(AB184,Interest!$X$8:$AC$367,6)</f>
        <v>312.025197672797</v>
      </c>
    </row>
    <row r="185" customFormat="false" ht="12.75" hidden="false" customHeight="false" outlineLevel="0" collapsed="false">
      <c r="AB185" s="282" t="n">
        <f aca="false">[2]EnergyCurve!$D207</f>
        <v>42461</v>
      </c>
      <c r="AC185" s="2" t="n">
        <f aca="false">IF(TradeSum!$L$6=0,VLOOKUP(AB185,TradeSum!$DM$13:$DQ$252,2)+VLOOKUP(AB185,TradeSum!$DU$13:$DY$252,3),VLOOKUP(AB185,TradeSum!$DU$13:$DY$252,2)+VLOOKUP(AB185,TradeSum!$DU$13:$DY$252,3))</f>
        <v>26</v>
      </c>
      <c r="AD185" s="2" t="n">
        <f aca="false">VLOOKUP(AB185,TradeSum!$DM$13:$DR$252,6)</f>
        <v>30</v>
      </c>
      <c r="AE185" s="2" t="n">
        <f aca="false">IF(TradeSum!$L$6=0,VLOOKUP(AB185,TradeSum!$DM$13:$DQ$252,2),VLOOKUP(AB185,TradeSum!$DU$13:$DY$252,2))</f>
        <v>21</v>
      </c>
      <c r="AF185" s="283" t="n">
        <f aca="false">[2]EnergyCurve!$G207</f>
        <v>37.7845557390769</v>
      </c>
      <c r="AG185" s="283" t="n">
        <f aca="false">[2]EnergyCurve!$Y207</f>
        <v>35.895327952123</v>
      </c>
      <c r="AH185" s="283" t="n">
        <f aca="false">[2]EnergyCurve!$AD207</f>
        <v>24.5599612304</v>
      </c>
      <c r="AI185" s="283" t="n">
        <f aca="false">[2]EnergyCurve!$L207</f>
        <v>24.5599612304</v>
      </c>
      <c r="AJ185" s="0" t="n">
        <f aca="false">(AE185*AF185+(AC185-AE185)*AG185)/AC185</f>
        <v>37.4212427031242</v>
      </c>
      <c r="AK185" s="0" t="n">
        <f aca="false">(AC185*16*AJ185+(AD185-AC185)*16*AH185+AD185*8*AI185)/(AD185*24)</f>
        <v>31.9909238590851</v>
      </c>
      <c r="AM185" s="0" t="n">
        <f aca="false">IF(NymexData!AC185="",VLOOKUP('Pricing Summary'!AB185,NymexData!$S$12:$U$250,3),VLOOKUP(NymexData!AA185,NymexData!$AA$12:$AC$250,3))</f>
        <v>0.17</v>
      </c>
      <c r="AO185" s="284" t="n">
        <f aca="false">AD185*24*VLOOKUP(AB185,Interest!$X$8:$AC$367,6)</f>
        <v>300.150678296946</v>
      </c>
    </row>
    <row r="186" customFormat="false" ht="12.75" hidden="false" customHeight="false" outlineLevel="0" collapsed="false">
      <c r="AB186" s="282" t="n">
        <f aca="false">[2]EnergyCurve!$D208</f>
        <v>42491</v>
      </c>
      <c r="AC186" s="2" t="n">
        <f aca="false">IF(TradeSum!$L$6=0,VLOOKUP(AB186,TradeSum!$DM$13:$DQ$252,2)+VLOOKUP(AB186,TradeSum!$DU$13:$DY$252,3),VLOOKUP(AB186,TradeSum!$DU$13:$DY$252,2)+VLOOKUP(AB186,TradeSum!$DU$13:$DY$252,3))</f>
        <v>25</v>
      </c>
      <c r="AD186" s="2" t="n">
        <f aca="false">VLOOKUP(AB186,TradeSum!$DM$13:$DR$252,6)</f>
        <v>31</v>
      </c>
      <c r="AE186" s="2" t="n">
        <f aca="false">IF(TradeSum!$L$6=0,VLOOKUP(AB186,TradeSum!$DM$13:$DQ$252,2),VLOOKUP(AB186,TradeSum!$DU$13:$DY$252,2))</f>
        <v>21</v>
      </c>
      <c r="AF186" s="283" t="n">
        <f aca="false">[2]EnergyCurve!$G208</f>
        <v>37.8592362027232</v>
      </c>
      <c r="AG186" s="283" t="n">
        <f aca="false">[2]EnergyCurve!$Y208</f>
        <v>35.966274392587</v>
      </c>
      <c r="AH186" s="283" t="n">
        <f aca="false">[2]EnergyCurve!$AD208</f>
        <v>24.6085035317701</v>
      </c>
      <c r="AI186" s="283" t="n">
        <f aca="false">[2]EnergyCurve!$L208</f>
        <v>24.6085035317701</v>
      </c>
      <c r="AJ186" s="0" t="n">
        <f aca="false">(AE186*AF186+(AC186-AE186)*AG186)/AC186</f>
        <v>37.5563623131014</v>
      </c>
      <c r="AK186" s="0" t="n">
        <f aca="false">(AC186*16*AJ186+(AD186-AC186)*16*AH186+AD186*8*AI186)/(AD186*24)</f>
        <v>31.5697179303353</v>
      </c>
      <c r="AM186" s="0" t="n">
        <f aca="false">IF(NymexData!AC186="",VLOOKUP('Pricing Summary'!AB186,NymexData!$S$12:$U$250,3),VLOOKUP(NymexData!AA186,NymexData!$AA$12:$AC$250,3))</f>
        <v>0.17</v>
      </c>
      <c r="AO186" s="284" t="n">
        <f aca="false">AD186*24*VLOOKUP(AB186,Interest!$X$8:$AC$367,6)</f>
        <v>308.253482671489</v>
      </c>
    </row>
    <row r="187" customFormat="false" ht="12.75" hidden="false" customHeight="false" outlineLevel="0" collapsed="false">
      <c r="AB187" s="282" t="n">
        <f aca="false">[2]EnergyCurve!$D209</f>
        <v>42522</v>
      </c>
      <c r="AC187" s="2" t="n">
        <f aca="false">IF(TradeSum!$L$6=0,VLOOKUP(AB187,TradeSum!$DM$13:$DQ$252,2)+VLOOKUP(AB187,TradeSum!$DU$13:$DY$252,3),VLOOKUP(AB187,TradeSum!$DU$13:$DY$252,2)+VLOOKUP(AB187,TradeSum!$DU$13:$DY$252,3))</f>
        <v>26</v>
      </c>
      <c r="AD187" s="2" t="n">
        <f aca="false">VLOOKUP(AB187,TradeSum!$DM$13:$DR$252,6)</f>
        <v>30</v>
      </c>
      <c r="AE187" s="2" t="n">
        <f aca="false">IF(TradeSum!$L$6=0,VLOOKUP(AB187,TradeSum!$DM$13:$DQ$252,2),VLOOKUP(AB187,TradeSum!$DU$13:$DY$252,2))</f>
        <v>22</v>
      </c>
      <c r="AF187" s="283" t="n">
        <f aca="false">[2]EnergyCurve!$G209</f>
        <v>38.2896558608696</v>
      </c>
      <c r="AG187" s="283" t="n">
        <f aca="false">[2]EnergyCurve!$Y209</f>
        <v>36.3751730678261</v>
      </c>
      <c r="AH187" s="283" t="n">
        <f aca="false">[2]EnergyCurve!$AD209</f>
        <v>24.8882763095652</v>
      </c>
      <c r="AI187" s="283" t="n">
        <f aca="false">[2]EnergyCurve!$L209</f>
        <v>24.8882763095652</v>
      </c>
      <c r="AJ187" s="0" t="n">
        <f aca="false">(AE187*AF187+(AC187-AE187)*AG187)/AC187</f>
        <v>37.9951200465552</v>
      </c>
      <c r="AK187" s="0" t="n">
        <f aca="false">(AC187*16*AJ187+(AD187-AC187)*16*AH187+AD187*8*AI187)/(AD187*24)</f>
        <v>32.4611193576039</v>
      </c>
      <c r="AM187" s="0" t="n">
        <f aca="false">IF(NymexData!AC187="",VLOOKUP('Pricing Summary'!AB187,NymexData!$S$12:$U$250,3),VLOOKUP(NymexData!AA187,NymexData!$AA$12:$AC$250,3))</f>
        <v>0.17</v>
      </c>
      <c r="AO187" s="284" t="n">
        <f aca="false">AD187*24*VLOOKUP(AB187,Interest!$X$8:$AC$367,6)</f>
        <v>296.515356555735</v>
      </c>
    </row>
    <row r="188" customFormat="false" ht="12.75" hidden="false" customHeight="false" outlineLevel="0" collapsed="false">
      <c r="AB188" s="282" t="n">
        <f aca="false">[2]EnergyCurve!$D210</f>
        <v>42552</v>
      </c>
      <c r="AC188" s="2" t="n">
        <f aca="false">IF(TradeSum!$L$6=0,VLOOKUP(AB188,TradeSum!$DM$13:$DQ$252,2)+VLOOKUP(AB188,TradeSum!$DU$13:$DY$252,3),VLOOKUP(AB188,TradeSum!$DU$13:$DY$252,2)+VLOOKUP(AB188,TradeSum!$DU$13:$DY$252,3))</f>
        <v>25</v>
      </c>
      <c r="AD188" s="2" t="n">
        <f aca="false">VLOOKUP(AB188,TradeSum!$DM$13:$DR$252,6)</f>
        <v>31</v>
      </c>
      <c r="AE188" s="2" t="n">
        <f aca="false">IF(TradeSum!$L$6=0,VLOOKUP(AB188,TradeSum!$DM$13:$DQ$252,2),VLOOKUP(AB188,TradeSum!$DU$13:$DY$252,2))</f>
        <v>20</v>
      </c>
      <c r="AF188" s="283" t="n">
        <f aca="false">[2]EnergyCurve!$G210</f>
        <v>38.7955092858914</v>
      </c>
      <c r="AG188" s="283" t="n">
        <f aca="false">[2]EnergyCurve!$Y210</f>
        <v>36.8557338215968</v>
      </c>
      <c r="AH188" s="283" t="n">
        <f aca="false">[2]EnergyCurve!$AD210</f>
        <v>25.2170810358294</v>
      </c>
      <c r="AI188" s="283" t="n">
        <f aca="false">[2]EnergyCurve!$L210</f>
        <v>25.2170810358294</v>
      </c>
      <c r="AJ188" s="0" t="n">
        <f aca="false">(AE188*AF188+(AC188-AE188)*AG188)/AC188</f>
        <v>38.4075541930324</v>
      </c>
      <c r="AK188" s="0" t="n">
        <f aca="false">(AC188*16*AJ188+(AD188-AC188)*16*AH188+AD188*8*AI188)/(AD188*24)</f>
        <v>32.3087332708848</v>
      </c>
      <c r="AM188" s="0" t="n">
        <f aca="false">IF(NymexData!AC188="",VLOOKUP('Pricing Summary'!AB188,NymexData!$S$12:$U$250,3),VLOOKUP(NymexData!AA188,NymexData!$AA$12:$AC$250,3))</f>
        <v>0.17</v>
      </c>
      <c r="AO188" s="284" t="n">
        <f aca="false">AD188*24*VLOOKUP(AB188,Interest!$X$8:$AC$367,6)</f>
        <v>304.512685304186</v>
      </c>
    </row>
    <row r="189" customFormat="false" ht="12.75" hidden="false" customHeight="false" outlineLevel="0" collapsed="false">
      <c r="AB189" s="282" t="n">
        <f aca="false">[2]EnergyCurve!$D211</f>
        <v>42583</v>
      </c>
      <c r="AC189" s="2" t="n">
        <f aca="false">IF(TradeSum!$L$6=0,VLOOKUP(AB189,TradeSum!$DM$13:$DQ$252,2)+VLOOKUP(AB189,TradeSum!$DU$13:$DY$252,3),VLOOKUP(AB189,TradeSum!$DU$13:$DY$252,2)+VLOOKUP(AB189,TradeSum!$DU$13:$DY$252,3))</f>
        <v>27</v>
      </c>
      <c r="AD189" s="2" t="n">
        <f aca="false">VLOOKUP(AB189,TradeSum!$DM$13:$DR$252,6)</f>
        <v>31</v>
      </c>
      <c r="AE189" s="2" t="n">
        <f aca="false">IF(TradeSum!$L$6=0,VLOOKUP(AB189,TradeSum!$DM$13:$DQ$252,2),VLOOKUP(AB189,TradeSum!$DU$13:$DY$252,2))</f>
        <v>23</v>
      </c>
      <c r="AF189" s="283" t="n">
        <f aca="false">[2]EnergyCurve!$G211</f>
        <v>39.227844575025</v>
      </c>
      <c r="AG189" s="283" t="n">
        <f aca="false">[2]EnergyCurve!$Y211</f>
        <v>37.2664523462738</v>
      </c>
      <c r="AH189" s="283" t="n">
        <f aca="false">[2]EnergyCurve!$AD211</f>
        <v>25.4980989737663</v>
      </c>
      <c r="AI189" s="283" t="n">
        <f aca="false">[2]EnergyCurve!$L211</f>
        <v>25.4980989737663</v>
      </c>
      <c r="AJ189" s="0" t="n">
        <f aca="false">(AE189*AF189+(AC189-AE189)*AG189)/AC189</f>
        <v>38.9372679485434</v>
      </c>
      <c r="AK189" s="0" t="n">
        <f aca="false">(AC189*16*AJ189+(AD189-AC189)*16*AH189+AD189*8*AI189)/(AD189*24)</f>
        <v>33.3014874107336</v>
      </c>
      <c r="AM189" s="0" t="n">
        <f aca="false">IF(NymexData!AC189="",VLOOKUP('Pricing Summary'!AB189,NymexData!$S$12:$U$250,3),VLOOKUP(NymexData!AA189,NymexData!$AA$12:$AC$250,3))</f>
        <v>0.17</v>
      </c>
      <c r="AO189" s="284" t="n">
        <f aca="false">AD189*24*VLOOKUP(AB189,Interest!$X$8:$AC$367,6)</f>
        <v>302.62346818997</v>
      </c>
    </row>
    <row r="190" customFormat="false" ht="12.75" hidden="false" customHeight="false" outlineLevel="0" collapsed="false">
      <c r="AB190" s="282" t="n">
        <f aca="false">[2]EnergyCurve!$D212</f>
        <v>42614</v>
      </c>
      <c r="AC190" s="2" t="n">
        <f aca="false">IF(TradeSum!$L$6=0,VLOOKUP(AB190,TradeSum!$DM$13:$DQ$252,2)+VLOOKUP(AB190,TradeSum!$DU$13:$DY$252,3),VLOOKUP(AB190,TradeSum!$DU$13:$DY$252,2)+VLOOKUP(AB190,TradeSum!$DU$13:$DY$252,3))</f>
        <v>25</v>
      </c>
      <c r="AD190" s="2" t="n">
        <f aca="false">VLOOKUP(AB190,TradeSum!$DM$13:$DR$252,6)</f>
        <v>30</v>
      </c>
      <c r="AE190" s="2" t="n">
        <f aca="false">IF(TradeSum!$L$6=0,VLOOKUP(AB190,TradeSum!$DM$13:$DQ$252,2),VLOOKUP(AB190,TradeSum!$DU$13:$DY$252,2))</f>
        <v>21</v>
      </c>
      <c r="AF190" s="283" t="n">
        <f aca="false">[2]EnergyCurve!$G212</f>
        <v>39.1875838973285</v>
      </c>
      <c r="AG190" s="283" t="n">
        <f aca="false">[2]EnergyCurve!$Y212</f>
        <v>37.228204702462</v>
      </c>
      <c r="AH190" s="283" t="n">
        <f aca="false">[2]EnergyCurve!$AD212</f>
        <v>25.4719295332635</v>
      </c>
      <c r="AI190" s="283" t="n">
        <f aca="false">[2]EnergyCurve!$L212</f>
        <v>25.4719295332635</v>
      </c>
      <c r="AJ190" s="0" t="n">
        <f aca="false">(AE190*AF190+(AC190-AE190)*AG190)/AC190</f>
        <v>38.8740832261498</v>
      </c>
      <c r="AK190" s="0" t="n">
        <f aca="false">(AC190*16*AJ190+(AD190-AC190)*16*AH190+AD190*8*AI190)/(AD190*24)</f>
        <v>32.9175704737559</v>
      </c>
      <c r="AM190" s="0" t="n">
        <f aca="false">IF(NymexData!AC190="",VLOOKUP('Pricing Summary'!AB190,NymexData!$S$12:$U$250,3),VLOOKUP(NymexData!AA190,NymexData!$AA$12:$AC$250,3))</f>
        <v>0.17</v>
      </c>
      <c r="AO190" s="284" t="n">
        <f aca="false">AD190*24*VLOOKUP(AB190,Interest!$X$8:$AC$367,6)</f>
        <v>291.089153691946</v>
      </c>
    </row>
    <row r="191" customFormat="false" ht="12.75" hidden="false" customHeight="false" outlineLevel="0" collapsed="false">
      <c r="AB191" s="282" t="n">
        <f aca="false">[2]EnergyCurve!$D213</f>
        <v>42644</v>
      </c>
      <c r="AC191" s="2" t="n">
        <f aca="false">IF(TradeSum!$L$6=0,VLOOKUP(AB191,TradeSum!$DM$13:$DQ$252,2)+VLOOKUP(AB191,TradeSum!$DU$13:$DY$252,3),VLOOKUP(AB191,TradeSum!$DU$13:$DY$252,2)+VLOOKUP(AB191,TradeSum!$DU$13:$DY$252,3))</f>
        <v>26</v>
      </c>
      <c r="AD191" s="2" t="n">
        <f aca="false">VLOOKUP(AB191,TradeSum!$DM$13:$DR$252,6)</f>
        <v>31</v>
      </c>
      <c r="AE191" s="2" t="n">
        <f aca="false">IF(TradeSum!$L$6=0,VLOOKUP(AB191,TradeSum!$DM$13:$DQ$252,2),VLOOKUP(AB191,TradeSum!$DU$13:$DY$252,2))</f>
        <v>21</v>
      </c>
      <c r="AF191" s="283" t="n">
        <f aca="false">[2]EnergyCurve!$G213</f>
        <v>39.2115229951658</v>
      </c>
      <c r="AG191" s="283" t="n">
        <f aca="false">[2]EnergyCurve!$Y213</f>
        <v>37.2509468454075</v>
      </c>
      <c r="AH191" s="283" t="n">
        <f aca="false">[2]EnergyCurve!$AD213</f>
        <v>25.4874899468578</v>
      </c>
      <c r="AI191" s="283" t="n">
        <f aca="false">[2]EnergyCurve!$L213</f>
        <v>25.4874899468578</v>
      </c>
      <c r="AJ191" s="0" t="n">
        <f aca="false">(AE191*AF191+(AC191-AE191)*AG191)/AC191</f>
        <v>38.8344891202123</v>
      </c>
      <c r="AK191" s="0" t="n">
        <f aca="false">(AC191*16*AJ191+(AD191-AC191)*16*AH191+AD191*8*AI191)/(AD191*24)</f>
        <v>32.9503281943248</v>
      </c>
      <c r="AM191" s="0" t="n">
        <f aca="false">IF(NymexData!AC191="",VLOOKUP('Pricing Summary'!AB191,NymexData!$S$12:$U$250,3),VLOOKUP(NymexData!AA191,NymexData!$AA$12:$AC$250,3))</f>
        <v>0.17</v>
      </c>
      <c r="AO191" s="284" t="n">
        <f aca="false">AD191*24*VLOOKUP(AB191,Interest!$X$8:$AC$367,6)</f>
        <v>298.929270374351</v>
      </c>
    </row>
    <row r="192" customFormat="false" ht="12.75" hidden="false" customHeight="false" outlineLevel="0" collapsed="false">
      <c r="AB192" s="282" t="n">
        <f aca="false">[2]EnergyCurve!$D214</f>
        <v>42675</v>
      </c>
      <c r="AC192" s="2" t="n">
        <f aca="false">IF(TradeSum!$L$6=0,VLOOKUP(AB192,TradeSum!$DM$13:$DQ$252,2)+VLOOKUP(AB192,TradeSum!$DU$13:$DY$252,3),VLOOKUP(AB192,TradeSum!$DU$13:$DY$252,2)+VLOOKUP(AB192,TradeSum!$DU$13:$DY$252,3))</f>
        <v>25</v>
      </c>
      <c r="AD192" s="2" t="n">
        <f aca="false">VLOOKUP(AB192,TradeSum!$DM$13:$DR$252,6)</f>
        <v>30</v>
      </c>
      <c r="AE192" s="2" t="n">
        <f aca="false">IF(TradeSum!$L$6=0,VLOOKUP(AB192,TradeSum!$DM$13:$DQ$252,2),VLOOKUP(AB192,TradeSum!$DU$13:$DY$252,2))</f>
        <v>21</v>
      </c>
      <c r="AF192" s="283" t="n">
        <f aca="false">[2]EnergyCurve!$G214</f>
        <v>41.4889803183558</v>
      </c>
      <c r="AG192" s="283" t="n">
        <f aca="false">[2]EnergyCurve!$Y214</f>
        <v>39.414531302438</v>
      </c>
      <c r="AH192" s="283" t="n">
        <f aca="false">[2]EnergyCurve!$AD214</f>
        <v>26.9678372069313</v>
      </c>
      <c r="AI192" s="283" t="n">
        <f aca="false">[2]EnergyCurve!$L214</f>
        <v>26.9678372069313</v>
      </c>
      <c r="AJ192" s="0" t="n">
        <f aca="false">(AE192*AF192+(AC192-AE192)*AG192)/AC192</f>
        <v>41.157068475809</v>
      </c>
      <c r="AK192" s="0" t="n">
        <f aca="false">(AC192*16*AJ192+(AD192-AC192)*16*AH192+AD192*8*AI192)/(AD192*24)</f>
        <v>34.8507434674189</v>
      </c>
      <c r="AM192" s="0" t="n">
        <f aca="false">IF(NymexData!AC192="",VLOOKUP('Pricing Summary'!AB192,NymexData!$S$12:$U$250,3),VLOOKUP(NymexData!AA192,NymexData!$AA$12:$AC$250,3))</f>
        <v>0.17</v>
      </c>
      <c r="AO192" s="284" t="n">
        <f aca="false">AD192*24*VLOOKUP(AB192,Interest!$X$8:$AC$367,6)</f>
        <v>287.577129000124</v>
      </c>
    </row>
    <row r="193" customFormat="false" ht="12.75" hidden="false" customHeight="false" outlineLevel="0" collapsed="false">
      <c r="AB193" s="282" t="n">
        <f aca="false">[2]EnergyCurve!$D215</f>
        <v>42705</v>
      </c>
      <c r="AC193" s="2" t="n">
        <f aca="false">IF(TradeSum!$L$6=0,VLOOKUP(AB193,TradeSum!$DM$13:$DQ$252,2)+VLOOKUP(AB193,TradeSum!$DU$13:$DY$252,3),VLOOKUP(AB193,TradeSum!$DU$13:$DY$252,2)+VLOOKUP(AB193,TradeSum!$DU$13:$DY$252,3))</f>
        <v>26</v>
      </c>
      <c r="AD193" s="2" t="n">
        <f aca="false">VLOOKUP(AB193,TradeSum!$DM$13:$DR$252,6)</f>
        <v>31</v>
      </c>
      <c r="AE193" s="2" t="n">
        <f aca="false">IF(TradeSum!$L$6=0,VLOOKUP(AB193,TradeSum!$DM$13:$DQ$252,2),VLOOKUP(AB193,TradeSum!$DU$13:$DY$252,2))</f>
        <v>21</v>
      </c>
      <c r="AF193" s="283" t="n">
        <f aca="false">[2]EnergyCurve!$G215</f>
        <v>43.1542816592904</v>
      </c>
      <c r="AG193" s="283" t="n">
        <f aca="false">[2]EnergyCurve!$Y215</f>
        <v>40.9965675763259</v>
      </c>
      <c r="AH193" s="283" t="n">
        <f aca="false">[2]EnergyCurve!$AD215</f>
        <v>28.0502830785388</v>
      </c>
      <c r="AI193" s="283" t="n">
        <f aca="false">[2]EnergyCurve!$L215</f>
        <v>28.0502830785388</v>
      </c>
      <c r="AJ193" s="0" t="n">
        <f aca="false">(AE193*AF193+(AC193-AE193)*AG193)/AC193</f>
        <v>42.7393366433357</v>
      </c>
      <c r="AK193" s="0" t="n">
        <f aca="false">(AC193*16*AJ193+(AD193-AC193)*16*AH193+AD193*8*AI193)/(AD193*24)</f>
        <v>36.2635173298231</v>
      </c>
      <c r="AM193" s="0" t="n">
        <f aca="false">IF(NymexData!AC193="",VLOOKUP('Pricing Summary'!AB193,NymexData!$S$12:$U$250,3),VLOOKUP(NymexData!AA193,NymexData!$AA$12:$AC$250,3))</f>
        <v>0.17</v>
      </c>
      <c r="AO193" s="284" t="n">
        <f aca="false">AD193*24*VLOOKUP(AB193,Interest!$X$8:$AC$367,6)</f>
        <v>295.502918595327</v>
      </c>
    </row>
    <row r="194" customFormat="false" ht="12.75" hidden="false" customHeight="false" outlineLevel="0" collapsed="false">
      <c r="AB194" s="282" t="n">
        <f aca="false">[2]EnergyCurve!$D216</f>
        <v>42736</v>
      </c>
      <c r="AC194" s="2" t="n">
        <f aca="false">IF(TradeSum!$L$6=0,VLOOKUP(AB194,TradeSum!$DM$13:$DQ$252,2)+VLOOKUP(AB194,TradeSum!$DU$13:$DY$252,3),VLOOKUP(AB194,TradeSum!$DU$13:$DY$252,2)+VLOOKUP(AB194,TradeSum!$DU$13:$DY$252,3))</f>
        <v>25</v>
      </c>
      <c r="AD194" s="2" t="n">
        <f aca="false">VLOOKUP(AB194,TradeSum!$DM$13:$DR$252,6)</f>
        <v>31</v>
      </c>
      <c r="AE194" s="2" t="n">
        <f aca="false">IF(TradeSum!$L$6=0,VLOOKUP(AB194,TradeSum!$DM$13:$DQ$252,2),VLOOKUP(AB194,TradeSum!$DU$13:$DY$252,2))</f>
        <v>21</v>
      </c>
      <c r="AF194" s="283" t="n">
        <f aca="false">[2]EnergyCurve!$G216</f>
        <v>42.7704012252907</v>
      </c>
      <c r="AG194" s="283" t="n">
        <f aca="false">[2]EnergyCurve!$Y216</f>
        <v>40.6318811640262</v>
      </c>
      <c r="AH194" s="283" t="n">
        <f aca="false">[2]EnergyCurve!$AD216</f>
        <v>27.800760796439</v>
      </c>
      <c r="AI194" s="283" t="n">
        <f aca="false">[2]EnergyCurve!$L216</f>
        <v>27.800760796439</v>
      </c>
      <c r="AJ194" s="0" t="n">
        <f aca="false">(AE194*AF194+(AC194-AE194)*AG194)/AC194</f>
        <v>42.4282380154884</v>
      </c>
      <c r="AK194" s="0" t="n">
        <f aca="false">(AC194*16*AJ194+(AD194-AC194)*16*AH194+AD194*8*AI194)/(AD194*24)</f>
        <v>35.664995860444</v>
      </c>
      <c r="AM194" s="0" t="n">
        <f aca="false">IF(NymexData!AC194="",VLOOKUP('Pricing Summary'!AB194,NymexData!$S$12:$U$250,3),VLOOKUP(NymexData!AA194,NymexData!$AA$12:$AC$250,3))</f>
        <v>0.17</v>
      </c>
      <c r="AO194" s="284" t="n">
        <f aca="false">AD194*24*VLOOKUP(AB194,Interest!$X$8:$AC$367,6)</f>
        <v>293.846195650687</v>
      </c>
    </row>
    <row r="195" customFormat="false" ht="12.75" hidden="false" customHeight="false" outlineLevel="0" collapsed="false">
      <c r="AB195" s="282" t="n">
        <f aca="false">[2]EnergyCurve!$D217</f>
        <v>42767</v>
      </c>
      <c r="AC195" s="2" t="n">
        <f aca="false">IF(TradeSum!$L$6=0,VLOOKUP(AB195,TradeSum!$DM$13:$DQ$252,2)+VLOOKUP(AB195,TradeSum!$DU$13:$DY$252,3),VLOOKUP(AB195,TradeSum!$DU$13:$DY$252,2)+VLOOKUP(AB195,TradeSum!$DU$13:$DY$252,3))</f>
        <v>24</v>
      </c>
      <c r="AD195" s="2" t="n">
        <f aca="false">VLOOKUP(AB195,TradeSum!$DM$13:$DR$252,6)</f>
        <v>28</v>
      </c>
      <c r="AE195" s="2" t="n">
        <f aca="false">IF(TradeSum!$L$6=0,VLOOKUP(AB195,TradeSum!$DM$13:$DQ$252,2),VLOOKUP(AB195,TradeSum!$DU$13:$DY$252,2))</f>
        <v>20</v>
      </c>
      <c r="AF195" s="283" t="n">
        <f aca="false">[2]EnergyCurve!$G217</f>
        <v>41.8501848985973</v>
      </c>
      <c r="AG195" s="283" t="n">
        <f aca="false">[2]EnergyCurve!$Y217</f>
        <v>39.7576756536675</v>
      </c>
      <c r="AH195" s="283" t="n">
        <f aca="false">[2]EnergyCurve!$AD217</f>
        <v>27.2026201840883</v>
      </c>
      <c r="AI195" s="283" t="n">
        <f aca="false">[2]EnergyCurve!$L217</f>
        <v>27.2026201840883</v>
      </c>
      <c r="AJ195" s="0" t="n">
        <f aca="false">(AE195*AF195+(AC195-AE195)*AG195)/AC195</f>
        <v>41.5014333577757</v>
      </c>
      <c r="AK195" s="0" t="n">
        <f aca="false">(AC195*16*AJ195+(AD195-AC195)*16*AH195+AD195*8*AI195)/(AD195*24)</f>
        <v>35.3733705690525</v>
      </c>
      <c r="AM195" s="0" t="n">
        <f aca="false">IF(NymexData!AC195="",VLOOKUP('Pricing Summary'!AB195,NymexData!$S$12:$U$250,3),VLOOKUP(NymexData!AA195,NymexData!$AA$12:$AC$250,3))</f>
        <v>0.17</v>
      </c>
      <c r="AO195" s="284" t="n">
        <f aca="false">AD195*24*VLOOKUP(AB195,Interest!$X$8:$AC$367,6)</f>
        <v>264.05196621358</v>
      </c>
    </row>
    <row r="196" customFormat="false" ht="12.75" hidden="false" customHeight="false" outlineLevel="0" collapsed="false">
      <c r="AB196" s="282" t="n">
        <f aca="false">[2]EnergyCurve!$D218</f>
        <v>42795</v>
      </c>
      <c r="AC196" s="2" t="n">
        <f aca="false">IF(TradeSum!$L$6=0,VLOOKUP(AB196,TradeSum!$DM$13:$DQ$252,2)+VLOOKUP(AB196,TradeSum!$DU$13:$DY$252,3),VLOOKUP(AB196,TradeSum!$DU$13:$DY$252,2)+VLOOKUP(AB196,TradeSum!$DU$13:$DY$252,3))</f>
        <v>27</v>
      </c>
      <c r="AD196" s="2" t="n">
        <f aca="false">VLOOKUP(AB196,TradeSum!$DM$13:$DR$252,6)</f>
        <v>31</v>
      </c>
      <c r="AE196" s="2" t="n">
        <f aca="false">IF(TradeSum!$L$6=0,VLOOKUP(AB196,TradeSum!$DM$13:$DQ$252,2),VLOOKUP(AB196,TradeSum!$DU$13:$DY$252,2))</f>
        <v>23</v>
      </c>
      <c r="AF196" s="283" t="n">
        <f aca="false">[2]EnergyCurve!$G218</f>
        <v>40.3802433423855</v>
      </c>
      <c r="AG196" s="283" t="n">
        <f aca="false">[2]EnergyCurve!$Y218</f>
        <v>38.3612311752662</v>
      </c>
      <c r="AH196" s="283" t="n">
        <f aca="false">[2]EnergyCurve!$AD218</f>
        <v>26.2471581725506</v>
      </c>
      <c r="AI196" s="283" t="n">
        <f aca="false">[2]EnergyCurve!$L218</f>
        <v>26.2471581725506</v>
      </c>
      <c r="AJ196" s="0" t="n">
        <f aca="false">(AE196*AF196+(AC196-AE196)*AG196)/AC196</f>
        <v>40.0811304287382</v>
      </c>
      <c r="AK196" s="0" t="n">
        <f aca="false">(AC196*16*AJ196+(AD196-AC196)*16*AH196+AD196*8*AI196)/(AD196*24)</f>
        <v>34.2797872245305</v>
      </c>
      <c r="AM196" s="0" t="n">
        <f aca="false">IF(NymexData!AC196="",VLOOKUP('Pricing Summary'!AB196,NymexData!$S$12:$U$250,3),VLOOKUP(NymexData!AA196,NymexData!$AA$12:$AC$250,3))</f>
        <v>0.17</v>
      </c>
      <c r="AO196" s="284" t="n">
        <f aca="false">AD196*24*VLOOKUP(AB196,Interest!$X$8:$AC$367,6)</f>
        <v>290.714547607609</v>
      </c>
    </row>
    <row r="197" customFormat="false" ht="12.75" hidden="false" customHeight="false" outlineLevel="0" collapsed="false">
      <c r="AB197" s="282" t="n">
        <f aca="false">[2]EnergyCurve!$D219</f>
        <v>42826</v>
      </c>
      <c r="AC197" s="2" t="n">
        <f aca="false">IF(TradeSum!$L$6=0,VLOOKUP(AB197,TradeSum!$DM$13:$DQ$252,2)+VLOOKUP(AB197,TradeSum!$DU$13:$DY$252,3),VLOOKUP(AB197,TradeSum!$DU$13:$DY$252,2)+VLOOKUP(AB197,TradeSum!$DU$13:$DY$252,3))</f>
        <v>25</v>
      </c>
      <c r="AD197" s="2" t="n">
        <f aca="false">VLOOKUP(AB197,TradeSum!$DM$13:$DR$252,6)</f>
        <v>30</v>
      </c>
      <c r="AE197" s="2" t="n">
        <f aca="false">IF(TradeSum!$L$6=0,VLOOKUP(AB197,TradeSum!$DM$13:$DQ$252,2),VLOOKUP(AB197,TradeSum!$DU$13:$DY$252,2))</f>
        <v>20</v>
      </c>
      <c r="AF197" s="283" t="n">
        <f aca="false">[2]EnergyCurve!$G219</f>
        <v>37.7845557390769</v>
      </c>
      <c r="AG197" s="283" t="n">
        <f aca="false">[2]EnergyCurve!$Y219</f>
        <v>35.895327952123</v>
      </c>
      <c r="AH197" s="283" t="n">
        <f aca="false">[2]EnergyCurve!$AD219</f>
        <v>24.5599612304</v>
      </c>
      <c r="AI197" s="283" t="n">
        <f aca="false">[2]EnergyCurve!$L219</f>
        <v>24.5599612304</v>
      </c>
      <c r="AJ197" s="0" t="n">
        <f aca="false">(AE197*AF197+(AC197-AE197)*AG197)/AC197</f>
        <v>37.4067101816861</v>
      </c>
      <c r="AK197" s="0" t="n">
        <f aca="false">(AC197*16*AJ197+(AD197-AC197)*16*AH197+AD197*8*AI197)/(AD197*24)</f>
        <v>31.6970439811145</v>
      </c>
      <c r="AM197" s="0" t="n">
        <f aca="false">IF(NymexData!AC197="",VLOOKUP('Pricing Summary'!AB197,NymexData!$S$12:$U$250,3),VLOOKUP(NymexData!AA197,NymexData!$AA$12:$AC$250,3))</f>
        <v>0.17</v>
      </c>
      <c r="AO197" s="284" t="n">
        <f aca="false">AD197*24*VLOOKUP(AB197,Interest!$X$8:$AC$367,6)</f>
        <v>279.801793661946</v>
      </c>
    </row>
    <row r="198" customFormat="false" ht="12.75" hidden="false" customHeight="false" outlineLevel="0" collapsed="false">
      <c r="AB198" s="282" t="n">
        <f aca="false">[2]EnergyCurve!$D220</f>
        <v>42856</v>
      </c>
      <c r="AC198" s="2" t="n">
        <f aca="false">IF(TradeSum!$L$6=0,VLOOKUP(AB198,TradeSum!$DM$13:$DQ$252,2)+VLOOKUP(AB198,TradeSum!$DU$13:$DY$252,3),VLOOKUP(AB198,TradeSum!$DU$13:$DY$252,2)+VLOOKUP(AB198,TradeSum!$DU$13:$DY$252,3))</f>
        <v>26</v>
      </c>
      <c r="AD198" s="2" t="n">
        <f aca="false">VLOOKUP(AB198,TradeSum!$DM$13:$DR$252,6)</f>
        <v>31</v>
      </c>
      <c r="AE198" s="2" t="n">
        <f aca="false">IF(TradeSum!$L$6=0,VLOOKUP(AB198,TradeSum!$DM$13:$DQ$252,2),VLOOKUP(AB198,TradeSum!$DU$13:$DY$252,2))</f>
        <v>22</v>
      </c>
      <c r="AF198" s="283" t="n">
        <f aca="false">[2]EnergyCurve!$G220</f>
        <v>37.8592362027232</v>
      </c>
      <c r="AG198" s="283" t="n">
        <f aca="false">[2]EnergyCurve!$Y220</f>
        <v>35.966274392587</v>
      </c>
      <c r="AH198" s="283" t="n">
        <f aca="false">[2]EnergyCurve!$AD220</f>
        <v>24.6085035317701</v>
      </c>
      <c r="AI198" s="283" t="n">
        <f aca="false">[2]EnergyCurve!$L220</f>
        <v>24.6085035317701</v>
      </c>
      <c r="AJ198" s="0" t="n">
        <f aca="false">(AE198*AF198+(AC198-AE198)*AG198)/AC198</f>
        <v>37.5680113088561</v>
      </c>
      <c r="AK198" s="0" t="n">
        <f aca="false">(AC198*16*AJ198+(AD198-AC198)*16*AH198+AD198*8*AI198)/(AD198*24)</f>
        <v>31.854679923259</v>
      </c>
      <c r="AM198" s="0" t="n">
        <f aca="false">IF(NymexData!AC198="",VLOOKUP('Pricing Summary'!AB198,NymexData!$S$12:$U$250,3),VLOOKUP(NymexData!AA198,NymexData!$AA$12:$AC$250,3))</f>
        <v>0.17</v>
      </c>
      <c r="AO198" s="284" t="n">
        <f aca="false">AD198*24*VLOOKUP(AB198,Interest!$X$8:$AC$367,6)</f>
        <v>287.506174241392</v>
      </c>
    </row>
    <row r="199" customFormat="false" ht="12.75" hidden="false" customHeight="false" outlineLevel="0" collapsed="false">
      <c r="AB199" s="282" t="n">
        <f aca="false">[2]EnergyCurve!$D221</f>
        <v>42887</v>
      </c>
      <c r="AC199" s="2" t="n">
        <f aca="false">IF(TradeSum!$L$6=0,VLOOKUP(AB199,TradeSum!$DM$13:$DQ$252,2)+VLOOKUP(AB199,TradeSum!$DU$13:$DY$252,3),VLOOKUP(AB199,TradeSum!$DU$13:$DY$252,2)+VLOOKUP(AB199,TradeSum!$DU$13:$DY$252,3))</f>
        <v>26</v>
      </c>
      <c r="AD199" s="2" t="n">
        <f aca="false">VLOOKUP(AB199,TradeSum!$DM$13:$DR$252,6)</f>
        <v>30</v>
      </c>
      <c r="AE199" s="2" t="n">
        <f aca="false">IF(TradeSum!$L$6=0,VLOOKUP(AB199,TradeSum!$DM$13:$DQ$252,2),VLOOKUP(AB199,TradeSum!$DU$13:$DY$252,2))</f>
        <v>22</v>
      </c>
      <c r="AF199" s="283" t="n">
        <f aca="false">[2]EnergyCurve!$G221</f>
        <v>38.2896558608696</v>
      </c>
      <c r="AG199" s="283" t="n">
        <f aca="false">[2]EnergyCurve!$Y221</f>
        <v>36.3751730678261</v>
      </c>
      <c r="AH199" s="283" t="n">
        <f aca="false">[2]EnergyCurve!$AD221</f>
        <v>24.8882763095652</v>
      </c>
      <c r="AI199" s="283" t="n">
        <f aca="false">[2]EnergyCurve!$L221</f>
        <v>24.8882763095652</v>
      </c>
      <c r="AJ199" s="0" t="n">
        <f aca="false">(AE199*AF199+(AC199-AE199)*AG199)/AC199</f>
        <v>37.9951200465552</v>
      </c>
      <c r="AK199" s="0" t="n">
        <f aca="false">(AC199*16*AJ199+(AD199-AC199)*16*AH199+AD199*8*AI199)/(AD199*24)</f>
        <v>32.4611193576039</v>
      </c>
      <c r="AM199" s="0" t="n">
        <f aca="false">IF(NymexData!AC199="",VLOOKUP('Pricing Summary'!AB199,NymexData!$S$12:$U$250,3),VLOOKUP(NymexData!AA199,NymexData!$AA$12:$AC$250,3))</f>
        <v>0.17</v>
      </c>
      <c r="AO199" s="284" t="n">
        <f aca="false">AD199*24*VLOOKUP(AB199,Interest!$X$8:$AC$367,6)</f>
        <v>276.711088663906</v>
      </c>
    </row>
    <row r="200" customFormat="false" ht="12.75" hidden="false" customHeight="false" outlineLevel="0" collapsed="false">
      <c r="AB200" s="282" t="n">
        <f aca="false">[2]EnergyCurve!$D222</f>
        <v>42917</v>
      </c>
      <c r="AC200" s="2" t="n">
        <f aca="false">IF(TradeSum!$L$6=0,VLOOKUP(AB200,TradeSum!$DM$13:$DQ$252,2)+VLOOKUP(AB200,TradeSum!$DU$13:$DY$252,3),VLOOKUP(AB200,TradeSum!$DU$13:$DY$252,2)+VLOOKUP(AB200,TradeSum!$DU$13:$DY$252,3))</f>
        <v>25</v>
      </c>
      <c r="AD200" s="2" t="n">
        <f aca="false">VLOOKUP(AB200,TradeSum!$DM$13:$DR$252,6)</f>
        <v>31</v>
      </c>
      <c r="AE200" s="2" t="n">
        <f aca="false">IF(TradeSum!$L$6=0,VLOOKUP(AB200,TradeSum!$DM$13:$DQ$252,2),VLOOKUP(AB200,TradeSum!$DU$13:$DY$252,2))</f>
        <v>20</v>
      </c>
      <c r="AF200" s="283" t="n">
        <f aca="false">[2]EnergyCurve!$G222</f>
        <v>38.7955092858914</v>
      </c>
      <c r="AG200" s="283" t="n">
        <f aca="false">[2]EnergyCurve!$Y222</f>
        <v>36.8557338215968</v>
      </c>
      <c r="AH200" s="283" t="n">
        <f aca="false">[2]EnergyCurve!$AD222</f>
        <v>25.2170810358294</v>
      </c>
      <c r="AI200" s="283" t="n">
        <f aca="false">[2]EnergyCurve!$L222</f>
        <v>25.2170810358294</v>
      </c>
      <c r="AJ200" s="0" t="n">
        <f aca="false">(AE200*AF200+(AC200-AE200)*AG200)/AC200</f>
        <v>38.4075541930324</v>
      </c>
      <c r="AK200" s="0" t="n">
        <f aca="false">(AC200*16*AJ200+(AD200-AC200)*16*AH200+AD200*8*AI200)/(AD200*24)</f>
        <v>32.3087332708848</v>
      </c>
      <c r="AM200" s="0" t="n">
        <f aca="false">IF(NymexData!AC200="",VLOOKUP('Pricing Summary'!AB200,NymexData!$S$12:$U$250,3),VLOOKUP(NymexData!AA200,NymexData!$AA$12:$AC$250,3))</f>
        <v>0.17</v>
      </c>
      <c r="AO200" s="284" t="n">
        <f aca="false">AD200*24*VLOOKUP(AB200,Interest!$X$8:$AC$367,6)</f>
        <v>284.327523471163</v>
      </c>
    </row>
    <row r="201" customFormat="false" ht="12.75" hidden="false" customHeight="false" outlineLevel="0" collapsed="false">
      <c r="AB201" s="282" t="n">
        <f aca="false">[2]EnergyCurve!$D223</f>
        <v>42948</v>
      </c>
      <c r="AC201" s="2" t="n">
        <f aca="false">IF(TradeSum!$L$6=0,VLOOKUP(AB201,TradeSum!$DM$13:$DQ$252,2)+VLOOKUP(AB201,TradeSum!$DU$13:$DY$252,3),VLOOKUP(AB201,TradeSum!$DU$13:$DY$252,2)+VLOOKUP(AB201,TradeSum!$DU$13:$DY$252,3))</f>
        <v>27</v>
      </c>
      <c r="AD201" s="2" t="n">
        <f aca="false">VLOOKUP(AB201,TradeSum!$DM$13:$DR$252,6)</f>
        <v>31</v>
      </c>
      <c r="AE201" s="2" t="n">
        <f aca="false">IF(TradeSum!$L$6=0,VLOOKUP(AB201,TradeSum!$DM$13:$DQ$252,2),VLOOKUP(AB201,TradeSum!$DU$13:$DY$252,2))</f>
        <v>23</v>
      </c>
      <c r="AF201" s="283" t="n">
        <f aca="false">[2]EnergyCurve!$G223</f>
        <v>39.227844575025</v>
      </c>
      <c r="AG201" s="283" t="n">
        <f aca="false">[2]EnergyCurve!$Y223</f>
        <v>37.2664523462738</v>
      </c>
      <c r="AH201" s="283" t="n">
        <f aca="false">[2]EnergyCurve!$AD223</f>
        <v>25.4980989737663</v>
      </c>
      <c r="AI201" s="283" t="n">
        <f aca="false">[2]EnergyCurve!$L223</f>
        <v>25.4980989737663</v>
      </c>
      <c r="AJ201" s="0" t="n">
        <f aca="false">(AE201*AF201+(AC201-AE201)*AG201)/AC201</f>
        <v>38.9372679485434</v>
      </c>
      <c r="AK201" s="0" t="n">
        <f aca="false">(AC201*16*AJ201+(AD201-AC201)*16*AH201+AD201*8*AI201)/(AD201*24)</f>
        <v>33.3014874107336</v>
      </c>
      <c r="AM201" s="0" t="n">
        <f aca="false">IF(NymexData!AC201="",VLOOKUP('Pricing Summary'!AB201,NymexData!$S$12:$U$250,3),VLOOKUP(NymexData!AA201,NymexData!$AA$12:$AC$250,3))</f>
        <v>0.17</v>
      </c>
      <c r="AO201" s="284" t="n">
        <f aca="false">AD201*24*VLOOKUP(AB201,Interest!$X$8:$AC$367,6)</f>
        <v>282.723469450243</v>
      </c>
    </row>
    <row r="202" customFormat="false" ht="12.75" hidden="false" customHeight="false" outlineLevel="0" collapsed="false">
      <c r="AB202" s="282" t="n">
        <f aca="false">[2]EnergyCurve!$D224</f>
        <v>42979</v>
      </c>
      <c r="AC202" s="2" t="n">
        <f aca="false">IF(TradeSum!$L$6=0,VLOOKUP(AB202,TradeSum!$DM$13:$DQ$252,2)+VLOOKUP(AB202,TradeSum!$DU$13:$DY$252,3),VLOOKUP(AB202,TradeSum!$DU$13:$DY$252,2)+VLOOKUP(AB202,TradeSum!$DU$13:$DY$252,3))</f>
        <v>25</v>
      </c>
      <c r="AD202" s="2" t="n">
        <f aca="false">VLOOKUP(AB202,TradeSum!$DM$13:$DR$252,6)</f>
        <v>30</v>
      </c>
      <c r="AE202" s="2" t="n">
        <f aca="false">IF(TradeSum!$L$6=0,VLOOKUP(AB202,TradeSum!$DM$13:$DQ$252,2),VLOOKUP(AB202,TradeSum!$DU$13:$DY$252,2))</f>
        <v>20</v>
      </c>
      <c r="AF202" s="283" t="n">
        <f aca="false">[2]EnergyCurve!$G224</f>
        <v>39.1875838973285</v>
      </c>
      <c r="AG202" s="283" t="n">
        <f aca="false">[2]EnergyCurve!$Y224</f>
        <v>37.228204702462</v>
      </c>
      <c r="AH202" s="283" t="n">
        <f aca="false">[2]EnergyCurve!$AD224</f>
        <v>25.4719295332635</v>
      </c>
      <c r="AI202" s="283" t="n">
        <f aca="false">[2]EnergyCurve!$L224</f>
        <v>25.4719295332635</v>
      </c>
      <c r="AJ202" s="0" t="n">
        <f aca="false">(AE202*AF202+(AC202-AE202)*AG202)/AC202</f>
        <v>38.7957080583552</v>
      </c>
      <c r="AK202" s="0" t="n">
        <f aca="false">(AC202*16*AJ202+(AD202-AC202)*16*AH202+AD202*8*AI202)/(AD202*24)</f>
        <v>32.87402871387</v>
      </c>
      <c r="AM202" s="0" t="n">
        <f aca="false">IF(NymexData!AC202="",VLOOKUP('Pricing Summary'!AB202,NymexData!$S$12:$U$250,3),VLOOKUP(NymexData!AA202,NymexData!$AA$12:$AC$250,3))</f>
        <v>0.17</v>
      </c>
      <c r="AO202" s="284" t="n">
        <f aca="false">AD202*24*VLOOKUP(AB202,Interest!$X$8:$AC$367,6)</f>
        <v>272.103858767421</v>
      </c>
    </row>
    <row r="203" customFormat="false" ht="12.75" hidden="false" customHeight="false" outlineLevel="0" collapsed="false">
      <c r="AB203" s="282" t="n">
        <f aca="false">[2]EnergyCurve!$D225</f>
        <v>43009</v>
      </c>
      <c r="AC203" s="2" t="n">
        <f aca="false">IF(TradeSum!$L$6=0,VLOOKUP(AB203,TradeSum!$DM$13:$DQ$252,2)+VLOOKUP(AB203,TradeSum!$DU$13:$DY$252,3),VLOOKUP(AB203,TradeSum!$DU$13:$DY$252,2)+VLOOKUP(AB203,TradeSum!$DU$13:$DY$252,3))</f>
        <v>26</v>
      </c>
      <c r="AD203" s="2" t="n">
        <f aca="false">VLOOKUP(AB203,TradeSum!$DM$13:$DR$252,6)</f>
        <v>31</v>
      </c>
      <c r="AE203" s="2" t="n">
        <f aca="false">IF(TradeSum!$L$6=0,VLOOKUP(AB203,TradeSum!$DM$13:$DQ$252,2),VLOOKUP(AB203,TradeSum!$DU$13:$DY$252,2))</f>
        <v>22</v>
      </c>
      <c r="AF203" s="283" t="n">
        <f aca="false">[2]EnergyCurve!$G225</f>
        <v>39.2115229951658</v>
      </c>
      <c r="AG203" s="283" t="n">
        <f aca="false">[2]EnergyCurve!$Y225</f>
        <v>37.2509468454075</v>
      </c>
      <c r="AH203" s="283" t="n">
        <f aca="false">[2]EnergyCurve!$AD225</f>
        <v>25.4874899468578</v>
      </c>
      <c r="AI203" s="283" t="n">
        <f aca="false">[2]EnergyCurve!$L225</f>
        <v>25.4874899468578</v>
      </c>
      <c r="AJ203" s="0" t="n">
        <f aca="false">(AE203*AF203+(AC203-AE203)*AG203)/AC203</f>
        <v>38.909895895203</v>
      </c>
      <c r="AK203" s="0" t="n">
        <f aca="false">(AC203*16*AJ203+(AD203-AC203)*16*AH203+AD203*8*AI203)/(AD203*24)</f>
        <v>32.9924911222766</v>
      </c>
      <c r="AM203" s="0" t="n">
        <f aca="false">IF(NymexData!AC203="",VLOOKUP('Pricing Summary'!AB203,NymexData!$S$12:$U$250,3),VLOOKUP(NymexData!AA203,NymexData!$AA$12:$AC$250,3))</f>
        <v>0.17</v>
      </c>
      <c r="AO203" s="284" t="n">
        <f aca="false">AD203*24*VLOOKUP(AB203,Interest!$X$8:$AC$367,6)</f>
        <v>279.589264394554</v>
      </c>
    </row>
    <row r="204" customFormat="false" ht="12.75" hidden="false" customHeight="false" outlineLevel="0" collapsed="false">
      <c r="AB204" s="282" t="n">
        <f aca="false">[2]EnergyCurve!$D226</f>
        <v>43040</v>
      </c>
      <c r="AC204" s="2" t="n">
        <f aca="false">IF(TradeSum!$L$6=0,VLOOKUP(AB204,TradeSum!$DM$13:$DQ$252,2)+VLOOKUP(AB204,TradeSum!$DU$13:$DY$252,3),VLOOKUP(AB204,TradeSum!$DU$13:$DY$252,2)+VLOOKUP(AB204,TradeSum!$DU$13:$DY$252,3))</f>
        <v>25</v>
      </c>
      <c r="AD204" s="2" t="n">
        <f aca="false">VLOOKUP(AB204,TradeSum!$DM$13:$DR$252,6)</f>
        <v>30</v>
      </c>
      <c r="AE204" s="2" t="n">
        <f aca="false">IF(TradeSum!$L$6=0,VLOOKUP(AB204,TradeSum!$DM$13:$DQ$252,2),VLOOKUP(AB204,TradeSum!$DU$13:$DY$252,2))</f>
        <v>21</v>
      </c>
      <c r="AF204" s="283" t="n">
        <f aca="false">[2]EnergyCurve!$G226</f>
        <v>41.4889803183558</v>
      </c>
      <c r="AG204" s="283" t="n">
        <f aca="false">[2]EnergyCurve!$Y226</f>
        <v>39.414531302438</v>
      </c>
      <c r="AH204" s="283" t="n">
        <f aca="false">[2]EnergyCurve!$AD226</f>
        <v>26.9678372069313</v>
      </c>
      <c r="AI204" s="283" t="n">
        <f aca="false">[2]EnergyCurve!$L226</f>
        <v>26.9678372069313</v>
      </c>
      <c r="AJ204" s="0" t="n">
        <f aca="false">(AE204*AF204+(AC204-AE204)*AG204)/AC204</f>
        <v>41.157068475809</v>
      </c>
      <c r="AK204" s="0" t="n">
        <f aca="false">(AC204*16*AJ204+(AD204-AC204)*16*AH204+AD204*8*AI204)/(AD204*24)</f>
        <v>34.8507434674189</v>
      </c>
      <c r="AM204" s="0" t="n">
        <f aca="false">IF(NymexData!AC204="",VLOOKUP('Pricing Summary'!AB204,NymexData!$S$12:$U$250,3),VLOOKUP(NymexData!AA204,NymexData!$AA$12:$AC$250,3))</f>
        <v>0.17</v>
      </c>
      <c r="AO204" s="284" t="n">
        <f aca="false">AD204*24*VLOOKUP(AB204,Interest!$X$8:$AC$367,6)</f>
        <v>269.08469016879</v>
      </c>
    </row>
    <row r="205" customFormat="false" ht="12.75" hidden="false" customHeight="false" outlineLevel="0" collapsed="false">
      <c r="AB205" s="282" t="n">
        <f aca="false">[2]EnergyCurve!$D227</f>
        <v>43070</v>
      </c>
      <c r="AC205" s="2" t="n">
        <f aca="false">IF(TradeSum!$L$6=0,VLOOKUP(AB205,TradeSum!$DM$13:$DQ$252,2)+VLOOKUP(AB205,TradeSum!$DU$13:$DY$252,3),VLOOKUP(AB205,TradeSum!$DU$13:$DY$252,2)+VLOOKUP(AB205,TradeSum!$DU$13:$DY$252,3))</f>
        <v>25</v>
      </c>
      <c r="AD205" s="2" t="n">
        <f aca="false">VLOOKUP(AB205,TradeSum!$DM$13:$DR$252,6)</f>
        <v>31</v>
      </c>
      <c r="AE205" s="2" t="n">
        <f aca="false">IF(TradeSum!$L$6=0,VLOOKUP(AB205,TradeSum!$DM$13:$DQ$252,2),VLOOKUP(AB205,TradeSum!$DU$13:$DY$252,2))</f>
        <v>20</v>
      </c>
      <c r="AF205" s="283" t="n">
        <f aca="false">[2]EnergyCurve!$G227</f>
        <v>43.1542816592904</v>
      </c>
      <c r="AG205" s="283" t="n">
        <f aca="false">[2]EnergyCurve!$Y227</f>
        <v>40.9965675763259</v>
      </c>
      <c r="AH205" s="283" t="n">
        <f aca="false">[2]EnergyCurve!$AD227</f>
        <v>28.0502830785388</v>
      </c>
      <c r="AI205" s="283" t="n">
        <f aca="false">[2]EnergyCurve!$L227</f>
        <v>28.0502830785388</v>
      </c>
      <c r="AJ205" s="0" t="n">
        <f aca="false">(AE205*AF205+(AC205-AE205)*AG205)/AC205</f>
        <v>42.7227388426975</v>
      </c>
      <c r="AK205" s="0" t="n">
        <f aca="false">(AC205*16*AJ205+(AD205-AC205)*16*AH205+AD205*8*AI205)/(AD205*24)</f>
        <v>35.9387001560435</v>
      </c>
      <c r="AM205" s="0" t="n">
        <f aca="false">IF(NymexData!AC205="",VLOOKUP('Pricing Summary'!AB205,NymexData!$S$12:$U$250,3),VLOOKUP(NymexData!AA205,NymexData!$AA$12:$AC$250,3))</f>
        <v>0.17</v>
      </c>
      <c r="AO205" s="284" t="n">
        <f aca="false">AD205*24*VLOOKUP(AB205,Interest!$X$8:$AC$367,6)</f>
        <v>276.484276311467</v>
      </c>
    </row>
    <row r="206" customFormat="false" ht="12.75" hidden="false" customHeight="false" outlineLevel="0" collapsed="false">
      <c r="AB206" s="282" t="n">
        <f aca="false">[2]EnergyCurve!$D228</f>
        <v>43101</v>
      </c>
      <c r="AC206" s="2" t="n">
        <f aca="false">IF(TradeSum!$L$6=0,VLOOKUP(AB206,TradeSum!$DM$13:$DQ$252,2)+VLOOKUP(AB206,TradeSum!$DU$13:$DY$252,3),VLOOKUP(AB206,TradeSum!$DU$13:$DY$252,2)+VLOOKUP(AB206,TradeSum!$DU$13:$DY$252,3))</f>
        <v>26</v>
      </c>
      <c r="AD206" s="2" t="n">
        <f aca="false">VLOOKUP(AB206,TradeSum!$DM$13:$DR$252,6)</f>
        <v>31</v>
      </c>
      <c r="AE206" s="2" t="n">
        <f aca="false">IF(TradeSum!$L$6=0,VLOOKUP(AB206,TradeSum!$DM$13:$DQ$252,2),VLOOKUP(AB206,TradeSum!$DU$13:$DY$252,2))</f>
        <v>22</v>
      </c>
      <c r="AF206" s="283" t="n">
        <f aca="false">[2]EnergyCurve!$G228</f>
        <v>42.7704012252907</v>
      </c>
      <c r="AG206" s="283" t="n">
        <f aca="false">[2]EnergyCurve!$Y228</f>
        <v>40.6318811640262</v>
      </c>
      <c r="AH206" s="283" t="n">
        <f aca="false">[2]EnergyCurve!$AD228</f>
        <v>27.800760796439</v>
      </c>
      <c r="AI206" s="283" t="n">
        <f aca="false">[2]EnergyCurve!$L228</f>
        <v>27.800760796439</v>
      </c>
      <c r="AJ206" s="0" t="n">
        <f aca="false">(AE206*AF206+(AC206-AE206)*AG206)/AC206</f>
        <v>42.4413981389423</v>
      </c>
      <c r="AK206" s="0" t="n">
        <f aca="false">(AC206*16*AJ206+(AD206-AC206)*16*AH206+AD206*8*AI206)/(AD206*24)</f>
        <v>35.9869236116021</v>
      </c>
      <c r="AM206" s="0" t="n">
        <f aca="false">IF(NymexData!AC206="",VLOOKUP('Pricing Summary'!AB206,NymexData!$S$12:$U$250,3),VLOOKUP(NymexData!AA206,NymexData!$AA$12:$AC$250,3))</f>
        <v>0.17</v>
      </c>
      <c r="AO206" s="284" t="n">
        <f aca="false">AD206*24*VLOOKUP(AB206,Interest!$X$8:$AC$367,6)</f>
        <v>274.91746403582</v>
      </c>
    </row>
    <row r="207" customFormat="false" ht="12.75" hidden="false" customHeight="false" outlineLevel="0" collapsed="false">
      <c r="AB207" s="282" t="n">
        <f aca="false">[2]EnergyCurve!$D229</f>
        <v>43132</v>
      </c>
      <c r="AC207" s="2" t="n">
        <f aca="false">IF(TradeSum!$L$6=0,VLOOKUP(AB207,TradeSum!$DM$13:$DQ$252,2)+VLOOKUP(AB207,TradeSum!$DU$13:$DY$252,3),VLOOKUP(AB207,TradeSum!$DU$13:$DY$252,2)+VLOOKUP(AB207,TradeSum!$DU$13:$DY$252,3))</f>
        <v>24</v>
      </c>
      <c r="AD207" s="2" t="n">
        <f aca="false">VLOOKUP(AB207,TradeSum!$DM$13:$DR$252,6)</f>
        <v>28</v>
      </c>
      <c r="AE207" s="2" t="n">
        <f aca="false">IF(TradeSum!$L$6=0,VLOOKUP(AB207,TradeSum!$DM$13:$DQ$252,2),VLOOKUP(AB207,TradeSum!$DU$13:$DY$252,2))</f>
        <v>20</v>
      </c>
      <c r="AF207" s="283" t="n">
        <f aca="false">[2]EnergyCurve!$G229</f>
        <v>41.8501848985973</v>
      </c>
      <c r="AG207" s="283" t="n">
        <f aca="false">[2]EnergyCurve!$Y229</f>
        <v>39.7576756536675</v>
      </c>
      <c r="AH207" s="283" t="n">
        <f aca="false">[2]EnergyCurve!$AD229</f>
        <v>27.2026201840883</v>
      </c>
      <c r="AI207" s="283" t="n">
        <f aca="false">[2]EnergyCurve!$L229</f>
        <v>27.2026201840883</v>
      </c>
      <c r="AJ207" s="0" t="n">
        <f aca="false">(AE207*AF207+(AC207-AE207)*AG207)/AC207</f>
        <v>41.5014333577757</v>
      </c>
      <c r="AK207" s="0" t="n">
        <f aca="false">(AC207*16*AJ207+(AD207-AC207)*16*AH207+AD207*8*AI207)/(AD207*24)</f>
        <v>35.3733705690525</v>
      </c>
      <c r="AM207" s="0" t="n">
        <f aca="false">IF(NymexData!AC207="",VLOOKUP('Pricing Summary'!AB207,NymexData!$S$12:$U$250,3),VLOOKUP(NymexData!AA207,NymexData!$AA$12:$AC$250,3))</f>
        <v>0.17</v>
      </c>
      <c r="AO207" s="284" t="n">
        <f aca="false">AD207*24*VLOOKUP(AB207,Interest!$X$8:$AC$367,6)</f>
        <v>247.028201213414</v>
      </c>
    </row>
    <row r="208" customFormat="false" ht="12.75" hidden="false" customHeight="false" outlineLevel="0" collapsed="false">
      <c r="AB208" s="282" t="n">
        <f aca="false">[2]EnergyCurve!$D230</f>
        <v>43160</v>
      </c>
      <c r="AC208" s="2" t="n">
        <f aca="false">IF(TradeSum!$L$6=0,VLOOKUP(AB208,TradeSum!$DM$13:$DQ$252,2)+VLOOKUP(AB208,TradeSum!$DU$13:$DY$252,3),VLOOKUP(AB208,TradeSum!$DU$13:$DY$252,2)+VLOOKUP(AB208,TradeSum!$DU$13:$DY$252,3))</f>
        <v>27</v>
      </c>
      <c r="AD208" s="2" t="n">
        <f aca="false">VLOOKUP(AB208,TradeSum!$DM$13:$DR$252,6)</f>
        <v>31</v>
      </c>
      <c r="AE208" s="2" t="n">
        <f aca="false">IF(TradeSum!$L$6=0,VLOOKUP(AB208,TradeSum!$DM$13:$DQ$252,2),VLOOKUP(AB208,TradeSum!$DU$13:$DY$252,2))</f>
        <v>22</v>
      </c>
      <c r="AF208" s="283" t="n">
        <f aca="false">[2]EnergyCurve!$G230</f>
        <v>40.3802433423855</v>
      </c>
      <c r="AG208" s="283" t="n">
        <f aca="false">[2]EnergyCurve!$Y230</f>
        <v>38.3612311752662</v>
      </c>
      <c r="AH208" s="283" t="n">
        <f aca="false">[2]EnergyCurve!$AD230</f>
        <v>26.2471581725506</v>
      </c>
      <c r="AI208" s="283" t="n">
        <f aca="false">[2]EnergyCurve!$L230</f>
        <v>26.2471581725506</v>
      </c>
      <c r="AJ208" s="0" t="n">
        <f aca="false">(AE208*AF208+(AC208-AE208)*AG208)/AC208</f>
        <v>40.0063522003264</v>
      </c>
      <c r="AK208" s="0" t="n">
        <f aca="false">(AC208*16*AJ208+(AD208-AC208)*16*AH208+AD208*8*AI208)/(AD208*24)</f>
        <v>34.2363676080333</v>
      </c>
      <c r="AM208" s="0" t="n">
        <f aca="false">IF(NymexData!AC208="",VLOOKUP('Pricing Summary'!AB208,NymexData!$S$12:$U$250,3),VLOOKUP(NymexData!AA208,NymexData!$AA$12:$AC$250,3))</f>
        <v>0.17</v>
      </c>
      <c r="AO208" s="284" t="n">
        <f aca="false">AD208*24*VLOOKUP(AB208,Interest!$X$8:$AC$367,6)</f>
        <v>271.956075538414</v>
      </c>
    </row>
    <row r="209" customFormat="false" ht="12.75" hidden="false" customHeight="false" outlineLevel="0" collapsed="false">
      <c r="AB209" s="282" t="n">
        <f aca="false">[2]EnergyCurve!$D231</f>
        <v>43191</v>
      </c>
      <c r="AC209" s="2" t="n">
        <f aca="false">IF(TradeSum!$L$6=0,VLOOKUP(AB209,TradeSum!$DM$13:$DQ$252,2)+VLOOKUP(AB209,TradeSum!$DU$13:$DY$252,3),VLOOKUP(AB209,TradeSum!$DU$13:$DY$252,2)+VLOOKUP(AB209,TradeSum!$DU$13:$DY$252,3))</f>
        <v>25</v>
      </c>
      <c r="AD209" s="2" t="n">
        <f aca="false">VLOOKUP(AB209,TradeSum!$DM$13:$DR$252,6)</f>
        <v>30</v>
      </c>
      <c r="AE209" s="2" t="n">
        <f aca="false">IF(TradeSum!$L$6=0,VLOOKUP(AB209,TradeSum!$DM$13:$DQ$252,2),VLOOKUP(AB209,TradeSum!$DU$13:$DY$252,2))</f>
        <v>21</v>
      </c>
      <c r="AF209" s="283" t="n">
        <f aca="false">[2]EnergyCurve!$G231</f>
        <v>37.7845557390769</v>
      </c>
      <c r="AG209" s="283" t="n">
        <f aca="false">[2]EnergyCurve!$Y231</f>
        <v>35.895327952123</v>
      </c>
      <c r="AH209" s="283" t="n">
        <f aca="false">[2]EnergyCurve!$AD231</f>
        <v>24.5599612304</v>
      </c>
      <c r="AI209" s="283" t="n">
        <f aca="false">[2]EnergyCurve!$L231</f>
        <v>24.5599612304</v>
      </c>
      <c r="AJ209" s="0" t="n">
        <f aca="false">(AE209*AF209+(AC209-AE209)*AG209)/AC209</f>
        <v>37.4822792931643</v>
      </c>
      <c r="AK209" s="0" t="n">
        <f aca="false">(AC209*16*AJ209+(AD209-AC209)*16*AH209+AD209*8*AI209)/(AD209*24)</f>
        <v>31.7390268208246</v>
      </c>
      <c r="AM209" s="0" t="n">
        <f aca="false">IF(NymexData!AC209="",VLOOKUP('Pricing Summary'!AB209,NymexData!$S$12:$U$250,3),VLOOKUP(NymexData!AA209,NymexData!$AA$12:$AC$250,3))</f>
        <v>0.17</v>
      </c>
      <c r="AO209" s="284" t="n">
        <f aca="false">AD209*24*VLOOKUP(AB209,Interest!$X$8:$AC$367,6)</f>
        <v>261.731814811385</v>
      </c>
    </row>
    <row r="210" customFormat="false" ht="12.75" hidden="false" customHeight="false" outlineLevel="0" collapsed="false">
      <c r="AB210" s="282" t="n">
        <f aca="false">[2]EnergyCurve!$D232</f>
        <v>43221</v>
      </c>
      <c r="AC210" s="2" t="n">
        <f aca="false">IF(TradeSum!$L$6=0,VLOOKUP(AB210,TradeSum!$DM$13:$DQ$252,2)+VLOOKUP(AB210,TradeSum!$DU$13:$DY$252,3),VLOOKUP(AB210,TradeSum!$DU$13:$DY$252,2)+VLOOKUP(AB210,TradeSum!$DU$13:$DY$252,3))</f>
        <v>26</v>
      </c>
      <c r="AD210" s="2" t="n">
        <f aca="false">VLOOKUP(AB210,TradeSum!$DM$13:$DR$252,6)</f>
        <v>31</v>
      </c>
      <c r="AE210" s="2" t="n">
        <f aca="false">IF(TradeSum!$L$6=0,VLOOKUP(AB210,TradeSum!$DM$13:$DQ$252,2),VLOOKUP(AB210,TradeSum!$DU$13:$DY$252,2))</f>
        <v>22</v>
      </c>
      <c r="AF210" s="283" t="n">
        <f aca="false">[2]EnergyCurve!$G232</f>
        <v>37.8592362027232</v>
      </c>
      <c r="AG210" s="283" t="n">
        <f aca="false">[2]EnergyCurve!$Y232</f>
        <v>35.966274392587</v>
      </c>
      <c r="AH210" s="283" t="n">
        <f aca="false">[2]EnergyCurve!$AD232</f>
        <v>24.6085035317701</v>
      </c>
      <c r="AI210" s="283" t="n">
        <f aca="false">[2]EnergyCurve!$L232</f>
        <v>24.6085035317701</v>
      </c>
      <c r="AJ210" s="0" t="n">
        <f aca="false">(AE210*AF210+(AC210-AE210)*AG210)/AC210</f>
        <v>37.5680113088561</v>
      </c>
      <c r="AK210" s="0" t="n">
        <f aca="false">(AC210*16*AJ210+(AD210-AC210)*16*AH210+AD210*8*AI210)/(AD210*24)</f>
        <v>31.854679923259</v>
      </c>
      <c r="AM210" s="0" t="n">
        <f aca="false">IF(NymexData!AC210="",VLOOKUP('Pricing Summary'!AB210,NymexData!$S$12:$U$250,3),VLOOKUP(NymexData!AA210,NymexData!$AA$12:$AC$250,3))</f>
        <v>0.17</v>
      </c>
      <c r="AO210" s="284" t="n">
        <f aca="false">AD210*24*VLOOKUP(AB210,Interest!$X$8:$AC$367,6)</f>
        <v>268.922548935346</v>
      </c>
    </row>
    <row r="211" customFormat="false" ht="12.75" hidden="false" customHeight="false" outlineLevel="0" collapsed="false">
      <c r="AB211" s="282" t="n">
        <f aca="false">[2]EnergyCurve!$D233</f>
        <v>43252</v>
      </c>
      <c r="AC211" s="2" t="n">
        <f aca="false">IF(TradeSum!$L$6=0,VLOOKUP(AB211,TradeSum!$DM$13:$DQ$252,2)+VLOOKUP(AB211,TradeSum!$DU$13:$DY$252,3),VLOOKUP(AB211,TradeSum!$DU$13:$DY$252,2)+VLOOKUP(AB211,TradeSum!$DU$13:$DY$252,3))</f>
        <v>26</v>
      </c>
      <c r="AD211" s="2" t="n">
        <f aca="false">VLOOKUP(AB211,TradeSum!$DM$13:$DR$252,6)</f>
        <v>30</v>
      </c>
      <c r="AE211" s="2" t="n">
        <f aca="false">IF(TradeSum!$L$6=0,VLOOKUP(AB211,TradeSum!$DM$13:$DQ$252,2),VLOOKUP(AB211,TradeSum!$DU$13:$DY$252,2))</f>
        <v>21</v>
      </c>
      <c r="AF211" s="283" t="n">
        <f aca="false">[2]EnergyCurve!$G233</f>
        <v>38.2896558608696</v>
      </c>
      <c r="AG211" s="283" t="n">
        <f aca="false">[2]EnergyCurve!$Y233</f>
        <v>36.3751730678261</v>
      </c>
      <c r="AH211" s="283" t="n">
        <f aca="false">[2]EnergyCurve!$AD233</f>
        <v>24.8882763095652</v>
      </c>
      <c r="AI211" s="283" t="n">
        <f aca="false">[2]EnergyCurve!$L233</f>
        <v>24.8882763095652</v>
      </c>
      <c r="AJ211" s="0" t="n">
        <f aca="false">(AE211*AF211+(AC211-AE211)*AG211)/AC211</f>
        <v>37.9214860929766</v>
      </c>
      <c r="AK211" s="0" t="n">
        <f aca="false">(AC211*16*AJ211+(AD211-AC211)*16*AH211+AD211*8*AI211)/(AD211*24)</f>
        <v>32.4185752955363</v>
      </c>
      <c r="AM211" s="0" t="n">
        <f aca="false">IF(NymexData!AC211="",VLOOKUP('Pricing Summary'!AB211,NymexData!$S$12:$U$250,3),VLOOKUP(NymexData!AA211,NymexData!$AA$12:$AC$250,3))</f>
        <v>0.17</v>
      </c>
      <c r="AO211" s="284" t="n">
        <f aca="false">AD211*24*VLOOKUP(AB211,Interest!$X$8:$AC$367,6)</f>
        <v>258.809747550501</v>
      </c>
    </row>
    <row r="212" customFormat="false" ht="12.75" hidden="false" customHeight="false" outlineLevel="0" collapsed="false">
      <c r="AB212" s="282" t="n">
        <f aca="false">[2]EnergyCurve!$D234</f>
        <v>43282</v>
      </c>
      <c r="AC212" s="2" t="n">
        <f aca="false">IF(TradeSum!$L$6=0,VLOOKUP(AB212,TradeSum!$DM$13:$DQ$252,2)+VLOOKUP(AB212,TradeSum!$DU$13:$DY$252,3),VLOOKUP(AB212,TradeSum!$DU$13:$DY$252,2)+VLOOKUP(AB212,TradeSum!$DU$13:$DY$252,3))</f>
        <v>25</v>
      </c>
      <c r="AD212" s="2" t="n">
        <f aca="false">VLOOKUP(AB212,TradeSum!$DM$13:$DR$252,6)</f>
        <v>31</v>
      </c>
      <c r="AE212" s="2" t="n">
        <f aca="false">IF(TradeSum!$L$6=0,VLOOKUP(AB212,TradeSum!$DM$13:$DQ$252,2),VLOOKUP(AB212,TradeSum!$DU$13:$DY$252,2))</f>
        <v>21</v>
      </c>
      <c r="AF212" s="283" t="n">
        <f aca="false">[2]EnergyCurve!$G234</f>
        <v>38.7955092858914</v>
      </c>
      <c r="AG212" s="283" t="n">
        <f aca="false">[2]EnergyCurve!$Y234</f>
        <v>36.8557338215968</v>
      </c>
      <c r="AH212" s="283" t="n">
        <f aca="false">[2]EnergyCurve!$AD234</f>
        <v>25.2170810358294</v>
      </c>
      <c r="AI212" s="283" t="n">
        <f aca="false">[2]EnergyCurve!$L234</f>
        <v>25.2170810358294</v>
      </c>
      <c r="AJ212" s="0" t="n">
        <f aca="false">(AE212*AF212+(AC212-AE212)*AG212)/AC212</f>
        <v>38.4851452116042</v>
      </c>
      <c r="AK212" s="0" t="n">
        <f aca="false">(AC212*16*AJ212+(AD212-AC212)*16*AH212+AD212*8*AI212)/(AD212*24)</f>
        <v>32.3504488722675</v>
      </c>
      <c r="AM212" s="0" t="n">
        <f aca="false">IF(NymexData!AC212="",VLOOKUP('Pricing Summary'!AB212,NymexData!$S$12:$U$250,3),VLOOKUP(NymexData!AA212,NymexData!$AA$12:$AC$250,3))</f>
        <v>0.17</v>
      </c>
      <c r="AO212" s="284" t="n">
        <f aca="false">AD212*24*VLOOKUP(AB212,Interest!$X$8:$AC$367,6)</f>
        <v>265.917543746396</v>
      </c>
    </row>
    <row r="213" customFormat="false" ht="12.75" hidden="false" customHeight="false" outlineLevel="0" collapsed="false">
      <c r="AB213" s="282" t="n">
        <f aca="false">[2]EnergyCurve!$D235</f>
        <v>43313</v>
      </c>
      <c r="AC213" s="2" t="n">
        <f aca="false">IF(TradeSum!$L$6=0,VLOOKUP(AB213,TradeSum!$DM$13:$DQ$252,2)+VLOOKUP(AB213,TradeSum!$DU$13:$DY$252,3),VLOOKUP(AB213,TradeSum!$DU$13:$DY$252,2)+VLOOKUP(AB213,TradeSum!$DU$13:$DY$252,3))</f>
        <v>27</v>
      </c>
      <c r="AD213" s="2" t="n">
        <f aca="false">VLOOKUP(AB213,TradeSum!$DM$13:$DR$252,6)</f>
        <v>31</v>
      </c>
      <c r="AE213" s="2" t="n">
        <f aca="false">IF(TradeSum!$L$6=0,VLOOKUP(AB213,TradeSum!$DM$13:$DQ$252,2),VLOOKUP(AB213,TradeSum!$DU$13:$DY$252,2))</f>
        <v>23</v>
      </c>
      <c r="AF213" s="283" t="n">
        <f aca="false">[2]EnergyCurve!$G235</f>
        <v>39.227844575025</v>
      </c>
      <c r="AG213" s="283" t="n">
        <f aca="false">[2]EnergyCurve!$Y235</f>
        <v>37.2664523462738</v>
      </c>
      <c r="AH213" s="283" t="n">
        <f aca="false">[2]EnergyCurve!$AD235</f>
        <v>25.4980989737663</v>
      </c>
      <c r="AI213" s="283" t="n">
        <f aca="false">[2]EnergyCurve!$L235</f>
        <v>25.4980989737663</v>
      </c>
      <c r="AJ213" s="0" t="n">
        <f aca="false">(AE213*AF213+(AC213-AE213)*AG213)/AC213</f>
        <v>38.9372679485434</v>
      </c>
      <c r="AK213" s="0" t="n">
        <f aca="false">(AC213*16*AJ213+(AD213-AC213)*16*AH213+AD213*8*AI213)/(AD213*24)</f>
        <v>33.3014874107336</v>
      </c>
      <c r="AM213" s="0" t="n">
        <f aca="false">IF(NymexData!AC213="",VLOOKUP('Pricing Summary'!AB213,NymexData!$S$12:$U$250,3),VLOOKUP(NymexData!AA213,NymexData!$AA$12:$AC$250,3))</f>
        <v>0.17</v>
      </c>
      <c r="AO213" s="284" t="n">
        <f aca="false">AD213*24*VLOOKUP(AB213,Interest!$X$8:$AC$367,6)</f>
        <v>264.401276452107</v>
      </c>
    </row>
    <row r="214" customFormat="false" ht="12.75" hidden="false" customHeight="false" outlineLevel="0" collapsed="false">
      <c r="AB214" s="282" t="n">
        <f aca="false">[2]EnergyCurve!$D236</f>
        <v>43344</v>
      </c>
      <c r="AC214" s="2" t="n">
        <f aca="false">IF(TradeSum!$L$6=0,VLOOKUP(AB214,TradeSum!$DM$13:$DQ$252,2)+VLOOKUP(AB214,TradeSum!$DU$13:$DY$252,3),VLOOKUP(AB214,TradeSum!$DU$13:$DY$252,2)+VLOOKUP(AB214,TradeSum!$DU$13:$DY$252,3))</f>
        <v>24</v>
      </c>
      <c r="AD214" s="2" t="n">
        <f aca="false">VLOOKUP(AB214,TradeSum!$DM$13:$DR$252,6)</f>
        <v>30</v>
      </c>
      <c r="AE214" s="2" t="n">
        <f aca="false">IF(TradeSum!$L$6=0,VLOOKUP(AB214,TradeSum!$DM$13:$DQ$252,2),VLOOKUP(AB214,TradeSum!$DU$13:$DY$252,2))</f>
        <v>19</v>
      </c>
      <c r="AF214" s="283" t="n">
        <f aca="false">[2]EnergyCurve!$G236</f>
        <v>39.1875838973285</v>
      </c>
      <c r="AG214" s="283" t="n">
        <f aca="false">[2]EnergyCurve!$Y236</f>
        <v>37.228204702462</v>
      </c>
      <c r="AH214" s="283" t="n">
        <f aca="false">[2]EnergyCurve!$AD236</f>
        <v>25.4719295332635</v>
      </c>
      <c r="AI214" s="283" t="n">
        <f aca="false">[2]EnergyCurve!$L236</f>
        <v>25.4719295332635</v>
      </c>
      <c r="AJ214" s="0" t="n">
        <f aca="false">(AE214*AF214+(AC214-AE214)*AG214)/AC214</f>
        <v>38.779379898398</v>
      </c>
      <c r="AK214" s="0" t="n">
        <f aca="false">(AC214*16*AJ214+(AD214-AC214)*16*AH214+AD214*8*AI214)/(AD214*24)</f>
        <v>32.5692363946685</v>
      </c>
      <c r="AM214" s="0" t="n">
        <f aca="false">IF(NymexData!AC214="",VLOOKUP('Pricing Summary'!AB214,NymexData!$S$12:$U$250,3),VLOOKUP(NymexData!AA214,NymexData!$AA$12:$AC$250,3))</f>
        <v>0.17</v>
      </c>
      <c r="AO214" s="284" t="n">
        <f aca="false">AD214*24*VLOOKUP(AB214,Interest!$X$8:$AC$367,6)</f>
        <v>254.454661311287</v>
      </c>
    </row>
    <row r="215" customFormat="false" ht="12.75" hidden="false" customHeight="false" outlineLevel="0" collapsed="false">
      <c r="AB215" s="282" t="n">
        <f aca="false">[2]EnergyCurve!$D237</f>
        <v>43374</v>
      </c>
      <c r="AC215" s="2" t="n">
        <f aca="false">IF(TradeSum!$L$6=0,VLOOKUP(AB215,TradeSum!$DM$13:$DQ$252,2)+VLOOKUP(AB215,TradeSum!$DU$13:$DY$252,3),VLOOKUP(AB215,TradeSum!$DU$13:$DY$252,2)+VLOOKUP(AB215,TradeSum!$DU$13:$DY$252,3))</f>
        <v>27</v>
      </c>
      <c r="AD215" s="2" t="n">
        <f aca="false">VLOOKUP(AB215,TradeSum!$DM$13:$DR$252,6)</f>
        <v>31</v>
      </c>
      <c r="AE215" s="2" t="n">
        <f aca="false">IF(TradeSum!$L$6=0,VLOOKUP(AB215,TradeSum!$DM$13:$DQ$252,2),VLOOKUP(AB215,TradeSum!$DU$13:$DY$252,2))</f>
        <v>23</v>
      </c>
      <c r="AF215" s="283" t="n">
        <f aca="false">[2]EnergyCurve!$G237</f>
        <v>39.2115229951658</v>
      </c>
      <c r="AG215" s="283" t="n">
        <f aca="false">[2]EnergyCurve!$Y237</f>
        <v>37.2509468454075</v>
      </c>
      <c r="AH215" s="283" t="n">
        <f aca="false">[2]EnergyCurve!$AD237</f>
        <v>25.4874899468578</v>
      </c>
      <c r="AI215" s="283" t="n">
        <f aca="false">[2]EnergyCurve!$L237</f>
        <v>25.4874899468578</v>
      </c>
      <c r="AJ215" s="0" t="n">
        <f aca="false">(AE215*AF215+(AC215-AE215)*AG215)/AC215</f>
        <v>38.9210672692757</v>
      </c>
      <c r="AK215" s="0" t="n">
        <f aca="false">(AC215*16*AJ215+(AD215-AC215)*16*AH215+AD215*8*AI215)/(AD215*24)</f>
        <v>33.2876316179392</v>
      </c>
      <c r="AM215" s="0" t="n">
        <f aca="false">IF(NymexData!AC215="",VLOOKUP('Pricing Summary'!AB215,NymexData!$S$12:$U$250,3),VLOOKUP(NymexData!AA215,NymexData!$AA$12:$AC$250,3))</f>
        <v>0.17</v>
      </c>
      <c r="AO215" s="284" t="n">
        <f aca="false">AD215*24*VLOOKUP(AB215,Interest!$X$8:$AC$367,6)</f>
        <v>261.438910948465</v>
      </c>
    </row>
    <row r="216" customFormat="false" ht="12.75" hidden="false" customHeight="false" outlineLevel="0" collapsed="false">
      <c r="AB216" s="282" t="n">
        <f aca="false">[2]EnergyCurve!$D238</f>
        <v>43405</v>
      </c>
      <c r="AC216" s="2" t="n">
        <f aca="false">IF(TradeSum!$L$6=0,VLOOKUP(AB216,TradeSum!$DM$13:$DQ$252,2)+VLOOKUP(AB216,TradeSum!$DU$13:$DY$252,3),VLOOKUP(AB216,TradeSum!$DU$13:$DY$252,2)+VLOOKUP(AB216,TradeSum!$DU$13:$DY$252,3))</f>
        <v>25</v>
      </c>
      <c r="AD216" s="2" t="n">
        <f aca="false">VLOOKUP(AB216,TradeSum!$DM$13:$DR$252,6)</f>
        <v>30</v>
      </c>
      <c r="AE216" s="2" t="n">
        <f aca="false">IF(TradeSum!$L$6=0,VLOOKUP(AB216,TradeSum!$DM$13:$DQ$252,2),VLOOKUP(AB216,TradeSum!$DU$13:$DY$252,2))</f>
        <v>21</v>
      </c>
      <c r="AF216" s="283" t="n">
        <f aca="false">[2]EnergyCurve!$G238</f>
        <v>41.4889803183558</v>
      </c>
      <c r="AG216" s="283" t="n">
        <f aca="false">[2]EnergyCurve!$Y238</f>
        <v>39.414531302438</v>
      </c>
      <c r="AH216" s="283" t="n">
        <f aca="false">[2]EnergyCurve!$AD238</f>
        <v>26.9678372069313</v>
      </c>
      <c r="AI216" s="283" t="n">
        <f aca="false">[2]EnergyCurve!$L238</f>
        <v>26.9678372069313</v>
      </c>
      <c r="AJ216" s="0" t="n">
        <f aca="false">(AE216*AF216+(AC216-AE216)*AG216)/AC216</f>
        <v>41.157068475809</v>
      </c>
      <c r="AK216" s="0" t="n">
        <f aca="false">(AC216*16*AJ216+(AD216-AC216)*16*AH216+AD216*8*AI216)/(AD216*24)</f>
        <v>34.8507434674189</v>
      </c>
      <c r="AM216" s="0" t="n">
        <f aca="false">IF(NymexData!AC216="",VLOOKUP('Pricing Summary'!AB216,NymexData!$S$12:$U$250,3),VLOOKUP(NymexData!AA216,NymexData!$AA$12:$AC$250,3))</f>
        <v>0.17</v>
      </c>
      <c r="AO216" s="284" t="n">
        <f aca="false">AD216*24*VLOOKUP(AB216,Interest!$X$8:$AC$367,6)</f>
        <v>251.601223637539</v>
      </c>
    </row>
    <row r="217" customFormat="false" ht="12.75" hidden="false" customHeight="false" outlineLevel="0" collapsed="false">
      <c r="AB217" s="282" t="n">
        <f aca="false">[2]EnergyCurve!$D239</f>
        <v>43435</v>
      </c>
      <c r="AC217" s="2" t="n">
        <f aca="false">IF(TradeSum!$L$6=0,VLOOKUP(AB217,TradeSum!$DM$13:$DQ$252,2)+VLOOKUP(AB217,TradeSum!$DU$13:$DY$252,3),VLOOKUP(AB217,TradeSum!$DU$13:$DY$252,2)+VLOOKUP(AB217,TradeSum!$DU$13:$DY$252,3))</f>
        <v>25</v>
      </c>
      <c r="AD217" s="2" t="n">
        <f aca="false">VLOOKUP(AB217,TradeSum!$DM$13:$DR$252,6)</f>
        <v>31</v>
      </c>
      <c r="AE217" s="2" t="n">
        <f aca="false">IF(TradeSum!$L$6=0,VLOOKUP(AB217,TradeSum!$DM$13:$DQ$252,2),VLOOKUP(AB217,TradeSum!$DU$13:$DY$252,2))</f>
        <v>20</v>
      </c>
      <c r="AF217" s="283" t="n">
        <f aca="false">[2]EnergyCurve!$G239</f>
        <v>43.1542816592904</v>
      </c>
      <c r="AG217" s="283" t="n">
        <f aca="false">[2]EnergyCurve!$Y239</f>
        <v>40.9965675763259</v>
      </c>
      <c r="AH217" s="283" t="n">
        <f aca="false">[2]EnergyCurve!$AD239</f>
        <v>28.0502830785388</v>
      </c>
      <c r="AI217" s="283" t="n">
        <f aca="false">[2]EnergyCurve!$L239</f>
        <v>28.0502830785388</v>
      </c>
      <c r="AJ217" s="0" t="n">
        <f aca="false">(AE217*AF217+(AC217-AE217)*AG217)/AC217</f>
        <v>42.7227388426975</v>
      </c>
      <c r="AK217" s="0" t="n">
        <f aca="false">(AC217*16*AJ217+(AD217-AC217)*16*AH217+AD217*8*AI217)/(AD217*24)</f>
        <v>35.9387001560435</v>
      </c>
      <c r="AM217" s="0" t="n">
        <f aca="false">IF(NymexData!AC217="",VLOOKUP('Pricing Summary'!AB217,NymexData!$S$12:$U$250,3),VLOOKUP(NymexData!AA217,NymexData!$AA$12:$AC$250,3))</f>
        <v>0.17</v>
      </c>
      <c r="AO217" s="284" t="n">
        <f aca="false">AD217*24*VLOOKUP(AB217,Interest!$X$8:$AC$367,6)</f>
        <v>258.504568740181</v>
      </c>
    </row>
    <row r="218" customFormat="false" ht="12.75" hidden="false" customHeight="false" outlineLevel="0" collapsed="false">
      <c r="AB218" s="282" t="n">
        <f aca="false">[2]EnergyCurve!$D240</f>
        <v>43466</v>
      </c>
      <c r="AC218" s="2" t="n">
        <f aca="false">IF(TradeSum!$L$6=0,VLOOKUP(AB218,TradeSum!$DM$13:$DQ$252,2)+VLOOKUP(AB218,TradeSum!$DU$13:$DY$252,3),VLOOKUP(AB218,TradeSum!$DU$13:$DY$252,2)+VLOOKUP(AB218,TradeSum!$DU$13:$DY$252,3))</f>
        <v>26</v>
      </c>
      <c r="AD218" s="2" t="n">
        <f aca="false">VLOOKUP(AB218,TradeSum!$DM$13:$DR$252,6)</f>
        <v>31</v>
      </c>
      <c r="AE218" s="2" t="n">
        <f aca="false">IF(TradeSum!$L$6=0,VLOOKUP(AB218,TradeSum!$DM$13:$DQ$252,2),VLOOKUP(AB218,TradeSum!$DU$13:$DY$252,2))</f>
        <v>22</v>
      </c>
      <c r="AF218" s="283" t="n">
        <f aca="false">[2]EnergyCurve!$G240</f>
        <v>42.7704012252907</v>
      </c>
      <c r="AG218" s="283" t="n">
        <f aca="false">[2]EnergyCurve!$Y240</f>
        <v>40.6318811640262</v>
      </c>
      <c r="AH218" s="283" t="n">
        <f aca="false">[2]EnergyCurve!$AD240</f>
        <v>27.800760796439</v>
      </c>
      <c r="AI218" s="283" t="n">
        <f aca="false">[2]EnergyCurve!$L240</f>
        <v>27.800760796439</v>
      </c>
      <c r="AJ218" s="0" t="n">
        <f aca="false">(AE218*AF218+(AC218-AE218)*AG218)/AC218</f>
        <v>42.4413981389423</v>
      </c>
      <c r="AK218" s="0" t="n">
        <f aca="false">(AC218*16*AJ218+(AD218-AC218)*16*AH218+AD218*8*AI218)/(AD218*24)</f>
        <v>35.9869236116021</v>
      </c>
      <c r="AM218" s="0" t="n">
        <f aca="false">IF(NymexData!AC218="",VLOOKUP('Pricing Summary'!AB218,NymexData!$S$12:$U$250,3),VLOOKUP(NymexData!AA218,NymexData!$AA$12:$AC$250,3))</f>
        <v>0.17</v>
      </c>
      <c r="AO218" s="284" t="n">
        <f aca="false">AD218*24*VLOOKUP(AB218,Interest!$X$8:$AC$367,6)</f>
        <v>257.024021676655</v>
      </c>
    </row>
    <row r="219" customFormat="false" ht="12.75" hidden="false" customHeight="false" outlineLevel="0" collapsed="false">
      <c r="AB219" s="282" t="n">
        <f aca="false">[2]EnergyCurve!$D241</f>
        <v>43497</v>
      </c>
      <c r="AC219" s="2" t="n">
        <f aca="false">IF(TradeSum!$L$6=0,VLOOKUP(AB219,TradeSum!$DM$13:$DQ$252,2)+VLOOKUP(AB219,TradeSum!$DU$13:$DY$252,3),VLOOKUP(AB219,TradeSum!$DU$13:$DY$252,2)+VLOOKUP(AB219,TradeSum!$DU$13:$DY$252,3))</f>
        <v>24</v>
      </c>
      <c r="AD219" s="2" t="n">
        <f aca="false">VLOOKUP(AB219,TradeSum!$DM$13:$DR$252,6)</f>
        <v>28</v>
      </c>
      <c r="AE219" s="2" t="n">
        <f aca="false">IF(TradeSum!$L$6=0,VLOOKUP(AB219,TradeSum!$DM$13:$DQ$252,2),VLOOKUP(AB219,TradeSum!$DU$13:$DY$252,2))</f>
        <v>20</v>
      </c>
      <c r="AF219" s="283" t="n">
        <f aca="false">[2]EnergyCurve!$G241</f>
        <v>41.8501848985973</v>
      </c>
      <c r="AG219" s="283" t="n">
        <f aca="false">[2]EnergyCurve!$Y241</f>
        <v>39.7576756536675</v>
      </c>
      <c r="AH219" s="283" t="n">
        <f aca="false">[2]EnergyCurve!$AD241</f>
        <v>27.2026201840883</v>
      </c>
      <c r="AI219" s="283" t="n">
        <f aca="false">[2]EnergyCurve!$L241</f>
        <v>27.2026201840883</v>
      </c>
      <c r="AJ219" s="0" t="n">
        <f aca="false">(AE219*AF219+(AC219-AE219)*AG219)/AC219</f>
        <v>41.5014333577757</v>
      </c>
      <c r="AK219" s="0" t="n">
        <f aca="false">(AC219*16*AJ219+(AD219-AC219)*16*AH219+AD219*8*AI219)/(AD219*24)</f>
        <v>35.3733705690525</v>
      </c>
      <c r="AM219" s="0" t="n">
        <f aca="false">IF(NymexData!AC219="",VLOOKUP('Pricing Summary'!AB219,NymexData!$S$12:$U$250,3),VLOOKUP(NymexData!AA219,NymexData!$AA$12:$AC$250,3))</f>
        <v>0.17</v>
      </c>
      <c r="AO219" s="284" t="n">
        <f aca="false">AD219*24*VLOOKUP(AB219,Interest!$X$8:$AC$367,6)</f>
        <v>230.936618307866</v>
      </c>
    </row>
    <row r="220" customFormat="false" ht="12.75" hidden="false" customHeight="false" outlineLevel="0" collapsed="false">
      <c r="AB220" s="282" t="n">
        <f aca="false">[2]EnergyCurve!$D242</f>
        <v>43525</v>
      </c>
      <c r="AC220" s="2" t="n">
        <f aca="false">IF(TradeSum!$L$6=0,VLOOKUP(AB220,TradeSum!$DM$13:$DQ$252,2)+VLOOKUP(AB220,TradeSum!$DU$13:$DY$252,3),VLOOKUP(AB220,TradeSum!$DU$13:$DY$252,2)+VLOOKUP(AB220,TradeSum!$DU$13:$DY$252,3))</f>
        <v>26</v>
      </c>
      <c r="AD220" s="2" t="n">
        <f aca="false">VLOOKUP(AB220,TradeSum!$DM$13:$DR$252,6)</f>
        <v>31</v>
      </c>
      <c r="AE220" s="2" t="n">
        <f aca="false">IF(TradeSum!$L$6=0,VLOOKUP(AB220,TradeSum!$DM$13:$DQ$252,2),VLOOKUP(AB220,TradeSum!$DU$13:$DY$252,2))</f>
        <v>21</v>
      </c>
      <c r="AF220" s="283" t="n">
        <f aca="false">[2]EnergyCurve!$G242</f>
        <v>40.3802433423855</v>
      </c>
      <c r="AG220" s="283" t="n">
        <f aca="false">[2]EnergyCurve!$Y242</f>
        <v>38.3612311752662</v>
      </c>
      <c r="AH220" s="283" t="n">
        <f aca="false">[2]EnergyCurve!$AD242</f>
        <v>26.2471581725506</v>
      </c>
      <c r="AI220" s="283" t="n">
        <f aca="false">[2]EnergyCurve!$L242</f>
        <v>26.2471581725506</v>
      </c>
      <c r="AJ220" s="0" t="n">
        <f aca="false">(AE220*AF220+(AC220-AE220)*AG220)/AC220</f>
        <v>39.9919717717856</v>
      </c>
      <c r="AK220" s="0" t="n">
        <f aca="false">(AC220*16*AJ220+(AD220-AC220)*16*AH220+AD220*8*AI220)/(AD220*24)</f>
        <v>33.932430292553</v>
      </c>
      <c r="AM220" s="0" t="n">
        <f aca="false">IF(NymexData!AC220="",VLOOKUP('Pricing Summary'!AB220,NymexData!$S$12:$U$250,3),VLOOKUP(NymexData!AA220,NymexData!$AA$12:$AC$250,3))</f>
        <v>0.17</v>
      </c>
      <c r="AO220" s="284" t="n">
        <f aca="false">AD220*24*VLOOKUP(AB220,Interest!$X$8:$AC$367,6)</f>
        <v>254.225967345735</v>
      </c>
    </row>
    <row r="221" customFormat="false" ht="12.75" hidden="false" customHeight="false" outlineLevel="0" collapsed="false">
      <c r="AB221" s="282" t="n">
        <f aca="false">[2]EnergyCurve!$D243</f>
        <v>43556</v>
      </c>
      <c r="AC221" s="2" t="n">
        <f aca="false">IF(TradeSum!$L$6=0,VLOOKUP(AB221,TradeSum!$DM$13:$DQ$252,2)+VLOOKUP(AB221,TradeSum!$DU$13:$DY$252,3),VLOOKUP(AB221,TradeSum!$DU$13:$DY$252,2)+VLOOKUP(AB221,TradeSum!$DU$13:$DY$252,3))</f>
        <v>26</v>
      </c>
      <c r="AD221" s="2" t="n">
        <f aca="false">VLOOKUP(AB221,TradeSum!$DM$13:$DR$252,6)</f>
        <v>30</v>
      </c>
      <c r="AE221" s="2" t="n">
        <f aca="false">IF(TradeSum!$L$6=0,VLOOKUP(AB221,TradeSum!$DM$13:$DQ$252,2),VLOOKUP(AB221,TradeSum!$DU$13:$DY$252,2))</f>
        <v>22</v>
      </c>
      <c r="AF221" s="283" t="n">
        <f aca="false">[2]EnergyCurve!$G243</f>
        <v>37.7845557390769</v>
      </c>
      <c r="AG221" s="283" t="n">
        <f aca="false">[2]EnergyCurve!$Y243</f>
        <v>35.895327952123</v>
      </c>
      <c r="AH221" s="283" t="n">
        <f aca="false">[2]EnergyCurve!$AD243</f>
        <v>24.5599612304</v>
      </c>
      <c r="AI221" s="283" t="n">
        <f aca="false">[2]EnergyCurve!$L243</f>
        <v>24.5599612304</v>
      </c>
      <c r="AJ221" s="0" t="n">
        <f aca="false">(AE221*AF221+(AC221-AE221)*AG221)/AC221</f>
        <v>37.4939053103148</v>
      </c>
      <c r="AK221" s="0" t="n">
        <f aca="false">(AC221*16*AJ221+(AD221-AC221)*16*AH221+AD221*8*AI221)/(AD221*24)</f>
        <v>32.0329066987952</v>
      </c>
      <c r="AM221" s="0" t="n">
        <f aca="false">IF(NymexData!AC221="",VLOOKUP('Pricing Summary'!AB221,NymexData!$S$12:$U$250,3),VLOOKUP(NymexData!AA221,NymexData!$AA$12:$AC$250,3))</f>
        <v>0.17</v>
      </c>
      <c r="AO221" s="284" t="n">
        <f aca="false">AD221*24*VLOOKUP(AB221,Interest!$X$8:$AC$367,6)</f>
        <v>244.653643710033</v>
      </c>
    </row>
    <row r="222" customFormat="false" ht="12.75" hidden="false" customHeight="false" outlineLevel="0" collapsed="false">
      <c r="AB222" s="282" t="n">
        <f aca="false">[2]EnergyCurve!$D244</f>
        <v>43586</v>
      </c>
      <c r="AC222" s="2" t="n">
        <f aca="false">IF(TradeSum!$L$6=0,VLOOKUP(AB222,TradeSum!$DM$13:$DQ$252,2)+VLOOKUP(AB222,TradeSum!$DU$13:$DY$252,3),VLOOKUP(AB222,TradeSum!$DU$13:$DY$252,2)+VLOOKUP(AB222,TradeSum!$DU$13:$DY$252,3))</f>
        <v>26</v>
      </c>
      <c r="AD222" s="2" t="n">
        <f aca="false">VLOOKUP(AB222,TradeSum!$DM$13:$DR$252,6)</f>
        <v>31</v>
      </c>
      <c r="AE222" s="2" t="n">
        <f aca="false">IF(TradeSum!$L$6=0,VLOOKUP(AB222,TradeSum!$DM$13:$DQ$252,2),VLOOKUP(AB222,TradeSum!$DU$13:$DY$252,2))</f>
        <v>22</v>
      </c>
      <c r="AF222" s="283" t="n">
        <f aca="false">[2]EnergyCurve!$G244</f>
        <v>37.8592362027232</v>
      </c>
      <c r="AG222" s="283" t="n">
        <f aca="false">[2]EnergyCurve!$Y244</f>
        <v>35.966274392587</v>
      </c>
      <c r="AH222" s="283" t="n">
        <f aca="false">[2]EnergyCurve!$AD244</f>
        <v>24.6085035317701</v>
      </c>
      <c r="AI222" s="283" t="n">
        <f aca="false">[2]EnergyCurve!$L244</f>
        <v>24.6085035317701</v>
      </c>
      <c r="AJ222" s="0" t="n">
        <f aca="false">(AE222*AF222+(AC222-AE222)*AG222)/AC222</f>
        <v>37.5680113088561</v>
      </c>
      <c r="AK222" s="0" t="n">
        <f aca="false">(AC222*16*AJ222+(AD222-AC222)*16*AH222+AD222*8*AI222)/(AD222*24)</f>
        <v>31.854679923259</v>
      </c>
      <c r="AM222" s="0" t="n">
        <f aca="false">IF(NymexData!AC222="",VLOOKUP('Pricing Summary'!AB222,NymexData!$S$12:$U$250,3),VLOOKUP(NymexData!AA222,NymexData!$AA$12:$AC$250,3))</f>
        <v>0.17</v>
      </c>
      <c r="AO222" s="284" t="n">
        <f aca="false">AD222*24*VLOOKUP(AB222,Interest!$X$8:$AC$367,6)</f>
        <v>251.360145247186</v>
      </c>
    </row>
    <row r="223" customFormat="false" ht="12.75" hidden="false" customHeight="false" outlineLevel="0" collapsed="false">
      <c r="AB223" s="282" t="n">
        <f aca="false">[2]EnergyCurve!$D245</f>
        <v>43617</v>
      </c>
      <c r="AC223" s="2" t="n">
        <f aca="false">IF(TradeSum!$L$6=0,VLOOKUP(AB223,TradeSum!$DM$13:$DQ$252,2)+VLOOKUP(AB223,TradeSum!$DU$13:$DY$252,3),VLOOKUP(AB223,TradeSum!$DU$13:$DY$252,2)+VLOOKUP(AB223,TradeSum!$DU$13:$DY$252,3))</f>
        <v>25</v>
      </c>
      <c r="AD223" s="2" t="n">
        <f aca="false">VLOOKUP(AB223,TradeSum!$DM$13:$DR$252,6)</f>
        <v>30</v>
      </c>
      <c r="AE223" s="2" t="n">
        <f aca="false">IF(TradeSum!$L$6=0,VLOOKUP(AB223,TradeSum!$DM$13:$DQ$252,2),VLOOKUP(AB223,TradeSum!$DU$13:$DY$252,2))</f>
        <v>20</v>
      </c>
      <c r="AF223" s="283" t="n">
        <f aca="false">[2]EnergyCurve!$G245</f>
        <v>38.2896558608696</v>
      </c>
      <c r="AG223" s="283" t="n">
        <f aca="false">[2]EnergyCurve!$Y245</f>
        <v>36.3751730678261</v>
      </c>
      <c r="AH223" s="283" t="n">
        <f aca="false">[2]EnergyCurve!$AD245</f>
        <v>24.8882763095652</v>
      </c>
      <c r="AI223" s="283" t="n">
        <f aca="false">[2]EnergyCurve!$L245</f>
        <v>24.8882763095652</v>
      </c>
      <c r="AJ223" s="0" t="n">
        <f aca="false">(AE223*AF223+(AC223-AE223)*AG223)/AC223</f>
        <v>37.9067593022609</v>
      </c>
      <c r="AK223" s="0" t="n">
        <f aca="false">(AC223*16*AJ223+(AD223-AC223)*16*AH223+AD223*8*AI223)/(AD223*24)</f>
        <v>32.1207668610628</v>
      </c>
      <c r="AM223" s="0" t="n">
        <f aca="false">IF(NymexData!AC223="",VLOOKUP('Pricing Summary'!AB223,NymexData!$S$12:$U$250,3),VLOOKUP(NymexData!AA223,NymexData!$AA$12:$AC$250,3))</f>
        <v>0.17</v>
      </c>
      <c r="AO223" s="284" t="n">
        <f aca="false">AD223*24*VLOOKUP(AB223,Interest!$X$8:$AC$367,6)</f>
        <v>241.893310728777</v>
      </c>
    </row>
    <row r="224" customFormat="false" ht="12.75" hidden="false" customHeight="false" outlineLevel="0" collapsed="false">
      <c r="AB224" s="282" t="n">
        <f aca="false">[2]EnergyCurve!$D246</f>
        <v>43647</v>
      </c>
      <c r="AC224" s="2" t="n">
        <f aca="false">IF(TradeSum!$L$6=0,VLOOKUP(AB224,TradeSum!$DM$13:$DQ$252,2)+VLOOKUP(AB224,TradeSum!$DU$13:$DY$252,3),VLOOKUP(AB224,TradeSum!$DU$13:$DY$252,2)+VLOOKUP(AB224,TradeSum!$DU$13:$DY$252,3))</f>
        <v>26</v>
      </c>
      <c r="AD224" s="2" t="n">
        <f aca="false">VLOOKUP(AB224,TradeSum!$DM$13:$DR$252,6)</f>
        <v>31</v>
      </c>
      <c r="AE224" s="2" t="n">
        <f aca="false">IF(TradeSum!$L$6=0,VLOOKUP(AB224,TradeSum!$DM$13:$DQ$252,2),VLOOKUP(AB224,TradeSum!$DU$13:$DY$252,2))</f>
        <v>22</v>
      </c>
      <c r="AF224" s="283" t="n">
        <f aca="false">[2]EnergyCurve!$G246</f>
        <v>38.7955092858914</v>
      </c>
      <c r="AG224" s="283" t="n">
        <f aca="false">[2]EnergyCurve!$Y246</f>
        <v>36.8557338215968</v>
      </c>
      <c r="AH224" s="283" t="n">
        <f aca="false">[2]EnergyCurve!$AD246</f>
        <v>25.2170810358294</v>
      </c>
      <c r="AI224" s="283" t="n">
        <f aca="false">[2]EnergyCurve!$L246</f>
        <v>25.2170810358294</v>
      </c>
      <c r="AJ224" s="0" t="n">
        <f aca="false">(AE224*AF224+(AC224-AE224)*AG224)/AC224</f>
        <v>38.4970822913845</v>
      </c>
      <c r="AK224" s="0" t="n">
        <f aca="false">(AC224*16*AJ224+(AD224-AC224)*16*AH224+AD224*8*AI224)/(AD224*24)</f>
        <v>32.6424580819462</v>
      </c>
      <c r="AM224" s="0" t="n">
        <f aca="false">IF(NymexData!AC224="",VLOOKUP('Pricing Summary'!AB224,NymexData!$S$12:$U$250,3),VLOOKUP(NymexData!AA224,NymexData!$AA$12:$AC$250,3))</f>
        <v>0.17</v>
      </c>
      <c r="AO224" s="284" t="n">
        <f aca="false">AD224*24*VLOOKUP(AB224,Interest!$X$8:$AC$367,6)</f>
        <v>248.521661924645</v>
      </c>
    </row>
    <row r="225" customFormat="false" ht="12.75" hidden="false" customHeight="false" outlineLevel="0" collapsed="false">
      <c r="AB225" s="282" t="n">
        <f aca="false">[2]EnergyCurve!$D247</f>
        <v>43678</v>
      </c>
      <c r="AC225" s="2" t="n">
        <f aca="false">IF(TradeSum!$L$6=0,VLOOKUP(AB225,TradeSum!$DM$13:$DQ$252,2)+VLOOKUP(AB225,TradeSum!$DU$13:$DY$252,3),VLOOKUP(AB225,TradeSum!$DU$13:$DY$252,2)+VLOOKUP(AB225,TradeSum!$DU$13:$DY$252,3))</f>
        <v>27</v>
      </c>
      <c r="AD225" s="2" t="n">
        <f aca="false">VLOOKUP(AB225,TradeSum!$DM$13:$DR$252,6)</f>
        <v>31</v>
      </c>
      <c r="AE225" s="2" t="n">
        <f aca="false">IF(TradeSum!$L$6=0,VLOOKUP(AB225,TradeSum!$DM$13:$DQ$252,2),VLOOKUP(AB225,TradeSum!$DU$13:$DY$252,2))</f>
        <v>22</v>
      </c>
      <c r="AF225" s="283" t="n">
        <f aca="false">[2]EnergyCurve!$G247</f>
        <v>39.227844575025</v>
      </c>
      <c r="AG225" s="283" t="n">
        <f aca="false">[2]EnergyCurve!$Y247</f>
        <v>37.2664523462738</v>
      </c>
      <c r="AH225" s="283" t="n">
        <f aca="false">[2]EnergyCurve!$AD247</f>
        <v>25.4980989737663</v>
      </c>
      <c r="AI225" s="283" t="n">
        <f aca="false">[2]EnergyCurve!$L247</f>
        <v>25.4980989737663</v>
      </c>
      <c r="AJ225" s="0" t="n">
        <f aca="false">(AE225*AF225+(AC225-AE225)*AG225)/AC225</f>
        <v>38.864623791923</v>
      </c>
      <c r="AK225" s="0" t="n">
        <f aca="false">(AC225*16*AJ225+(AD225-AC225)*16*AH225+AD225*8*AI225)/(AD225*24)</f>
        <v>33.259306932696</v>
      </c>
      <c r="AM225" s="0" t="n">
        <f aca="false">IF(NymexData!AC225="",VLOOKUP('Pricing Summary'!AB225,NymexData!$S$12:$U$250,3),VLOOKUP(NymexData!AA225,NymexData!$AA$12:$AC$250,3))</f>
        <v>0.17</v>
      </c>
      <c r="AO225" s="284" t="n">
        <f aca="false">AD225*24*VLOOKUP(AB225,Interest!$X$8:$AC$367,6)</f>
        <v>247.089568332055</v>
      </c>
    </row>
    <row r="226" customFormat="false" ht="12.75" hidden="false" customHeight="false" outlineLevel="0" collapsed="false">
      <c r="AB226" s="282" t="n">
        <f aca="false">[2]EnergyCurve!$D248</f>
        <v>43709</v>
      </c>
      <c r="AC226" s="2" t="n">
        <f aca="false">IF(TradeSum!$L$6=0,VLOOKUP(AB226,TradeSum!$DM$13:$DQ$252,2)+VLOOKUP(AB226,TradeSum!$DU$13:$DY$252,3),VLOOKUP(AB226,TradeSum!$DU$13:$DY$252,2)+VLOOKUP(AB226,TradeSum!$DU$13:$DY$252,3))</f>
        <v>24</v>
      </c>
      <c r="AD226" s="2" t="n">
        <f aca="false">VLOOKUP(AB226,TradeSum!$DM$13:$DR$252,6)</f>
        <v>30</v>
      </c>
      <c r="AE226" s="2" t="n">
        <f aca="false">IF(TradeSum!$L$6=0,VLOOKUP(AB226,TradeSum!$DM$13:$DQ$252,2),VLOOKUP(AB226,TradeSum!$DU$13:$DY$252,2))</f>
        <v>20</v>
      </c>
      <c r="AF226" s="283" t="n">
        <f aca="false">[2]EnergyCurve!$G248</f>
        <v>39.1875838973285</v>
      </c>
      <c r="AG226" s="283" t="n">
        <f aca="false">[2]EnergyCurve!$Y248</f>
        <v>37.228204702462</v>
      </c>
      <c r="AH226" s="283" t="n">
        <f aca="false">[2]EnergyCurve!$AD248</f>
        <v>25.4719295332635</v>
      </c>
      <c r="AI226" s="283" t="n">
        <f aca="false">[2]EnergyCurve!$L248</f>
        <v>25.4719295332635</v>
      </c>
      <c r="AJ226" s="0" t="n">
        <f aca="false">(AE226*AF226+(AC226-AE226)*AG226)/AC226</f>
        <v>38.8610206981841</v>
      </c>
      <c r="AK226" s="0" t="n">
        <f aca="false">(AC226*16*AJ226+(AD226-AC226)*16*AH226+AD226*8*AI226)/(AD226*24)</f>
        <v>32.6127781545545</v>
      </c>
      <c r="AM226" s="0" t="n">
        <f aca="false">IF(NymexData!AC226="",VLOOKUP('Pricing Summary'!AB226,NymexData!$S$12:$U$250,3),VLOOKUP(NymexData!AA226,NymexData!$AA$12:$AC$250,3))</f>
        <v>0.17</v>
      </c>
      <c r="AO226" s="284" t="n">
        <f aca="false">AD226*24*VLOOKUP(AB226,Interest!$X$8:$AC$367,6)</f>
        <v>237.779990767663</v>
      </c>
    </row>
    <row r="227" customFormat="false" ht="12.75" hidden="false" customHeight="false" outlineLevel="0" collapsed="false">
      <c r="AB227" s="282" t="n">
        <f aca="false">[2]EnergyCurve!$D249</f>
        <v>43739</v>
      </c>
      <c r="AC227" s="2" t="n">
        <f aca="false">IF(TradeSum!$L$6=0,VLOOKUP(AB227,TradeSum!$DM$13:$DQ$252,2)+VLOOKUP(AB227,TradeSum!$DU$13:$DY$252,3),VLOOKUP(AB227,TradeSum!$DU$13:$DY$252,2)+VLOOKUP(AB227,TradeSum!$DU$13:$DY$252,3))</f>
        <v>27</v>
      </c>
      <c r="AD227" s="2" t="n">
        <f aca="false">VLOOKUP(AB227,TradeSum!$DM$13:$DR$252,6)</f>
        <v>31</v>
      </c>
      <c r="AE227" s="2" t="n">
        <f aca="false">IF(TradeSum!$L$6=0,VLOOKUP(AB227,TradeSum!$DM$13:$DQ$252,2),VLOOKUP(AB227,TradeSum!$DU$13:$DY$252,2))</f>
        <v>23</v>
      </c>
      <c r="AF227" s="283" t="n">
        <f aca="false">[2]EnergyCurve!$G249</f>
        <v>39.2115229951658</v>
      </c>
      <c r="AG227" s="283" t="n">
        <f aca="false">[2]EnergyCurve!$Y249</f>
        <v>37.2509468454075</v>
      </c>
      <c r="AH227" s="283" t="n">
        <f aca="false">[2]EnergyCurve!$AD249</f>
        <v>25.4874899468578</v>
      </c>
      <c r="AI227" s="283" t="n">
        <f aca="false">[2]EnergyCurve!$L249</f>
        <v>25.4874899468578</v>
      </c>
      <c r="AJ227" s="0" t="n">
        <f aca="false">(AE227*AF227+(AC227-AE227)*AG227)/AC227</f>
        <v>38.9210672692757</v>
      </c>
      <c r="AK227" s="0" t="n">
        <f aca="false">(AC227*16*AJ227+(AD227-AC227)*16*AH227+AD227*8*AI227)/(AD227*24)</f>
        <v>33.2876316179392</v>
      </c>
      <c r="AM227" s="0" t="n">
        <f aca="false">IF(NymexData!AC227="",VLOOKUP('Pricing Summary'!AB227,NymexData!$S$12:$U$250,3),VLOOKUP(NymexData!AA227,NymexData!$AA$12:$AC$250,3))</f>
        <v>0.17</v>
      </c>
      <c r="AO227" s="284" t="n">
        <f aca="false">AD227*24*VLOOKUP(AB227,Interest!$X$8:$AC$367,6)</f>
        <v>244.291947321017</v>
      </c>
    </row>
    <row r="228" customFormat="false" ht="12.75" hidden="false" customHeight="false" outlineLevel="0" collapsed="false">
      <c r="AB228" s="282" t="n">
        <f aca="false">[2]EnergyCurve!$D250</f>
        <v>43770</v>
      </c>
      <c r="AC228" s="2" t="n">
        <f aca="false">IF(TradeSum!$L$6=0,VLOOKUP(AB228,TradeSum!$DM$13:$DQ$252,2)+VLOOKUP(AB228,TradeSum!$DU$13:$DY$252,3),VLOOKUP(AB228,TradeSum!$DU$13:$DY$252,2)+VLOOKUP(AB228,TradeSum!$DU$13:$DY$252,3))</f>
        <v>25</v>
      </c>
      <c r="AD228" s="2" t="n">
        <f aca="false">VLOOKUP(AB228,TradeSum!$DM$13:$DR$252,6)</f>
        <v>30</v>
      </c>
      <c r="AE228" s="2" t="n">
        <f aca="false">IF(TradeSum!$L$6=0,VLOOKUP(AB228,TradeSum!$DM$13:$DQ$252,2),VLOOKUP(AB228,TradeSum!$DU$13:$DY$252,2))</f>
        <v>20</v>
      </c>
      <c r="AF228" s="283" t="n">
        <f aca="false">[2]EnergyCurve!$G250</f>
        <v>41.4889803183558</v>
      </c>
      <c r="AG228" s="283" t="n">
        <f aca="false">[2]EnergyCurve!$Y250</f>
        <v>39.414531302438</v>
      </c>
      <c r="AH228" s="283" t="n">
        <f aca="false">[2]EnergyCurve!$AD250</f>
        <v>26.9678372069313</v>
      </c>
      <c r="AI228" s="283" t="n">
        <f aca="false">[2]EnergyCurve!$L250</f>
        <v>26.9678372069313</v>
      </c>
      <c r="AJ228" s="0" t="n">
        <f aca="false">(AE228*AF228+(AC228-AE228)*AG228)/AC228</f>
        <v>41.0740905151723</v>
      </c>
      <c r="AK228" s="0" t="n">
        <f aca="false">(AC228*16*AJ228+(AD228-AC228)*16*AH228+AD228*8*AI228)/(AD228*24)</f>
        <v>34.8046446003985</v>
      </c>
      <c r="AM228" s="0" t="n">
        <f aca="false">IF(NymexData!AC228="",VLOOKUP('Pricing Summary'!AB228,NymexData!$S$12:$U$250,3),VLOOKUP(NymexData!AA228,NymexData!$AA$12:$AC$250,3))</f>
        <v>0.17</v>
      </c>
      <c r="AO228" s="284" t="n">
        <f aca="false">AD228*24*VLOOKUP(AB228,Interest!$X$8:$AC$367,6)</f>
        <v>235.085426680292</v>
      </c>
    </row>
    <row r="229" customFormat="false" ht="12.75" hidden="false" customHeight="false" outlineLevel="0" collapsed="false">
      <c r="AB229" s="282" t="n">
        <f aca="false">[2]EnergyCurve!$D251</f>
        <v>43800</v>
      </c>
      <c r="AC229" s="2" t="n">
        <f aca="false">IF(TradeSum!$L$6=0,VLOOKUP(AB229,TradeSum!$DM$13:$DQ$252,2)+VLOOKUP(AB229,TradeSum!$DU$13:$DY$252,3),VLOOKUP(AB229,TradeSum!$DU$13:$DY$252,2)+VLOOKUP(AB229,TradeSum!$DU$13:$DY$252,3))</f>
        <v>25</v>
      </c>
      <c r="AD229" s="2" t="n">
        <f aca="false">VLOOKUP(AB229,TradeSum!$DM$13:$DR$252,6)</f>
        <v>31</v>
      </c>
      <c r="AE229" s="2" t="n">
        <f aca="false">IF(TradeSum!$L$6=0,VLOOKUP(AB229,TradeSum!$DM$13:$DQ$252,2),VLOOKUP(AB229,TradeSum!$DU$13:$DY$252,2))</f>
        <v>21</v>
      </c>
      <c r="AF229" s="283" t="n">
        <f aca="false">[2]EnergyCurve!$G251</f>
        <v>43.1542816592904</v>
      </c>
      <c r="AG229" s="283" t="n">
        <f aca="false">[2]EnergyCurve!$Y251</f>
        <v>40.9965675763259</v>
      </c>
      <c r="AH229" s="283" t="n">
        <f aca="false">[2]EnergyCurve!$AD251</f>
        <v>28.0502830785388</v>
      </c>
      <c r="AI229" s="283" t="n">
        <f aca="false">[2]EnergyCurve!$L251</f>
        <v>28.0502830785388</v>
      </c>
      <c r="AJ229" s="0" t="n">
        <f aca="false">(AE229*AF229+(AC229-AE229)*AG229)/AC229</f>
        <v>42.8090474060161</v>
      </c>
      <c r="AK229" s="0" t="n">
        <f aca="false">(AC229*16*AJ229+(AD229-AC229)*16*AH229+AD229*8*AI229)/(AD229*24)</f>
        <v>35.9851026094405</v>
      </c>
      <c r="AM229" s="0" t="n">
        <f aca="false">IF(NymexData!AC229="",VLOOKUP('Pricing Summary'!AB229,NymexData!$S$12:$U$250,3),VLOOKUP(NymexData!AA229,NymexData!$AA$12:$AC$250,3))</f>
        <v>0.17</v>
      </c>
      <c r="AO229" s="284" t="n">
        <f aca="false">AD229*24*VLOOKUP(AB229,Interest!$X$8:$AC$367,6)</f>
        <v>241.521175375102</v>
      </c>
    </row>
    <row r="230" customFormat="false" ht="12.75" hidden="false" customHeight="false" outlineLevel="0" collapsed="false">
      <c r="AB230" s="282" t="n">
        <f aca="false">[2]EnergyCurve!$D252</f>
        <v>43831</v>
      </c>
      <c r="AC230" s="2" t="n">
        <f aca="false">IF(TradeSum!$L$6=0,VLOOKUP(AB230,TradeSum!$DM$13:$DQ$252,2)+VLOOKUP(AB230,TradeSum!$DU$13:$DY$252,3),VLOOKUP(AB230,TradeSum!$DU$13:$DY$252,2)+VLOOKUP(AB230,TradeSum!$DU$13:$DY$252,3))</f>
        <v>26</v>
      </c>
      <c r="AD230" s="2" t="n">
        <f aca="false">VLOOKUP(AB230,TradeSum!$DM$13:$DR$252,6)</f>
        <v>31</v>
      </c>
      <c r="AE230" s="2" t="n">
        <f aca="false">IF(TradeSum!$L$6=0,VLOOKUP(AB230,TradeSum!$DM$13:$DQ$252,2),VLOOKUP(AB230,TradeSum!$DU$13:$DY$252,2))</f>
        <v>22</v>
      </c>
      <c r="AF230" s="283" t="n">
        <f aca="false">[2]EnergyCurve!$G252</f>
        <v>42.7704012252907</v>
      </c>
      <c r="AG230" s="283" t="n">
        <f aca="false">[2]EnergyCurve!$Y252</f>
        <v>40.6318811640262</v>
      </c>
      <c r="AH230" s="283" t="n">
        <f aca="false">[2]EnergyCurve!$AD252</f>
        <v>27.800760796439</v>
      </c>
      <c r="AI230" s="283" t="n">
        <f aca="false">[2]EnergyCurve!$L252</f>
        <v>27.800760796439</v>
      </c>
      <c r="AJ230" s="0" t="n">
        <f aca="false">(AE230*AF230+(AC230-AE230)*AG230)/AC230</f>
        <v>42.4413981389423</v>
      </c>
      <c r="AK230" s="0" t="n">
        <f aca="false">(AC230*16*AJ230+(AD230-AC230)*16*AH230+AD230*8*AI230)/(AD230*24)</f>
        <v>35.9869236116021</v>
      </c>
      <c r="AM230" s="0" t="n">
        <f aca="false">IF(NymexData!AC230="",VLOOKUP('Pricing Summary'!AB230,NymexData!$S$12:$U$250,3),VLOOKUP(NymexData!AA230,NymexData!$AA$12:$AC$250,3))</f>
        <v>0.17</v>
      </c>
      <c r="AO230" s="284" t="n">
        <f aca="false">AD230*24*VLOOKUP(AB230,Interest!$X$8:$AC$367,6)</f>
        <v>240.123305285589</v>
      </c>
    </row>
    <row r="231" customFormat="false" ht="12.75" hidden="false" customHeight="false" outlineLevel="0" collapsed="false">
      <c r="AB231" s="282" t="n">
        <f aca="false">[2]EnergyCurve!$D253</f>
        <v>43862</v>
      </c>
      <c r="AC231" s="2" t="n">
        <f aca="false">IF(TradeSum!$L$6=0,VLOOKUP(AB231,TradeSum!$DM$13:$DQ$252,2)+VLOOKUP(AB231,TradeSum!$DU$13:$DY$252,3),VLOOKUP(AB231,TradeSum!$DU$13:$DY$252,2)+VLOOKUP(AB231,TradeSum!$DU$13:$DY$252,3))</f>
        <v>25</v>
      </c>
      <c r="AD231" s="2" t="n">
        <f aca="false">VLOOKUP(AB231,TradeSum!$DM$13:$DR$252,6)</f>
        <v>29</v>
      </c>
      <c r="AE231" s="2" t="n">
        <f aca="false">IF(TradeSum!$L$6=0,VLOOKUP(AB231,TradeSum!$DM$13:$DQ$252,2),VLOOKUP(AB231,TradeSum!$DU$13:$DY$252,2))</f>
        <v>20</v>
      </c>
      <c r="AF231" s="283" t="n">
        <f aca="false">[2]EnergyCurve!$G253</f>
        <v>41.8501848985973</v>
      </c>
      <c r="AG231" s="283" t="n">
        <f aca="false">[2]EnergyCurve!$Y253</f>
        <v>39.7576756536675</v>
      </c>
      <c r="AH231" s="283" t="n">
        <f aca="false">[2]EnergyCurve!$AD253</f>
        <v>27.2026201840883</v>
      </c>
      <c r="AI231" s="283" t="n">
        <f aca="false">[2]EnergyCurve!$L253</f>
        <v>27.2026201840883</v>
      </c>
      <c r="AJ231" s="0" t="n">
        <f aca="false">(AE231*AF231+(AC231-AE231)*AG231)/AC231</f>
        <v>41.4316830496113</v>
      </c>
      <c r="AK231" s="0" t="n">
        <f aca="false">(AC231*16*AJ231+(AD231-AC231)*16*AH231+AD231*8*AI231)/(AD231*24)</f>
        <v>35.3802425205958</v>
      </c>
      <c r="AM231" s="0" t="n">
        <f aca="false">IF(NymexData!AC231="",VLOOKUP('Pricing Summary'!AB231,NymexData!$S$12:$U$250,3),VLOOKUP(NymexData!AA231,NymexData!$AA$12:$AC$250,3))</f>
        <v>0.17</v>
      </c>
      <c r="AO231" s="284" t="n">
        <f aca="false">AD231*24*VLOOKUP(AB231,Interest!$X$8:$AC$367,6)</f>
        <v>223.405911554322</v>
      </c>
    </row>
    <row r="232" customFormat="false" ht="12.75" hidden="false" customHeight="false" outlineLevel="0" collapsed="false">
      <c r="AB232" s="282" t="n">
        <f aca="false">[2]EnergyCurve!$D254</f>
        <v>43891</v>
      </c>
      <c r="AC232" s="2" t="n">
        <f aca="false">IF(TradeSum!$L$6=0,VLOOKUP(AB232,TradeSum!$DM$13:$DQ$252,2)+VLOOKUP(AB232,TradeSum!$DU$13:$DY$252,3),VLOOKUP(AB232,TradeSum!$DU$13:$DY$252,2)+VLOOKUP(AB232,TradeSum!$DU$13:$DY$252,3))</f>
        <v>26</v>
      </c>
      <c r="AD232" s="2" t="n">
        <f aca="false">VLOOKUP(AB232,TradeSum!$DM$13:$DR$252,6)</f>
        <v>31</v>
      </c>
      <c r="AE232" s="2" t="n">
        <f aca="false">IF(TradeSum!$L$6=0,VLOOKUP(AB232,TradeSum!$DM$13:$DQ$252,2),VLOOKUP(AB232,TradeSum!$DU$13:$DY$252,2))</f>
        <v>22</v>
      </c>
      <c r="AF232" s="283" t="n">
        <f aca="false">[2]EnergyCurve!$G254</f>
        <v>40.3802433423855</v>
      </c>
      <c r="AG232" s="283" t="n">
        <f aca="false">[2]EnergyCurve!$Y254</f>
        <v>38.3612311752662</v>
      </c>
      <c r="AH232" s="283" t="n">
        <f aca="false">[2]EnergyCurve!$AD254</f>
        <v>26.2471581725506</v>
      </c>
      <c r="AI232" s="283" t="n">
        <f aca="false">[2]EnergyCurve!$L254</f>
        <v>26.2471581725506</v>
      </c>
      <c r="AJ232" s="0" t="n">
        <f aca="false">(AE232*AF232+(AC232-AE232)*AG232)/AC232</f>
        <v>40.0696260859056</v>
      </c>
      <c r="AK232" s="0" t="n">
        <f aca="false">(AC232*16*AJ232+(AD232-AC232)*16*AH232+AD232*8*AI232)/(AD232*24)</f>
        <v>33.9758499090501</v>
      </c>
      <c r="AM232" s="0" t="n">
        <f aca="false">IF(NymexData!AC232="",VLOOKUP('Pricing Summary'!AB232,NymexData!$S$12:$U$250,3),VLOOKUP(NymexData!AA232,NymexData!$AA$12:$AC$250,3))</f>
        <v>0.17</v>
      </c>
      <c r="AO232" s="284" t="n">
        <f aca="false">AD232*24*VLOOKUP(AB232,Interest!$X$8:$AC$367,6)</f>
        <v>237.437211493192</v>
      </c>
    </row>
    <row r="233" customFormat="false" ht="12.75" hidden="false" customHeight="false" outlineLevel="0" collapsed="false">
      <c r="AB233" s="282" t="n">
        <f aca="false">[2]EnergyCurve!$D255</f>
        <v>43922</v>
      </c>
      <c r="AC233" s="2" t="n">
        <f aca="false">IF(TradeSum!$L$6=0,VLOOKUP(AB233,TradeSum!$DM$13:$DQ$252,2)+VLOOKUP(AB233,TradeSum!$DU$13:$DY$252,3),VLOOKUP(AB233,TradeSum!$DU$13:$DY$252,2)+VLOOKUP(AB233,TradeSum!$DU$13:$DY$252,3))</f>
        <v>26</v>
      </c>
      <c r="AD233" s="2" t="n">
        <f aca="false">VLOOKUP(AB233,TradeSum!$DM$13:$DR$252,6)</f>
        <v>30</v>
      </c>
      <c r="AE233" s="2" t="n">
        <f aca="false">IF(TradeSum!$L$6=0,VLOOKUP(AB233,TradeSum!$DM$13:$DQ$252,2),VLOOKUP(AB233,TradeSum!$DU$13:$DY$252,2))</f>
        <v>22</v>
      </c>
      <c r="AF233" s="283" t="n">
        <f aca="false">[2]EnergyCurve!$G255</f>
        <v>37.7845557390769</v>
      </c>
      <c r="AG233" s="283" t="n">
        <f aca="false">[2]EnergyCurve!$Y255</f>
        <v>35.895327952123</v>
      </c>
      <c r="AH233" s="283" t="n">
        <f aca="false">[2]EnergyCurve!$AD255</f>
        <v>24.5599612304</v>
      </c>
      <c r="AI233" s="283" t="n">
        <f aca="false">[2]EnergyCurve!$L255</f>
        <v>24.5599612304</v>
      </c>
      <c r="AJ233" s="0" t="n">
        <f aca="false">(AE233*AF233+(AC233-AE233)*AG233)/AC233</f>
        <v>37.4939053103148</v>
      </c>
      <c r="AK233" s="0" t="n">
        <f aca="false">(AC233*16*AJ233+(AD233-AC233)*16*AH233+AD233*8*AI233)/(AD233*24)</f>
        <v>32.0329066987952</v>
      </c>
      <c r="AM233" s="0" t="n">
        <f aca="false">IF(NymexData!AC233="",VLOOKUP('Pricing Summary'!AB233,NymexData!$S$12:$U$250,3),VLOOKUP(NymexData!AA233,NymexData!$AA$12:$AC$250,3))</f>
        <v>0.17</v>
      </c>
      <c r="AO233" s="284" t="n">
        <f aca="false">AD233*24*VLOOKUP(AB233,Interest!$X$8:$AC$367,6)</f>
        <v>228.483334073971</v>
      </c>
    </row>
    <row r="234" customFormat="false" ht="12.75" hidden="false" customHeight="false" outlineLevel="0" collapsed="false">
      <c r="AB234" s="282" t="n">
        <f aca="false">[2]EnergyCurve!$D256</f>
        <v>43952</v>
      </c>
      <c r="AC234" s="2" t="n">
        <f aca="false">IF(TradeSum!$L$6=0,VLOOKUP(AB234,TradeSum!$DM$13:$DQ$252,2)+VLOOKUP(AB234,TradeSum!$DU$13:$DY$252,3),VLOOKUP(AB234,TradeSum!$DU$13:$DY$252,2)+VLOOKUP(AB234,TradeSum!$DU$13:$DY$252,3))</f>
        <v>25</v>
      </c>
      <c r="AD234" s="2" t="n">
        <f aca="false">VLOOKUP(AB234,TradeSum!$DM$13:$DR$252,6)</f>
        <v>31</v>
      </c>
      <c r="AE234" s="2" t="n">
        <f aca="false">IF(TradeSum!$L$6=0,VLOOKUP(AB234,TradeSum!$DM$13:$DQ$252,2),VLOOKUP(AB234,TradeSum!$DU$13:$DY$252,2))</f>
        <v>20</v>
      </c>
      <c r="AF234" s="283" t="n">
        <f aca="false">[2]EnergyCurve!$G256</f>
        <v>37.8592362027232</v>
      </c>
      <c r="AG234" s="283" t="n">
        <f aca="false">[2]EnergyCurve!$Y256</f>
        <v>35.966274392587</v>
      </c>
      <c r="AH234" s="283" t="n">
        <f aca="false">[2]EnergyCurve!$AD256</f>
        <v>24.6085035317701</v>
      </c>
      <c r="AI234" s="283" t="n">
        <f aca="false">[2]EnergyCurve!$L256</f>
        <v>24.6085035317701</v>
      </c>
      <c r="AJ234" s="0" t="n">
        <f aca="false">(AE234*AF234+(AC234-AE234)*AG234)/AC234</f>
        <v>37.480643840696</v>
      </c>
      <c r="AK234" s="0" t="n">
        <f aca="false">(AC234*16*AJ234+(AD234-AC234)*16*AH234+AD234*8*AI234)/(AD234*24)</f>
        <v>31.5290090742034</v>
      </c>
      <c r="AM234" s="0" t="n">
        <f aca="false">IF(NymexData!AC234="",VLOOKUP('Pricing Summary'!AB234,NymexData!$S$12:$U$250,3),VLOOKUP(NymexData!AA234,NymexData!$AA$12:$AC$250,3))</f>
        <v>0.17</v>
      </c>
      <c r="AO234" s="284" t="n">
        <f aca="false">AD234*24*VLOOKUP(AB234,Interest!$X$8:$AC$367,6)</f>
        <v>234.732498596441</v>
      </c>
    </row>
    <row r="235" customFormat="false" ht="12.75" hidden="false" customHeight="false" outlineLevel="0" collapsed="false">
      <c r="AB235" s="282" t="n">
        <f aca="false">[2]EnergyCurve!$D257</f>
        <v>43983</v>
      </c>
      <c r="AC235" s="2" t="n">
        <f aca="false">IF(TradeSum!$L$6=0,VLOOKUP(AB235,TradeSum!$DM$13:$DQ$252,2)+VLOOKUP(AB235,TradeSum!$DU$13:$DY$252,3),VLOOKUP(AB235,TradeSum!$DU$13:$DY$252,2)+VLOOKUP(AB235,TradeSum!$DU$13:$DY$252,3))</f>
        <v>26</v>
      </c>
      <c r="AD235" s="2" t="n">
        <f aca="false">VLOOKUP(AB235,TradeSum!$DM$13:$DR$252,6)</f>
        <v>30</v>
      </c>
      <c r="AE235" s="2" t="n">
        <f aca="false">IF(TradeSum!$L$6=0,VLOOKUP(AB235,TradeSum!$DM$13:$DQ$252,2),VLOOKUP(AB235,TradeSum!$DU$13:$DY$252,2))</f>
        <v>22</v>
      </c>
      <c r="AF235" s="283" t="n">
        <f aca="false">[2]EnergyCurve!$G257</f>
        <v>38.2896558608696</v>
      </c>
      <c r="AG235" s="283" t="n">
        <f aca="false">[2]EnergyCurve!$Y257</f>
        <v>36.3751730678261</v>
      </c>
      <c r="AH235" s="283" t="n">
        <f aca="false">[2]EnergyCurve!$AD257</f>
        <v>24.8882763095652</v>
      </c>
      <c r="AI235" s="283" t="n">
        <f aca="false">[2]EnergyCurve!$L257</f>
        <v>24.8882763095652</v>
      </c>
      <c r="AJ235" s="0" t="n">
        <f aca="false">(AE235*AF235+(AC235-AE235)*AG235)/AC235</f>
        <v>37.9951200465552</v>
      </c>
      <c r="AK235" s="0" t="n">
        <f aca="false">(AC235*16*AJ235+(AD235-AC235)*16*AH235+AD235*8*AI235)/(AD235*24)</f>
        <v>32.4611193576039</v>
      </c>
      <c r="AM235" s="0" t="n">
        <f aca="false">IF(NymexData!AC235="",VLOOKUP('Pricing Summary'!AB235,NymexData!$S$12:$U$250,3),VLOOKUP(NymexData!AA235,NymexData!$AA$12:$AC$250,3))</f>
        <v>0.17</v>
      </c>
      <c r="AO235" s="284" t="n">
        <f aca="false">AD235*24*VLOOKUP(AB235,Interest!$X$8:$AC$367,6)</f>
        <v>225.878360756846</v>
      </c>
    </row>
    <row r="236" customFormat="false" ht="12.75" hidden="false" customHeight="false" outlineLevel="0" collapsed="false">
      <c r="AB236" s="282" t="n">
        <f aca="false">[2]EnergyCurve!$D258</f>
        <v>44013</v>
      </c>
      <c r="AC236" s="2" t="n">
        <f aca="false">IF(TradeSum!$L$6=0,VLOOKUP(AB236,TradeSum!$DM$13:$DQ$252,2)+VLOOKUP(AB236,TradeSum!$DU$13:$DY$252,3),VLOOKUP(AB236,TradeSum!$DU$13:$DY$252,2)+VLOOKUP(AB236,TradeSum!$DU$13:$DY$252,3))</f>
        <v>26</v>
      </c>
      <c r="AD236" s="2" t="n">
        <f aca="false">VLOOKUP(AB236,TradeSum!$DM$13:$DR$252,6)</f>
        <v>31</v>
      </c>
      <c r="AE236" s="2" t="n">
        <f aca="false">IF(TradeSum!$L$6=0,VLOOKUP(AB236,TradeSum!$DM$13:$DQ$252,2),VLOOKUP(AB236,TradeSum!$DU$13:$DY$252,2))</f>
        <v>23</v>
      </c>
      <c r="AF236" s="283" t="n">
        <f aca="false">[2]EnergyCurve!$G258</f>
        <v>38.7955092858914</v>
      </c>
      <c r="AG236" s="283" t="n">
        <f aca="false">[2]EnergyCurve!$Y258</f>
        <v>36.8557338215968</v>
      </c>
      <c r="AH236" s="283" t="n">
        <f aca="false">[2]EnergyCurve!$AD258</f>
        <v>25.2170810358294</v>
      </c>
      <c r="AI236" s="283" t="n">
        <f aca="false">[2]EnergyCurve!$L258</f>
        <v>25.2170810358294</v>
      </c>
      <c r="AJ236" s="0" t="n">
        <f aca="false">(AE236*AF236+(AC236-AE236)*AG236)/AC236</f>
        <v>38.5716890400112</v>
      </c>
      <c r="AK236" s="0" t="n">
        <f aca="false">(AC236*16*AJ236+(AD236-AC236)*16*AH236+AD236*8*AI236)/(AD236*24)</f>
        <v>32.6841736833289</v>
      </c>
      <c r="AM236" s="0" t="n">
        <f aca="false">IF(NymexData!AC236="",VLOOKUP('Pricing Summary'!AB236,NymexData!$S$12:$U$250,3),VLOOKUP(NymexData!AA236,NymexData!$AA$12:$AC$250,3))</f>
        <v>0.17</v>
      </c>
      <c r="AO236" s="284" t="n">
        <f aca="false">AD236*24*VLOOKUP(AB236,Interest!$X$8:$AC$367,6)</f>
        <v>232.053959320584</v>
      </c>
    </row>
    <row r="237" customFormat="false" ht="12.75" hidden="false" customHeight="false" outlineLevel="0" collapsed="false">
      <c r="AB237" s="282" t="n">
        <f aca="false">[2]EnergyCurve!$D259</f>
        <v>44044</v>
      </c>
      <c r="AC237" s="2" t="n">
        <f aca="false">IF(TradeSum!$L$6=0,VLOOKUP(AB237,TradeSum!$DM$13:$DQ$252,2)+VLOOKUP(AB237,TradeSum!$DU$13:$DY$252,3),VLOOKUP(AB237,TradeSum!$DU$13:$DY$252,2)+VLOOKUP(AB237,TradeSum!$DU$13:$DY$252,3))</f>
        <v>26</v>
      </c>
      <c r="AD237" s="2" t="n">
        <f aca="false">VLOOKUP(AB237,TradeSum!$DM$13:$DR$252,6)</f>
        <v>31</v>
      </c>
      <c r="AE237" s="2" t="n">
        <f aca="false">IF(TradeSum!$L$6=0,VLOOKUP(AB237,TradeSum!$DM$13:$DQ$252,2),VLOOKUP(AB237,TradeSum!$DU$13:$DY$252,2))</f>
        <v>21</v>
      </c>
      <c r="AF237" s="283" t="n">
        <f aca="false">[2]EnergyCurve!$G259</f>
        <v>39.227844575025</v>
      </c>
      <c r="AG237" s="283" t="n">
        <f aca="false">[2]EnergyCurve!$Y259</f>
        <v>37.2664523462738</v>
      </c>
      <c r="AH237" s="283" t="n">
        <f aca="false">[2]EnergyCurve!$AD259</f>
        <v>25.4980989737663</v>
      </c>
      <c r="AI237" s="283" t="n">
        <f aca="false">[2]EnergyCurve!$L259</f>
        <v>25.4980989737663</v>
      </c>
      <c r="AJ237" s="0" t="n">
        <f aca="false">(AE237*AF237+(AC237-AE237)*AG237)/AC237</f>
        <v>38.8506537618036</v>
      </c>
      <c r="AK237" s="0" t="n">
        <f aca="false">(AC237*16*AJ237+(AD237-AC237)*16*AH237+AD237*8*AI237)/(AD237*24)</f>
        <v>32.9640435864323</v>
      </c>
      <c r="AM237" s="0" t="n">
        <f aca="false">IF(NymexData!AC237="",VLOOKUP('Pricing Summary'!AB237,NymexData!$S$12:$U$250,3),VLOOKUP(NymexData!AA237,NymexData!$AA$12:$AC$250,3))</f>
        <v>0.17</v>
      </c>
      <c r="AO237" s="284" t="n">
        <f aca="false">AD237*24*VLOOKUP(AB237,Interest!$X$8:$AC$367,6)</f>
        <v>230.702703412261</v>
      </c>
    </row>
    <row r="238" customFormat="false" ht="12.75" hidden="false" customHeight="false" outlineLevel="0" collapsed="false">
      <c r="AB238" s="282" t="n">
        <f aca="false">[2]EnergyCurve!$D260</f>
        <v>44075</v>
      </c>
      <c r="AC238" s="2" t="n">
        <f aca="false">IF(TradeSum!$L$6=0,VLOOKUP(AB238,TradeSum!$DM$13:$DQ$252,2)+VLOOKUP(AB238,TradeSum!$DU$13:$DY$252,3),VLOOKUP(AB238,TradeSum!$DU$13:$DY$252,2)+VLOOKUP(AB238,TradeSum!$DU$13:$DY$252,3))</f>
        <v>25</v>
      </c>
      <c r="AD238" s="2" t="n">
        <f aca="false">VLOOKUP(AB238,TradeSum!$DM$13:$DR$252,6)</f>
        <v>30</v>
      </c>
      <c r="AE238" s="2" t="n">
        <f aca="false">IF(TradeSum!$L$6=0,VLOOKUP(AB238,TradeSum!$DM$13:$DQ$252,2),VLOOKUP(AB238,TradeSum!$DU$13:$DY$252,2))</f>
        <v>21</v>
      </c>
      <c r="AF238" s="283" t="n">
        <f aca="false">[2]EnergyCurve!$G260</f>
        <v>39.1875838973285</v>
      </c>
      <c r="AG238" s="283" t="n">
        <f aca="false">[2]EnergyCurve!$Y260</f>
        <v>37.228204702462</v>
      </c>
      <c r="AH238" s="283" t="n">
        <f aca="false">[2]EnergyCurve!$AD260</f>
        <v>25.4719295332635</v>
      </c>
      <c r="AI238" s="283" t="n">
        <f aca="false">[2]EnergyCurve!$L260</f>
        <v>25.4719295332635</v>
      </c>
      <c r="AJ238" s="0" t="n">
        <f aca="false">(AE238*AF238+(AC238-AE238)*AG238)/AC238</f>
        <v>38.8740832261498</v>
      </c>
      <c r="AK238" s="0" t="n">
        <f aca="false">(AC238*16*AJ238+(AD238-AC238)*16*AH238+AD238*8*AI238)/(AD238*24)</f>
        <v>32.9175704737559</v>
      </c>
      <c r="AM238" s="0" t="n">
        <f aca="false">IF(NymexData!AC238="",VLOOKUP('Pricing Summary'!AB238,NymexData!$S$12:$U$250,3),VLOOKUP(NymexData!AA238,NymexData!$AA$12:$AC$250,3))</f>
        <v>0.17</v>
      </c>
      <c r="AO238" s="284" t="n">
        <f aca="false">AD238*24*VLOOKUP(AB238,Interest!$X$8:$AC$367,6)</f>
        <v>221.997225319715</v>
      </c>
    </row>
    <row r="239" customFormat="false" ht="12.75" hidden="false" customHeight="false" outlineLevel="0" collapsed="false">
      <c r="AB239" s="282" t="n">
        <f aca="false">[2]EnergyCurve!$D261</f>
        <v>44105</v>
      </c>
      <c r="AC239" s="2" t="n">
        <f aca="false">IF(TradeSum!$L$6=0,VLOOKUP(AB239,TradeSum!$DM$13:$DQ$252,2)+VLOOKUP(AB239,TradeSum!$DU$13:$DY$252,3),VLOOKUP(AB239,TradeSum!$DU$13:$DY$252,2)+VLOOKUP(AB239,TradeSum!$DU$13:$DY$252,3))</f>
        <v>27</v>
      </c>
      <c r="AD239" s="2" t="n">
        <f aca="false">VLOOKUP(AB239,TradeSum!$DM$13:$DR$252,6)</f>
        <v>31</v>
      </c>
      <c r="AE239" s="2" t="n">
        <f aca="false">IF(TradeSum!$L$6=0,VLOOKUP(AB239,TradeSum!$DM$13:$DQ$252,2),VLOOKUP(AB239,TradeSum!$DU$13:$DY$252,2))</f>
        <v>22</v>
      </c>
      <c r="AF239" s="283" t="n">
        <f aca="false">[2]EnergyCurve!$G261</f>
        <v>39.2115229951658</v>
      </c>
      <c r="AG239" s="283" t="n">
        <f aca="false">[2]EnergyCurve!$Y261</f>
        <v>37.2509468454075</v>
      </c>
      <c r="AH239" s="283" t="n">
        <f aca="false">[2]EnergyCurve!$AD261</f>
        <v>25.4874899468578</v>
      </c>
      <c r="AI239" s="283" t="n">
        <f aca="false">[2]EnergyCurve!$L261</f>
        <v>25.4874899468578</v>
      </c>
      <c r="AJ239" s="0" t="n">
        <f aca="false">(AE239*AF239+(AC239-AE239)*AG239)/AC239</f>
        <v>38.8484533378032</v>
      </c>
      <c r="AK239" s="0" t="n">
        <f aca="false">(AC239*16*AJ239+(AD239-AC239)*16*AH239+AD239*8*AI239)/(AD239*24)</f>
        <v>33.2454686899874</v>
      </c>
      <c r="AM239" s="0" t="n">
        <f aca="false">IF(NymexData!AC239="",VLOOKUP('Pricing Summary'!AB239,NymexData!$S$12:$U$250,3),VLOOKUP(NymexData!AA239,NymexData!$AA$12:$AC$250,3))</f>
        <v>0.17</v>
      </c>
      <c r="AO239" s="284" t="n">
        <f aca="false">AD239*24*VLOOKUP(AB239,Interest!$X$8:$AC$367,6)</f>
        <v>228.063276082003</v>
      </c>
    </row>
    <row r="240" customFormat="false" ht="12.75" hidden="false" customHeight="false" outlineLevel="0" collapsed="false">
      <c r="AB240" s="282" t="n">
        <f aca="false">[2]EnergyCurve!$D262</f>
        <v>44136</v>
      </c>
      <c r="AC240" s="2" t="n">
        <f aca="false">IF(TradeSum!$L$6=0,VLOOKUP(AB240,TradeSum!$DM$13:$DQ$252,2)+VLOOKUP(AB240,TradeSum!$DU$13:$DY$252,3),VLOOKUP(AB240,TradeSum!$DU$13:$DY$252,2)+VLOOKUP(AB240,TradeSum!$DU$13:$DY$252,3))</f>
        <v>24</v>
      </c>
      <c r="AD240" s="2" t="n">
        <f aca="false">VLOOKUP(AB240,TradeSum!$DM$13:$DR$252,6)</f>
        <v>30</v>
      </c>
      <c r="AE240" s="2" t="n">
        <f aca="false">IF(TradeSum!$L$6=0,VLOOKUP(AB240,TradeSum!$DM$13:$DQ$252,2),VLOOKUP(AB240,TradeSum!$DU$13:$DY$252,2))</f>
        <v>20</v>
      </c>
      <c r="AF240" s="283" t="n">
        <f aca="false">[2]EnergyCurve!$G262</f>
        <v>41.4889803183558</v>
      </c>
      <c r="AG240" s="283" t="n">
        <f aca="false">[2]EnergyCurve!$Y262</f>
        <v>39.414531302438</v>
      </c>
      <c r="AH240" s="283" t="n">
        <f aca="false">[2]EnergyCurve!$AD262</f>
        <v>26.9678372069313</v>
      </c>
      <c r="AI240" s="283" t="n">
        <f aca="false">[2]EnergyCurve!$L262</f>
        <v>26.9678372069313</v>
      </c>
      <c r="AJ240" s="0" t="n">
        <f aca="false">(AE240*AF240+(AC240-AE240)*AG240)/AC240</f>
        <v>41.1432388157029</v>
      </c>
      <c r="AK240" s="0" t="n">
        <f aca="false">(AC240*16*AJ240+(AD240-AC240)*16*AH240+AD240*8*AI240)/(AD240*24)</f>
        <v>34.5280513982761</v>
      </c>
      <c r="AM240" s="0" t="n">
        <f aca="false">IF(NymexData!AC240="",VLOOKUP('Pricing Summary'!AB240,NymexData!$S$12:$U$250,3),VLOOKUP(NymexData!AA240,NymexData!$AA$12:$AC$250,3))</f>
        <v>0.17</v>
      </c>
      <c r="AO240" s="284" t="n">
        <f aca="false">AD240*24*VLOOKUP(AB240,Interest!$X$8:$AC$367,6)</f>
        <v>219.455203670638</v>
      </c>
    </row>
    <row r="241" customFormat="false" ht="12.75" hidden="false" customHeight="false" outlineLevel="0" collapsed="false">
      <c r="AB241" s="282" t="n">
        <f aca="false">[2]EnergyCurve!$D263</f>
        <v>44166</v>
      </c>
      <c r="AC241" s="2" t="n">
        <f aca="false">IF(TradeSum!$L$6=0,VLOOKUP(AB241,TradeSum!$DM$13:$DQ$252,2)+VLOOKUP(AB241,TradeSum!$DU$13:$DY$252,3),VLOOKUP(AB241,TradeSum!$DU$13:$DY$252,2)+VLOOKUP(AB241,TradeSum!$DU$13:$DY$252,3))</f>
        <v>26</v>
      </c>
      <c r="AD241" s="2" t="n">
        <f aca="false">VLOOKUP(AB241,TradeSum!$DM$13:$DR$252,6)</f>
        <v>31</v>
      </c>
      <c r="AE241" s="2" t="n">
        <f aca="false">IF(TradeSum!$L$6=0,VLOOKUP(AB241,TradeSum!$DM$13:$DQ$252,2),VLOOKUP(AB241,TradeSum!$DU$13:$DY$252,2))</f>
        <v>22</v>
      </c>
      <c r="AF241" s="283" t="n">
        <f aca="false">[2]EnergyCurve!$G263</f>
        <v>43.1542816592904</v>
      </c>
      <c r="AG241" s="283" t="n">
        <f aca="false">[2]EnergyCurve!$Y263</f>
        <v>40.9965675763259</v>
      </c>
      <c r="AH241" s="283" t="n">
        <f aca="false">[2]EnergyCurve!$AD263</f>
        <v>28.0502830785388</v>
      </c>
      <c r="AI241" s="283" t="n">
        <f aca="false">[2]EnergyCurve!$L263</f>
        <v>28.0502830785388</v>
      </c>
      <c r="AJ241" s="0" t="n">
        <f aca="false">(AE241*AF241+(AC241-AE241)*AG241)/AC241</f>
        <v>42.8223256465266</v>
      </c>
      <c r="AK241" s="0" t="n">
        <f aca="false">(AC241*16*AJ241+(AD241-AC241)*16*AH241+AD241*8*AI241)/(AD241*24)</f>
        <v>36.3099197832201</v>
      </c>
      <c r="AM241" s="0" t="n">
        <f aca="false">IF(NymexData!AC241="",VLOOKUP('Pricing Summary'!AB241,NymexData!$S$12:$U$250,3),VLOOKUP(NymexData!AA241,NymexData!$AA$12:$AC$250,3))</f>
        <v>0.17</v>
      </c>
      <c r="AO241" s="284" t="n">
        <f aca="false">AD241*24*VLOOKUP(AB241,Interest!$X$8:$AC$367,6)</f>
        <v>225.449541910061</v>
      </c>
    </row>
    <row r="242" customFormat="false" ht="12.75" hidden="false" customHeight="false" outlineLevel="0" collapsed="false">
      <c r="AB242" s="282" t="n">
        <f aca="false">[2]EnergyCurve!$D264</f>
        <v>44197</v>
      </c>
      <c r="AC242" s="2" t="n">
        <f aca="false">IF(TradeSum!$L$6=0,VLOOKUP(AB242,TradeSum!$DM$13:$DQ$252,2)+VLOOKUP(AB242,TradeSum!$DU$13:$DY$252,3),VLOOKUP(AB242,TradeSum!$DU$13:$DY$252,2)+VLOOKUP(AB242,TradeSum!$DU$13:$DY$252,3))</f>
        <v>26</v>
      </c>
      <c r="AD242" s="2" t="n">
        <f aca="false">VLOOKUP(AB242,TradeSum!$DM$13:$DR$252,6)</f>
        <v>31</v>
      </c>
      <c r="AE242" s="2" t="n">
        <f aca="false">IF(TradeSum!$L$6=0,VLOOKUP(AB242,TradeSum!$DM$13:$DQ$252,2),VLOOKUP(AB242,TradeSum!$DU$13:$DY$252,2))</f>
        <v>22</v>
      </c>
      <c r="AF242" s="283" t="n">
        <f aca="false">[2]EnergyCurve!$G264</f>
        <v>43.1542816592904</v>
      </c>
      <c r="AG242" s="283" t="n">
        <f aca="false">[2]EnergyCurve!$Y264</f>
        <v>40.9965675763259</v>
      </c>
      <c r="AH242" s="283" t="n">
        <f aca="false">[2]EnergyCurve!$AD264</f>
        <v>28.0502830785388</v>
      </c>
      <c r="AI242" s="283" t="n">
        <f aca="false">[2]EnergyCurve!$L264</f>
        <v>28.0502830785388</v>
      </c>
      <c r="AJ242" s="0" t="n">
        <f aca="false">(AE242*AF242+(AC242-AE242)*AG242)/AC242</f>
        <v>42.8223256465266</v>
      </c>
      <c r="AK242" s="0" t="n">
        <f aca="false">(AC242*16*AJ242+(AD242-AC242)*16*AH242+AD242*8*AI242)/(AD242*24)</f>
        <v>36.3099197832201</v>
      </c>
      <c r="AM242" s="0" t="n">
        <f aca="false">IF(NymexData!AC242="",VLOOKUP('Pricing Summary'!AB242,NymexData!$S$12:$U$250,3),VLOOKUP(NymexData!AA242,NymexData!$AA$12:$AC$250,3))</f>
        <v>0.17</v>
      </c>
      <c r="AO242" s="284" t="n">
        <f aca="false">AD242*24*VLOOKUP(AB242,Interest!$X$8:$AC$367,6)</f>
        <v>224.131036131852</v>
      </c>
    </row>
    <row r="243" customFormat="false" ht="12.75" hidden="false" customHeight="false" outlineLevel="0" collapsed="false">
      <c r="AB243" s="282" t="n">
        <f aca="false">[2]EnergyCurve!$D265</f>
        <v>44228</v>
      </c>
      <c r="AC243" s="2" t="n">
        <f aca="false">IF(TradeSum!$L$6=0,VLOOKUP(AB243,TradeSum!$DM$13:$DQ$252,2)+VLOOKUP(AB243,TradeSum!$DU$13:$DY$252,3),VLOOKUP(AB243,TradeSum!$DU$13:$DY$252,2)+VLOOKUP(AB243,TradeSum!$DU$13:$DY$252,3))</f>
        <v>26</v>
      </c>
      <c r="AD243" s="2" t="n">
        <f aca="false">VLOOKUP(AB243,TradeSum!$DM$13:$DR$252,6)</f>
        <v>31</v>
      </c>
      <c r="AE243" s="2" t="n">
        <f aca="false">IF(TradeSum!$L$6=0,VLOOKUP(AB243,TradeSum!$DM$13:$DQ$252,2),VLOOKUP(AB243,TradeSum!$DU$13:$DY$252,2))</f>
        <v>22</v>
      </c>
      <c r="AF243" s="283" t="n">
        <f aca="false">[2]EnergyCurve!$G265</f>
        <v>43.1542816592904</v>
      </c>
      <c r="AG243" s="283" t="n">
        <f aca="false">[2]EnergyCurve!$Y265</f>
        <v>40.9965675763259</v>
      </c>
      <c r="AH243" s="283" t="n">
        <f aca="false">[2]EnergyCurve!$AD265</f>
        <v>28.0502830785388</v>
      </c>
      <c r="AI243" s="283" t="n">
        <f aca="false">[2]EnergyCurve!$L265</f>
        <v>28.0502830785388</v>
      </c>
      <c r="AJ243" s="0" t="n">
        <f aca="false">(AE243*AF243+(AC243-AE243)*AG243)/AC243</f>
        <v>42.8223256465266</v>
      </c>
      <c r="AK243" s="0" t="n">
        <f aca="false">(AC243*16*AJ243+(AD243-AC243)*16*AH243+AD243*8*AI243)/(AD243*24)</f>
        <v>36.3099197832201</v>
      </c>
      <c r="AM243" s="0" t="n">
        <f aca="false">IF(NymexData!AC243="",VLOOKUP('Pricing Summary'!AB243,NymexData!$S$12:$U$250,3),VLOOKUP(NymexData!AA243,NymexData!$AA$12:$AC$250,3))</f>
        <v>0.17</v>
      </c>
      <c r="AO243" s="284" t="n">
        <f aca="false">AD243*24*VLOOKUP(AB243,Interest!$X$8:$AC$367,6)</f>
        <v>222.933051733653</v>
      </c>
    </row>
    <row r="244" customFormat="false" ht="12.75" hidden="false" customHeight="false" outlineLevel="0" collapsed="false">
      <c r="AB244" s="282" t="n">
        <f aca="false">[2]EnergyCurve!$D266</f>
        <v>44256</v>
      </c>
      <c r="AC244" s="2" t="n">
        <f aca="false">IF(TradeSum!$L$6=0,VLOOKUP(AB244,TradeSum!$DM$13:$DQ$252,2)+VLOOKUP(AB244,TradeSum!$DU$13:$DY$252,3),VLOOKUP(AB244,TradeSum!$DU$13:$DY$252,2)+VLOOKUP(AB244,TradeSum!$DU$13:$DY$252,3))</f>
        <v>26</v>
      </c>
      <c r="AD244" s="2" t="n">
        <f aca="false">VLOOKUP(AB244,TradeSum!$DM$13:$DR$252,6)</f>
        <v>31</v>
      </c>
      <c r="AE244" s="2" t="n">
        <f aca="false">IF(TradeSum!$L$6=0,VLOOKUP(AB244,TradeSum!$DM$13:$DQ$252,2),VLOOKUP(AB244,TradeSum!$DU$13:$DY$252,2))</f>
        <v>22</v>
      </c>
      <c r="AF244" s="283" t="n">
        <f aca="false">[2]EnergyCurve!$G266</f>
        <v>43.1542816592904</v>
      </c>
      <c r="AG244" s="283" t="n">
        <f aca="false">[2]EnergyCurve!$Y266</f>
        <v>40.9965675763259</v>
      </c>
      <c r="AH244" s="283" t="n">
        <f aca="false">[2]EnergyCurve!$AD266</f>
        <v>28.0502830785388</v>
      </c>
      <c r="AI244" s="283" t="n">
        <f aca="false">[2]EnergyCurve!$L266</f>
        <v>28.0502830785388</v>
      </c>
      <c r="AJ244" s="0" t="n">
        <f aca="false">(AE244*AF244+(AC244-AE244)*AG244)/AC244</f>
        <v>42.8223256465266</v>
      </c>
      <c r="AK244" s="0" t="n">
        <f aca="false">(AC244*16*AJ244+(AD244-AC244)*16*AH244+AD244*8*AI244)/(AD244*24)</f>
        <v>36.3099197832201</v>
      </c>
      <c r="AM244" s="0" t="n">
        <f aca="false">IF(NymexData!AC244="",VLOOKUP('Pricing Summary'!AB244,NymexData!$S$12:$U$250,3),VLOOKUP(NymexData!AA244,NymexData!$AA$12:$AC$250,3))</f>
        <v>0.17</v>
      </c>
      <c r="AO244" s="284" t="n">
        <f aca="false">AD244*24*VLOOKUP(AB244,Interest!$X$8:$AC$367,6)</f>
        <v>221.639728967313</v>
      </c>
    </row>
    <row r="245" customFormat="false" ht="12.75" hidden="false" customHeight="false" outlineLevel="0" collapsed="false">
      <c r="AB245" s="282" t="n">
        <f aca="false">[2]EnergyCurve!$D267</f>
        <v>44287</v>
      </c>
      <c r="AC245" s="2" t="n">
        <f aca="false">IF(TradeSum!$L$6=0,VLOOKUP(AB245,TradeSum!$DM$13:$DQ$252,2)+VLOOKUP(AB245,TradeSum!$DU$13:$DY$252,3),VLOOKUP(AB245,TradeSum!$DU$13:$DY$252,2)+VLOOKUP(AB245,TradeSum!$DU$13:$DY$252,3))</f>
        <v>26</v>
      </c>
      <c r="AD245" s="2" t="n">
        <f aca="false">VLOOKUP(AB245,TradeSum!$DM$13:$DR$252,6)</f>
        <v>31</v>
      </c>
      <c r="AE245" s="2" t="n">
        <f aca="false">IF(TradeSum!$L$6=0,VLOOKUP(AB245,TradeSum!$DM$13:$DQ$252,2),VLOOKUP(AB245,TradeSum!$DU$13:$DY$252,2))</f>
        <v>22</v>
      </c>
      <c r="AF245" s="283" t="n">
        <f aca="false">[2]EnergyCurve!$G267</f>
        <v>43.1542816592904</v>
      </c>
      <c r="AG245" s="283" t="n">
        <f aca="false">[2]EnergyCurve!$Y267</f>
        <v>40.9965675763259</v>
      </c>
      <c r="AH245" s="283" t="n">
        <f aca="false">[2]EnergyCurve!$AD267</f>
        <v>28.0502830785388</v>
      </c>
      <c r="AI245" s="283" t="n">
        <f aca="false">[2]EnergyCurve!$L267</f>
        <v>28.0502830785388</v>
      </c>
      <c r="AJ245" s="0" t="n">
        <f aca="false">(AE245*AF245+(AC245-AE245)*AG245)/AC245</f>
        <v>42.8223256465266</v>
      </c>
      <c r="AK245" s="0" t="n">
        <f aca="false">(AC245*16*AJ245+(AD245-AC245)*16*AH245+AD245*8*AI245)/(AD245*24)</f>
        <v>36.3099197832201</v>
      </c>
      <c r="AM245" s="0" t="n">
        <f aca="false">IF(NymexData!AC245="",VLOOKUP('Pricing Summary'!AB245,NymexData!$S$12:$U$250,3),VLOOKUP(NymexData!AA245,NymexData!$AA$12:$AC$250,3))</f>
        <v>0.17</v>
      </c>
      <c r="AO245" s="284" t="n">
        <f aca="false">AD245*24*VLOOKUP(AB245,Interest!$X$8:$AC$367,6)</f>
        <v>220.377796567341</v>
      </c>
    </row>
    <row r="246" customFormat="false" ht="12.75" hidden="false" customHeight="false" outlineLevel="0" collapsed="false">
      <c r="AB246" s="282" t="n">
        <f aca="false">[2]EnergyCurve!$D268</f>
        <v>44317</v>
      </c>
      <c r="AC246" s="2" t="n">
        <f aca="false">IF(TradeSum!$L$6=0,VLOOKUP(AB246,TradeSum!$DM$13:$DQ$252,2)+VLOOKUP(AB246,TradeSum!$DU$13:$DY$252,3),VLOOKUP(AB246,TradeSum!$DU$13:$DY$252,2)+VLOOKUP(AB246,TradeSum!$DU$13:$DY$252,3))</f>
        <v>26</v>
      </c>
      <c r="AD246" s="2" t="n">
        <f aca="false">VLOOKUP(AB246,TradeSum!$DM$13:$DR$252,6)</f>
        <v>31</v>
      </c>
      <c r="AE246" s="2" t="n">
        <f aca="false">IF(TradeSum!$L$6=0,VLOOKUP(AB246,TradeSum!$DM$13:$DQ$252,2),VLOOKUP(AB246,TradeSum!$DU$13:$DY$252,2))</f>
        <v>22</v>
      </c>
      <c r="AF246" s="283" t="n">
        <f aca="false">[2]EnergyCurve!$G268</f>
        <v>43.1542816592904</v>
      </c>
      <c r="AG246" s="283" t="n">
        <f aca="false">[2]EnergyCurve!$Y268</f>
        <v>40.9965675763259</v>
      </c>
      <c r="AH246" s="283" t="n">
        <f aca="false">[2]EnergyCurve!$AD268</f>
        <v>28.0502830785388</v>
      </c>
      <c r="AI246" s="283" t="n">
        <f aca="false">[2]EnergyCurve!$L268</f>
        <v>28.0502830785388</v>
      </c>
      <c r="AJ246" s="0" t="n">
        <f aca="false">(AE246*AF246+(AC246-AE246)*AG246)/AC246</f>
        <v>42.8223256465266</v>
      </c>
      <c r="AK246" s="0" t="n">
        <f aca="false">(AC246*16*AJ246+(AD246-AC246)*16*AH246+AD246*8*AI246)/(AD246*24)</f>
        <v>36.3099197832201</v>
      </c>
      <c r="AM246" s="0" t="n">
        <f aca="false">IF(NymexData!AC246="",VLOOKUP('Pricing Summary'!AB246,NymexData!$S$12:$U$250,3),VLOOKUP(NymexData!AA246,NymexData!$AA$12:$AC$250,3))</f>
        <v>0.17</v>
      </c>
      <c r="AO246" s="284" t="n">
        <f aca="false">AD246*24*VLOOKUP(AB246,Interest!$X$8:$AC$367,6)</f>
        <v>219.088778169939</v>
      </c>
    </row>
    <row r="247" customFormat="false" ht="12.75" hidden="false" customHeight="false" outlineLevel="0" collapsed="false">
      <c r="AB247" s="282" t="n">
        <f aca="false">[2]EnergyCurve!$D269</f>
        <v>44348</v>
      </c>
      <c r="AC247" s="2" t="n">
        <f aca="false">IF(TradeSum!$L$6=0,VLOOKUP(AB247,TradeSum!$DM$13:$DQ$252,2)+VLOOKUP(AB247,TradeSum!$DU$13:$DY$252,3),VLOOKUP(AB247,TradeSum!$DU$13:$DY$252,2)+VLOOKUP(AB247,TradeSum!$DU$13:$DY$252,3))</f>
        <v>26</v>
      </c>
      <c r="AD247" s="2" t="n">
        <f aca="false">VLOOKUP(AB247,TradeSum!$DM$13:$DR$252,6)</f>
        <v>31</v>
      </c>
      <c r="AE247" s="2" t="n">
        <f aca="false">IF(TradeSum!$L$6=0,VLOOKUP(AB247,TradeSum!$DM$13:$DQ$252,2),VLOOKUP(AB247,TradeSum!$DU$13:$DY$252,2))</f>
        <v>22</v>
      </c>
      <c r="AF247" s="283" t="n">
        <f aca="false">[2]EnergyCurve!$G269</f>
        <v>43.1542816592904</v>
      </c>
      <c r="AG247" s="283" t="n">
        <f aca="false">[2]EnergyCurve!$Y269</f>
        <v>40.9965675763259</v>
      </c>
      <c r="AH247" s="283" t="n">
        <f aca="false">[2]EnergyCurve!$AD269</f>
        <v>28.0502830785388</v>
      </c>
      <c r="AI247" s="283" t="n">
        <f aca="false">[2]EnergyCurve!$L269</f>
        <v>28.0502830785388</v>
      </c>
      <c r="AJ247" s="0" t="n">
        <f aca="false">(AE247*AF247+(AC247-AE247)*AG247)/AC247</f>
        <v>42.8223256465266</v>
      </c>
      <c r="AK247" s="0" t="n">
        <f aca="false">(AC247*16*AJ247+(AD247-AC247)*16*AH247+AD247*8*AI247)/(AD247*24)</f>
        <v>36.3099197832201</v>
      </c>
      <c r="AM247" s="0" t="n">
        <f aca="false">IF(NymexData!AC247="",VLOOKUP('Pricing Summary'!AB247,NymexData!$S$12:$U$250,3),VLOOKUP(NymexData!AA247,NymexData!$AA$12:$AC$250,3))</f>
        <v>0.17</v>
      </c>
      <c r="AO247" s="284" t="n">
        <f aca="false">AD247*24*VLOOKUP(AB247,Interest!$X$8:$AC$367,6)</f>
        <v>217.839194300215</v>
      </c>
    </row>
    <row r="248" customFormat="false" ht="12.75" hidden="false" customHeight="false" outlineLevel="0" collapsed="false">
      <c r="AB248" s="282" t="n">
        <f aca="false">[2]EnergyCurve!$D270</f>
        <v>44378</v>
      </c>
      <c r="AC248" s="2" t="n">
        <f aca="false">IF(TradeSum!$L$6=0,VLOOKUP(AB248,TradeSum!$DM$13:$DQ$252,2)+VLOOKUP(AB248,TradeSum!$DU$13:$DY$252,3),VLOOKUP(AB248,TradeSum!$DU$13:$DY$252,2)+VLOOKUP(AB248,TradeSum!$DU$13:$DY$252,3))</f>
        <v>26</v>
      </c>
      <c r="AD248" s="2" t="n">
        <f aca="false">VLOOKUP(AB248,TradeSum!$DM$13:$DR$252,6)</f>
        <v>31</v>
      </c>
      <c r="AE248" s="2" t="n">
        <f aca="false">IF(TradeSum!$L$6=0,VLOOKUP(AB248,TradeSum!$DM$13:$DQ$252,2),VLOOKUP(AB248,TradeSum!$DU$13:$DY$252,2))</f>
        <v>22</v>
      </c>
      <c r="AF248" s="283" t="n">
        <f aca="false">[2]EnergyCurve!$G270</f>
        <v>43.1542816592904</v>
      </c>
      <c r="AG248" s="283" t="n">
        <f aca="false">[2]EnergyCurve!$Y270</f>
        <v>40.9965675763259</v>
      </c>
      <c r="AH248" s="283" t="n">
        <f aca="false">[2]EnergyCurve!$AD270</f>
        <v>28.0502830785388</v>
      </c>
      <c r="AI248" s="283" t="n">
        <f aca="false">[2]EnergyCurve!$L270</f>
        <v>28.0502830785388</v>
      </c>
      <c r="AJ248" s="0" t="n">
        <f aca="false">(AE248*AF248+(AC248-AE248)*AG248)/AC248</f>
        <v>42.8223256465266</v>
      </c>
      <c r="AK248" s="0" t="n">
        <f aca="false">(AC248*16*AJ248+(AD248-AC248)*16*AH248+AD248*8*AI248)/(AD248*24)</f>
        <v>36.3099197832201</v>
      </c>
      <c r="AM248" s="0" t="n">
        <f aca="false">IF(NymexData!AC248="",VLOOKUP('Pricing Summary'!AB248,NymexData!$S$12:$U$250,3),VLOOKUP(NymexData!AA248,NymexData!$AA$12:$AC$250,3))</f>
        <v>0.17</v>
      </c>
      <c r="AO248" s="284" t="n">
        <f aca="false">AD248*24*VLOOKUP(AB248,Interest!$X$8:$AC$367,6)</f>
        <v>216.56286157411</v>
      </c>
    </row>
    <row r="249" customFormat="false" ht="12.75" hidden="false" customHeight="false" outlineLevel="0" collapsed="false">
      <c r="AB249" s="282" t="n">
        <f aca="false">[2]EnergyCurve!$D271</f>
        <v>44409</v>
      </c>
      <c r="AC249" s="2" t="n">
        <f aca="false">IF(TradeSum!$L$6=0,VLOOKUP(AB249,TradeSum!$DM$13:$DQ$252,2)+VLOOKUP(AB249,TradeSum!$DU$13:$DY$252,3),VLOOKUP(AB249,TradeSum!$DU$13:$DY$252,2)+VLOOKUP(AB249,TradeSum!$DU$13:$DY$252,3))</f>
        <v>26</v>
      </c>
      <c r="AD249" s="2" t="n">
        <f aca="false">VLOOKUP(AB249,TradeSum!$DM$13:$DR$252,6)</f>
        <v>31</v>
      </c>
      <c r="AE249" s="2" t="n">
        <f aca="false">IF(TradeSum!$L$6=0,VLOOKUP(AB249,TradeSum!$DM$13:$DQ$252,2),VLOOKUP(AB249,TradeSum!$DU$13:$DY$252,2))</f>
        <v>22</v>
      </c>
      <c r="AF249" s="283" t="n">
        <f aca="false">[2]EnergyCurve!$G271</f>
        <v>43.1542816592904</v>
      </c>
      <c r="AG249" s="283" t="n">
        <f aca="false">[2]EnergyCurve!$Y271</f>
        <v>40.9965675763259</v>
      </c>
      <c r="AH249" s="283" t="n">
        <f aca="false">[2]EnergyCurve!$AD271</f>
        <v>28.0502830785388</v>
      </c>
      <c r="AI249" s="283" t="n">
        <f aca="false">[2]EnergyCurve!$L271</f>
        <v>28.0502830785388</v>
      </c>
      <c r="AJ249" s="0" t="n">
        <f aca="false">(AE249*AF249+(AC249-AE249)*AG249)/AC249</f>
        <v>42.8223256465266</v>
      </c>
      <c r="AK249" s="0" t="n">
        <f aca="false">(AC249*16*AJ249+(AD249-AC249)*16*AH249+AD249*8*AI249)/(AD249*24)</f>
        <v>36.3099197832201</v>
      </c>
      <c r="AM249" s="0" t="n">
        <f aca="false">IF(NymexData!AC249="",VLOOKUP('Pricing Summary'!AB249,NymexData!$S$12:$U$250,3),VLOOKUP(NymexData!AA249,NymexData!$AA$12:$AC$250,3))</f>
        <v>0.17</v>
      </c>
    </row>
    <row r="250" customFormat="false" ht="12.75" hidden="false" customHeight="false" outlineLevel="0" collapsed="false">
      <c r="AB250" s="282" t="n">
        <f aca="false">[2]EnergyCurve!$D272</f>
        <v>44440</v>
      </c>
      <c r="AC250" s="2" t="n">
        <f aca="false">IF(TradeSum!$L$6=0,VLOOKUP(AB250,TradeSum!$DM$13:$DQ$252,2)+VLOOKUP(AB250,TradeSum!$DU$13:$DY$252,3),VLOOKUP(AB250,TradeSum!$DU$13:$DY$252,2)+VLOOKUP(AB250,TradeSum!$DU$13:$DY$252,3))</f>
        <v>26</v>
      </c>
      <c r="AD250" s="2" t="n">
        <f aca="false">VLOOKUP(AB250,TradeSum!$DM$13:$DR$252,6)</f>
        <v>31</v>
      </c>
      <c r="AE250" s="2" t="n">
        <f aca="false">IF(TradeSum!$L$6=0,VLOOKUP(AB250,TradeSum!$DM$13:$DQ$252,2),VLOOKUP(AB250,TradeSum!$DU$13:$DY$252,2))</f>
        <v>22</v>
      </c>
      <c r="AF250" s="283" t="n">
        <f aca="false">[2]EnergyCurve!$G272</f>
        <v>43.1542816592904</v>
      </c>
      <c r="AG250" s="283" t="n">
        <f aca="false">[2]EnergyCurve!$Y272</f>
        <v>40.9965675763259</v>
      </c>
      <c r="AH250" s="283" t="n">
        <f aca="false">[2]EnergyCurve!$AD272</f>
        <v>28.0502830785388</v>
      </c>
      <c r="AI250" s="283" t="n">
        <f aca="false">[2]EnergyCurve!$L272</f>
        <v>28.0502830785388</v>
      </c>
      <c r="AJ250" s="0" t="n">
        <f aca="false">(AE250*AF250+(AC250-AE250)*AG250)/AC250</f>
        <v>42.8223256465266</v>
      </c>
      <c r="AK250" s="0" t="n">
        <f aca="false">(AC250*16*AJ250+(AD250-AC250)*16*AH250+AD250*8*AI250)/(AD250*24)</f>
        <v>36.3099197832201</v>
      </c>
      <c r="AM250" s="0" t="n">
        <f aca="false">IF(NymexData!AC250="",VLOOKUP('Pricing Summary'!AB250,NymexData!$S$12:$U$250,3),VLOOKUP(NymexData!AA250,NymexData!$AA$12:$AC$250,3))</f>
        <v>0.17</v>
      </c>
    </row>
    <row r="251" customFormat="false" ht="12.75" hidden="false" customHeight="false" outlineLevel="0" collapsed="false">
      <c r="AB251" s="282"/>
    </row>
    <row r="252" customFormat="false" ht="12.75" hidden="false" customHeight="false" outlineLevel="0" collapsed="false">
      <c r="AB252" s="282"/>
    </row>
    <row r="253" customFormat="false" ht="12.75" hidden="false" customHeight="false" outlineLevel="0" collapsed="false">
      <c r="AB253" s="282"/>
    </row>
    <row r="254" customFormat="false" ht="12.75" hidden="false" customHeight="false" outlineLevel="0" collapsed="false">
      <c r="AB254" s="282"/>
    </row>
    <row r="255" customFormat="false" ht="12.75" hidden="false" customHeight="false" outlineLevel="0" collapsed="false">
      <c r="AB255" s="282"/>
    </row>
    <row r="256" customFormat="false" ht="12.75" hidden="false" customHeight="false" outlineLevel="0" collapsed="false">
      <c r="AB256" s="282"/>
    </row>
    <row r="257" customFormat="false" ht="12.75" hidden="false" customHeight="false" outlineLevel="0" collapsed="false">
      <c r="AB257" s="282"/>
    </row>
    <row r="258" customFormat="false" ht="12.75" hidden="false" customHeight="false" outlineLevel="0" collapsed="false">
      <c r="AB258" s="282"/>
    </row>
    <row r="259" customFormat="false" ht="12.75" hidden="false" customHeight="false" outlineLevel="0" collapsed="false">
      <c r="AB259" s="282"/>
    </row>
    <row r="260" customFormat="false" ht="12.75" hidden="false" customHeight="false" outlineLevel="0" collapsed="false">
      <c r="AB260" s="282"/>
    </row>
    <row r="261" customFormat="false" ht="12.75" hidden="false" customHeight="false" outlineLevel="0" collapsed="false">
      <c r="AB261" s="2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T4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L30" activeCellId="0" sqref="L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7.56"/>
    <col collapsed="false" customWidth="true" hidden="false" outlineLevel="0" max="4" min="2" style="0" width="14.85"/>
    <col collapsed="false" customWidth="true" hidden="false" outlineLevel="0" max="5" min="5" style="0" width="9.7"/>
    <col collapsed="false" customWidth="true" hidden="false" outlineLevel="0" max="6" min="6" style="0" width="10.41"/>
    <col collapsed="false" customWidth="true" hidden="false" outlineLevel="0" max="7" min="7" style="0" width="13.85"/>
    <col collapsed="false" customWidth="true" hidden="false" outlineLevel="0" max="8" min="8" style="0" width="17.42"/>
    <col collapsed="false" customWidth="true" hidden="false" outlineLevel="0" max="9" min="9" style="0" width="17.85"/>
    <col collapsed="false" customWidth="true" hidden="false" outlineLevel="0" max="10" min="10" style="0" width="16.28"/>
    <col collapsed="false" customWidth="true" hidden="false" outlineLevel="0" max="12" min="12" style="0" width="19.14"/>
    <col collapsed="false" customWidth="true" hidden="false" outlineLevel="0" max="13" min="13" style="0" width="17.99"/>
    <col collapsed="false" customWidth="true" hidden="false" outlineLevel="0" max="17" min="17" style="0" width="12.14"/>
    <col collapsed="false" customWidth="true" hidden="false" outlineLevel="0" max="19" min="19" style="0" width="10.85"/>
    <col collapsed="false" customWidth="true" hidden="false" outlineLevel="0" max="62" min="62" style="0" width="17.42"/>
    <col collapsed="false" customWidth="true" hidden="false" outlineLevel="0" max="64" min="64" style="0" width="12.99"/>
  </cols>
  <sheetData>
    <row r="1" customFormat="false" ht="13.5" hidden="false" customHeight="false" outlineLevel="0" collapsed="false"/>
    <row r="2" customFormat="false" ht="21" hidden="false" customHeight="false" outlineLevel="0" collapsed="false">
      <c r="A2" s="306" t="s">
        <v>110</v>
      </c>
      <c r="I2" s="17" t="s">
        <v>111</v>
      </c>
      <c r="J2" s="18"/>
      <c r="L2" s="17" t="s">
        <v>112</v>
      </c>
      <c r="M2" s="18"/>
    </row>
    <row r="3" customFormat="false" ht="16.5" hidden="false" customHeight="false" outlineLevel="0" collapsed="false">
      <c r="A3" s="49" t="s">
        <v>113</v>
      </c>
      <c r="B3" s="307" t="n">
        <v>37987</v>
      </c>
      <c r="C3" s="308" t="n">
        <f aca="false">BT189</f>
        <v>3.98155518198257</v>
      </c>
      <c r="I3" s="24" t="s">
        <v>2</v>
      </c>
      <c r="J3" s="25" t="n">
        <f aca="false">SUM(H12:H188)</f>
        <v>11820038.6465332</v>
      </c>
      <c r="L3" s="24" t="s">
        <v>2</v>
      </c>
      <c r="M3" s="25" t="n">
        <f aca="false">J3+J191+J320</f>
        <v>11578586.9959808</v>
      </c>
    </row>
    <row r="4" customFormat="false" ht="16.5" hidden="false" customHeight="false" outlineLevel="0" collapsed="false">
      <c r="A4" s="61" t="s">
        <v>114</v>
      </c>
      <c r="B4" s="309" t="n">
        <v>40543</v>
      </c>
      <c r="I4" s="24" t="s">
        <v>4</v>
      </c>
      <c r="J4" s="25" t="n">
        <f aca="false">SUM(I12:I188)</f>
        <v>-87134.1804730486</v>
      </c>
      <c r="L4" s="24" t="s">
        <v>4</v>
      </c>
      <c r="M4" s="25" t="n">
        <f aca="false">J4+J192+J321</f>
        <v>-87134.1804730486</v>
      </c>
    </row>
    <row r="5" customFormat="false" ht="16.5" hidden="false" customHeight="false" outlineLevel="0" collapsed="false">
      <c r="I5" s="17" t="s">
        <v>115</v>
      </c>
      <c r="J5" s="32" t="n">
        <f aca="false">J3+J4</f>
        <v>11732904.4660602</v>
      </c>
      <c r="L5" s="17" t="s">
        <v>115</v>
      </c>
      <c r="M5" s="32" t="n">
        <f aca="false">M3+M4</f>
        <v>11491452.8155077</v>
      </c>
    </row>
    <row r="6" customFormat="false" ht="16.5" hidden="false" customHeight="false" outlineLevel="0" collapsed="false">
      <c r="I6" s="17" t="s">
        <v>116</v>
      </c>
      <c r="J6" s="32" t="n">
        <f aca="false">SUM(BL12:BL188)</f>
        <v>18515665.6222005</v>
      </c>
      <c r="L6" s="17" t="s">
        <v>116</v>
      </c>
      <c r="M6" s="32" t="n">
        <f aca="false">J6+J194+J323</f>
        <v>18134800.8299408</v>
      </c>
    </row>
    <row r="8" customFormat="false" ht="34.5" hidden="false" customHeight="false" outlineLevel="0" collapsed="false">
      <c r="A8" s="37" t="s">
        <v>117</v>
      </c>
      <c r="B8" s="47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customFormat="false" ht="18.75" hidden="false" customHeight="false" outlineLevel="0" collapsed="false">
      <c r="A9" s="46"/>
      <c r="B9" s="47"/>
      <c r="C9" s="46"/>
      <c r="D9" s="46"/>
      <c r="E9" s="310"/>
      <c r="F9" s="311"/>
      <c r="G9" s="312"/>
      <c r="H9" s="313"/>
      <c r="I9" s="313"/>
      <c r="J9" s="313"/>
      <c r="K9" s="9"/>
      <c r="L9" s="49" t="s">
        <v>118</v>
      </c>
      <c r="M9" s="46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customFormat="false" ht="13.5" hidden="false" customHeight="false" outlineLevel="0" collapsed="false">
      <c r="A10" s="49"/>
      <c r="B10" s="49" t="s">
        <v>15</v>
      </c>
      <c r="C10" s="49" t="s">
        <v>119</v>
      </c>
      <c r="D10" s="49" t="s">
        <v>17</v>
      </c>
      <c r="E10" s="51" t="s">
        <v>18</v>
      </c>
      <c r="F10" s="51"/>
      <c r="G10" s="51" t="s">
        <v>19</v>
      </c>
      <c r="H10" s="51" t="s">
        <v>20</v>
      </c>
      <c r="I10" s="314" t="s">
        <v>21</v>
      </c>
      <c r="J10" s="314"/>
      <c r="L10" s="315" t="n">
        <v>1368157</v>
      </c>
      <c r="M10" s="46"/>
      <c r="O10" s="55"/>
      <c r="P10" s="49" t="n">
        <v>1</v>
      </c>
      <c r="Q10" s="49"/>
      <c r="R10" s="49" t="n">
        <v>2</v>
      </c>
      <c r="S10" s="49"/>
      <c r="T10" s="49" t="n">
        <v>3</v>
      </c>
      <c r="U10" s="49"/>
      <c r="V10" s="49" t="n">
        <v>4</v>
      </c>
      <c r="W10" s="49"/>
      <c r="X10" s="49" t="n">
        <v>5</v>
      </c>
      <c r="Y10" s="49"/>
      <c r="Z10" s="49" t="n">
        <v>6</v>
      </c>
      <c r="AA10" s="49"/>
      <c r="AB10" s="49" t="n">
        <v>7</v>
      </c>
      <c r="AC10" s="49"/>
      <c r="AD10" s="49" t="n">
        <v>8</v>
      </c>
      <c r="AE10" s="49"/>
      <c r="AF10" s="49" t="n">
        <v>9</v>
      </c>
      <c r="AG10" s="49"/>
      <c r="AH10" s="49" t="n">
        <v>10</v>
      </c>
      <c r="AI10" s="49"/>
      <c r="AJ10" s="49" t="n">
        <v>11</v>
      </c>
      <c r="AK10" s="49"/>
      <c r="AL10" s="49" t="n">
        <v>12</v>
      </c>
      <c r="AM10" s="49"/>
      <c r="AN10" s="49" t="n">
        <v>13</v>
      </c>
      <c r="AO10" s="49"/>
      <c r="AP10" s="49" t="n">
        <v>14</v>
      </c>
      <c r="AQ10" s="49"/>
      <c r="AR10" s="49" t="n">
        <v>15</v>
      </c>
      <c r="AS10" s="49"/>
      <c r="AT10" s="49" t="n">
        <v>16</v>
      </c>
      <c r="AU10" s="49"/>
      <c r="AV10" s="49" t="n">
        <v>17</v>
      </c>
      <c r="AW10" s="49"/>
      <c r="AX10" s="49" t="n">
        <v>18</v>
      </c>
      <c r="AY10" s="49"/>
      <c r="AZ10" s="49" t="n">
        <v>19</v>
      </c>
      <c r="BA10" s="49"/>
      <c r="BB10" s="49" t="n">
        <v>20</v>
      </c>
      <c r="BC10" s="49"/>
      <c r="BD10" s="56" t="s">
        <v>28</v>
      </c>
      <c r="BE10" s="57" t="s">
        <v>29</v>
      </c>
      <c r="BF10" s="4"/>
      <c r="BG10" s="4"/>
      <c r="BH10" s="4" t="s">
        <v>30</v>
      </c>
      <c r="BI10" s="4"/>
      <c r="BJ10" s="4" t="s">
        <v>34</v>
      </c>
      <c r="BK10" s="4"/>
      <c r="BL10" s="0" t="s">
        <v>120</v>
      </c>
    </row>
    <row r="11" customFormat="false" ht="13.5" hidden="false" customHeight="false" outlineLevel="0" collapsed="false">
      <c r="A11" s="61" t="s">
        <v>39</v>
      </c>
      <c r="B11" s="61" t="s">
        <v>121</v>
      </c>
      <c r="C11" s="61" t="s">
        <v>121</v>
      </c>
      <c r="D11" s="61" t="s">
        <v>121</v>
      </c>
      <c r="E11" s="61" t="s">
        <v>43</v>
      </c>
      <c r="F11" s="61" t="s">
        <v>44</v>
      </c>
      <c r="G11" s="61" t="s">
        <v>43</v>
      </c>
      <c r="H11" s="61" t="s">
        <v>45</v>
      </c>
      <c r="I11" s="62" t="s">
        <v>46</v>
      </c>
      <c r="J11" s="62" t="s">
        <v>47</v>
      </c>
      <c r="M11" s="46"/>
      <c r="O11" s="61" t="s">
        <v>39</v>
      </c>
      <c r="P11" s="69" t="s">
        <v>51</v>
      </c>
      <c r="Q11" s="62" t="s">
        <v>43</v>
      </c>
      <c r="R11" s="69" t="s">
        <v>51</v>
      </c>
      <c r="S11" s="62" t="s">
        <v>43</v>
      </c>
      <c r="T11" s="69" t="s">
        <v>51</v>
      </c>
      <c r="U11" s="62" t="s">
        <v>43</v>
      </c>
      <c r="V11" s="69" t="s">
        <v>51</v>
      </c>
      <c r="W11" s="62" t="s">
        <v>43</v>
      </c>
      <c r="X11" s="69" t="s">
        <v>51</v>
      </c>
      <c r="Y11" s="62" t="s">
        <v>43</v>
      </c>
      <c r="Z11" s="69" t="s">
        <v>51</v>
      </c>
      <c r="AA11" s="62" t="s">
        <v>43</v>
      </c>
      <c r="AB11" s="69" t="s">
        <v>51</v>
      </c>
      <c r="AC11" s="62" t="s">
        <v>43</v>
      </c>
      <c r="AD11" s="69" t="s">
        <v>51</v>
      </c>
      <c r="AE11" s="62" t="s">
        <v>43</v>
      </c>
      <c r="AF11" s="69" t="s">
        <v>51</v>
      </c>
      <c r="AG11" s="62" t="s">
        <v>43</v>
      </c>
      <c r="AH11" s="69" t="s">
        <v>51</v>
      </c>
      <c r="AI11" s="62" t="s">
        <v>43</v>
      </c>
      <c r="AJ11" s="69" t="s">
        <v>51</v>
      </c>
      <c r="AK11" s="62" t="s">
        <v>43</v>
      </c>
      <c r="AL11" s="69" t="s">
        <v>51</v>
      </c>
      <c r="AM11" s="62" t="s">
        <v>43</v>
      </c>
      <c r="AN11" s="69" t="s">
        <v>51</v>
      </c>
      <c r="AO11" s="62" t="s">
        <v>43</v>
      </c>
      <c r="AP11" s="69" t="s">
        <v>51</v>
      </c>
      <c r="AQ11" s="62" t="s">
        <v>43</v>
      </c>
      <c r="AR11" s="69" t="s">
        <v>51</v>
      </c>
      <c r="AS11" s="62" t="s">
        <v>43</v>
      </c>
      <c r="AT11" s="69" t="s">
        <v>51</v>
      </c>
      <c r="AU11" s="62" t="s">
        <v>43</v>
      </c>
      <c r="AV11" s="69" t="s">
        <v>51</v>
      </c>
      <c r="AW11" s="62" t="s">
        <v>43</v>
      </c>
      <c r="AX11" s="69" t="s">
        <v>51</v>
      </c>
      <c r="AY11" s="62" t="s">
        <v>43</v>
      </c>
      <c r="AZ11" s="69" t="s">
        <v>51</v>
      </c>
      <c r="BA11" s="62" t="s">
        <v>43</v>
      </c>
      <c r="BB11" s="69" t="s">
        <v>51</v>
      </c>
      <c r="BC11" s="62" t="s">
        <v>43</v>
      </c>
      <c r="BD11" s="70" t="s">
        <v>51</v>
      </c>
      <c r="BE11" s="71" t="s">
        <v>43</v>
      </c>
      <c r="BF11" s="4"/>
      <c r="BG11" s="4"/>
      <c r="BH11" s="4" t="s">
        <v>122</v>
      </c>
      <c r="BI11" s="4"/>
      <c r="BJ11" s="4"/>
      <c r="BK11" s="4"/>
      <c r="BO11" s="316" t="s">
        <v>64</v>
      </c>
      <c r="BP11" s="316" t="s">
        <v>123</v>
      </c>
      <c r="BR11" s="316" t="s">
        <v>124</v>
      </c>
      <c r="BS11" s="316" t="s">
        <v>125</v>
      </c>
    </row>
    <row r="12" customFormat="false" ht="18" hidden="false" customHeight="false" outlineLevel="0" collapsed="false">
      <c r="A12" s="75" t="n">
        <f aca="false">[2]EnergyCurve!$D34</f>
        <v>37225</v>
      </c>
      <c r="B12" s="317" t="n">
        <f aca="false" t="array" ref="B12:B12">SUM(IF(MONTH(NymexData!$AI$12:$AI$250)&amp;YEAR(NymexData!$AI$12:$AI$250)=MONTH(A12)&amp;YEAR(A12),NymexData!$AJ$12:$AJ$250))</f>
        <v>1.03736852</v>
      </c>
      <c r="C12" s="318" t="n">
        <f aca="false">BD12*BJ12*BI12</f>
        <v>0</v>
      </c>
      <c r="D12" s="319" t="n">
        <f aca="false">C12+B12</f>
        <v>1.03736852</v>
      </c>
      <c r="E12" s="320" t="n">
        <f aca="false" t="array" ref="E12:E12">SUM(IF(MONTH(NymexData!$S$12:$S$250)&amp;YEAR(NymexData!$S$12:$S$250)=MONTH(A12)&amp;YEAR(A12),NymexData!$T$12:$T$250))</f>
        <v>2.981</v>
      </c>
      <c r="F12" s="320" t="n">
        <f aca="false">G12-E12</f>
        <v>-0.0430000000000002</v>
      </c>
      <c r="G12" s="321" t="n">
        <f aca="false" t="array" ref="G12:G12">IF(NymexData!$AA$12="",GasPosn!E12,SUM(IF(MONTH(NymexData!$AA$12:$AA$250)&amp;YEAR(NymexData!$AA$12:$AA$250)=MONTH(A12)&amp;YEAR(A12),NymexData!$AB$12:$AB$250)))</f>
        <v>2.938</v>
      </c>
      <c r="H12" s="76" t="n">
        <f aca="false">B12*10000*F12</f>
        <v>-446.068463600002</v>
      </c>
      <c r="I12" s="82" t="n">
        <f aca="false">(((G12-Q12)*P12+(G12-S12)*R12+(G12-U12)*T12+(G12-W12)*V12+(G12-Y12)*X12+(G12-AA12)*Z12+(G12-AC12)*AB12+(G12-AE12)*AD12+(G12-AG12)*AF12+(G12-AI12)*AH12+(G12-AK12)*AJ12+(G12-AM12)*AL12+(G12-AO12)*AN12+(G12-AQ12)*AP12+(G12-AS12)*AR12+(G12-AU12)*AT12+(G12-AW12)*AV12+(G12-AY12)*AX12+(G12-BA12)*AZ12+(G12-BC12)*BB12)*BJ12*BI12)*10000</f>
        <v>0</v>
      </c>
      <c r="J12" s="82" t="n">
        <f aca="false">H12+I12</f>
        <v>-446.068463600002</v>
      </c>
      <c r="M12" s="46"/>
      <c r="O12" s="95" t="n">
        <f aca="false">A12</f>
        <v>37225</v>
      </c>
      <c r="BD12" s="100" t="n">
        <f aca="false">(P12+R12+T12+V12+X12+Z12+AB12+AD12+AF12+AH12+AJ12+AL12+AN12+AP12+AR12+AT12+AV12+AX12+AZ12+BB12)</f>
        <v>0</v>
      </c>
      <c r="BE12" s="322" t="n">
        <f aca="false">IF(AND(BD12=0,BH12=0),0,(ABS(P12)*Q12+ABS(R12)*S12+ABS(T12)*U12+ABS(V12)*W12+ABS(X12)*Y12+ABS(Z12)*AA12+ABS(AB12)*AC12+ABS(AD12)*AE12+ABS(AF12)*AG12+ABS(AH12)*AI12+ABS(AJ12)*AK12+ABS(AL12)*AM12+ABS(AN12)*AO12+ABS(AP12)*AQ12+ABS(AR12)*AS12+ABS(AT12)*AU12+ABS(AV12)*AW12+ABS(AX12)*AY12+ABS(AZ12)*BA12+ABS(BB12)*BC12)/BH12)</f>
        <v>0</v>
      </c>
      <c r="BF12" s="102"/>
      <c r="BG12" s="103" t="n">
        <f aca="false">O12</f>
        <v>37225</v>
      </c>
      <c r="BH12" s="323" t="n">
        <f aca="false">(ABS(P12)+ABS(R12)+ABS(T12)+ABS(V12)+ABS(X12)+ABS(Z12)+ABS(AB12)+ABS(AD12)+ABS(AF12)+ABS(AH12)+ABS(AJ12)+ABS(AL12)+ABS(AN12)+ABS(AP12)+ABS(AR12)+ABS(AT12)+ABS(AV12)+ABS(AX12)+ABS(AZ12)+ABS(BB12))</f>
        <v>0</v>
      </c>
      <c r="BI12" s="104" t="n">
        <f aca="false">VLOOKUP(GasPosn!A12,'Pricing Summary'!$AB$12:$AD$250,3)</f>
        <v>30</v>
      </c>
      <c r="BJ12" s="102" t="n">
        <f aca="false">VLOOKUP(A12,Interest!$AF$8:$AK$367,6)</f>
        <v>0.997095123182703</v>
      </c>
      <c r="BK12" s="323"/>
      <c r="BL12" s="0" t="n">
        <f aca="false">J12*VLOOKUP(A12,NymexData!$J$12:$K$244,2)</f>
        <v>-701.688415476456</v>
      </c>
      <c r="BO12" s="0" t="n">
        <f aca="false">Interest!AK8</f>
        <v>0.997095123182703</v>
      </c>
      <c r="BP12" s="0" t="n">
        <f aca="false">G12*Interest!AK8</f>
        <v>2.92946547191078</v>
      </c>
      <c r="BQ12" s="0" t="n">
        <f aca="false">IF(AND(A12&gt;=$B$3,A12&lt;=$B$4),1,0)</f>
        <v>0</v>
      </c>
      <c r="BR12" s="0" t="n">
        <f aca="false">BO12*BQ12</f>
        <v>0</v>
      </c>
      <c r="BS12" s="0" t="n">
        <f aca="false">BP12*BQ12</f>
        <v>0</v>
      </c>
    </row>
    <row r="13" customFormat="false" ht="18" hidden="false" customHeight="false" outlineLevel="0" collapsed="false">
      <c r="A13" s="112" t="n">
        <f aca="false">[2]EnergyCurve!$D35</f>
        <v>37226</v>
      </c>
      <c r="B13" s="324" t="n">
        <f aca="false" t="array" ref="B13:B13">SUM(IF(MONTH(NymexData!$AI$12:$AI$250)&amp;YEAR(NymexData!$AI$12:$AI$250)=MONTH(A13)&amp;YEAR(A13),NymexData!$AJ$12:$AJ$250))</f>
        <v>147.8965795</v>
      </c>
      <c r="C13" s="325" t="n">
        <f aca="false">BD13*BJ13*BI13</f>
        <v>0</v>
      </c>
      <c r="D13" s="326" t="n">
        <f aca="false">C13+B13</f>
        <v>147.8965795</v>
      </c>
      <c r="E13" s="327" t="n">
        <f aca="false" t="array" ref="E13:E13">SUM(IF(MONTH(NymexData!$S$12:$S$250)&amp;YEAR(NymexData!$S$12:$S$250)=MONTH(A13)&amp;YEAR(A13),NymexData!$T$12:$T$250))</f>
        <v>3.171</v>
      </c>
      <c r="F13" s="327" t="n">
        <f aca="false">G13-E13</f>
        <v>-0.0680000000000001</v>
      </c>
      <c r="G13" s="328" t="n">
        <f aca="false" t="array" ref="G13:G13">IF(NymexData!$AA$12="",GasPosn!E13,SUM(IF(MONTH(NymexData!$AA$12:$AA$250)&amp;YEAR(NymexData!$AA$12:$AA$250)=MONTH(A13)&amp;YEAR(A13),NymexData!$AB$12:$AB$250)))</f>
        <v>3.103</v>
      </c>
      <c r="H13" s="115" t="n">
        <f aca="false">B13*10000*F13</f>
        <v>-100569.67406</v>
      </c>
      <c r="I13" s="119" t="n">
        <f aca="false">(((G13-Q13)*P13+(G13-S13)*R13+(G13-U13)*T13+(G13-W13)*V13+(G13-Y13)*X13+(G13-AA13)*Z13+(G13-AC13)*AB13+(G13-AE13)*AD13+(G13-AG13)*AF13+(G13-AI13)*AH13+(G13-AK13)*AJ13+(G13-AM13)*AL13+(G13-AO13)*AN13+(G13-AQ13)*AP13+(G13-AS13)*AR13+(G13-AU13)*AT13+(G13-AW13)*AV13+(G13-AY13)*AX13+(G13-BA13)*AZ13+(G13-BC13)*BB13)*BJ13*BI13)*10000</f>
        <v>0</v>
      </c>
      <c r="J13" s="119" t="n">
        <f aca="false">H13+I13</f>
        <v>-100569.67406</v>
      </c>
      <c r="M13" s="46"/>
      <c r="O13" s="95" t="n">
        <f aca="false">A13</f>
        <v>37226</v>
      </c>
      <c r="BD13" s="100" t="n">
        <f aca="false">(P13+R13+T13+V13+X13+Z13+AB13+AD13+AF13+AH13+AJ13+AL13+AN13+AP13+AR13+AT13+AV13+AX13+AZ13+BB13)</f>
        <v>0</v>
      </c>
      <c r="BE13" s="322" t="n">
        <f aca="false">IF(AND(BD13=0,BH13=0),0,(ABS(P13)*Q13+ABS(R13)*S13+ABS(T13)*U13+ABS(V13)*W13+ABS(X13)*Y13+ABS(Z13)*AA13+ABS(AB13)*AC13+ABS(AD13)*AE13+ABS(AF13)*AG13+ABS(AH13)*AI13+ABS(AJ13)*AK13+ABS(AL13)*AM13+ABS(AN13)*AO13+ABS(AP13)*AQ13+ABS(AR13)*AS13+ABS(AT13)*AU13+ABS(AV13)*AW13+ABS(AX13)*AY13+ABS(AZ13)*BA13+ABS(BB13)*BC13)/BH13)</f>
        <v>0</v>
      </c>
      <c r="BF13" s="102"/>
      <c r="BG13" s="103" t="n">
        <f aca="false">O13</f>
        <v>37226</v>
      </c>
      <c r="BH13" s="323" t="n">
        <f aca="false">(ABS(P13)+ABS(R13)+ABS(T13)+ABS(V13)+ABS(X13)+ABS(Z13)+ABS(AB13)+ABS(AD13)+ABS(AF13)+ABS(AH13)+ABS(AJ13)+ABS(AL13)+ABS(AN13)+ABS(AP13)+ABS(AR13)+ABS(AT13)+ABS(AV13)+ABS(AX13)+ABS(AZ13)+ABS(BB13))</f>
        <v>0</v>
      </c>
      <c r="BI13" s="104" t="n">
        <f aca="false">VLOOKUP(GasPosn!A13,'Pricing Summary'!$AB$12:$AD$250,3)</f>
        <v>31</v>
      </c>
      <c r="BJ13" s="102" t="n">
        <f aca="false">VLOOKUP(A13,Interest!$AF$8:$AK$367,6)</f>
        <v>0.995207933815401</v>
      </c>
      <c r="BK13" s="102"/>
      <c r="BL13" s="0" t="n">
        <f aca="false">J13*VLOOKUP(A13,NymexData!$J$12:$K$244,2)</f>
        <v>-158245.82004026</v>
      </c>
      <c r="BO13" s="0" t="n">
        <f aca="false">Interest!AK9</f>
        <v>0.995207933815401</v>
      </c>
      <c r="BP13" s="0" t="n">
        <f aca="false">G13*Interest!AK9</f>
        <v>3.08813021862919</v>
      </c>
      <c r="BQ13" s="0" t="n">
        <f aca="false">IF(AND(A13&gt;=$B$3,A13&lt;=$B$4),1,0)</f>
        <v>0</v>
      </c>
      <c r="BR13" s="0" t="n">
        <f aca="false">BO13*BQ13</f>
        <v>0</v>
      </c>
      <c r="BS13" s="0" t="n">
        <f aca="false">BP13*BQ13</f>
        <v>0</v>
      </c>
    </row>
    <row r="14" customFormat="false" ht="18" hidden="false" customHeight="false" outlineLevel="0" collapsed="false">
      <c r="A14" s="75" t="n">
        <f aca="false">[2]EnergyCurve!$D36</f>
        <v>37257</v>
      </c>
      <c r="B14" s="317" t="n">
        <f aca="false" t="array" ref="B14:B14">SUM(IF(MONTH(NymexData!$AI$12:$AI$250)&amp;YEAR(NymexData!$AI$12:$AI$250)=MONTH(A14)&amp;YEAR(A14),NymexData!$AJ$12:$AJ$250))</f>
        <v>-95.61530495</v>
      </c>
      <c r="C14" s="317" t="n">
        <f aca="false">BD14*BJ14*BI14</f>
        <v>24.6344047691446</v>
      </c>
      <c r="D14" s="319" t="n">
        <f aca="false">C14+B14</f>
        <v>-70.9809001808554</v>
      </c>
      <c r="E14" s="320" t="n">
        <f aca="false" t="array" ref="E14:E14">SUM(IF(MONTH(NymexData!$S$12:$S$250)&amp;YEAR(NymexData!$S$12:$S$250)=MONTH(A14)&amp;YEAR(A14),NymexData!$T$12:$T$250))</f>
        <v>3.326</v>
      </c>
      <c r="F14" s="320" t="n">
        <f aca="false">G14-E14</f>
        <v>-0.0760000000000001</v>
      </c>
      <c r="G14" s="321" t="n">
        <f aca="false" t="array" ref="G14:G14">IF(NymexData!$AA$12="",GasPosn!E14,SUM(IF(MONTH(NymexData!$AA$12:$AA$250)&amp;YEAR(NymexData!$AA$12:$AA$250)=MONTH(A14)&amp;YEAR(A14),NymexData!$AB$12:$AB$250)))</f>
        <v>3.25</v>
      </c>
      <c r="H14" s="76" t="n">
        <f aca="false">B14*10000*F14</f>
        <v>72667.6317620001</v>
      </c>
      <c r="I14" s="82" t="n">
        <f aca="false">(((G14-Q14)*P14+(G14-S14)*R14+(G14-U14)*T14+(G14-W14)*V14+(G14-Y14)*X14+(G14-AA14)*Z14+(G14-AC14)*AB14+(G14-AE14)*AD14+(G14-AG14)*AF14+(G14-AI14)*AH14+(G14-AK14)*AJ14+(G14-AM14)*AL14+(G14-AO14)*AN14+(G14-AQ14)*AP14+(G14-AS14)*AR14+(G14-AU14)*AT14+(G14-AW14)*AV14+(G14-AY14)*AX14+(G14-BA14)*AZ14+(G14-BC14)*BB14)*BJ14*BI14)*10000</f>
        <v>-7698.25149035768</v>
      </c>
      <c r="J14" s="82" t="n">
        <f aca="false">H14+I14</f>
        <v>64969.3802716424</v>
      </c>
      <c r="M14" s="46"/>
      <c r="O14" s="95" t="n">
        <f aca="false">A14</f>
        <v>37257</v>
      </c>
      <c r="P14" s="0" t="n">
        <v>-0.5</v>
      </c>
      <c r="Q14" s="0" t="n">
        <v>3.4</v>
      </c>
      <c r="R14" s="0" t="n">
        <v>0.5</v>
      </c>
      <c r="S14" s="0" t="n">
        <v>3.38</v>
      </c>
      <c r="T14" s="0" t="n">
        <v>0.1</v>
      </c>
      <c r="U14" s="0" t="n">
        <v>3.295</v>
      </c>
      <c r="V14" s="0" t="n">
        <v>0.5</v>
      </c>
      <c r="W14" s="0" t="n">
        <v>3.315</v>
      </c>
      <c r="X14" s="0" t="n">
        <v>0.2</v>
      </c>
      <c r="Y14" s="0" t="n">
        <v>3.24</v>
      </c>
      <c r="BD14" s="100" t="n">
        <f aca="false">(P14+R14+T14+V14+X14+Z14+AB14+AD14+AF14+AH14+AJ14+AL14+AN14+AP14+AR14+AT14+AV14+AX14+AZ14+BB14)</f>
        <v>0.8</v>
      </c>
      <c r="BE14" s="322" t="n">
        <f aca="false">IF(AND(BD14=0,BH14=0),0,(ABS(P14)*Q14+ABS(R14)*S14+ABS(T14)*U14+ABS(V14)*W14+ABS(X14)*Y14+ABS(Z14)*AA14+ABS(AB14)*AC14+ABS(AD14)*AE14+ABS(AF14)*AG14+ABS(AH14)*AI14+ABS(AJ14)*AK14+ABS(AL14)*AM14+ABS(AN14)*AO14+ABS(AP14)*AQ14+ABS(AR14)*AS14+ABS(AT14)*AU14+ABS(AV14)*AW14+ABS(AX14)*AY14+ABS(AZ14)*BA14+ABS(BB14)*BC14)/BH14)</f>
        <v>3.34722222222222</v>
      </c>
      <c r="BF14" s="102"/>
      <c r="BG14" s="103" t="n">
        <f aca="false">O14</f>
        <v>37257</v>
      </c>
      <c r="BH14" s="323" t="n">
        <f aca="false">(ABS(P14)+ABS(R14)+ABS(T14)+ABS(V14)+ABS(X14)+ABS(Z14)+ABS(AB14)+ABS(AD14)+ABS(AF14)+ABS(AH14)+ABS(AJ14)+ABS(AL14)+ABS(AN14)+ABS(AP14)+ABS(AR14)+ABS(AT14)+ABS(AV14)+ABS(AX14)+ABS(AZ14)+ABS(BB14))</f>
        <v>1.8</v>
      </c>
      <c r="BI14" s="104" t="n">
        <f aca="false">VLOOKUP(GasPosn!A14,'Pricing Summary'!$AB$12:$AD$250,3)</f>
        <v>31</v>
      </c>
      <c r="BJ14" s="102" t="n">
        <f aca="false">VLOOKUP(A14,Interest!$AF$8:$AK$367,6)</f>
        <v>0.993322772949378</v>
      </c>
      <c r="BK14" s="102"/>
      <c r="BL14" s="0" t="n">
        <f aca="false">J14*VLOOKUP(A14,NymexData!$J$12:$K$244,2)</f>
        <v>102244.562903997</v>
      </c>
      <c r="BO14" s="0" t="n">
        <f aca="false">Interest!AK10</f>
        <v>0.993322772949378</v>
      </c>
      <c r="BP14" s="0" t="n">
        <f aca="false">G14*Interest!AK10</f>
        <v>3.22829901208548</v>
      </c>
      <c r="BQ14" s="0" t="n">
        <f aca="false">IF(AND(A14&gt;=$B$3,A14&lt;=$B$4),1,0)</f>
        <v>0</v>
      </c>
      <c r="BR14" s="0" t="n">
        <f aca="false">BO14*BQ14</f>
        <v>0</v>
      </c>
      <c r="BS14" s="0" t="n">
        <f aca="false">BP14*BQ14</f>
        <v>0</v>
      </c>
    </row>
    <row r="15" customFormat="false" ht="18" hidden="false" customHeight="false" outlineLevel="0" collapsed="false">
      <c r="A15" s="112" t="n">
        <f aca="false">[2]EnergyCurve!$D37</f>
        <v>37288</v>
      </c>
      <c r="B15" s="324" t="n">
        <f aca="false" t="array" ref="B15:B15">SUM(IF(MONTH(NymexData!$AI$12:$AI$250)&amp;YEAR(NymexData!$AI$12:$AI$250)=MONTH(A15)&amp;YEAR(A15),NymexData!$AJ$12:$AJ$250))</f>
        <v>-86.18238975</v>
      </c>
      <c r="C15" s="325" t="n">
        <f aca="false">BD15*BJ15*BI15</f>
        <v>22.2115367262193</v>
      </c>
      <c r="D15" s="326" t="n">
        <f aca="false">C15+B15</f>
        <v>-63.9708530237807</v>
      </c>
      <c r="E15" s="327" t="n">
        <f aca="false" t="array" ref="E15:E15">SUM(IF(MONTH(NymexData!$S$12:$S$250)&amp;YEAR(NymexData!$S$12:$S$250)=MONTH(A15)&amp;YEAR(A15),NymexData!$T$12:$T$250))</f>
        <v>3.321</v>
      </c>
      <c r="F15" s="327" t="n">
        <f aca="false">G15-E15</f>
        <v>-0.073</v>
      </c>
      <c r="G15" s="328" t="n">
        <f aca="false" t="array" ref="G15:G15">IF(NymexData!$AA$12="",GasPosn!E15,SUM(IF(MONTH(NymexData!$AA$12:$AA$250)&amp;YEAR(NymexData!$AA$12:$AA$250)=MONTH(A15)&amp;YEAR(A15),NymexData!$AB$12:$AB$250)))</f>
        <v>3.248</v>
      </c>
      <c r="H15" s="115" t="n">
        <f aca="false">B15*10000*F15</f>
        <v>62913.1445175</v>
      </c>
      <c r="I15" s="119" t="n">
        <f aca="false">(((G15-Q15)*P15+(G15-S15)*R15+(G15-U15)*T15+(G15-W15)*V15+(G15-Y15)*X15+(G15-AA15)*Z15+(G15-AC15)*AB15+(G15-AE15)*AD15+(G15-AG15)*AF15+(G15-AI15)*AH15+(G15-AK15)*AJ15+(G15-AM15)*AL15+(G15-AO15)*AN15+(G15-AQ15)*AP15+(G15-AS15)*AR15+(G15-AU15)*AT15+(G15-AW15)*AV15+(G15-AY15)*AX15+(G15-BA15)*AZ15+(G15-BC15)*BB15)*BJ15*BI15)*10000</f>
        <v>-7385.33596146787</v>
      </c>
      <c r="J15" s="119" t="n">
        <f aca="false">H15+I15</f>
        <v>55527.8085560321</v>
      </c>
      <c r="M15" s="46"/>
      <c r="O15" s="95" t="n">
        <f aca="false">A15</f>
        <v>37288</v>
      </c>
      <c r="P15" s="0" t="n">
        <v>-0.5</v>
      </c>
      <c r="Q15" s="0" t="n">
        <v>3.4</v>
      </c>
      <c r="R15" s="0" t="n">
        <v>0.5</v>
      </c>
      <c r="S15" s="0" t="n">
        <v>3.38</v>
      </c>
      <c r="T15" s="0" t="n">
        <v>0.1</v>
      </c>
      <c r="U15" s="0" t="n">
        <v>3.295</v>
      </c>
      <c r="V15" s="0" t="n">
        <v>0.5</v>
      </c>
      <c r="W15" s="0" t="n">
        <v>3.315</v>
      </c>
      <c r="X15" s="0" t="n">
        <v>0.2</v>
      </c>
      <c r="Y15" s="0" t="n">
        <v>3.24</v>
      </c>
      <c r="BD15" s="100" t="n">
        <f aca="false">(P15+R15+T15+V15+X15+Z15+AB15+AD15+AF15+AH15+AJ15+AL15+AN15+AP15+AR15+AT15+AV15+AX15+AZ15+BB15)</f>
        <v>0.8</v>
      </c>
      <c r="BE15" s="322" t="n">
        <f aca="false">IF(AND(BD15=0,BH15=0),0,(ABS(P15)*Q15+ABS(R15)*S15+ABS(T15)*U15+ABS(V15)*W15+ABS(X15)*Y15+ABS(Z15)*AA15+ABS(AB15)*AC15+ABS(AD15)*AE15+ABS(AF15)*AG15+ABS(AH15)*AI15+ABS(AJ15)*AK15+ABS(AL15)*AM15+ABS(AN15)*AO15+ABS(AP15)*AQ15+ABS(AR15)*AS15+ABS(AT15)*AU15+ABS(AV15)*AW15+ABS(AX15)*AY15+ABS(AZ15)*BA15+ABS(BB15)*BC15)/BH15)</f>
        <v>3.34722222222222</v>
      </c>
      <c r="BF15" s="102"/>
      <c r="BG15" s="103" t="n">
        <f aca="false">O15</f>
        <v>37288</v>
      </c>
      <c r="BH15" s="323" t="n">
        <f aca="false">(ABS(P15)+ABS(R15)+ABS(T15)+ABS(V15)+ABS(X15)+ABS(Z15)+ABS(AB15)+ABS(AD15)+ABS(AF15)+ABS(AH15)+ABS(AJ15)+ABS(AL15)+ABS(AN15)+ABS(AP15)+ABS(AR15)+ABS(AT15)+ABS(AV15)+ABS(AX15)+ABS(AZ15)+ABS(BB15))</f>
        <v>1.8</v>
      </c>
      <c r="BI15" s="104" t="n">
        <f aca="false">VLOOKUP(GasPosn!A15,'Pricing Summary'!$AB$12:$AD$250,3)</f>
        <v>28</v>
      </c>
      <c r="BJ15" s="102" t="n">
        <f aca="false">VLOOKUP(A15,Interest!$AF$8:$AK$367,6)</f>
        <v>0.991586460991933</v>
      </c>
      <c r="BK15" s="102"/>
      <c r="BL15" s="0" t="n">
        <f aca="false">J15*VLOOKUP(A15,NymexData!$J$12:$K$244,2)</f>
        <v>87389.8997442609</v>
      </c>
      <c r="BO15" s="0" t="n">
        <f aca="false">Interest!AK11</f>
        <v>0.991586460991933</v>
      </c>
      <c r="BP15" s="0" t="n">
        <f aca="false">G15*Interest!AK11</f>
        <v>3.2206728253018</v>
      </c>
      <c r="BQ15" s="0" t="n">
        <f aca="false">IF(AND(A15&gt;=$B$3,A15&lt;=$B$4),1,0)</f>
        <v>0</v>
      </c>
      <c r="BR15" s="0" t="n">
        <f aca="false">BO15*BQ15</f>
        <v>0</v>
      </c>
      <c r="BS15" s="0" t="n">
        <f aca="false">BP15*BQ15</f>
        <v>0</v>
      </c>
    </row>
    <row r="16" customFormat="false" ht="18" hidden="false" customHeight="false" outlineLevel="0" collapsed="false">
      <c r="A16" s="75" t="n">
        <f aca="false">[2]EnergyCurve!$D38</f>
        <v>37316</v>
      </c>
      <c r="B16" s="317" t="n">
        <f aca="false" t="array" ref="B16:B16">SUM(IF(MONTH(NymexData!$AI$12:$AI$250)&amp;YEAR(NymexData!$AI$12:$AI$250)=MONTH(A16)&amp;YEAR(A16),NymexData!$AJ$12:$AJ$250))</f>
        <v>-95.25123486</v>
      </c>
      <c r="C16" s="317" t="n">
        <f aca="false">BD16*BJ16*BI16</f>
        <v>24.5465862843588</v>
      </c>
      <c r="D16" s="319" t="n">
        <f aca="false">C16+B16</f>
        <v>-70.7046485756412</v>
      </c>
      <c r="E16" s="320" t="n">
        <f aca="false" t="array" ref="E16:E16">SUM(IF(MONTH(NymexData!$S$12:$S$250)&amp;YEAR(NymexData!$S$12:$S$250)=MONTH(A16)&amp;YEAR(A16),NymexData!$T$12:$T$250))</f>
        <v>3.261</v>
      </c>
      <c r="F16" s="320" t="n">
        <f aca="false">G16-E16</f>
        <v>-0.0660000000000003</v>
      </c>
      <c r="G16" s="321" t="n">
        <f aca="false" t="array" ref="G16:G16">IF(NymexData!$AA$12="",GasPosn!E16,SUM(IF(MONTH(NymexData!$AA$12:$AA$250)&amp;YEAR(NymexData!$AA$12:$AA$250)=MONTH(A16)&amp;YEAR(A16),NymexData!$AB$12:$AB$250)))</f>
        <v>3.195</v>
      </c>
      <c r="H16" s="76" t="n">
        <f aca="false">B16*10000*F16</f>
        <v>62865.8150076003</v>
      </c>
      <c r="I16" s="82" t="n">
        <f aca="false">(((G16-Q16)*P16+(G16-S16)*R16+(G16-U16)*T16+(G16-W16)*V16+(G16-Y16)*X16+(G16-AA16)*Z16+(G16-AC16)*AB16+(G16-AE16)*AD16+(G16-AG16)*AF16+(G16-AI16)*AH16+(G16-AK16)*AJ16+(G16-AM16)*AL16+(G16-AO16)*AN16+(G16-AQ16)*AP16+(G16-AS16)*AR16+(G16-AU16)*AT16+(G16-AW16)*AV16+(G16-AY16)*AX16+(G16-BA16)*AZ16+(G16-BC16)*BB16)*BJ16*BI16)*10000</f>
        <v>-21171.4306702595</v>
      </c>
      <c r="J16" s="82" t="n">
        <f aca="false">H16+I16</f>
        <v>41694.3843373408</v>
      </c>
      <c r="M16" s="46"/>
      <c r="O16" s="95" t="n">
        <f aca="false">A16</f>
        <v>37316</v>
      </c>
      <c r="P16" s="0" t="n">
        <v>-0.5</v>
      </c>
      <c r="Q16" s="0" t="n">
        <v>3.4</v>
      </c>
      <c r="R16" s="0" t="n">
        <v>0.5</v>
      </c>
      <c r="S16" s="0" t="n">
        <v>3.38</v>
      </c>
      <c r="T16" s="0" t="n">
        <v>0.1</v>
      </c>
      <c r="U16" s="0" t="n">
        <v>3.295</v>
      </c>
      <c r="V16" s="0" t="n">
        <v>0.5</v>
      </c>
      <c r="W16" s="0" t="n">
        <v>3.315</v>
      </c>
      <c r="X16" s="0" t="n">
        <v>0.2</v>
      </c>
      <c r="Y16" s="0" t="n">
        <v>3.24</v>
      </c>
      <c r="BD16" s="100" t="n">
        <f aca="false">(P16+R16+T16+V16+X16+Z16+AB16+AD16+AF16+AH16+AJ16+AL16+AN16+AP16+AR16+AT16+AV16+AX16+AZ16+BB16)</f>
        <v>0.8</v>
      </c>
      <c r="BE16" s="322" t="n">
        <f aca="false">IF(AND(BD16=0,BH16=0),0,(ABS(P16)*Q16+ABS(R16)*S16+ABS(T16)*U16+ABS(V16)*W16+ABS(X16)*Y16+ABS(Z16)*AA16+ABS(AB16)*AC16+ABS(AD16)*AE16+ABS(AF16)*AG16+ABS(AH16)*AI16+ABS(AJ16)*AK16+ABS(AL16)*AM16+ABS(AN16)*AO16+ABS(AP16)*AQ16+ABS(AR16)*AS16+ABS(AT16)*AU16+ABS(AV16)*AW16+ABS(AX16)*AY16+ABS(AZ16)*BA16+ABS(BB16)*BC16)/BH16)</f>
        <v>3.34722222222222</v>
      </c>
      <c r="BF16" s="102"/>
      <c r="BG16" s="103" t="n">
        <f aca="false">O16</f>
        <v>37316</v>
      </c>
      <c r="BH16" s="323" t="n">
        <f aca="false">(ABS(P16)+ABS(R16)+ABS(T16)+ABS(V16)+ABS(X16)+ABS(Z16)+ABS(AB16)+ABS(AD16)+ABS(AF16)+ABS(AH16)+ABS(AJ16)+ABS(AL16)+ABS(AN16)+ABS(AP16)+ABS(AR16)+ABS(AT16)+ABS(AV16)+ABS(AX16)+ABS(AZ16)+ABS(BB16))</f>
        <v>1.8</v>
      </c>
      <c r="BI16" s="104" t="n">
        <f aca="false">VLOOKUP(GasPosn!A16,'Pricing Summary'!$AB$12:$AD$250,3)</f>
        <v>31</v>
      </c>
      <c r="BJ16" s="102" t="n">
        <f aca="false">VLOOKUP(A16,Interest!$AF$8:$AK$367,6)</f>
        <v>0.989781705014466</v>
      </c>
      <c r="BK16" s="102"/>
      <c r="BL16" s="0" t="n">
        <f aca="false">J16*VLOOKUP(A16,NymexData!$J$12:$K$244,2)</f>
        <v>65632.3445136907</v>
      </c>
      <c r="BO16" s="0" t="n">
        <f aca="false">Interest!AK12</f>
        <v>0.989781705014466</v>
      </c>
      <c r="BP16" s="0" t="n">
        <f aca="false">G16*Interest!AK12</f>
        <v>3.16235254752122</v>
      </c>
      <c r="BQ16" s="0" t="n">
        <f aca="false">IF(AND(A16&gt;=$B$3,A16&lt;=$B$4),1,0)</f>
        <v>0</v>
      </c>
      <c r="BR16" s="0" t="n">
        <f aca="false">BO16*BQ16</f>
        <v>0</v>
      </c>
      <c r="BS16" s="0" t="n">
        <f aca="false">BP16*BQ16</f>
        <v>0</v>
      </c>
    </row>
    <row r="17" customFormat="false" ht="18" hidden="false" customHeight="false" outlineLevel="0" collapsed="false">
      <c r="A17" s="112" t="n">
        <f aca="false">[2]EnergyCurve!$D39</f>
        <v>37347</v>
      </c>
      <c r="B17" s="324" t="n">
        <f aca="false" t="array" ref="B17:B17">SUM(IF(MONTH(NymexData!$AI$12:$AI$250)&amp;YEAR(NymexData!$AI$12:$AI$250)=MONTH(A17)&amp;YEAR(A17),NymexData!$AJ$12:$AJ$250))</f>
        <v>-100.90525693</v>
      </c>
      <c r="C17" s="325" t="n">
        <f aca="false">BD17*BJ17*BI17</f>
        <v>17.7844712558552</v>
      </c>
      <c r="D17" s="326" t="n">
        <f aca="false">C17+B17</f>
        <v>-83.1207856741448</v>
      </c>
      <c r="E17" s="327" t="n">
        <f aca="false" t="array" ref="E17:E17">SUM(IF(MONTH(NymexData!$S$12:$S$250)&amp;YEAR(NymexData!$S$12:$S$250)=MONTH(A17)&amp;YEAR(A17),NymexData!$T$12:$T$250))</f>
        <v>3.146</v>
      </c>
      <c r="F17" s="327" t="n">
        <f aca="false">G17-E17</f>
        <v>-0.0510000000000002</v>
      </c>
      <c r="G17" s="328" t="n">
        <f aca="false" t="array" ref="G17:G17">IF(NymexData!$AA$12="",GasPosn!E17,SUM(IF(MONTH(NymexData!$AA$12:$AA$250)&amp;YEAR(NymexData!$AA$12:$AA$250)=MONTH(A17)&amp;YEAR(A17),NymexData!$AB$12:$AB$250)))</f>
        <v>3.095</v>
      </c>
      <c r="H17" s="115" t="n">
        <f aca="false">B17*10000*F17</f>
        <v>51461.6810343002</v>
      </c>
      <c r="I17" s="119" t="n">
        <f aca="false">(((G17-Q17)*P17+(G17-S17)*R17+(G17-U17)*T17+(G17-W17)*V17+(G17-Y17)*X17+(G17-AA17)*Z17+(G17-AC17)*AB17+(G17-AE17)*AD17+(G17-AG17)*AF17+(G17-AI17)*AH17+(G17-AK17)*AJ17+(G17-AM17)*AL17+(G17-AO17)*AN17+(G17-AQ17)*AP17+(G17-AS17)*AR17+(G17-AU17)*AT17+(G17-AW17)*AV17+(G17-AY17)*AX17+(G17-BA17)*AZ17+(G17-BC17)*BB17)*BJ17*BI17)*10000</f>
        <v>-35568.9425117103</v>
      </c>
      <c r="J17" s="119" t="n">
        <f aca="false">H17+I17</f>
        <v>15892.7385225898</v>
      </c>
      <c r="M17" s="46"/>
      <c r="O17" s="95" t="n">
        <f aca="false">A17</f>
        <v>37347</v>
      </c>
      <c r="P17" s="0" t="n">
        <v>-0.5</v>
      </c>
      <c r="Q17" s="0" t="n">
        <v>3.4</v>
      </c>
      <c r="R17" s="0" t="n">
        <v>0.5</v>
      </c>
      <c r="S17" s="0" t="n">
        <v>3.38</v>
      </c>
      <c r="T17" s="0" t="n">
        <v>0.1</v>
      </c>
      <c r="U17" s="0" t="n">
        <v>3.295</v>
      </c>
      <c r="V17" s="0" t="n">
        <v>0.5</v>
      </c>
      <c r="W17" s="0" t="n">
        <v>3.315</v>
      </c>
      <c r="BD17" s="100" t="n">
        <f aca="false">(P17+R17+T17+V17+X17+Z17+AB17+AD17+AF17+AH17+AJ17+AL17+AN17+AP17+AR17+AT17+AV17+AX17+AZ17+BB17)</f>
        <v>0.6</v>
      </c>
      <c r="BE17" s="322" t="n">
        <f aca="false">IF(AND(BD17=0,BH17=0),0,(ABS(P17)*Q17+ABS(R17)*S17+ABS(T17)*U17+ABS(V17)*W17+ABS(X17)*Y17+ABS(Z17)*AA17+ABS(AB17)*AC17+ABS(AD17)*AE17+ABS(AF17)*AG17+ABS(AH17)*AI17+ABS(AJ17)*AK17+ABS(AL17)*AM17+ABS(AN17)*AO17+ABS(AP17)*AQ17+ABS(AR17)*AS17+ABS(AT17)*AU17+ABS(AV17)*AW17+ABS(AX17)*AY17+ABS(AZ17)*BA17+ABS(BB17)*BC17)/BH17)</f>
        <v>3.360625</v>
      </c>
      <c r="BF17" s="102"/>
      <c r="BG17" s="103" t="n">
        <f aca="false">O17</f>
        <v>37347</v>
      </c>
      <c r="BH17" s="323" t="n">
        <f aca="false">(ABS(P17)+ABS(R17)+ABS(T17)+ABS(V17)+ABS(X17)+ABS(Z17)+ABS(AB17)+ABS(AD17)+ABS(AF17)+ABS(AH17)+ABS(AJ17)+ABS(AL17)+ABS(AN17)+ABS(AP17)+ABS(AR17)+ABS(AT17)+ABS(AV17)+ABS(AX17)+ABS(AZ17)+ABS(BB17))</f>
        <v>1.6</v>
      </c>
      <c r="BI17" s="104" t="n">
        <f aca="false">VLOOKUP(GasPosn!A17,'Pricing Summary'!$AB$12:$AD$250,3)</f>
        <v>30</v>
      </c>
      <c r="BJ17" s="102" t="n">
        <f aca="false">VLOOKUP(A17,Interest!$AF$8:$AK$367,6)</f>
        <v>0.988026180880843</v>
      </c>
      <c r="BK17" s="102"/>
      <c r="BL17" s="0" t="n">
        <f aca="false">J17*VLOOKUP(A17,NymexData!$J$12:$K$244,2)</f>
        <v>25022.2396982217</v>
      </c>
      <c r="BO17" s="0" t="n">
        <f aca="false">Interest!AK13</f>
        <v>0.988026180880843</v>
      </c>
      <c r="BP17" s="0" t="n">
        <f aca="false">G17*Interest!AK13</f>
        <v>3.05794102982621</v>
      </c>
      <c r="BQ17" s="0" t="n">
        <f aca="false">IF(AND(A17&gt;=$B$3,A17&lt;=$B$4),1,0)</f>
        <v>0</v>
      </c>
      <c r="BR17" s="0" t="n">
        <f aca="false">BO17*BQ17</f>
        <v>0</v>
      </c>
      <c r="BS17" s="0" t="n">
        <f aca="false">BP17*BQ17</f>
        <v>0</v>
      </c>
    </row>
    <row r="18" customFormat="false" ht="18" hidden="false" customHeight="false" outlineLevel="0" collapsed="false">
      <c r="A18" s="75" t="n">
        <f aca="false">[2]EnergyCurve!$D40</f>
        <v>37377</v>
      </c>
      <c r="B18" s="317" t="n">
        <f aca="false" t="array" ref="B18:B18">SUM(IF(MONTH(NymexData!$AI$12:$AI$250)&amp;YEAR(NymexData!$AI$12:$AI$250)=MONTH(A18)&amp;YEAR(A18),NymexData!$AJ$12:$AJ$250))</f>
        <v>-104.06365207</v>
      </c>
      <c r="C18" s="317" t="n">
        <f aca="false">BD18*BJ18*BI18</f>
        <v>18.3411863241431</v>
      </c>
      <c r="D18" s="319" t="n">
        <f aca="false">C18+B18</f>
        <v>-85.7224657458569</v>
      </c>
      <c r="E18" s="320" t="n">
        <f aca="false" t="array" ref="E18:E18">SUM(IF(MONTH(NymexData!$S$12:$S$250)&amp;YEAR(NymexData!$S$12:$S$250)=MONTH(A18)&amp;YEAR(A18),NymexData!$T$12:$T$250))</f>
        <v>3.176</v>
      </c>
      <c r="F18" s="320" t="n">
        <f aca="false">G18-E18</f>
        <v>-0.0510000000000002</v>
      </c>
      <c r="G18" s="321" t="n">
        <f aca="false" t="array" ref="G18:G18">IF(NymexData!$AA$12="",GasPosn!E18,SUM(IF(MONTH(NymexData!$AA$12:$AA$250)&amp;YEAR(NymexData!$AA$12:$AA$250)=MONTH(A18)&amp;YEAR(A18),NymexData!$AB$12:$AB$250)))</f>
        <v>3.125</v>
      </c>
      <c r="H18" s="76" t="n">
        <f aca="false">B18*10000*F18</f>
        <v>53072.4625557002</v>
      </c>
      <c r="I18" s="82" t="n">
        <f aca="false">(((G18-Q18)*P18+(G18-S18)*R18+(G18-U18)*T18+(G18-W18)*V18+(G18-Y18)*X18+(G18-AA18)*Z18+(G18-AC18)*AB18+(G18-AE18)*AD18+(G18-AG18)*AF18+(G18-AI18)*AH18+(G18-AK18)*AJ18+(G18-AM18)*AL18+(G18-AO18)*AN18+(G18-AQ18)*AP18+(G18-AS18)*AR18+(G18-AU18)*AT18+(G18-AW18)*AV18+(G18-AY18)*AX18+(G18-BA18)*AZ18+(G18-BC18)*BB18)*BJ18*BI18)*10000</f>
        <v>-31180.0167510432</v>
      </c>
      <c r="J18" s="82" t="n">
        <f aca="false">H18+I18</f>
        <v>21892.4458046569</v>
      </c>
      <c r="M18" s="46"/>
      <c r="O18" s="95" t="n">
        <f aca="false">A18</f>
        <v>37377</v>
      </c>
      <c r="P18" s="0" t="n">
        <v>-0.5</v>
      </c>
      <c r="Q18" s="0" t="n">
        <v>3.4</v>
      </c>
      <c r="R18" s="0" t="n">
        <v>0.5</v>
      </c>
      <c r="S18" s="0" t="n">
        <v>3.38</v>
      </c>
      <c r="T18" s="0" t="n">
        <v>0.1</v>
      </c>
      <c r="U18" s="0" t="n">
        <v>3.295</v>
      </c>
      <c r="V18" s="0" t="n">
        <v>0.5</v>
      </c>
      <c r="W18" s="0" t="n">
        <v>3.315</v>
      </c>
      <c r="BD18" s="100" t="n">
        <f aca="false">(P18+R18+T18+V18+X18+Z18+AB18+AD18+AF18+AH18+AJ18+AL18+AN18+AP18+AR18+AT18+AV18+AX18+AZ18+BB18)</f>
        <v>0.6</v>
      </c>
      <c r="BE18" s="322" t="n">
        <f aca="false">IF(AND(BD18=0,BH18=0),0,(ABS(P18)*Q18+ABS(R18)*S18+ABS(T18)*U18+ABS(V18)*W18+ABS(X18)*Y18+ABS(Z18)*AA18+ABS(AB18)*AC18+ABS(AD18)*AE18+ABS(AF18)*AG18+ABS(AH18)*AI18+ABS(AJ18)*AK18+ABS(AL18)*AM18+ABS(AN18)*AO18+ABS(AP18)*AQ18+ABS(AR18)*AS18+ABS(AT18)*AU18+ABS(AV18)*AW18+ABS(AX18)*AY18+ABS(AZ18)*BA18+ABS(BB18)*BC18)/BH18)</f>
        <v>3.360625</v>
      </c>
      <c r="BF18" s="102"/>
      <c r="BG18" s="103" t="n">
        <f aca="false">O18</f>
        <v>37377</v>
      </c>
      <c r="BH18" s="323" t="n">
        <f aca="false">(ABS(P18)+ABS(R18)+ABS(T18)+ABS(V18)+ABS(X18)+ABS(Z18)+ABS(AB18)+ABS(AD18)+ABS(AF18)+ABS(AH18)+ABS(AJ18)+ABS(AL18)+ABS(AN18)+ABS(AP18)+ABS(AR18)+ABS(AT18)+ABS(AV18)+ABS(AX18)+ABS(AZ18)+ABS(BB18))</f>
        <v>1.6</v>
      </c>
      <c r="BI18" s="104" t="n">
        <f aca="false">VLOOKUP(GasPosn!A18,'Pricing Summary'!$AB$12:$AD$250,3)</f>
        <v>31</v>
      </c>
      <c r="BJ18" s="102" t="n">
        <f aca="false">VLOOKUP(A18,Interest!$AF$8:$AK$367,6)</f>
        <v>0.986085286244252</v>
      </c>
      <c r="BK18" s="102"/>
      <c r="BL18" s="0" t="n">
        <f aca="false">J18*VLOOKUP(A18,NymexData!$J$12:$K$244,2)</f>
        <v>34471.8954058755</v>
      </c>
      <c r="BO18" s="0" t="n">
        <f aca="false">Interest!AK14</f>
        <v>0.986085286244252</v>
      </c>
      <c r="BP18" s="0" t="n">
        <f aca="false">G18*Interest!AK14</f>
        <v>3.08151651951329</v>
      </c>
      <c r="BQ18" s="0" t="n">
        <f aca="false">IF(AND(A18&gt;=$B$3,A18&lt;=$B$4),1,0)</f>
        <v>0</v>
      </c>
      <c r="BR18" s="0" t="n">
        <f aca="false">BO18*BQ18</f>
        <v>0</v>
      </c>
      <c r="BS18" s="0" t="n">
        <f aca="false">BP18*BQ18</f>
        <v>0</v>
      </c>
    </row>
    <row r="19" customFormat="false" ht="18" hidden="false" customHeight="false" outlineLevel="0" collapsed="false">
      <c r="A19" s="112" t="n">
        <f aca="false">[2]EnergyCurve!$D41</f>
        <v>37408</v>
      </c>
      <c r="B19" s="324" t="n">
        <f aca="false" t="array" ref="B19:B19">SUM(IF(MONTH(NymexData!$AI$12:$AI$250)&amp;YEAR(NymexData!$AI$12:$AI$250)=MONTH(A19)&amp;YEAR(A19),NymexData!$AJ$12:$AJ$250))</f>
        <v>-100.50429989</v>
      </c>
      <c r="C19" s="325" t="n">
        <f aca="false">BD19*BJ19*BI19</f>
        <v>17.7156627553866</v>
      </c>
      <c r="D19" s="326" t="n">
        <f aca="false">C19+B19</f>
        <v>-82.7886371346135</v>
      </c>
      <c r="E19" s="327" t="n">
        <f aca="false" t="array" ref="E19:E19">SUM(IF(MONTH(NymexData!$S$12:$S$250)&amp;YEAR(NymexData!$S$12:$S$250)=MONTH(A19)&amp;YEAR(A19),NymexData!$T$12:$T$250))</f>
        <v>3.221</v>
      </c>
      <c r="F19" s="327" t="n">
        <f aca="false">G19-E19</f>
        <v>-0.0560000000000001</v>
      </c>
      <c r="G19" s="328" t="n">
        <f aca="false" t="array" ref="G19:G19">IF(NymexData!$AA$12="",GasPosn!E19,SUM(IF(MONTH(NymexData!$AA$12:$AA$250)&amp;YEAR(NymexData!$AA$12:$AA$250)=MONTH(A19)&amp;YEAR(A19),NymexData!$AB$12:$AB$250)))</f>
        <v>3.165</v>
      </c>
      <c r="H19" s="115" t="n">
        <f aca="false">B19*10000*F19</f>
        <v>56282.4079384001</v>
      </c>
      <c r="I19" s="119" t="n">
        <f aca="false">(((G19-Q19)*P19+(G19-S19)*R19+(G19-U19)*T19+(G19-W19)*V19+(G19-Y19)*X19+(G19-AA19)*Z19+(G19-AC19)*AB19+(G19-AE19)*AD19+(G19-AG19)*AF19+(G19-AI19)*AH19+(G19-AK19)*AJ19+(G19-AM19)*AL19+(G19-AO19)*AN19+(G19-AQ19)*AP19+(G19-AS19)*AR19+(G19-AU19)*AT19+(G19-AW19)*AV19+(G19-AY19)*AX19+(G19-BA19)*AZ19+(G19-BC19)*BB19)*BJ19*BI19)*10000</f>
        <v>-23030.3615820025</v>
      </c>
      <c r="J19" s="119" t="n">
        <f aca="false">H19+I19</f>
        <v>33252.0463563976</v>
      </c>
      <c r="L19" s="329"/>
      <c r="M19" s="203"/>
      <c r="O19" s="95" t="n">
        <f aca="false">A19</f>
        <v>37408</v>
      </c>
      <c r="P19" s="0" t="n">
        <v>-0.5</v>
      </c>
      <c r="Q19" s="0" t="n">
        <v>3.4</v>
      </c>
      <c r="R19" s="0" t="n">
        <v>0.5</v>
      </c>
      <c r="S19" s="0" t="n">
        <v>3.38</v>
      </c>
      <c r="T19" s="0" t="n">
        <v>0.1</v>
      </c>
      <c r="U19" s="0" t="n">
        <v>3.295</v>
      </c>
      <c r="V19" s="0" t="n">
        <v>0.5</v>
      </c>
      <c r="W19" s="0" t="n">
        <v>3.315</v>
      </c>
      <c r="BD19" s="100" t="n">
        <f aca="false">(P19+R19+T19+V19+X19+Z19+AB19+AD19+AF19+AH19+AJ19+AL19+AN19+AP19+AR19+AT19+AV19+AX19+AZ19+BB19)</f>
        <v>0.6</v>
      </c>
      <c r="BE19" s="322" t="n">
        <f aca="false">IF(AND(BD19=0,BH19=0),0,(ABS(P19)*Q19+ABS(R19)*S19+ABS(T19)*U19+ABS(V19)*W19+ABS(X19)*Y19+ABS(Z19)*AA19+ABS(AB19)*AC19+ABS(AD19)*AE19+ABS(AF19)*AG19+ABS(AH19)*AI19+ABS(AJ19)*AK19+ABS(AL19)*AM19+ABS(AN19)*AO19+ABS(AP19)*AQ19+ABS(AR19)*AS19+ABS(AT19)*AU19+ABS(AV19)*AW19+ABS(AX19)*AY19+ABS(AZ19)*BA19+ABS(BB19)*BC19)/BH19)</f>
        <v>3.360625</v>
      </c>
      <c r="BF19" s="102"/>
      <c r="BG19" s="103" t="n">
        <f aca="false">O19</f>
        <v>37408</v>
      </c>
      <c r="BH19" s="323" t="n">
        <f aca="false">(ABS(P19)+ABS(R19)+ABS(T19)+ABS(V19)+ABS(X19)+ABS(Z19)+ABS(AB19)+ABS(AD19)+ABS(AF19)+ABS(AH19)+ABS(AJ19)+ABS(AL19)+ABS(AN19)+ABS(AP19)+ABS(AR19)+ABS(AT19)+ABS(AV19)+ABS(AX19)+ABS(AZ19)+ABS(BB19))</f>
        <v>1.6</v>
      </c>
      <c r="BI19" s="104" t="n">
        <f aca="false">VLOOKUP(GasPosn!A19,'Pricing Summary'!$AB$12:$AD$250,3)</f>
        <v>30</v>
      </c>
      <c r="BJ19" s="102" t="n">
        <f aca="false">VLOOKUP(A19,Interest!$AF$8:$AK$367,6)</f>
        <v>0.984203486410364</v>
      </c>
      <c r="BK19" s="102"/>
      <c r="BL19" s="0" t="n">
        <f aca="false">J19*VLOOKUP(A19,NymexData!$J$12:$K$244,2)</f>
        <v>52362.855425199</v>
      </c>
      <c r="BO19" s="0" t="n">
        <f aca="false">Interest!AK15</f>
        <v>0.984203486410364</v>
      </c>
      <c r="BP19" s="0" t="n">
        <f aca="false">G19*Interest!AK15</f>
        <v>3.1150040344888</v>
      </c>
      <c r="BQ19" s="0" t="n">
        <f aca="false">IF(AND(A19&gt;=$B$3,A19&lt;=$B$4),1,0)</f>
        <v>0</v>
      </c>
      <c r="BR19" s="0" t="n">
        <f aca="false">BO19*BQ19</f>
        <v>0</v>
      </c>
      <c r="BS19" s="0" t="n">
        <f aca="false">BP19*BQ19</f>
        <v>0</v>
      </c>
    </row>
    <row r="20" customFormat="false" ht="18" hidden="false" customHeight="false" outlineLevel="0" collapsed="false">
      <c r="A20" s="75" t="n">
        <f aca="false">[2]EnergyCurve!$D42</f>
        <v>37438</v>
      </c>
      <c r="B20" s="317" t="n">
        <f aca="false" t="array" ref="B20:B20">SUM(IF(MONTH(NymexData!$AI$12:$AI$250)&amp;YEAR(NymexData!$AI$12:$AI$250)=MONTH(A20)&amp;YEAR(A20),NymexData!$AJ$12:$AJ$250))</f>
        <v>-317.03236051</v>
      </c>
      <c r="C20" s="317" t="n">
        <f aca="false">BD20*BJ20*BI20</f>
        <v>18.2685900049341</v>
      </c>
      <c r="D20" s="319" t="n">
        <f aca="false">C20+B20</f>
        <v>-298.763770505066</v>
      </c>
      <c r="E20" s="320" t="n">
        <f aca="false" t="array" ref="E20:E20">SUM(IF(MONTH(NymexData!$S$12:$S$250)&amp;YEAR(NymexData!$S$12:$S$250)=MONTH(A20)&amp;YEAR(A20),NymexData!$T$12:$T$250))</f>
        <v>3.261</v>
      </c>
      <c r="F20" s="320" t="n">
        <f aca="false">G20-E20</f>
        <v>-0.0609999999999999</v>
      </c>
      <c r="G20" s="321" t="n">
        <f aca="false" t="array" ref="G20:G20">IF(NymexData!$AA$12="",GasPosn!E20,SUM(IF(MONTH(NymexData!$AA$12:$AA$250)&amp;YEAR(NymexData!$AA$12:$AA$250)=MONTH(A20)&amp;YEAR(A20),NymexData!$AB$12:$AB$250)))</f>
        <v>3.2</v>
      </c>
      <c r="H20" s="76" t="n">
        <f aca="false">B20*10000*F20</f>
        <v>193389.7399111</v>
      </c>
      <c r="I20" s="82" t="n">
        <f aca="false">(((G20-Q20)*P20+(G20-S20)*R20+(G20-U20)*T20+(G20-W20)*V20+(G20-Y20)*X20+(G20-AA20)*Z20+(G20-AC20)*AB20+(G20-AE20)*AD20+(G20-AG20)*AF20+(G20-AI20)*AH20+(G20-AK20)*AJ20+(G20-AM20)*AL20+(G20-AO20)*AN20+(G20-AQ20)*AP20+(G20-AS20)*AR20+(G20-AU20)*AT20+(G20-AW20)*AV20+(G20-AY20)*AX20+(G20-BA20)*AZ20+(G20-BC20)*BB20)*BJ20*BI20)*10000</f>
        <v>-17355.1605046873</v>
      </c>
      <c r="J20" s="82" t="n">
        <f aca="false">H20+I20</f>
        <v>176034.579406413</v>
      </c>
      <c r="L20" s="329"/>
      <c r="M20" s="46"/>
      <c r="O20" s="95" t="n">
        <f aca="false">A20</f>
        <v>37438</v>
      </c>
      <c r="P20" s="0" t="n">
        <v>-0.5</v>
      </c>
      <c r="Q20" s="0" t="n">
        <v>3.4</v>
      </c>
      <c r="R20" s="0" t="n">
        <v>0.5</v>
      </c>
      <c r="S20" s="0" t="n">
        <v>3.38</v>
      </c>
      <c r="T20" s="0" t="n">
        <v>0.1</v>
      </c>
      <c r="U20" s="0" t="n">
        <v>3.295</v>
      </c>
      <c r="V20" s="0" t="n">
        <v>0.5</v>
      </c>
      <c r="W20" s="0" t="n">
        <v>3.315</v>
      </c>
      <c r="BD20" s="100" t="n">
        <f aca="false">(P20+R20+T20+V20+X20+Z20+AB20+AD20+AF20+AH20+AJ20+AL20+AN20+AP20+AR20+AT20+AV20+AX20+AZ20+BB20)</f>
        <v>0.6</v>
      </c>
      <c r="BE20" s="322" t="n">
        <f aca="false">IF(AND(BD20=0,BH20=0),0,(ABS(P20)*Q20+ABS(R20)*S20+ABS(T20)*U20+ABS(V20)*W20+ABS(X20)*Y20+ABS(Z20)*AA20+ABS(AB20)*AC20+ABS(AD20)*AE20+ABS(AF20)*AG20+ABS(AH20)*AI20+ABS(AJ20)*AK20+ABS(AL20)*AM20+ABS(AN20)*AO20+ABS(AP20)*AQ20+ABS(AR20)*AS20+ABS(AT20)*AU20+ABS(AV20)*AW20+ABS(AX20)*AY20+ABS(AZ20)*BA20+ABS(BB20)*BC20)/BH20)</f>
        <v>3.360625</v>
      </c>
      <c r="BF20" s="102"/>
      <c r="BG20" s="103" t="n">
        <f aca="false">O20</f>
        <v>37438</v>
      </c>
      <c r="BH20" s="323" t="n">
        <f aca="false">(ABS(P20)+ABS(R20)+ABS(T20)+ABS(V20)+ABS(X20)+ABS(Z20)+ABS(AB20)+ABS(AD20)+ABS(AF20)+ABS(AH20)+ABS(AJ20)+ABS(AL20)+ABS(AN20)+ABS(AP20)+ABS(AR20)+ABS(AT20)+ABS(AV20)+ABS(AX20)+ABS(AZ20)+ABS(BB20))</f>
        <v>1.6</v>
      </c>
      <c r="BI20" s="104" t="n">
        <f aca="false">VLOOKUP(GasPosn!A20,'Pricing Summary'!$AB$12:$AD$250,3)</f>
        <v>31</v>
      </c>
      <c r="BJ20" s="102" t="n">
        <f aca="false">VLOOKUP(A20,Interest!$AF$8:$AK$367,6)</f>
        <v>0.982182258329788</v>
      </c>
      <c r="BK20" s="102"/>
      <c r="BL20" s="0" t="n">
        <f aca="false">J20*VLOOKUP(A20,NymexData!$J$12:$K$244,2)</f>
        <v>277224.505202876</v>
      </c>
      <c r="BO20" s="0" t="n">
        <f aca="false">Interest!AK16</f>
        <v>0.982182258329788</v>
      </c>
      <c r="BP20" s="0" t="n">
        <f aca="false">G20*Interest!AK16</f>
        <v>3.14298322665532</v>
      </c>
      <c r="BQ20" s="0" t="n">
        <f aca="false">IF(AND(A20&gt;=$B$3,A20&lt;=$B$4),1,0)</f>
        <v>0</v>
      </c>
      <c r="BR20" s="0" t="n">
        <f aca="false">BO20*BQ20</f>
        <v>0</v>
      </c>
      <c r="BS20" s="0" t="n">
        <f aca="false">BP20*BQ20</f>
        <v>0</v>
      </c>
    </row>
    <row r="21" customFormat="false" ht="18" hidden="false" customHeight="false" outlineLevel="0" collapsed="false">
      <c r="A21" s="112" t="n">
        <f aca="false">[2]EnergyCurve!$D43</f>
        <v>37469</v>
      </c>
      <c r="B21" s="324" t="n">
        <f aca="false" t="array" ref="B21:B21">SUM(IF(MONTH(NymexData!$AI$12:$AI$250)&amp;YEAR(NymexData!$AI$12:$AI$250)=MONTH(A21)&amp;YEAR(A21),NymexData!$AJ$12:$AJ$250))</f>
        <v>-316.33235584</v>
      </c>
      <c r="C21" s="325" t="n">
        <f aca="false">BD21*BJ21*BI21</f>
        <v>18.2280499671038</v>
      </c>
      <c r="D21" s="326" t="n">
        <f aca="false">C21+B21</f>
        <v>-298.104305872896</v>
      </c>
      <c r="E21" s="327" t="n">
        <f aca="false" t="array" ref="E21:E21">SUM(IF(MONTH(NymexData!$S$12:$S$250)&amp;YEAR(NymexData!$S$12:$S$250)=MONTH(A21)&amp;YEAR(A21),NymexData!$T$12:$T$250))</f>
        <v>3.301</v>
      </c>
      <c r="F21" s="327" t="n">
        <f aca="false">G21-E21</f>
        <v>-0.0660000000000003</v>
      </c>
      <c r="G21" s="328" t="n">
        <f aca="false" t="array" ref="G21:G21">IF(NymexData!$AA$12="",GasPosn!E21,SUM(IF(MONTH(NymexData!$AA$12:$AA$250)&amp;YEAR(NymexData!$AA$12:$AA$250)=MONTH(A21)&amp;YEAR(A21),NymexData!$AB$12:$AB$250)))</f>
        <v>3.235</v>
      </c>
      <c r="H21" s="115" t="n">
        <f aca="false">B21*10000*F21</f>
        <v>208779.354854401</v>
      </c>
      <c r="I21" s="119" t="n">
        <f aca="false">(((G21-Q21)*P21+(G21-S21)*R21+(G21-U21)*T21+(G21-W21)*V21+(G21-Y21)*X21+(G21-AA21)*Z21+(G21-AC21)*AB21+(G21-AE21)*AD21+(G21-AG21)*AF21+(G21-AI21)*AH21+(G21-AK21)*AJ21+(G21-AM21)*AL21+(G21-AO21)*AN21+(G21-AQ21)*AP21+(G21-AS21)*AR21+(G21-AU21)*AT21+(G21-AW21)*AV21+(G21-AY21)*AX21+(G21-BA21)*AZ21+(G21-BC21)*BB21)*BJ21*BI21)*10000</f>
        <v>-10936.8299802623</v>
      </c>
      <c r="J21" s="119" t="n">
        <f aca="false">H21+I21</f>
        <v>197842.524874139</v>
      </c>
      <c r="L21" s="329"/>
      <c r="M21" s="46"/>
      <c r="O21" s="95" t="n">
        <f aca="false">A21</f>
        <v>37469</v>
      </c>
      <c r="P21" s="0" t="n">
        <v>-0.5</v>
      </c>
      <c r="Q21" s="0" t="n">
        <v>3.4</v>
      </c>
      <c r="R21" s="0" t="n">
        <v>0.5</v>
      </c>
      <c r="S21" s="0" t="n">
        <v>3.38</v>
      </c>
      <c r="T21" s="0" t="n">
        <v>0.1</v>
      </c>
      <c r="U21" s="0" t="n">
        <v>3.295</v>
      </c>
      <c r="V21" s="0" t="n">
        <v>0.5</v>
      </c>
      <c r="W21" s="0" t="n">
        <v>3.315</v>
      </c>
      <c r="BD21" s="100" t="n">
        <f aca="false">(P21+R21+T21+V21+X21+Z21+AB21+AD21+AF21+AH21+AJ21+AL21+AN21+AP21+AR21+AT21+AV21+AX21+AZ21+BB21)</f>
        <v>0.6</v>
      </c>
      <c r="BE21" s="322" t="n">
        <f aca="false">IF(AND(BD21=0,BH21=0),0,(ABS(P21)*Q21+ABS(R21)*S21+ABS(T21)*U21+ABS(V21)*W21+ABS(X21)*Y21+ABS(Z21)*AA21+ABS(AB21)*AC21+ABS(AD21)*AE21+ABS(AF21)*AG21+ABS(AH21)*AI21+ABS(AJ21)*AK21+ABS(AL21)*AM21+ABS(AN21)*AO21+ABS(AP21)*AQ21+ABS(AR21)*AS21+ABS(AT21)*AU21+ABS(AV21)*AW21+ABS(AX21)*AY21+ABS(AZ21)*BA21+ABS(BB21)*BC21)/BH21)</f>
        <v>3.360625</v>
      </c>
      <c r="BF21" s="102"/>
      <c r="BG21" s="103" t="n">
        <f aca="false">O21</f>
        <v>37469</v>
      </c>
      <c r="BH21" s="323" t="n">
        <f aca="false">(ABS(P21)+ABS(R21)+ABS(T21)+ABS(V21)+ABS(X21)+ABS(Z21)+ABS(AB21)+ABS(AD21)+ABS(AF21)+ABS(AH21)+ABS(AJ21)+ABS(AL21)+ABS(AN21)+ABS(AP21)+ABS(AR21)+ABS(AT21)+ABS(AV21)+ABS(AX21)+ABS(AZ21)+ABS(BB21))</f>
        <v>1.6</v>
      </c>
      <c r="BI21" s="104" t="n">
        <f aca="false">VLOOKUP(GasPosn!A21,'Pricing Summary'!$AB$12:$AD$250,3)</f>
        <v>31</v>
      </c>
      <c r="BJ21" s="102" t="n">
        <f aca="false">VLOOKUP(A21,Interest!$AF$8:$AK$367,6)</f>
        <v>0.980002686403429</v>
      </c>
      <c r="BK21" s="102"/>
      <c r="BL21" s="0" t="n">
        <f aca="false">J21*VLOOKUP(A21,NymexData!$J$12:$K$244,2)</f>
        <v>311579.230282135</v>
      </c>
      <c r="BO21" s="0" t="n">
        <f aca="false">Interest!AK17</f>
        <v>0.980002686403429</v>
      </c>
      <c r="BP21" s="0" t="n">
        <f aca="false">G21*Interest!AK17</f>
        <v>3.17030869051509</v>
      </c>
      <c r="BQ21" s="0" t="n">
        <f aca="false">IF(AND(A21&gt;=$B$3,A21&lt;=$B$4),1,0)</f>
        <v>0</v>
      </c>
      <c r="BR21" s="0" t="n">
        <f aca="false">BO21*BQ21</f>
        <v>0</v>
      </c>
      <c r="BS21" s="0" t="n">
        <f aca="false">BP21*BQ21</f>
        <v>0</v>
      </c>
    </row>
    <row r="22" customFormat="false" ht="18" hidden="false" customHeight="false" outlineLevel="0" collapsed="false">
      <c r="A22" s="75" t="n">
        <f aca="false">[2]EnergyCurve!$D44</f>
        <v>37500</v>
      </c>
      <c r="B22" s="317" t="n">
        <f aca="false" t="array" ref="B22:B22">SUM(IF(MONTH(NymexData!$AI$12:$AI$250)&amp;YEAR(NymexData!$AI$12:$AI$250)=MONTH(A22)&amp;YEAR(A22),NymexData!$AJ$12:$AJ$250))</f>
        <v>-305.44349646</v>
      </c>
      <c r="C22" s="317" t="n">
        <f aca="false">BD22*BJ22*BI22</f>
        <v>17.6011492778576</v>
      </c>
      <c r="D22" s="319" t="n">
        <f aca="false">C22+B22</f>
        <v>-287.842347182142</v>
      </c>
      <c r="E22" s="320" t="n">
        <f aca="false" t="array" ref="E22:E22">SUM(IF(MONTH(NymexData!$S$12:$S$250)&amp;YEAR(NymexData!$S$12:$S$250)=MONTH(A22)&amp;YEAR(A22),NymexData!$T$12:$T$250))</f>
        <v>3.301</v>
      </c>
      <c r="F22" s="320" t="n">
        <f aca="false">G22-E22</f>
        <v>-0.0660000000000003</v>
      </c>
      <c r="G22" s="321" t="n">
        <f aca="false" t="array" ref="G22:G22">IF(NymexData!$AA$12="",GasPosn!E22,SUM(IF(MONTH(NymexData!$AA$12:$AA$250)&amp;YEAR(NymexData!$AA$12:$AA$250)=MONTH(A22)&amp;YEAR(A22),NymexData!$AB$12:$AB$250)))</f>
        <v>3.235</v>
      </c>
      <c r="H22" s="76" t="n">
        <f aca="false">B22*10000*F22</f>
        <v>201592.707663601</v>
      </c>
      <c r="I22" s="82" t="n">
        <f aca="false">(((G22-Q22)*P22+(G22-S22)*R22+(G22-U22)*T22+(G22-W22)*V22+(G22-Y22)*X22+(G22-AA22)*Z22+(G22-AC22)*AB22+(G22-AE22)*AD22+(G22-AG22)*AF22+(G22-AI22)*AH22+(G22-AK22)*AJ22+(G22-AM22)*AL22+(G22-AO22)*AN22+(G22-AQ22)*AP22+(G22-AS22)*AR22+(G22-AU22)*AT22+(G22-AW22)*AV22+(G22-AY22)*AX22+(G22-BA22)*AZ22+(G22-BC22)*BB22)*BJ22*BI22)*10000</f>
        <v>-10560.6895667145</v>
      </c>
      <c r="J22" s="82" t="n">
        <f aca="false">H22+I22</f>
        <v>191032.018096886</v>
      </c>
      <c r="L22" s="329"/>
      <c r="M22" s="46"/>
      <c r="O22" s="95" t="n">
        <f aca="false">A22</f>
        <v>37500</v>
      </c>
      <c r="P22" s="0" t="n">
        <v>-0.5</v>
      </c>
      <c r="Q22" s="0" t="n">
        <v>3.4</v>
      </c>
      <c r="R22" s="0" t="n">
        <v>0.5</v>
      </c>
      <c r="S22" s="0" t="n">
        <v>3.38</v>
      </c>
      <c r="T22" s="0" t="n">
        <v>0.1</v>
      </c>
      <c r="U22" s="0" t="n">
        <v>3.295</v>
      </c>
      <c r="V22" s="0" t="n">
        <v>0.5</v>
      </c>
      <c r="W22" s="0" t="n">
        <v>3.315</v>
      </c>
      <c r="BD22" s="100" t="n">
        <f aca="false">(P22+R22+T22+V22+X22+Z22+AB22+AD22+AF22+AH22+AJ22+AL22+AN22+AP22+AR22+AT22+AV22+AX22+AZ22+BB22)</f>
        <v>0.6</v>
      </c>
      <c r="BE22" s="322" t="n">
        <f aca="false">IF(AND(BD22=0,BH22=0),0,(ABS(P22)*Q22+ABS(R22)*S22+ABS(T22)*U22+ABS(V22)*W22+ABS(X22)*Y22+ABS(Z22)*AA22+ABS(AB22)*AC22+ABS(AD22)*AE22+ABS(AF22)*AG22+ABS(AH22)*AI22+ABS(AJ22)*AK22+ABS(AL22)*AM22+ABS(AN22)*AO22+ABS(AP22)*AQ22+ABS(AR22)*AS22+ABS(AT22)*AU22+ABS(AV22)*AW22+ABS(AX22)*AY22+ABS(AZ22)*BA22+ABS(BB22)*BC22)/BH22)</f>
        <v>3.360625</v>
      </c>
      <c r="BF22" s="102"/>
      <c r="BG22" s="103" t="n">
        <f aca="false">O22</f>
        <v>37500</v>
      </c>
      <c r="BH22" s="323" t="n">
        <f aca="false">(ABS(P22)+ABS(R22)+ABS(T22)+ABS(V22)+ABS(X22)+ABS(Z22)+ABS(AB22)+ABS(AD22)+ABS(AF22)+ABS(AH22)+ABS(AJ22)+ABS(AL22)+ABS(AN22)+ABS(AP22)+ABS(AR22)+ABS(AT22)+ABS(AV22)+ABS(AX22)+ABS(AZ22)+ABS(BB22))</f>
        <v>1.6</v>
      </c>
      <c r="BI22" s="104" t="n">
        <f aca="false">VLOOKUP(GasPosn!A22,'Pricing Summary'!$AB$12:$AD$250,3)</f>
        <v>30</v>
      </c>
      <c r="BJ22" s="102" t="n">
        <f aca="false">VLOOKUP(A22,Interest!$AF$8:$AK$367,6)</f>
        <v>0.977841626547643</v>
      </c>
      <c r="BK22" s="102"/>
      <c r="BL22" s="0" t="n">
        <f aca="false">J22*VLOOKUP(A22,NymexData!$J$12:$K$244,2)</f>
        <v>300856.711887406</v>
      </c>
      <c r="BO22" s="0" t="n">
        <f aca="false">Interest!AK18</f>
        <v>0.977841626547643</v>
      </c>
      <c r="BP22" s="0" t="n">
        <f aca="false">G22*Interest!AK18</f>
        <v>3.16331766188162</v>
      </c>
      <c r="BQ22" s="0" t="n">
        <f aca="false">IF(AND(A22&gt;=$B$3,A22&lt;=$B$4),1,0)</f>
        <v>0</v>
      </c>
      <c r="BR22" s="0" t="n">
        <f aca="false">BO22*BQ22</f>
        <v>0</v>
      </c>
      <c r="BS22" s="0" t="n">
        <f aca="false">BP22*BQ22</f>
        <v>0</v>
      </c>
    </row>
    <row r="23" customFormat="false" ht="18" hidden="false" customHeight="false" outlineLevel="0" collapsed="false">
      <c r="A23" s="112" t="n">
        <f aca="false">[2]EnergyCurve!$D45</f>
        <v>37530</v>
      </c>
      <c r="B23" s="324" t="n">
        <f aca="false" t="array" ref="B23:B23">SUM(IF(MONTH(NymexData!$AI$12:$AI$250)&amp;YEAR(NymexData!$AI$12:$AI$250)=MONTH(A23)&amp;YEAR(A23),NymexData!$AJ$12:$AJ$250))</f>
        <v>-102.94844159</v>
      </c>
      <c r="C23" s="325" t="n">
        <f aca="false">BD23*BJ23*BI23</f>
        <v>18.14439035704</v>
      </c>
      <c r="D23" s="326" t="n">
        <f aca="false">C23+B23</f>
        <v>-84.80405123296</v>
      </c>
      <c r="E23" s="327" t="n">
        <f aca="false" t="array" ref="E23:E23">SUM(IF(MONTH(NymexData!$S$12:$S$250)&amp;YEAR(NymexData!$S$12:$S$250)=MONTH(A23)&amp;YEAR(A23),NymexData!$T$12:$T$250))</f>
        <v>3.331</v>
      </c>
      <c r="F23" s="327" t="n">
        <f aca="false">G23-E23</f>
        <v>-0.0659999999999998</v>
      </c>
      <c r="G23" s="328" t="n">
        <f aca="false" t="array" ref="G23:G23">IF(NymexData!$AA$12="",GasPosn!E23,SUM(IF(MONTH(NymexData!$AA$12:$AA$250)&amp;YEAR(NymexData!$AA$12:$AA$250)=MONTH(A23)&amp;YEAR(A23),NymexData!$AB$12:$AB$250)))</f>
        <v>3.265</v>
      </c>
      <c r="H23" s="115" t="n">
        <f aca="false">B23*10000*F23</f>
        <v>67945.9714493998</v>
      </c>
      <c r="I23" s="119" t="n">
        <f aca="false">(((G23-Q23)*P23+(G23-S23)*R23+(G23-U23)*T23+(G23-W23)*V23+(G23-Y23)*X23+(G23-AA23)*Z23+(G23-AC23)*AB23+(G23-AE23)*AD23+(G23-AG23)*AF23+(G23-AI23)*AH23+(G23-AK23)*AJ23+(G23-AM23)*AL23+(G23-AO23)*AN23+(G23-AQ23)*AP23+(G23-AS23)*AR23+(G23-AU23)*AT23+(G23-AW23)*AV23+(G23-AY23)*AX23+(G23-BA23)*AZ23+(G23-BC23)*BB23)*BJ23*BI23)*10000</f>
        <v>-5443.31710711196</v>
      </c>
      <c r="J23" s="119" t="n">
        <f aca="false">H23+I23</f>
        <v>62502.6543422879</v>
      </c>
      <c r="L23" s="329"/>
      <c r="M23" s="46"/>
      <c r="O23" s="95" t="n">
        <f aca="false">A23</f>
        <v>37530</v>
      </c>
      <c r="P23" s="0" t="n">
        <v>-0.5</v>
      </c>
      <c r="Q23" s="0" t="n">
        <v>3.4</v>
      </c>
      <c r="R23" s="0" t="n">
        <v>0.5</v>
      </c>
      <c r="S23" s="0" t="n">
        <v>3.38</v>
      </c>
      <c r="T23" s="0" t="n">
        <v>0.1</v>
      </c>
      <c r="U23" s="0" t="n">
        <v>3.295</v>
      </c>
      <c r="V23" s="0" t="n">
        <v>0.5</v>
      </c>
      <c r="W23" s="0" t="n">
        <v>3.315</v>
      </c>
      <c r="BD23" s="100" t="n">
        <f aca="false">(P23+R23+T23+V23+X23+Z23+AB23+AD23+AF23+AH23+AJ23+AL23+AN23+AP23+AR23+AT23+AV23+AX23+AZ23+BB23)</f>
        <v>0.6</v>
      </c>
      <c r="BE23" s="322" t="n">
        <f aca="false">IF(AND(BD23=0,BH23=0),0,(ABS(P23)*Q23+ABS(R23)*S23+ABS(T23)*U23+ABS(V23)*W23+ABS(X23)*Y23+ABS(Z23)*AA23+ABS(AB23)*AC23+ABS(AD23)*AE23+ABS(AF23)*AG23+ABS(AH23)*AI23+ABS(AJ23)*AK23+ABS(AL23)*AM23+ABS(AN23)*AO23+ABS(AP23)*AQ23+ABS(AR23)*AS23+ABS(AT23)*AU23+ABS(AV23)*AW23+ABS(AX23)*AY23+ABS(AZ23)*BA23+ABS(BB23)*BC23)/BH23)</f>
        <v>3.360625</v>
      </c>
      <c r="BF23" s="102"/>
      <c r="BG23" s="103" t="n">
        <f aca="false">O23</f>
        <v>37530</v>
      </c>
      <c r="BH23" s="323" t="n">
        <f aca="false">(ABS(P23)+ABS(R23)+ABS(T23)+ABS(V23)+ABS(X23)+ABS(Z23)+ABS(AB23)+ABS(AD23)+ABS(AF23)+ABS(AH23)+ABS(AJ23)+ABS(AL23)+ABS(AN23)+ABS(AP23)+ABS(AR23)+ABS(AT23)+ABS(AV23)+ABS(AX23)+ABS(AZ23)+ABS(BB23))</f>
        <v>1.6</v>
      </c>
      <c r="BI23" s="104" t="n">
        <f aca="false">VLOOKUP(GasPosn!A23,'Pricing Summary'!$AB$12:$AD$250,3)</f>
        <v>31</v>
      </c>
      <c r="BJ23" s="102" t="n">
        <f aca="false">VLOOKUP(A23,Interest!$AF$8:$AK$367,6)</f>
        <v>0.975504857905375</v>
      </c>
      <c r="BK23" s="102"/>
      <c r="BL23" s="0" t="n">
        <f aca="false">J23*VLOOKUP(A23,NymexData!$J$12:$K$244,2)</f>
        <v>98437.6599605317</v>
      </c>
      <c r="BO23" s="0" t="n">
        <f aca="false">Interest!AK19</f>
        <v>0.975504857905375</v>
      </c>
      <c r="BP23" s="0" t="n">
        <f aca="false">G23*Interest!AK19</f>
        <v>3.18502336106105</v>
      </c>
      <c r="BQ23" s="0" t="n">
        <f aca="false">IF(AND(A23&gt;=$B$3,A23&lt;=$B$4),1,0)</f>
        <v>0</v>
      </c>
      <c r="BR23" s="0" t="n">
        <f aca="false">BO23*BQ23</f>
        <v>0</v>
      </c>
      <c r="BS23" s="0" t="n">
        <f aca="false">BP23*BQ23</f>
        <v>0</v>
      </c>
    </row>
    <row r="24" customFormat="false" ht="18" hidden="false" customHeight="false" outlineLevel="0" collapsed="false">
      <c r="A24" s="75" t="n">
        <f aca="false">[2]EnergyCurve!$D46</f>
        <v>37561</v>
      </c>
      <c r="B24" s="317" t="n">
        <f aca="false" t="array" ref="B24:B24">SUM(IF(MONTH(NymexData!$AI$12:$AI$250)&amp;YEAR(NymexData!$AI$12:$AI$250)=MONTH(A24)&amp;YEAR(A24),NymexData!$AJ$12:$AJ$250))</f>
        <v>-90.60639904</v>
      </c>
      <c r="C24" s="317" t="n">
        <f aca="false">BD24*BJ24*BI24</f>
        <v>17.5148217092771</v>
      </c>
      <c r="D24" s="319" t="n">
        <f aca="false">C24+B24</f>
        <v>-73.0915773307229</v>
      </c>
      <c r="E24" s="320" t="n">
        <f aca="false" t="array" ref="E24:E24">SUM(IF(MONTH(NymexData!$S$12:$S$250)&amp;YEAR(NymexData!$S$12:$S$250)=MONTH(A24)&amp;YEAR(A24),NymexData!$T$12:$T$250))</f>
        <v>3.506</v>
      </c>
      <c r="F24" s="320" t="n">
        <f aca="false">G24-E24</f>
        <v>-0.073</v>
      </c>
      <c r="G24" s="321" t="n">
        <f aca="false" t="array" ref="G24:G24">IF(NymexData!$AA$12="",GasPosn!E24,SUM(IF(MONTH(NymexData!$AA$12:$AA$250)&amp;YEAR(NymexData!$AA$12:$AA$250)=MONTH(A24)&amp;YEAR(A24),NymexData!$AB$12:$AB$250)))</f>
        <v>3.433</v>
      </c>
      <c r="H24" s="76" t="n">
        <f aca="false">B24*10000*F24</f>
        <v>66142.6712992</v>
      </c>
      <c r="I24" s="82" t="n">
        <f aca="false">(((G24-Q24)*P24+(G24-S24)*R24+(G24-U24)*T24+(G24-W24)*V24+(G24-Y24)*X24+(G24-AA24)*Z24+(G24-AC24)*AB24+(G24-AE24)*AD24+(G24-AG24)*AF24+(G24-AI24)*AH24+(G24-AK24)*AJ24+(G24-AM24)*AL24+(G24-AO24)*AN24+(G24-AQ24)*AP24+(G24-AS24)*AR24+(G24-AU24)*AT24+(G24-AW24)*AV24+(G24-AY24)*AX24+(G24-BA24)*AZ24+(G24-BC24)*BB24)*BJ24*BI24)*10000</f>
        <v>24170.4539588025</v>
      </c>
      <c r="J24" s="82" t="n">
        <f aca="false">H24+I24</f>
        <v>90313.1252580024</v>
      </c>
      <c r="L24" s="329"/>
      <c r="M24" s="46"/>
      <c r="O24" s="95" t="n">
        <f aca="false">A24</f>
        <v>37561</v>
      </c>
      <c r="P24" s="0" t="n">
        <v>-0.5</v>
      </c>
      <c r="Q24" s="0" t="n">
        <v>3.4</v>
      </c>
      <c r="R24" s="0" t="n">
        <v>0.5</v>
      </c>
      <c r="S24" s="0" t="n">
        <v>3.38</v>
      </c>
      <c r="T24" s="0" t="n">
        <v>0.1</v>
      </c>
      <c r="U24" s="0" t="n">
        <v>3.295</v>
      </c>
      <c r="V24" s="0" t="n">
        <v>0.5</v>
      </c>
      <c r="W24" s="0" t="n">
        <v>3.315</v>
      </c>
      <c r="BD24" s="100" t="n">
        <f aca="false">(P24+R24+T24+V24+X24+Z24+AB24+AD24+AF24+AH24+AJ24+AL24+AN24+AP24+AR24+AT24+AV24+AX24+AZ24+BB24)</f>
        <v>0.6</v>
      </c>
      <c r="BE24" s="322" t="n">
        <f aca="false">IF(AND(BD24=0,BH24=0),0,(ABS(P24)*Q24+ABS(R24)*S24+ABS(T24)*U24+ABS(V24)*W24+ABS(X24)*Y24+ABS(Z24)*AA24+ABS(AB24)*AC24+ABS(AD24)*AE24+ABS(AF24)*AG24+ABS(AH24)*AI24+ABS(AJ24)*AK24+ABS(AL24)*AM24+ABS(AN24)*AO24+ABS(AP24)*AQ24+ABS(AR24)*AS24+ABS(AT24)*AU24+ABS(AV24)*AW24+ABS(AX24)*AY24+ABS(AZ24)*BA24+ABS(BB24)*BC24)/BH24)</f>
        <v>3.360625</v>
      </c>
      <c r="BF24" s="102"/>
      <c r="BG24" s="103" t="n">
        <f aca="false">O24</f>
        <v>37561</v>
      </c>
      <c r="BH24" s="323" t="n">
        <f aca="false">(ABS(P24)+ABS(R24)+ABS(T24)+ABS(V24)+ABS(X24)+ABS(Z24)+ABS(AB24)+ABS(AD24)+ABS(AF24)+ABS(AH24)+ABS(AJ24)+ABS(AL24)+ABS(AN24)+ABS(AP24)+ABS(AR24)+ABS(AT24)+ABS(AV24)+ABS(AX24)+ABS(AZ24)+ABS(BB24))</f>
        <v>1.6</v>
      </c>
      <c r="BI24" s="104" t="n">
        <f aca="false">VLOOKUP(GasPosn!A24,'Pricing Summary'!$AB$12:$AD$250,3)</f>
        <v>30</v>
      </c>
      <c r="BJ24" s="102" t="n">
        <f aca="false">VLOOKUP(A24,Interest!$AF$8:$AK$367,6)</f>
        <v>0.973045650515394</v>
      </c>
      <c r="BK24" s="102"/>
      <c r="BL24" s="0" t="n">
        <f aca="false">J24*VLOOKUP(A24,NymexData!$J$12:$K$244,2)</f>
        <v>142240.289360423</v>
      </c>
      <c r="BO24" s="0" t="n">
        <f aca="false">Interest!AK20</f>
        <v>0.973045650515394</v>
      </c>
      <c r="BP24" s="0" t="n">
        <f aca="false">G24*Interest!AK20</f>
        <v>3.34046571821935</v>
      </c>
      <c r="BQ24" s="0" t="n">
        <f aca="false">IF(AND(A24&gt;=$B$3,A24&lt;=$B$4),1,0)</f>
        <v>0</v>
      </c>
      <c r="BR24" s="0" t="n">
        <f aca="false">BO24*BQ24</f>
        <v>0</v>
      </c>
      <c r="BS24" s="0" t="n">
        <f aca="false">BP24*BQ24</f>
        <v>0</v>
      </c>
    </row>
    <row r="25" customFormat="false" ht="18" hidden="false" customHeight="false" outlineLevel="0" collapsed="false">
      <c r="A25" s="112" t="n">
        <f aca="false">[2]EnergyCurve!$D47</f>
        <v>37591</v>
      </c>
      <c r="B25" s="324" t="n">
        <f aca="false" t="array" ref="B25:B25">SUM(IF(MONTH(NymexData!$AI$12:$AI$250)&amp;YEAR(NymexData!$AI$12:$AI$250)=MONTH(A25)&amp;YEAR(A25),NymexData!$AJ$12:$AJ$250))</f>
        <v>-93.39071722</v>
      </c>
      <c r="C25" s="325" t="n">
        <f aca="false">BD25*BJ25*BI25</f>
        <v>18.0506733008459</v>
      </c>
      <c r="D25" s="326" t="n">
        <f aca="false">C25+B25</f>
        <v>-75.3400439191541</v>
      </c>
      <c r="E25" s="327" t="n">
        <f aca="false" t="array" ref="E25:E25">SUM(IF(MONTH(NymexData!$S$12:$S$250)&amp;YEAR(NymexData!$S$12:$S$250)=MONTH(A25)&amp;YEAR(A25),NymexData!$T$12:$T$250))</f>
        <v>3.706</v>
      </c>
      <c r="F25" s="327" t="n">
        <f aca="false">G25-E25</f>
        <v>-0.0839999999999996</v>
      </c>
      <c r="G25" s="328" t="n">
        <f aca="false" t="array" ref="G25:G25">IF(NymexData!$AA$12="",GasPosn!E25,SUM(IF(MONTH(NymexData!$AA$12:$AA$250)&amp;YEAR(NymexData!$AA$12:$AA$250)=MONTH(A25)&amp;YEAR(A25),NymexData!$AB$12:$AB$250)))</f>
        <v>3.622</v>
      </c>
      <c r="H25" s="115" t="n">
        <f aca="false">B25*10000*F25</f>
        <v>78448.2024647997</v>
      </c>
      <c r="I25" s="119" t="n">
        <f aca="false">(((G25-Q25)*P25+(G25-S25)*R25+(G25-U25)*T25+(G25-W25)*V25+(G25-Y25)*X25+(G25-AA25)*Z25+(G25-AC25)*AB25+(G25-AE25)*AD25+(G25-AG25)*AF25+(G25-AI25)*AH25+(G25-AK25)*AJ25+(G25-AM25)*AL25+(G25-AO25)*AN25+(G25-AQ25)*AP25+(G25-AS25)*AR25+(G25-AU25)*AT25+(G25-AW25)*AV25+(G25-AY25)*AX25+(G25-BA25)*AZ25+(G25-BC25)*BB25)*BJ25*BI25)*10000</f>
        <v>59025.7016937662</v>
      </c>
      <c r="J25" s="119" t="n">
        <f aca="false">H25+I25</f>
        <v>137473.904158566</v>
      </c>
      <c r="L25" s="329"/>
      <c r="M25" s="46"/>
      <c r="O25" s="95" t="n">
        <f aca="false">A25</f>
        <v>37591</v>
      </c>
      <c r="P25" s="0" t="n">
        <v>-0.5</v>
      </c>
      <c r="Q25" s="0" t="n">
        <v>3.4</v>
      </c>
      <c r="R25" s="0" t="n">
        <v>0.5</v>
      </c>
      <c r="S25" s="0" t="n">
        <v>3.38</v>
      </c>
      <c r="T25" s="0" t="n">
        <v>0.1</v>
      </c>
      <c r="U25" s="0" t="n">
        <v>3.295</v>
      </c>
      <c r="V25" s="0" t="n">
        <v>0.5</v>
      </c>
      <c r="W25" s="0" t="n">
        <v>3.315</v>
      </c>
      <c r="BD25" s="100" t="n">
        <f aca="false">(P25+R25+T25+V25+X25+Z25+AB25+AD25+AF25+AH25+AJ25+AL25+AN25+AP25+AR25+AT25+AV25+AX25+AZ25+BB25)</f>
        <v>0.6</v>
      </c>
      <c r="BE25" s="322" t="n">
        <f aca="false">IF(AND(BD25=0,BH25=0),0,(ABS(P25)*Q25+ABS(R25)*S25+ABS(T25)*U25+ABS(V25)*W25+ABS(X25)*Y25+ABS(Z25)*AA25+ABS(AB25)*AC25+ABS(AD25)*AE25+ABS(AF25)*AG25+ABS(AH25)*AI25+ABS(AJ25)*AK25+ABS(AL25)*AM25+ABS(AN25)*AO25+ABS(AP25)*AQ25+ABS(AR25)*AS25+ABS(AT25)*AU25+ABS(AV25)*AW25+ABS(AX25)*AY25+ABS(AZ25)*BA25+ABS(BB25)*BC25)/BH25)</f>
        <v>3.360625</v>
      </c>
      <c r="BF25" s="102"/>
      <c r="BG25" s="103" t="n">
        <f aca="false">O25</f>
        <v>37591</v>
      </c>
      <c r="BH25" s="323" t="n">
        <f aca="false">(ABS(P25)+ABS(R25)+ABS(T25)+ABS(V25)+ABS(X25)+ABS(Z25)+ABS(AB25)+ABS(AD25)+ABS(AF25)+ABS(AH25)+ABS(AJ25)+ABS(AL25)+ABS(AN25)+ABS(AP25)+ABS(AR25)+ABS(AT25)+ABS(AV25)+ABS(AX25)+ABS(AZ25)+ABS(BB25))</f>
        <v>1.6</v>
      </c>
      <c r="BI25" s="104" t="n">
        <f aca="false">VLOOKUP(GasPosn!A25,'Pricing Summary'!$AB$12:$AD$250,3)</f>
        <v>31</v>
      </c>
      <c r="BJ25" s="102" t="n">
        <f aca="false">VLOOKUP(A25,Interest!$AF$8:$AK$367,6)</f>
        <v>0.970466306497091</v>
      </c>
      <c r="BK25" s="102"/>
      <c r="BL25" s="0" t="n">
        <f aca="false">J25*VLOOKUP(A25,NymexData!$J$12:$K$244,2)</f>
        <v>216518.195740033</v>
      </c>
      <c r="BO25" s="0" t="n">
        <f aca="false">Interest!AK21</f>
        <v>0.970466306497091</v>
      </c>
      <c r="BP25" s="0" t="n">
        <f aca="false">G25*Interest!AK21</f>
        <v>3.51502896213247</v>
      </c>
      <c r="BQ25" s="0" t="n">
        <f aca="false">IF(AND(A25&gt;=$B$3,A25&lt;=$B$4),1,0)</f>
        <v>0</v>
      </c>
      <c r="BR25" s="0" t="n">
        <f aca="false">BO25*BQ25</f>
        <v>0</v>
      </c>
      <c r="BS25" s="0" t="n">
        <f aca="false">BP25*BQ25</f>
        <v>0</v>
      </c>
    </row>
    <row r="26" customFormat="false" ht="18" hidden="false" customHeight="false" outlineLevel="0" collapsed="false">
      <c r="A26" s="75" t="n">
        <f aca="false">[2]EnergyCurve!$D48</f>
        <v>37622</v>
      </c>
      <c r="B26" s="317" t="n">
        <f aca="false" t="array" ref="B26:B26">SUM(IF(MONTH(NymexData!$AI$12:$AI$250)&amp;YEAR(NymexData!$AI$12:$AI$250)=MONTH(A26)&amp;YEAR(A26),NymexData!$AJ$12:$AJ$250))</f>
        <v>-371.02064608</v>
      </c>
      <c r="C26" s="317" t="n">
        <f aca="false">BD26*BJ26*BI26</f>
        <v>0</v>
      </c>
      <c r="D26" s="319" t="n">
        <f aca="false">C26+B26</f>
        <v>-371.02064608</v>
      </c>
      <c r="E26" s="320" t="n">
        <f aca="false" t="array" ref="E26:E26">SUM(IF(MONTH(NymexData!$S$12:$S$250)&amp;YEAR(NymexData!$S$12:$S$250)=MONTH(A26)&amp;YEAR(A26),NymexData!$T$12:$T$250))</f>
        <v>3.831</v>
      </c>
      <c r="F26" s="320" t="n">
        <f aca="false">G26-E26</f>
        <v>-0.0840000000000001</v>
      </c>
      <c r="G26" s="321" t="n">
        <f aca="false" t="array" ref="G26:G26">IF(NymexData!$AA$12="",GasPosn!E26,SUM(IF(MONTH(NymexData!$AA$12:$AA$250)&amp;YEAR(NymexData!$AA$12:$AA$250)=MONTH(A26)&amp;YEAR(A26),NymexData!$AB$12:$AB$250)))</f>
        <v>3.747</v>
      </c>
      <c r="H26" s="76" t="n">
        <f aca="false">B26*10000*F26</f>
        <v>311657.3427072</v>
      </c>
      <c r="I26" s="82" t="n">
        <f aca="false">(((G26-Q26)*P26+(G26-S26)*R26+(G26-U26)*T26+(G26-W26)*V26+(G26-Y26)*X26+(G26-AA26)*Z26+(G26-AC26)*AB26+(G26-AE26)*AD26+(G26-AG26)*AF26+(G26-AI26)*AH26+(G26-AK26)*AJ26+(G26-AM26)*AL26+(G26-AO26)*AN26+(G26-AQ26)*AP26+(G26-AS26)*AR26+(G26-AU26)*AT26+(G26-AW26)*AV26+(G26-AY26)*AX26+(G26-BA26)*AZ26+(G26-BC26)*BB26)*BJ26*BI26)*10000</f>
        <v>0</v>
      </c>
      <c r="J26" s="82" t="n">
        <f aca="false">H26+I26</f>
        <v>311657.3427072</v>
      </c>
      <c r="L26" s="329"/>
      <c r="M26" s="46"/>
      <c r="O26" s="95" t="n">
        <f aca="false">A26</f>
        <v>37622</v>
      </c>
      <c r="BD26" s="100" t="n">
        <f aca="false">(P26+R26+T26+V26+X26+Z26+AB26+AD26+AF26+AH26+AJ26+AL26+AN26+AP26+AR26+AT26+AV26+AX26+AZ26+BB26)</f>
        <v>0</v>
      </c>
      <c r="BE26" s="322" t="n">
        <f aca="false">IF(AND(BD26=0,BH26=0),0,(ABS(P26)*Q26+ABS(R26)*S26+ABS(T26)*U26+ABS(V26)*W26+ABS(X26)*Y26+ABS(Z26)*AA26+ABS(AB26)*AC26+ABS(AD26)*AE26+ABS(AF26)*AG26+ABS(AH26)*AI26+ABS(AJ26)*AK26+ABS(AL26)*AM26+ABS(AN26)*AO26+ABS(AP26)*AQ26+ABS(AR26)*AS26+ABS(AT26)*AU26+ABS(AV26)*AW26+ABS(AX26)*AY26+ABS(AZ26)*BA26+ABS(BB26)*BC26)/BH26)</f>
        <v>0</v>
      </c>
      <c r="BF26" s="102"/>
      <c r="BG26" s="103" t="n">
        <f aca="false">O26</f>
        <v>37622</v>
      </c>
      <c r="BH26" s="323" t="n">
        <f aca="false">(ABS(P26)+ABS(R26)+ABS(T26)+ABS(V26)+ABS(X26)+ABS(Z26)+ABS(AB26)+ABS(AD26)+ABS(AF26)+ABS(AH26)+ABS(AJ26)+ABS(AL26)+ABS(AN26)+ABS(AP26)+ABS(AR26)+ABS(AT26)+ABS(AV26)+ABS(AX26)+ABS(AZ26)+ABS(BB26))</f>
        <v>0</v>
      </c>
      <c r="BI26" s="104" t="n">
        <f aca="false">VLOOKUP(GasPosn!A26,'Pricing Summary'!$AB$12:$AD$250,3)</f>
        <v>31</v>
      </c>
      <c r="BJ26" s="102" t="n">
        <f aca="false">VLOOKUP(A26,Interest!$AF$8:$AK$367,6)</f>
        <v>0.967723569510139</v>
      </c>
      <c r="BK26" s="102"/>
      <c r="BL26" s="0" t="n">
        <f aca="false">J26*VLOOKUP(A26,NymexData!$J$12:$K$244,2)</f>
        <v>490874.424695029</v>
      </c>
      <c r="BO26" s="0" t="n">
        <f aca="false">Interest!AK22</f>
        <v>0.967723569510139</v>
      </c>
      <c r="BP26" s="0" t="n">
        <f aca="false">G26*Interest!AK22</f>
        <v>3.62606021495449</v>
      </c>
      <c r="BQ26" s="0" t="n">
        <f aca="false">IF(AND(A26&gt;=$B$3,A26&lt;=$B$4),1,0)</f>
        <v>0</v>
      </c>
      <c r="BR26" s="0" t="n">
        <f aca="false">BO26*BQ26</f>
        <v>0</v>
      </c>
      <c r="BS26" s="0" t="n">
        <f aca="false">BP26*BQ26</f>
        <v>0</v>
      </c>
    </row>
    <row r="27" customFormat="false" ht="18" hidden="false" customHeight="false" outlineLevel="0" collapsed="false">
      <c r="A27" s="112" t="n">
        <f aca="false">[2]EnergyCurve!$D49</f>
        <v>37653</v>
      </c>
      <c r="B27" s="324" t="n">
        <f aca="false" t="array" ref="B27:B27">SUM(IF(MONTH(NymexData!$AI$12:$AI$250)&amp;YEAR(NymexData!$AI$12:$AI$250)=MONTH(A27)&amp;YEAR(A27),NymexData!$AJ$12:$AJ$250))</f>
        <v>-334.11575957</v>
      </c>
      <c r="C27" s="325" t="n">
        <f aca="false">BD27*BJ27*BI27</f>
        <v>0</v>
      </c>
      <c r="D27" s="326" t="n">
        <f aca="false">C27+B27</f>
        <v>-334.11575957</v>
      </c>
      <c r="E27" s="327" t="n">
        <f aca="false" t="array" ref="E27:E27">SUM(IF(MONTH(NymexData!$S$12:$S$250)&amp;YEAR(NymexData!$S$12:$S$250)=MONTH(A27)&amp;YEAR(A27),NymexData!$T$12:$T$250))</f>
        <v>3.747</v>
      </c>
      <c r="F27" s="327" t="n">
        <f aca="false">G27-E27</f>
        <v>-0.0920000000000005</v>
      </c>
      <c r="G27" s="328" t="n">
        <f aca="false" t="array" ref="G27:G27">IF(NymexData!$AA$12="",GasPosn!E27,SUM(IF(MONTH(NymexData!$AA$12:$AA$250)&amp;YEAR(NymexData!$AA$12:$AA$250)=MONTH(A27)&amp;YEAR(A27),NymexData!$AB$12:$AB$250)))</f>
        <v>3.655</v>
      </c>
      <c r="H27" s="115" t="n">
        <f aca="false">B27*10000*F27</f>
        <v>307386.498804402</v>
      </c>
      <c r="I27" s="119" t="n">
        <f aca="false">(((G27-Q27)*P27+(G27-S27)*R27+(G27-U27)*T27+(G27-W27)*V27+(G27-Y27)*X27+(G27-AA27)*Z27+(G27-AC27)*AB27+(G27-AE27)*AD27+(G27-AG27)*AF27+(G27-AI27)*AH27+(G27-AK27)*AJ27+(G27-AM27)*AL27+(G27-AO27)*AN27+(G27-AQ27)*AP27+(G27-AS27)*AR27+(G27-AU27)*AT27+(G27-AW27)*AV27+(G27-AY27)*AX27+(G27-BA27)*AZ27+(G27-BC27)*BB27)*BJ27*BI27)*10000</f>
        <v>0</v>
      </c>
      <c r="J27" s="119" t="n">
        <f aca="false">H27+I27</f>
        <v>307386.498804402</v>
      </c>
      <c r="L27" s="329"/>
      <c r="M27" s="46"/>
      <c r="O27" s="95" t="n">
        <f aca="false">A27</f>
        <v>37653</v>
      </c>
      <c r="BD27" s="100" t="n">
        <f aca="false">(P27+R27+T27+V27+X27+Z27+AB27+AD27+AF27+AH27+AJ27+AL27+AN27+AP27+AR27+AT27+AV27+AX27+AZ27+BB27)</f>
        <v>0</v>
      </c>
      <c r="BE27" s="322" t="n">
        <f aca="false">IF(AND(BD27=0,BH27=0),0,(ABS(P27)*Q27+ABS(R27)*S27+ABS(T27)*U27+ABS(V27)*W27+ABS(X27)*Y27+ABS(Z27)*AA27+ABS(AB27)*AC27+ABS(AD27)*AE27+ABS(AF27)*AG27+ABS(AH27)*AI27+ABS(AJ27)*AK27+ABS(AL27)*AM27+ABS(AN27)*AO27+ABS(AP27)*AQ27+ABS(AR27)*AS27+ABS(AT27)*AU27+ABS(AV27)*AW27+ABS(AX27)*AY27+ABS(AZ27)*BA27+ABS(BB27)*BC27)/BH27)</f>
        <v>0</v>
      </c>
      <c r="BF27" s="102"/>
      <c r="BG27" s="103" t="n">
        <f aca="false">O27</f>
        <v>37653</v>
      </c>
      <c r="BH27" s="323" t="n">
        <f aca="false">(ABS(P27)+ABS(R27)+ABS(T27)+ABS(V27)+ABS(X27)+ABS(Z27)+ABS(AB27)+ABS(AD27)+ABS(AF27)+ABS(AH27)+ABS(AJ27)+ABS(AL27)+ABS(AN27)+ABS(AP27)+ABS(AR27)+ABS(AT27)+ABS(AV27)+ABS(AX27)+ABS(AZ27)+ABS(BB27))</f>
        <v>0</v>
      </c>
      <c r="BI27" s="104" t="n">
        <f aca="false">VLOOKUP(GasPosn!A27,'Pricing Summary'!$AB$12:$AD$250,3)</f>
        <v>28</v>
      </c>
      <c r="BJ27" s="102" t="n">
        <f aca="false">VLOOKUP(A27,Interest!$AF$8:$AK$367,6)</f>
        <v>0.96501279473153</v>
      </c>
      <c r="BK27" s="102"/>
      <c r="BL27" s="0" t="n">
        <f aca="false">J27*VLOOKUP(A27,NymexData!$J$12:$K$244,2)</f>
        <v>484179.680356391</v>
      </c>
      <c r="BO27" s="0" t="n">
        <f aca="false">Interest!AK23</f>
        <v>0.96501279473153</v>
      </c>
      <c r="BP27" s="0" t="n">
        <f aca="false">G27*Interest!AK23</f>
        <v>3.52712176474374</v>
      </c>
      <c r="BQ27" s="0" t="n">
        <f aca="false">IF(AND(A27&gt;=$B$3,A27&lt;=$B$4),1,0)</f>
        <v>0</v>
      </c>
      <c r="BR27" s="0" t="n">
        <f aca="false">BO27*BQ27</f>
        <v>0</v>
      </c>
      <c r="BS27" s="0" t="n">
        <f aca="false">BP27*BQ27</f>
        <v>0</v>
      </c>
    </row>
    <row r="28" customFormat="false" ht="18" hidden="false" customHeight="false" outlineLevel="0" collapsed="false">
      <c r="A28" s="75" t="n">
        <f aca="false">[2]EnergyCurve!$D50</f>
        <v>37681</v>
      </c>
      <c r="B28" s="317" t="n">
        <f aca="false" t="array" ref="B28:B28">SUM(IF(MONTH(NymexData!$AI$12:$AI$250)&amp;YEAR(NymexData!$AI$12:$AI$250)=MONTH(A28)&amp;YEAR(A28),NymexData!$AJ$12:$AJ$250))</f>
        <v>-368.88560057</v>
      </c>
      <c r="C28" s="317" t="n">
        <f aca="false">BD28*BJ28*BI28</f>
        <v>0</v>
      </c>
      <c r="D28" s="319" t="n">
        <f aca="false">C28+B28</f>
        <v>-368.88560057</v>
      </c>
      <c r="E28" s="320" t="n">
        <f aca="false" t="array" ref="E28:E28">SUM(IF(MONTH(NymexData!$S$12:$S$250)&amp;YEAR(NymexData!$S$12:$S$250)=MONTH(A28)&amp;YEAR(A28),NymexData!$T$12:$T$250))</f>
        <v>3.652</v>
      </c>
      <c r="F28" s="320" t="n">
        <f aca="false">G28-E28</f>
        <v>-0.0920000000000001</v>
      </c>
      <c r="G28" s="321" t="n">
        <f aca="false" t="array" ref="G28:G28">IF(NymexData!$AA$12="",GasPosn!E28,SUM(IF(MONTH(NymexData!$AA$12:$AA$250)&amp;YEAR(NymexData!$AA$12:$AA$250)=MONTH(A28)&amp;YEAR(A28),NymexData!$AB$12:$AB$250)))</f>
        <v>3.56</v>
      </c>
      <c r="H28" s="76" t="n">
        <f aca="false">B28*10000*F28</f>
        <v>339374.7525244</v>
      </c>
      <c r="I28" s="82" t="n">
        <f aca="false">(((G28-Q28)*P28+(G28-S28)*R28+(G28-U28)*T28+(G28-W28)*V28+(G28-Y28)*X28+(G28-AA28)*Z28+(G28-AC28)*AB28+(G28-AE28)*AD28+(G28-AG28)*AF28+(G28-AI28)*AH28+(G28-AK28)*AJ28+(G28-AM28)*AL28+(G28-AO28)*AN28+(G28-AQ28)*AP28+(G28-AS28)*AR28+(G28-AU28)*AT28+(G28-AW28)*AV28+(G28-AY28)*AX28+(G28-BA28)*AZ28+(G28-BC28)*BB28)*BJ28*BI28)*10000</f>
        <v>0</v>
      </c>
      <c r="J28" s="82" t="n">
        <f aca="false">H28+I28</f>
        <v>339374.7525244</v>
      </c>
      <c r="L28" s="329"/>
      <c r="M28" s="46"/>
      <c r="O28" s="95" t="n">
        <f aca="false">A28</f>
        <v>37681</v>
      </c>
      <c r="BD28" s="100" t="n">
        <f aca="false">(P28+R28+T28+V28+X28+Z28+AB28+AD28+AF28+AH28+AJ28+AL28+AN28+AP28+AR28+AT28+AV28+AX28+AZ28+BB28)</f>
        <v>0</v>
      </c>
      <c r="BE28" s="322" t="n">
        <f aca="false">IF(AND(BD28=0,BH28=0),0,(ABS(P28)*Q28+ABS(R28)*S28+ABS(T28)*U28+ABS(V28)*W28+ABS(X28)*Y28+ABS(Z28)*AA28+ABS(AB28)*AC28+ABS(AD28)*AE28+ABS(AF28)*AG28+ABS(AH28)*AI28+ABS(AJ28)*AK28+ABS(AL28)*AM28+ABS(AN28)*AO28+ABS(AP28)*AQ28+ABS(AR28)*AS28+ABS(AT28)*AU28+ABS(AV28)*AW28+ABS(AX28)*AY28+ABS(AZ28)*BA28+ABS(BB28)*BC28)/BH28)</f>
        <v>0</v>
      </c>
      <c r="BF28" s="102"/>
      <c r="BG28" s="103" t="n">
        <f aca="false">O28</f>
        <v>37681</v>
      </c>
      <c r="BH28" s="323" t="n">
        <f aca="false">(ABS(P28)+ABS(R28)+ABS(T28)+ABS(V28)+ABS(X28)+ABS(Z28)+ABS(AB28)+ABS(AD28)+ABS(AF28)+ABS(AH28)+ABS(AJ28)+ABS(AL28)+ABS(AN28)+ABS(AP28)+ABS(AR28)+ABS(AT28)+ABS(AV28)+ABS(AX28)+ABS(AZ28)+ABS(BB28))</f>
        <v>0</v>
      </c>
      <c r="BI28" s="104" t="n">
        <f aca="false">VLOOKUP(GasPosn!A28,'Pricing Summary'!$AB$12:$AD$250,3)</f>
        <v>31</v>
      </c>
      <c r="BJ28" s="102" t="n">
        <f aca="false">VLOOKUP(A28,Interest!$AF$8:$AK$367,6)</f>
        <v>0.962089507942958</v>
      </c>
      <c r="BK28" s="102"/>
      <c r="BL28" s="0" t="n">
        <f aca="false">J28*VLOOKUP(A28,NymexData!$J$12:$K$244,2)</f>
        <v>534596.25972936</v>
      </c>
      <c r="BO28" s="0" t="n">
        <f aca="false">Interest!AK24</f>
        <v>0.962089507942958</v>
      </c>
      <c r="BP28" s="0" t="n">
        <f aca="false">G28*Interest!AK24</f>
        <v>3.42503864827693</v>
      </c>
      <c r="BQ28" s="0" t="n">
        <f aca="false">IF(AND(A28&gt;=$B$3,A28&lt;=$B$4),1,0)</f>
        <v>0</v>
      </c>
      <c r="BR28" s="0" t="n">
        <f aca="false">BO28*BQ28</f>
        <v>0</v>
      </c>
      <c r="BS28" s="0" t="n">
        <f aca="false">BP28*BQ28</f>
        <v>0</v>
      </c>
    </row>
    <row r="29" customFormat="false" ht="18" hidden="false" customHeight="false" outlineLevel="0" collapsed="false">
      <c r="A29" s="112" t="n">
        <f aca="false">[2]EnergyCurve!$D51</f>
        <v>37712</v>
      </c>
      <c r="B29" s="324" t="n">
        <f aca="false" t="array" ref="B29:B29">SUM(IF(MONTH(NymexData!$AI$12:$AI$250)&amp;YEAR(NymexData!$AI$12:$AI$250)=MONTH(A29)&amp;YEAR(A29),NymexData!$AJ$12:$AJ$250))</f>
        <v>-355.85398974</v>
      </c>
      <c r="C29" s="325" t="n">
        <f aca="false">BD29*BJ29*BI29</f>
        <v>0</v>
      </c>
      <c r="D29" s="326" t="n">
        <f aca="false">C29+B29</f>
        <v>-355.85398974</v>
      </c>
      <c r="E29" s="327" t="n">
        <f aca="false" t="array" ref="E29:E29">SUM(IF(MONTH(NymexData!$S$12:$S$250)&amp;YEAR(NymexData!$S$12:$S$250)=MONTH(A29)&amp;YEAR(A29),NymexData!$T$12:$T$250))</f>
        <v>3.527</v>
      </c>
      <c r="F29" s="327" t="n">
        <f aca="false">G29-E29</f>
        <v>-0.0920000000000001</v>
      </c>
      <c r="G29" s="328" t="n">
        <f aca="false" t="array" ref="G29:G29">IF(NymexData!$AA$12="",GasPosn!E29,SUM(IF(MONTH(NymexData!$AA$12:$AA$250)&amp;YEAR(NymexData!$AA$12:$AA$250)=MONTH(A29)&amp;YEAR(A29),NymexData!$AB$12:$AB$250)))</f>
        <v>3.435</v>
      </c>
      <c r="H29" s="115" t="n">
        <f aca="false">B29*10000*F29</f>
        <v>327385.6705608</v>
      </c>
      <c r="I29" s="119" t="n">
        <f aca="false">(((G29-Q29)*P29+(G29-S29)*R29+(G29-U29)*T29+(G29-W29)*V29+(G29-Y29)*X29+(G29-AA29)*Z29+(G29-AC29)*AB29+(G29-AE29)*AD29+(G29-AG29)*AF29+(G29-AI29)*AH29+(G29-AK29)*AJ29+(G29-AM29)*AL29+(G29-AO29)*AN29+(G29-AQ29)*AP29+(G29-AS29)*AR29+(G29-AU29)*AT29+(G29-AW29)*AV29+(G29-AY29)*AX29+(G29-BA29)*AZ29+(G29-BC29)*BB29)*BJ29*BI29)*10000</f>
        <v>0</v>
      </c>
      <c r="J29" s="119" t="n">
        <f aca="false">H29+I29</f>
        <v>327385.6705608</v>
      </c>
      <c r="L29" s="329"/>
      <c r="M29" s="46"/>
      <c r="O29" s="95" t="n">
        <f aca="false">A29</f>
        <v>37712</v>
      </c>
      <c r="BD29" s="100" t="n">
        <f aca="false">(P29+R29+T29+V29+X29+Z29+AB29+AD29+AF29+AH29+AJ29+AL29+AN29+AP29+AR29+AT29+AV29+AX29+AZ29+BB29)</f>
        <v>0</v>
      </c>
      <c r="BE29" s="322" t="n">
        <f aca="false">IF(AND(BD29=0,BH29=0),0,(ABS(P29)*Q29+ABS(R29)*S29+ABS(T29)*U29+ABS(V29)*W29+ABS(X29)*Y29+ABS(Z29)*AA29+ABS(AB29)*AC29+ABS(AD29)*AE29+ABS(AF29)*AG29+ABS(AH29)*AI29+ABS(AJ29)*AK29+ABS(AL29)*AM29+ABS(AN29)*AO29+ABS(AP29)*AQ29+ABS(AR29)*AS29+ABS(AT29)*AU29+ABS(AV29)*AW29+ABS(AX29)*AY29+ABS(AZ29)*BA29+ABS(BB29)*BC29)/BH29)</f>
        <v>0</v>
      </c>
      <c r="BF29" s="102"/>
      <c r="BG29" s="103" t="n">
        <f aca="false">O29</f>
        <v>37712</v>
      </c>
      <c r="BH29" s="323" t="n">
        <f aca="false">(ABS(P29)+ABS(R29)+ABS(T29)+ABS(V29)+ABS(X29)+ABS(Z29)+ABS(AB29)+ABS(AD29)+ABS(AF29)+ABS(AH29)+ABS(AJ29)+ABS(AL29)+ABS(AN29)+ABS(AP29)+ABS(AR29)+ABS(AT29)+ABS(AV29)+ABS(AX29)+ABS(AZ29)+ABS(BB29))</f>
        <v>0</v>
      </c>
      <c r="BI29" s="104" t="n">
        <f aca="false">VLOOKUP(GasPosn!A29,'Pricing Summary'!$AB$12:$AD$250,3)</f>
        <v>30</v>
      </c>
      <c r="BJ29" s="102" t="n">
        <f aca="false">VLOOKUP(A29,Interest!$AF$8:$AK$367,6)</f>
        <v>0.959065489223597</v>
      </c>
      <c r="BK29" s="102"/>
      <c r="BL29" s="0" t="n">
        <f aca="false">J29*VLOOKUP(A29,NymexData!$J$12:$K$244,2)</f>
        <v>515736.635822933</v>
      </c>
      <c r="BO29" s="0" t="n">
        <f aca="false">Interest!AK25</f>
        <v>0.959065489223597</v>
      </c>
      <c r="BP29" s="0" t="n">
        <f aca="false">G29*Interest!AK25</f>
        <v>3.29438995548305</v>
      </c>
      <c r="BQ29" s="0" t="n">
        <f aca="false">IF(AND(A29&gt;=$B$3,A29&lt;=$B$4),1,0)</f>
        <v>0</v>
      </c>
      <c r="BR29" s="0" t="n">
        <f aca="false">BO29*BQ29</f>
        <v>0</v>
      </c>
      <c r="BS29" s="0" t="n">
        <f aca="false">BP29*BQ29</f>
        <v>0</v>
      </c>
    </row>
    <row r="30" customFormat="false" ht="18" hidden="false" customHeight="false" outlineLevel="0" collapsed="false">
      <c r="A30" s="75" t="n">
        <f aca="false">[2]EnergyCurve!$D52</f>
        <v>37742</v>
      </c>
      <c r="B30" s="317" t="n">
        <f aca="false" t="array" ref="B30:B30">SUM(IF(MONTH(NymexData!$AI$12:$AI$250)&amp;YEAR(NymexData!$AI$12:$AI$250)=MONTH(A30)&amp;YEAR(A30),NymexData!$AJ$12:$AJ$250))</f>
        <v>-366.55265518</v>
      </c>
      <c r="C30" s="317" t="n">
        <f aca="false">BD30*BJ30*BI30</f>
        <v>0</v>
      </c>
      <c r="D30" s="319" t="n">
        <f aca="false">C30+B30</f>
        <v>-366.55265518</v>
      </c>
      <c r="E30" s="320" t="n">
        <f aca="false" t="array" ref="E30:E30">SUM(IF(MONTH(NymexData!$S$12:$S$250)&amp;YEAR(NymexData!$S$12:$S$250)=MONTH(A30)&amp;YEAR(A30),NymexData!$T$12:$T$250))</f>
        <v>3.526</v>
      </c>
      <c r="F30" s="320" t="n">
        <f aca="false">G30-E30</f>
        <v>-0.0910000000000002</v>
      </c>
      <c r="G30" s="321" t="n">
        <f aca="false" t="array" ref="G30:G30">IF(NymexData!$AA$12="",GasPosn!E30,SUM(IF(MONTH(NymexData!$AA$12:$AA$250)&amp;YEAR(NymexData!$AA$12:$AA$250)=MONTH(A30)&amp;YEAR(A30),NymexData!$AB$12:$AB$250)))</f>
        <v>3.435</v>
      </c>
      <c r="H30" s="76" t="n">
        <f aca="false">B30*10000*F30</f>
        <v>333562.916213801</v>
      </c>
      <c r="I30" s="82" t="n">
        <f aca="false">(((G30-Q30)*P30+(G30-S30)*R30+(G30-U30)*T30+(G30-W30)*V30+(G30-Y30)*X30+(G30-AA30)*Z30+(G30-AC30)*AB30+(G30-AE30)*AD30+(G30-AG30)*AF30+(G30-AI30)*AH30+(G30-AK30)*AJ30+(G30-AM30)*AL30+(G30-AO30)*AN30+(G30-AQ30)*AP30+(G30-AS30)*AR30+(G30-AU30)*AT30+(G30-AW30)*AV30+(G30-AY30)*AX30+(G30-BA30)*AZ30+(G30-BC30)*BB30)*BJ30*BI30)*10000</f>
        <v>0</v>
      </c>
      <c r="J30" s="82" t="n">
        <f aca="false">H30+I30</f>
        <v>333562.916213801</v>
      </c>
      <c r="L30" s="329"/>
      <c r="M30" s="46"/>
      <c r="O30" s="95" t="n">
        <f aca="false">A30</f>
        <v>37742</v>
      </c>
      <c r="BD30" s="100" t="n">
        <f aca="false">(P30+R30+T30+V30+X30+Z30+AB30+AD30+AF30+AH30+AJ30+AL30+AN30+AP30+AR30+AT30+AV30+AX30+AZ30+BB30)</f>
        <v>0</v>
      </c>
      <c r="BE30" s="322" t="n">
        <f aca="false">IF(AND(BD30=0,BH30=0),0,(ABS(P30)*Q30+ABS(R30)*S30+ABS(T30)*U30+ABS(V30)*W30+ABS(X30)*Y30+ABS(Z30)*AA30+ABS(AB30)*AC30+ABS(AD30)*AE30+ABS(AF30)*AG30+ABS(AH30)*AI30+ABS(AJ30)*AK30+ABS(AL30)*AM30+ABS(AN30)*AO30+ABS(AP30)*AQ30+ABS(AR30)*AS30+ABS(AT30)*AU30+ABS(AV30)*AW30+ABS(AX30)*AY30+ABS(AZ30)*BA30+ABS(BB30)*BC30)/BH30)</f>
        <v>0</v>
      </c>
      <c r="BF30" s="102"/>
      <c r="BG30" s="103" t="n">
        <f aca="false">O30</f>
        <v>37742</v>
      </c>
      <c r="BH30" s="323" t="n">
        <f aca="false">(ABS(P30)+ABS(R30)+ABS(T30)+ABS(V30)+ABS(X30)+ABS(Z30)+ABS(AB30)+ABS(AD30)+ABS(AF30)+ABS(AH30)+ABS(AJ30)+ABS(AL30)+ABS(AN30)+ABS(AP30)+ABS(AR30)+ABS(AT30)+ABS(AV30)+ABS(AX30)+ABS(AZ30)+ABS(BB30))</f>
        <v>0</v>
      </c>
      <c r="BI30" s="104" t="n">
        <f aca="false">VLOOKUP(GasPosn!A30,'Pricing Summary'!$AB$12:$AD$250,3)</f>
        <v>31</v>
      </c>
      <c r="BJ30" s="102" t="n">
        <f aca="false">VLOOKUP(A30,Interest!$AF$8:$AK$367,6)</f>
        <v>0.955920741176555</v>
      </c>
      <c r="BK30" s="102"/>
      <c r="BL30" s="0" t="n">
        <f aca="false">J30*VLOOKUP(A30,NymexData!$J$12:$K$244,2)</f>
        <v>525491.819493581</v>
      </c>
      <c r="BO30" s="0" t="n">
        <f aca="false">Interest!AK26</f>
        <v>0.955920741176555</v>
      </c>
      <c r="BP30" s="0" t="n">
        <f aca="false">G30*Interest!AK26</f>
        <v>3.28358774594147</v>
      </c>
      <c r="BQ30" s="0" t="n">
        <f aca="false">IF(AND(A30&gt;=$B$3,A30&lt;=$B$4),1,0)</f>
        <v>0</v>
      </c>
      <c r="BR30" s="0" t="n">
        <f aca="false">BO30*BQ30</f>
        <v>0</v>
      </c>
      <c r="BS30" s="0" t="n">
        <f aca="false">BP30*BQ30</f>
        <v>0</v>
      </c>
    </row>
    <row r="31" customFormat="false" ht="18" hidden="false" customHeight="false" outlineLevel="0" collapsed="false">
      <c r="A31" s="112" t="n">
        <f aca="false">[2]EnergyCurve!$D53</f>
        <v>37773</v>
      </c>
      <c r="B31" s="324" t="n">
        <f aca="false" t="array" ref="B31:B31">SUM(IF(MONTH(NymexData!$AI$12:$AI$250)&amp;YEAR(NymexData!$AI$12:$AI$250)=MONTH(A31)&amp;YEAR(A31),NymexData!$AJ$12:$AJ$250))</f>
        <v>-353.53452243</v>
      </c>
      <c r="C31" s="325" t="n">
        <f aca="false">BD31*BJ31*BI31</f>
        <v>0</v>
      </c>
      <c r="D31" s="326" t="n">
        <f aca="false">C31+B31</f>
        <v>-353.53452243</v>
      </c>
      <c r="E31" s="327" t="n">
        <f aca="false" t="array" ref="E31:E31">SUM(IF(MONTH(NymexData!$S$12:$S$250)&amp;YEAR(NymexData!$S$12:$S$250)=MONTH(A31)&amp;YEAR(A31),NymexData!$T$12:$T$250))</f>
        <v>3.546</v>
      </c>
      <c r="F31" s="327" t="n">
        <f aca="false">G31-E31</f>
        <v>-0.0910000000000002</v>
      </c>
      <c r="G31" s="328" t="n">
        <f aca="false" t="array" ref="G31:G31">IF(NymexData!$AA$12="",GasPosn!E31,SUM(IF(MONTH(NymexData!$AA$12:$AA$250)&amp;YEAR(NymexData!$AA$12:$AA$250)=MONTH(A31)&amp;YEAR(A31),NymexData!$AB$12:$AB$250)))</f>
        <v>3.455</v>
      </c>
      <c r="H31" s="115" t="n">
        <f aca="false">B31*10000*F31</f>
        <v>321716.415411301</v>
      </c>
      <c r="I31" s="119" t="n">
        <f aca="false">(((G31-Q31)*P31+(G31-S31)*R31+(G31-U31)*T31+(G31-W31)*V31+(G31-Y31)*X31+(G31-AA31)*Z31+(G31-AC31)*AB31+(G31-AE31)*AD31+(G31-AG31)*AF31+(G31-AI31)*AH31+(G31-AK31)*AJ31+(G31-AM31)*AL31+(G31-AO31)*AN31+(G31-AQ31)*AP31+(G31-AS31)*AR31+(G31-AU31)*AT31+(G31-AW31)*AV31+(G31-AY31)*AX31+(G31-BA31)*AZ31+(G31-BC31)*BB31)*BJ31*BI31)*10000</f>
        <v>0</v>
      </c>
      <c r="J31" s="119" t="n">
        <f aca="false">H31+I31</f>
        <v>321716.415411301</v>
      </c>
      <c r="L31" s="329"/>
      <c r="M31" s="46"/>
      <c r="O31" s="95" t="n">
        <f aca="false">A31</f>
        <v>37773</v>
      </c>
      <c r="BD31" s="100" t="n">
        <f aca="false">(P31+R31+T31+V31+X31+Z31+AB31+AD31+AF31+AH31+AJ31+AL31+AN31+AP31+AR31+AT31+AV31+AX31+AZ31+BB31)</f>
        <v>0</v>
      </c>
      <c r="BE31" s="322" t="n">
        <f aca="false">IF(AND(BD31=0,BH31=0),0,(ABS(P31)*Q31+ABS(R31)*S31+ABS(T31)*U31+ABS(V31)*W31+ABS(X31)*Y31+ABS(Z31)*AA31+ABS(AB31)*AC31+ABS(AD31)*AE31+ABS(AF31)*AG31+ABS(AH31)*AI31+ABS(AJ31)*AK31+ABS(AL31)*AM31+ABS(AN31)*AO31+ABS(AP31)*AQ31+ABS(AR31)*AS31+ABS(AT31)*AU31+ABS(AV31)*AW31+ABS(AX31)*AY31+ABS(AZ31)*BA31+ABS(BB31)*BC31)/BH31)</f>
        <v>0</v>
      </c>
      <c r="BF31" s="102"/>
      <c r="BG31" s="103" t="n">
        <f aca="false">O31</f>
        <v>37773</v>
      </c>
      <c r="BH31" s="323" t="n">
        <f aca="false">(ABS(P31)+ABS(R31)+ABS(T31)+ABS(V31)+ABS(X31)+ABS(Z31)+ABS(AB31)+ABS(AD31)+ABS(AF31)+ABS(AH31)+ABS(AJ31)+ABS(AL31)+ABS(AN31)+ABS(AP31)+ABS(AR31)+ABS(AT31)+ABS(AV31)+ABS(AX31)+ABS(AZ31)+ABS(BB31))</f>
        <v>0</v>
      </c>
      <c r="BI31" s="104" t="n">
        <f aca="false">VLOOKUP(GasPosn!A31,'Pricing Summary'!$AB$12:$AD$250,3)</f>
        <v>30</v>
      </c>
      <c r="BJ31" s="102" t="n">
        <f aca="false">VLOOKUP(A31,Interest!$AF$8:$AK$367,6)</f>
        <v>0.952732957509094</v>
      </c>
      <c r="BK31" s="102"/>
      <c r="BL31" s="0" t="n">
        <f aca="false">J31*VLOOKUP(A31,NymexData!$J$12:$K$244,2)</f>
        <v>506850.707908122</v>
      </c>
      <c r="BO31" s="0" t="n">
        <f aca="false">Interest!AK27</f>
        <v>0.952732957509094</v>
      </c>
      <c r="BP31" s="0" t="n">
        <f aca="false">G31*Interest!AK27</f>
        <v>3.29169236819392</v>
      </c>
      <c r="BQ31" s="0" t="n">
        <f aca="false">IF(AND(A31&gt;=$B$3,A31&lt;=$B$4),1,0)</f>
        <v>0</v>
      </c>
      <c r="BR31" s="0" t="n">
        <f aca="false">BO31*BQ31</f>
        <v>0</v>
      </c>
      <c r="BS31" s="0" t="n">
        <f aca="false">BP31*BQ31</f>
        <v>0</v>
      </c>
    </row>
    <row r="32" customFormat="false" ht="18" hidden="false" customHeight="false" outlineLevel="0" collapsed="false">
      <c r="A32" s="75" t="n">
        <f aca="false">[2]EnergyCurve!$D54</f>
        <v>37803</v>
      </c>
      <c r="B32" s="317" t="n">
        <f aca="false" t="array" ref="B32:B32">SUM(IF(MONTH(NymexData!$AI$12:$AI$250)&amp;YEAR(NymexData!$AI$12:$AI$250)=MONTH(A32)&amp;YEAR(A32),NymexData!$AJ$12:$AJ$250))</f>
        <v>-364.09477695</v>
      </c>
      <c r="C32" s="317" t="n">
        <f aca="false">BD32*BJ32*BI32</f>
        <v>0</v>
      </c>
      <c r="D32" s="319" t="n">
        <f aca="false">C32+B32</f>
        <v>-364.09477695</v>
      </c>
      <c r="E32" s="320" t="n">
        <f aca="false" t="array" ref="E32:E32">SUM(IF(MONTH(NymexData!$S$12:$S$250)&amp;YEAR(NymexData!$S$12:$S$250)=MONTH(A32)&amp;YEAR(A32),NymexData!$T$12:$T$250))</f>
        <v>3.571</v>
      </c>
      <c r="F32" s="320" t="n">
        <f aca="false">G32-E32</f>
        <v>-0.0910000000000002</v>
      </c>
      <c r="G32" s="321" t="n">
        <f aca="false" t="array" ref="G32:G32">IF(NymexData!$AA$12="",GasPosn!E32,SUM(IF(MONTH(NymexData!$AA$12:$AA$250)&amp;YEAR(NymexData!$AA$12:$AA$250)=MONTH(A32)&amp;YEAR(A32),NymexData!$AB$12:$AB$250)))</f>
        <v>3.48</v>
      </c>
      <c r="H32" s="76" t="n">
        <f aca="false">B32*10000*F32</f>
        <v>331326.247024501</v>
      </c>
      <c r="I32" s="82" t="n">
        <f aca="false">(((G32-Q32)*P32+(G32-S32)*R32+(G32-U32)*T32+(G32-W32)*V32+(G32-Y32)*X32+(G32-AA32)*Z32+(G32-AC32)*AB32+(G32-AE32)*AD32+(G32-AG32)*AF32+(G32-AI32)*AH32+(G32-AK32)*AJ32+(G32-AM32)*AL32+(G32-AO32)*AN32+(G32-AQ32)*AP32+(G32-AS32)*AR32+(G32-AU32)*AT32+(G32-AW32)*AV32+(G32-AY32)*AX32+(G32-BA32)*AZ32+(G32-BC32)*BB32)*BJ32*BI32)*10000</f>
        <v>0</v>
      </c>
      <c r="J32" s="82" t="n">
        <f aca="false">H32+I32</f>
        <v>331326.247024501</v>
      </c>
      <c r="L32" s="329"/>
      <c r="M32" s="46"/>
      <c r="O32" s="95" t="n">
        <f aca="false">A32</f>
        <v>37803</v>
      </c>
      <c r="BD32" s="100" t="n">
        <f aca="false">(P32+R32+T32+V32+X32+Z32+AB32+AD32+AF32+AH32+AJ32+AL32+AN32+AP32+AR32+AT32+AV32+AX32+AZ32+BB32)</f>
        <v>0</v>
      </c>
      <c r="BE32" s="322" t="n">
        <f aca="false">IF(AND(BD32=0,BH32=0),0,(ABS(P32)*Q32+ABS(R32)*S32+ABS(T32)*U32+ABS(V32)*W32+ABS(X32)*Y32+ABS(Z32)*AA32+ABS(AB32)*AC32+ABS(AD32)*AE32+ABS(AF32)*AG32+ABS(AH32)*AI32+ABS(AJ32)*AK32+ABS(AL32)*AM32+ABS(AN32)*AO32+ABS(AP32)*AQ32+ABS(AR32)*AS32+ABS(AT32)*AU32+ABS(AV32)*AW32+ABS(AX32)*AY32+ABS(AZ32)*BA32+ABS(BB32)*BC32)/BH32)</f>
        <v>0</v>
      </c>
      <c r="BF32" s="102"/>
      <c r="BG32" s="103" t="n">
        <f aca="false">O32</f>
        <v>37803</v>
      </c>
      <c r="BH32" s="323" t="n">
        <f aca="false">(ABS(P32)+ABS(R32)+ABS(T32)+ABS(V32)+ABS(X32)+ABS(Z32)+ABS(AB32)+ABS(AD32)+ABS(AF32)+ABS(AH32)+ABS(AJ32)+ABS(AL32)+ABS(AN32)+ABS(AP32)+ABS(AR32)+ABS(AT32)+ABS(AV32)+ABS(AX32)+ABS(AZ32)+ABS(BB32))</f>
        <v>0</v>
      </c>
      <c r="BI32" s="104" t="n">
        <f aca="false">VLOOKUP(GasPosn!A32,'Pricing Summary'!$AB$12:$AD$250,3)</f>
        <v>31</v>
      </c>
      <c r="BJ32" s="102" t="n">
        <f aca="false">VLOOKUP(A32,Interest!$AF$8:$AK$367,6)</f>
        <v>0.949413656410094</v>
      </c>
      <c r="BK32" s="102"/>
      <c r="BL32" s="0" t="n">
        <f aca="false">J32*VLOOKUP(A32,NymexData!$J$12:$K$244,2)</f>
        <v>522004.226919976</v>
      </c>
      <c r="BO32" s="0" t="n">
        <f aca="false">Interest!AK28</f>
        <v>0.949413656410094</v>
      </c>
      <c r="BP32" s="0" t="n">
        <f aca="false">G32*Interest!AK28</f>
        <v>3.30395952430713</v>
      </c>
      <c r="BQ32" s="0" t="n">
        <f aca="false">IF(AND(A32&gt;=$B$3,A32&lt;=$B$4),1,0)</f>
        <v>0</v>
      </c>
      <c r="BR32" s="0" t="n">
        <f aca="false">BO32*BQ32</f>
        <v>0</v>
      </c>
      <c r="BS32" s="0" t="n">
        <f aca="false">BP32*BQ32</f>
        <v>0</v>
      </c>
    </row>
    <row r="33" customFormat="false" ht="18" hidden="false" customHeight="false" outlineLevel="0" collapsed="false">
      <c r="A33" s="112" t="n">
        <f aca="false">[2]EnergyCurve!$D55</f>
        <v>37834</v>
      </c>
      <c r="B33" s="324" t="n">
        <f aca="false" t="array" ref="B33:B33">SUM(IF(MONTH(NymexData!$AI$12:$AI$250)&amp;YEAR(NymexData!$AI$12:$AI$250)=MONTH(A33)&amp;YEAR(A33),NymexData!$AJ$12:$AJ$250))</f>
        <v>-362.79871715</v>
      </c>
      <c r="C33" s="325" t="n">
        <f aca="false">BD33*BJ33*BI33</f>
        <v>0</v>
      </c>
      <c r="D33" s="326" t="n">
        <f aca="false">C33+B33</f>
        <v>-362.79871715</v>
      </c>
      <c r="E33" s="327" t="n">
        <f aca="false" t="array" ref="E33:E33">SUM(IF(MONTH(NymexData!$S$12:$S$250)&amp;YEAR(NymexData!$S$12:$S$250)=MONTH(A33)&amp;YEAR(A33),NymexData!$T$12:$T$250))</f>
        <v>3.603</v>
      </c>
      <c r="F33" s="327" t="n">
        <f aca="false">G33-E33</f>
        <v>-0.0910000000000002</v>
      </c>
      <c r="G33" s="328" t="n">
        <f aca="false" t="array" ref="G33:G33">IF(NymexData!$AA$12="",GasPosn!E33,SUM(IF(MONTH(NymexData!$AA$12:$AA$250)&amp;YEAR(NymexData!$AA$12:$AA$250)=MONTH(A33)&amp;YEAR(A33),NymexData!$AB$12:$AB$250)))</f>
        <v>3.512</v>
      </c>
      <c r="H33" s="115" t="n">
        <f aca="false">B33*10000*F33</f>
        <v>330146.832606501</v>
      </c>
      <c r="I33" s="119" t="n">
        <f aca="false">(((G33-Q33)*P33+(G33-S33)*R33+(G33-U33)*T33+(G33-W33)*V33+(G33-Y33)*X33+(G33-AA33)*Z33+(G33-AC33)*AB33+(G33-AE33)*AD33+(G33-AG33)*AF33+(G33-AI33)*AH33+(G33-AK33)*AJ33+(G33-AM33)*AL33+(G33-AO33)*AN33+(G33-AQ33)*AP33+(G33-AS33)*AR33+(G33-AU33)*AT33+(G33-AW33)*AV33+(G33-AY33)*AX33+(G33-BA33)*AZ33+(G33-BC33)*BB33)*BJ33*BI33)*10000</f>
        <v>0</v>
      </c>
      <c r="J33" s="119" t="n">
        <f aca="false">H33+I33</f>
        <v>330146.832606501</v>
      </c>
      <c r="L33" s="329"/>
      <c r="M33" s="46"/>
      <c r="O33" s="95" t="n">
        <f aca="false">A33</f>
        <v>37834</v>
      </c>
      <c r="BD33" s="100" t="n">
        <f aca="false">(P33+R33+T33+V33+X33+Z33+AB33+AD33+AF33+AH33+AJ33+AL33+AN33+AP33+AR33+AT33+AV33+AX33+AZ33+BB33)</f>
        <v>0</v>
      </c>
      <c r="BE33" s="322" t="n">
        <f aca="false">IF(AND(BD33=0,BH33=0),0,(ABS(P33)*Q33+ABS(R33)*S33+ABS(T33)*U33+ABS(V33)*W33+ABS(X33)*Y33+ABS(Z33)*AA33+ABS(AB33)*AC33+ABS(AD33)*AE33+ABS(AF33)*AG33+ABS(AH33)*AI33+ABS(AJ33)*AK33+ABS(AL33)*AM33+ABS(AN33)*AO33+ABS(AP33)*AQ33+ABS(AR33)*AS33+ABS(AT33)*AU33+ABS(AV33)*AW33+ABS(AX33)*AY33+ABS(AZ33)*BA33+ABS(BB33)*BC33)/BH33)</f>
        <v>0</v>
      </c>
      <c r="BF33" s="102"/>
      <c r="BG33" s="103" t="n">
        <f aca="false">O33</f>
        <v>37834</v>
      </c>
      <c r="BH33" s="323" t="n">
        <f aca="false">(ABS(P33)+ABS(R33)+ABS(T33)+ABS(V33)+ABS(X33)+ABS(Z33)+ABS(AB33)+ABS(AD33)+ABS(AF33)+ABS(AH33)+ABS(AJ33)+ABS(AL33)+ABS(AN33)+ABS(AP33)+ABS(AR33)+ABS(AT33)+ABS(AV33)+ABS(AX33)+ABS(AZ33)+ABS(BB33))</f>
        <v>0</v>
      </c>
      <c r="BI33" s="104" t="n">
        <f aca="false">VLOOKUP(GasPosn!A33,'Pricing Summary'!$AB$12:$AD$250,3)</f>
        <v>31</v>
      </c>
      <c r="BJ33" s="102" t="n">
        <f aca="false">VLOOKUP(A33,Interest!$AF$8:$AK$367,6)</f>
        <v>0.945969254608186</v>
      </c>
      <c r="BK33" s="102"/>
      <c r="BL33" s="0" t="n">
        <f aca="false">J33*VLOOKUP(A33,NymexData!$J$12:$K$244,2)</f>
        <v>520148.481372596</v>
      </c>
      <c r="BO33" s="0" t="n">
        <f aca="false">Interest!AK29</f>
        <v>0.945969254608186</v>
      </c>
      <c r="BP33" s="0" t="n">
        <f aca="false">G33*Interest!AK29</f>
        <v>3.32224402218395</v>
      </c>
      <c r="BQ33" s="0" t="n">
        <f aca="false">IF(AND(A33&gt;=$B$3,A33&lt;=$B$4),1,0)</f>
        <v>0</v>
      </c>
      <c r="BR33" s="0" t="n">
        <f aca="false">BO33*BQ33</f>
        <v>0</v>
      </c>
      <c r="BS33" s="0" t="n">
        <f aca="false">BP33*BQ33</f>
        <v>0</v>
      </c>
    </row>
    <row r="34" customFormat="false" ht="18" hidden="false" customHeight="false" outlineLevel="0" collapsed="false">
      <c r="A34" s="75" t="n">
        <f aca="false">[2]EnergyCurve!$D56</f>
        <v>37865</v>
      </c>
      <c r="B34" s="317" t="n">
        <f aca="false" t="array" ref="B34:B34">SUM(IF(MONTH(NymexData!$AI$12:$AI$250)&amp;YEAR(NymexData!$AI$12:$AI$250)=MONTH(A34)&amp;YEAR(A34),NymexData!$AJ$12:$AJ$250))</f>
        <v>-349.81113524</v>
      </c>
      <c r="C34" s="318" t="n">
        <f aca="false">BD34*BJ34*BI34</f>
        <v>0</v>
      </c>
      <c r="D34" s="319" t="n">
        <f aca="false">C34+B34</f>
        <v>-349.81113524</v>
      </c>
      <c r="E34" s="320" t="n">
        <f aca="false" t="array" ref="E34:E34">SUM(IF(MONTH(NymexData!$S$12:$S$250)&amp;YEAR(NymexData!$S$12:$S$250)=MONTH(A34)&amp;YEAR(A34),NymexData!$T$12:$T$250))</f>
        <v>3.603</v>
      </c>
      <c r="F34" s="320" t="n">
        <f aca="false">G34-E34</f>
        <v>-0.0859999999999999</v>
      </c>
      <c r="G34" s="321" t="n">
        <f aca="false" t="array" ref="G34:G34">IF(NymexData!$AA$12="",GasPosn!E34,SUM(IF(MONTH(NymexData!$AA$12:$AA$250)&amp;YEAR(NymexData!$AA$12:$AA$250)=MONTH(A34)&amp;YEAR(A34),NymexData!$AB$12:$AB$250)))</f>
        <v>3.517</v>
      </c>
      <c r="H34" s="76" t="n">
        <f aca="false">B34*10000*F34</f>
        <v>300837.5763064</v>
      </c>
      <c r="I34" s="82" t="n">
        <f aca="false">(((G34-Q34)*P34+(G34-S34)*R34+(G34-U34)*T34+(G34-W34)*V34+(G34-Y34)*X34+(G34-AA34)*Z34+(G34-AC34)*AB34+(G34-AE34)*AD34+(G34-AG34)*AF34+(G34-AI34)*AH34+(G34-AK34)*AJ34+(G34-AM34)*AL34+(G34-AO34)*AN34+(G34-AQ34)*AP34+(G34-AS34)*AR34+(G34-AU34)*AT34+(G34-AW34)*AV34+(G34-AY34)*AX34+(G34-BA34)*AZ34+(G34-BC34)*BB34)*BJ34*BI34)*10000</f>
        <v>0</v>
      </c>
      <c r="J34" s="82" t="n">
        <f aca="false">H34+I34</f>
        <v>300837.5763064</v>
      </c>
      <c r="L34" s="329"/>
      <c r="M34" s="46"/>
      <c r="O34" s="95" t="n">
        <f aca="false">A34</f>
        <v>37865</v>
      </c>
      <c r="BD34" s="100" t="n">
        <f aca="false">(P34+R34+T34+V34+X34+Z34+AB34+AD34+AF34+AH34+AJ34+AL34+AN34+AP34+AR34+AT34+AV34+AX34+AZ34+BB34)</f>
        <v>0</v>
      </c>
      <c r="BE34" s="322" t="n">
        <f aca="false">IF(AND(BD34=0,BH34=0),0,(ABS(P34)*Q34+ABS(R34)*S34+ABS(T34)*U34+ABS(V34)*W34+ABS(X34)*Y34+ABS(Z34)*AA34+ABS(AB34)*AC34+ABS(AD34)*AE34+ABS(AF34)*AG34+ABS(AH34)*AI34+ABS(AJ34)*AK34+ABS(AL34)*AM34+ABS(AN34)*AO34+ABS(AP34)*AQ34+ABS(AR34)*AS34+ABS(AT34)*AU34+ABS(AV34)*AW34+ABS(AX34)*AY34+ABS(AZ34)*BA34+ABS(BB34)*BC34)/BH34)</f>
        <v>0</v>
      </c>
      <c r="BF34" s="102"/>
      <c r="BG34" s="103" t="n">
        <f aca="false">O34</f>
        <v>37865</v>
      </c>
      <c r="BH34" s="323" t="n">
        <f aca="false">(ABS(P34)+ABS(R34)+ABS(T34)+ABS(V34)+ABS(X34)+ABS(Z34)+ABS(AB34)+ABS(AD34)+ABS(AF34)+ABS(AH34)+ABS(AJ34)+ABS(AL34)+ABS(AN34)+ABS(AP34)+ABS(AR34)+ABS(AT34)+ABS(AV34)+ABS(AX34)+ABS(AZ34)+ABS(BB34))</f>
        <v>0</v>
      </c>
      <c r="BI34" s="104" t="n">
        <f aca="false">VLOOKUP(GasPosn!A34,'Pricing Summary'!$AB$12:$AD$250,3)</f>
        <v>30</v>
      </c>
      <c r="BJ34" s="102" t="n">
        <f aca="false">VLOOKUP(A34,Interest!$AF$8:$AK$367,6)</f>
        <v>0.942517037843269</v>
      </c>
      <c r="BK34" s="102"/>
      <c r="BL34" s="0" t="n">
        <f aca="false">J34*VLOOKUP(A34,NymexData!$J$12:$K$244,2)</f>
        <v>473970.345776617</v>
      </c>
      <c r="BO34" s="0" t="n">
        <f aca="false">Interest!AK30</f>
        <v>0.942517037843269</v>
      </c>
      <c r="BP34" s="0" t="n">
        <f aca="false">G34*Interest!AK30</f>
        <v>3.31483242209478</v>
      </c>
      <c r="BQ34" s="0" t="n">
        <f aca="false">IF(AND(A34&gt;=$B$3,A34&lt;=$B$4),1,0)</f>
        <v>0</v>
      </c>
      <c r="BR34" s="0" t="n">
        <f aca="false">BO34*BQ34</f>
        <v>0</v>
      </c>
      <c r="BS34" s="0" t="n">
        <f aca="false">BP34*BQ34</f>
        <v>0</v>
      </c>
    </row>
    <row r="35" customFormat="false" ht="18" hidden="false" customHeight="false" outlineLevel="0" collapsed="false">
      <c r="A35" s="112" t="n">
        <f aca="false">[2]EnergyCurve!$D57</f>
        <v>37895</v>
      </c>
      <c r="B35" s="324" t="n">
        <f aca="false" t="array" ref="B35:B35">SUM(IF(MONTH(NymexData!$AI$12:$AI$250)&amp;YEAR(NymexData!$AI$12:$AI$250)=MONTH(A35)&amp;YEAR(A35),NymexData!$AJ$12:$AJ$250))</f>
        <v>-360.15781757</v>
      </c>
      <c r="C35" s="325" t="n">
        <f aca="false">BD35*BJ35*BI35</f>
        <v>0</v>
      </c>
      <c r="D35" s="326" t="n">
        <f aca="false">C35+B35</f>
        <v>-360.15781757</v>
      </c>
      <c r="E35" s="327" t="n">
        <f aca="false" t="array" ref="E35:E35">SUM(IF(MONTH(NymexData!$S$12:$S$250)&amp;YEAR(NymexData!$S$12:$S$250)=MONTH(A35)&amp;YEAR(A35),NymexData!$T$12:$T$250))</f>
        <v>3.618</v>
      </c>
      <c r="F35" s="327" t="n">
        <f aca="false">G35-E35</f>
        <v>-0.081</v>
      </c>
      <c r="G35" s="328" t="n">
        <f aca="false" t="array" ref="G35:G35">IF(NymexData!$AA$12="",GasPosn!E35,SUM(IF(MONTH(NymexData!$AA$12:$AA$250)&amp;YEAR(NymexData!$AA$12:$AA$250)=MONTH(A35)&amp;YEAR(A35),NymexData!$AB$12:$AB$250)))</f>
        <v>3.537</v>
      </c>
      <c r="H35" s="115" t="n">
        <f aca="false">B35*10000*F35</f>
        <v>291727.8322317</v>
      </c>
      <c r="I35" s="119" t="n">
        <f aca="false">(((G35-Q35)*P35+(G35-S35)*R35+(G35-U35)*T35+(G35-W35)*V35+(G35-Y35)*X35+(G35-AA35)*Z35+(G35-AC35)*AB35+(G35-AE35)*AD35+(G35-AG35)*AF35+(G35-AI35)*AH35+(G35-AK35)*AJ35+(G35-AM35)*AL35+(G35-AO35)*AN35+(G35-AQ35)*AP35+(G35-AS35)*AR35+(G35-AU35)*AT35+(G35-AW35)*AV35+(G35-AY35)*AX35+(G35-BA35)*AZ35+(G35-BC35)*BB35)*BJ35*BI35)*10000</f>
        <v>0</v>
      </c>
      <c r="J35" s="119" t="n">
        <f aca="false">H35+I35</f>
        <v>291727.8322317</v>
      </c>
      <c r="L35" s="329"/>
      <c r="M35" s="46"/>
      <c r="O35" s="95" t="n">
        <f aca="false">A35</f>
        <v>37895</v>
      </c>
      <c r="BD35" s="100" t="n">
        <f aca="false">(P35+R35+T35+V35+X35+Z35+AB35+AD35+AF35+AH35+AJ35+AL35+AN35+AP35+AR35+AT35+AV35+AX35+AZ35+BB35)</f>
        <v>0</v>
      </c>
      <c r="BE35" s="322" t="n">
        <f aca="false">IF(AND(BD35=0,BH35=0),0,(ABS(P35)*Q35+ABS(R35)*S35+ABS(T35)*U35+ABS(V35)*W35+ABS(X35)*Y35+ABS(Z35)*AA35+ABS(AB35)*AC35+ABS(AD35)*AE35+ABS(AF35)*AG35+ABS(AH35)*AI35+ABS(AJ35)*AK35+ABS(AL35)*AM35+ABS(AN35)*AO35+ABS(AP35)*AQ35+ABS(AR35)*AS35+ABS(AT35)*AU35+ABS(AV35)*AW35+ABS(AX35)*AY35+ABS(AZ35)*BA35+ABS(BB35)*BC35)/BH35)</f>
        <v>0</v>
      </c>
      <c r="BF35" s="102"/>
      <c r="BG35" s="103" t="n">
        <f aca="false">O35</f>
        <v>37895</v>
      </c>
      <c r="BH35" s="323" t="n">
        <f aca="false">(ABS(P35)+ABS(R35)+ABS(T35)+ABS(V35)+ABS(X35)+ABS(Z35)+ABS(AB35)+ABS(AD35)+ABS(AF35)+ABS(AH35)+ABS(AJ35)+ABS(AL35)+ABS(AN35)+ABS(AP35)+ABS(AR35)+ABS(AT35)+ABS(AV35)+ABS(AX35)+ABS(AZ35)+ABS(BB35))</f>
        <v>0</v>
      </c>
      <c r="BI35" s="104" t="n">
        <f aca="false">VLOOKUP(GasPosn!A35,'Pricing Summary'!$AB$12:$AD$250,3)</f>
        <v>31</v>
      </c>
      <c r="BJ35" s="102" t="n">
        <f aca="false">VLOOKUP(A35,Interest!$AF$8:$AK$367,6)</f>
        <v>0.938956815314589</v>
      </c>
      <c r="BK35" s="102"/>
      <c r="BL35" s="0" t="n">
        <f aca="false">J35*VLOOKUP(A35,NymexData!$J$12:$K$244,2)</f>
        <v>459617.905307636</v>
      </c>
      <c r="BO35" s="0" t="n">
        <f aca="false">Interest!AK31</f>
        <v>0.938956815314589</v>
      </c>
      <c r="BP35" s="0" t="n">
        <f aca="false">G35*Interest!AK31</f>
        <v>3.3210902557677</v>
      </c>
      <c r="BQ35" s="0" t="n">
        <f aca="false">IF(AND(A35&gt;=$B$3,A35&lt;=$B$4),1,0)</f>
        <v>0</v>
      </c>
      <c r="BR35" s="0" t="n">
        <f aca="false">BO35*BQ35</f>
        <v>0</v>
      </c>
      <c r="BS35" s="0" t="n">
        <f aca="false">BP35*BQ35</f>
        <v>0</v>
      </c>
    </row>
    <row r="36" customFormat="false" ht="18" hidden="false" customHeight="false" outlineLevel="0" collapsed="false">
      <c r="A36" s="75" t="n">
        <f aca="false">[2]EnergyCurve!$D58</f>
        <v>37926</v>
      </c>
      <c r="B36" s="317" t="n">
        <f aca="false" t="array" ref="B36:B36">SUM(IF(MONTH(NymexData!$AI$12:$AI$250)&amp;YEAR(NymexData!$AI$12:$AI$250)=MONTH(A36)&amp;YEAR(A36),NymexData!$AJ$12:$AJ$250))</f>
        <v>-347.21657543</v>
      </c>
      <c r="C36" s="317" t="n">
        <f aca="false">BD36*BJ36*BI36</f>
        <v>0</v>
      </c>
      <c r="D36" s="319" t="n">
        <f aca="false">C36+B36</f>
        <v>-347.21657543</v>
      </c>
      <c r="E36" s="320" t="n">
        <f aca="false" t="array" ref="E36:E36">SUM(IF(MONTH(NymexData!$S$12:$S$250)&amp;YEAR(NymexData!$S$12:$S$250)=MONTH(A36)&amp;YEAR(A36),NymexData!$T$12:$T$250))</f>
        <v>3.781</v>
      </c>
      <c r="F36" s="320" t="n">
        <f aca="false">G36-E36</f>
        <v>-0.0760000000000001</v>
      </c>
      <c r="G36" s="321" t="n">
        <f aca="false" t="array" ref="G36:G36">IF(NymexData!$AA$12="",GasPosn!E36,SUM(IF(MONTH(NymexData!$AA$12:$AA$250)&amp;YEAR(NymexData!$AA$12:$AA$250)=MONTH(A36)&amp;YEAR(A36),NymexData!$AB$12:$AB$250)))</f>
        <v>3.705</v>
      </c>
      <c r="H36" s="76" t="n">
        <f aca="false">B36*10000*F36</f>
        <v>263884.5973268</v>
      </c>
      <c r="I36" s="82" t="n">
        <f aca="false">(((G36-Q36)*P36+(G36-S36)*R36+(G36-U36)*T36+(G36-W36)*V36+(G36-Y36)*X36+(G36-AA36)*Z36+(G36-AC36)*AB36+(G36-AE36)*AD36+(G36-AG36)*AF36+(G36-AI36)*AH36+(G36-AK36)*AJ36+(G36-AM36)*AL36+(G36-AO36)*AN36+(G36-AQ36)*AP36+(G36-AS36)*AR36+(G36-AU36)*AT36+(G36-AW36)*AV36+(G36-AY36)*AX36+(G36-BA36)*AZ36+(G36-BC36)*BB36)*BJ36*BI36)*10000</f>
        <v>0</v>
      </c>
      <c r="J36" s="82" t="n">
        <f aca="false">H36+I36</f>
        <v>263884.5973268</v>
      </c>
      <c r="L36" s="329"/>
      <c r="M36" s="46"/>
      <c r="O36" s="95" t="n">
        <f aca="false">A36</f>
        <v>37926</v>
      </c>
      <c r="BD36" s="100" t="n">
        <f aca="false">(P36+R36+T36+V36+X36+Z36+AB36+AD36+AF36+AH36+AJ36+AL36+AN36+AP36+AR36+AT36+AV36+AX36+AZ36+BB36)</f>
        <v>0</v>
      </c>
      <c r="BE36" s="322" t="n">
        <f aca="false">IF(AND(BD36=0,BH36=0),0,(ABS(P36)*Q36+ABS(R36)*S36+ABS(T36)*U36+ABS(V36)*W36+ABS(X36)*Y36+ABS(Z36)*AA36+ABS(AB36)*AC36+ABS(AD36)*AE36+ABS(AF36)*AG36+ABS(AH36)*AI36+ABS(AJ36)*AK36+ABS(AL36)*AM36+ABS(AN36)*AO36+ABS(AP36)*AQ36+ABS(AR36)*AS36+ABS(AT36)*AU36+ABS(AV36)*AW36+ABS(AX36)*AY36+ABS(AZ36)*BA36+ABS(BB36)*BC36)/BH36)</f>
        <v>0</v>
      </c>
      <c r="BF36" s="102"/>
      <c r="BG36" s="103" t="n">
        <f aca="false">O36</f>
        <v>37926</v>
      </c>
      <c r="BH36" s="323" t="n">
        <f aca="false">(ABS(P36)+ABS(R36)+ABS(T36)+ABS(V36)+ABS(X36)+ABS(Z36)+ABS(AB36)+ABS(AD36)+ABS(AF36)+ABS(AH36)+ABS(AJ36)+ABS(AL36)+ABS(AN36)+ABS(AP36)+ABS(AR36)+ABS(AT36)+ABS(AV36)+ABS(AX36)+ABS(AZ36)+ABS(BB36))</f>
        <v>0</v>
      </c>
      <c r="BI36" s="104" t="n">
        <f aca="false">VLOOKUP(GasPosn!A36,'Pricing Summary'!$AB$12:$AD$250,3)</f>
        <v>30</v>
      </c>
      <c r="BJ36" s="102" t="n">
        <f aca="false">VLOOKUP(A36,Interest!$AF$8:$AK$367,6)</f>
        <v>0.935380004886363</v>
      </c>
      <c r="BK36" s="102"/>
      <c r="BL36" s="0" t="n">
        <f aca="false">J36*VLOOKUP(A36,NymexData!$J$12:$K$244,2)</f>
        <v>415743.470043712</v>
      </c>
      <c r="BO36" s="0" t="n">
        <f aca="false">Interest!AK32</f>
        <v>0.935380004886363</v>
      </c>
      <c r="BP36" s="0" t="n">
        <f aca="false">G36*Interest!AK32</f>
        <v>3.46558291810397</v>
      </c>
      <c r="BQ36" s="0" t="n">
        <f aca="false">IF(AND(A36&gt;=$B$3,A36&lt;=$B$4),1,0)</f>
        <v>0</v>
      </c>
      <c r="BR36" s="0" t="n">
        <f aca="false">BO36*BQ36</f>
        <v>0</v>
      </c>
      <c r="BS36" s="0" t="n">
        <f aca="false">BP36*BQ36</f>
        <v>0</v>
      </c>
    </row>
    <row r="37" customFormat="false" ht="18" hidden="false" customHeight="false" outlineLevel="0" collapsed="false">
      <c r="A37" s="112" t="n">
        <f aca="false">[2]EnergyCurve!$D59</f>
        <v>37956</v>
      </c>
      <c r="B37" s="324" t="n">
        <f aca="false" t="array" ref="B37:B37">SUM(IF(MONTH(NymexData!$AI$12:$AI$250)&amp;YEAR(NymexData!$AI$12:$AI$250)=MONTH(A37)&amp;YEAR(A37),NymexData!$AJ$12:$AJ$250))</f>
        <v>-357.4977945</v>
      </c>
      <c r="C37" s="325" t="n">
        <f aca="false">BD37*BJ37*BI37</f>
        <v>0</v>
      </c>
      <c r="D37" s="326" t="n">
        <f aca="false">C37+B37</f>
        <v>-357.4977945</v>
      </c>
      <c r="E37" s="327" t="n">
        <f aca="false" t="array" ref="E37:E37">SUM(IF(MONTH(NymexData!$S$12:$S$250)&amp;YEAR(NymexData!$S$12:$S$250)=MONTH(A37)&amp;YEAR(A37),NymexData!$T$12:$T$250))</f>
        <v>3.928</v>
      </c>
      <c r="F37" s="327" t="n">
        <f aca="false">G37-E37</f>
        <v>-0.0710000000000002</v>
      </c>
      <c r="G37" s="328" t="n">
        <f aca="false" t="array" ref="G37:G37">IF(NymexData!$AA$12="",GasPosn!E37,SUM(IF(MONTH(NymexData!$AA$12:$AA$250)&amp;YEAR(NymexData!$AA$12:$AA$250)=MONTH(A37)&amp;YEAR(A37),NymexData!$AB$12:$AB$250)))</f>
        <v>3.857</v>
      </c>
      <c r="H37" s="115" t="n">
        <f aca="false">B37*10000*F37</f>
        <v>253823.434095001</v>
      </c>
      <c r="I37" s="119" t="n">
        <f aca="false">(((G37-Q37)*P37+(G37-S37)*R37+(G37-U37)*T37+(G37-W37)*V37+(G37-Y37)*X37+(G37-AA37)*Z37+(G37-AC37)*AB37+(G37-AE37)*AD37+(G37-AG37)*AF37+(G37-AI37)*AH37+(G37-AK37)*AJ37+(G37-AM37)*AL37+(G37-AO37)*AN37+(G37-AQ37)*AP37+(G37-AS37)*AR37+(G37-AU37)*AT37+(G37-AW37)*AV37+(G37-AY37)*AX37+(G37-BA37)*AZ37+(G37-BC37)*BB37)*BJ37*BI37)*10000</f>
        <v>0</v>
      </c>
      <c r="J37" s="119" t="n">
        <f aca="false">H37+I37</f>
        <v>253823.434095001</v>
      </c>
      <c r="L37" s="329"/>
      <c r="M37" s="46"/>
      <c r="O37" s="95" t="n">
        <f aca="false">A37</f>
        <v>37956</v>
      </c>
      <c r="BD37" s="100" t="n">
        <f aca="false">(P37+R37+T37+V37+X37+Z37+AB37+AD37+AF37+AH37+AJ37+AL37+AN37+AP37+AR37+AT37+AV37+AX37+AZ37+BB37)</f>
        <v>0</v>
      </c>
      <c r="BE37" s="322" t="n">
        <f aca="false">IF(AND(BD37=0,BH37=0),0,(ABS(P37)*Q37+ABS(R37)*S37+ABS(T37)*U37+ABS(V37)*W37+ABS(X37)*Y37+ABS(Z37)*AA37+ABS(AB37)*AC37+ABS(AD37)*AE37+ABS(AF37)*AG37+ABS(AH37)*AI37+ABS(AJ37)*AK37+ABS(AL37)*AM37+ABS(AN37)*AO37+ABS(AP37)*AQ37+ABS(AR37)*AS37+ABS(AT37)*AU37+ABS(AV37)*AW37+ABS(AX37)*AY37+ABS(AZ37)*BA37+ABS(BB37)*BC37)/BH37)</f>
        <v>0</v>
      </c>
      <c r="BF37" s="102"/>
      <c r="BG37" s="103" t="n">
        <f aca="false">O37</f>
        <v>37956</v>
      </c>
      <c r="BH37" s="323" t="n">
        <f aca="false">(ABS(P37)+ABS(R37)+ABS(T37)+ABS(V37)+ABS(X37)+ABS(Z37)+ABS(AB37)+ABS(AD37)+ABS(AF37)+ABS(AH37)+ABS(AJ37)+ABS(AL37)+ABS(AN37)+ABS(AP37)+ABS(AR37)+ABS(AT37)+ABS(AV37)+ABS(AX37)+ABS(AZ37)+ABS(BB37))</f>
        <v>0</v>
      </c>
      <c r="BI37" s="104" t="n">
        <f aca="false">VLOOKUP(GasPosn!A37,'Pricing Summary'!$AB$12:$AD$250,3)</f>
        <v>31</v>
      </c>
      <c r="BJ37" s="102" t="n">
        <f aca="false">VLOOKUP(A37,Interest!$AF$8:$AK$367,6)</f>
        <v>0.931682668946481</v>
      </c>
      <c r="BK37" s="102"/>
      <c r="BL37" s="0" t="n">
        <f aca="false">J37*VLOOKUP(A37,NymexData!$J$12:$K$244,2)</f>
        <v>399833.472385035</v>
      </c>
      <c r="BO37" s="0" t="n">
        <f aca="false">Interest!AK33</f>
        <v>0.931682668946481</v>
      </c>
      <c r="BP37" s="0" t="n">
        <f aca="false">G37*Interest!AK33</f>
        <v>3.59350005412658</v>
      </c>
      <c r="BQ37" s="0" t="n">
        <f aca="false">IF(AND(A37&gt;=$B$3,A37&lt;=$B$4),1,0)</f>
        <v>0</v>
      </c>
      <c r="BR37" s="0" t="n">
        <f aca="false">BO37*BQ37</f>
        <v>0</v>
      </c>
      <c r="BS37" s="0" t="n">
        <f aca="false">BP37*BQ37</f>
        <v>0</v>
      </c>
    </row>
    <row r="38" customFormat="false" ht="18" hidden="false" customHeight="false" outlineLevel="0" collapsed="false">
      <c r="A38" s="75" t="n">
        <f aca="false">[2]EnergyCurve!$D60</f>
        <v>37987</v>
      </c>
      <c r="B38" s="317" t="n">
        <f aca="false" t="array" ref="B38:B38">SUM(IF(MONTH(NymexData!$AI$12:$AI$250)&amp;YEAR(NymexData!$AI$12:$AI$250)=MONTH(A38)&amp;YEAR(A38),NymexData!$AJ$12:$AJ$250))</f>
        <v>-209.06924005</v>
      </c>
      <c r="C38" s="317" t="n">
        <f aca="false">BD38*BJ38*BI38</f>
        <v>0</v>
      </c>
      <c r="D38" s="319" t="n">
        <f aca="false">C38+B38</f>
        <v>-209.06924005</v>
      </c>
      <c r="E38" s="320" t="n">
        <f aca="false" t="array" ref="E38:E38">SUM(IF(MONTH(NymexData!$S$12:$S$250)&amp;YEAR(NymexData!$S$12:$S$250)=MONTH(A38)&amp;YEAR(A38),NymexData!$T$12:$T$250))</f>
        <v>3.968</v>
      </c>
      <c r="F38" s="320" t="n">
        <f aca="false">G38-E38</f>
        <v>-0.0609999999999999</v>
      </c>
      <c r="G38" s="321" t="n">
        <f aca="false" t="array" ref="G38:G38">IF(NymexData!$AA$12="",GasPosn!E38,SUM(IF(MONTH(NymexData!$AA$12:$AA$250)&amp;YEAR(NymexData!$AA$12:$AA$250)=MONTH(A38)&amp;YEAR(A38),NymexData!$AB$12:$AB$250)))</f>
        <v>3.907</v>
      </c>
      <c r="H38" s="76" t="n">
        <f aca="false">B38*10000*F38</f>
        <v>127532.2364305</v>
      </c>
      <c r="I38" s="82" t="n">
        <f aca="false">(((G38-Q38)*P38+(G38-S38)*R38+(G38-U38)*T38+(G38-W38)*V38+(G38-Y38)*X38+(G38-AA38)*Z38+(G38-AC38)*AB38+(G38-AE38)*AD38+(G38-AG38)*AF38+(G38-AI38)*AH38+(G38-AK38)*AJ38+(G38-AM38)*AL38+(G38-AO38)*AN38+(G38-AQ38)*AP38+(G38-AS38)*AR38+(G38-AU38)*AT38+(G38-AW38)*AV38+(G38-AY38)*AX38+(G38-BA38)*AZ38+(G38-BC38)*BB38)*BJ38*BI38)*10000</f>
        <v>0</v>
      </c>
      <c r="J38" s="82" t="n">
        <f aca="false">H38+I38</f>
        <v>127532.2364305</v>
      </c>
      <c r="L38" s="329"/>
      <c r="M38" s="46"/>
      <c r="O38" s="95" t="n">
        <f aca="false">A38</f>
        <v>37987</v>
      </c>
      <c r="BD38" s="100" t="n">
        <f aca="false">(P38+R38+T38+V38+X38+Z38+AB38+AD38+AF38+AH38+AJ38+AL38+AN38+AP38+AR38+AT38+AV38+AX38+AZ38+BB38)</f>
        <v>0</v>
      </c>
      <c r="BE38" s="322" t="n">
        <f aca="false">IF(AND(BD38=0,BH38=0),0,(ABS(P38)*Q38+ABS(R38)*S38+ABS(T38)*U38+ABS(V38)*W38+ABS(X38)*Y38+ABS(Z38)*AA38+ABS(AB38)*AC38+ABS(AD38)*AE38+ABS(AF38)*AG38+ABS(AH38)*AI38+ABS(AJ38)*AK38+ABS(AL38)*AM38+ABS(AN38)*AO38+ABS(AP38)*AQ38+ABS(AR38)*AS38+ABS(AT38)*AU38+ABS(AV38)*AW38+ABS(AX38)*AY38+ABS(AZ38)*BA38+ABS(BB38)*BC38)/BH38)</f>
        <v>0</v>
      </c>
      <c r="BF38" s="1"/>
      <c r="BG38" s="103" t="n">
        <f aca="false">O38</f>
        <v>37987</v>
      </c>
      <c r="BH38" s="323" t="n">
        <f aca="false">(ABS(P38)+ABS(R38)+ABS(T38)+ABS(V38)+ABS(X38)+ABS(Z38)+ABS(AB38)+ABS(AD38)+ABS(AF38)+ABS(AH38)+ABS(AJ38)+ABS(AL38)+ABS(AN38)+ABS(AP38)+ABS(AR38)+ABS(AT38)+ABS(AV38)+ABS(AX38)+ABS(AZ38)+ABS(BB38))</f>
        <v>0</v>
      </c>
      <c r="BI38" s="104" t="n">
        <f aca="false">VLOOKUP(GasPosn!A38,'Pricing Summary'!$AB$12:$AD$250,3)</f>
        <v>31</v>
      </c>
      <c r="BJ38" s="102" t="n">
        <f aca="false">VLOOKUP(A38,Interest!$AF$8:$AK$367,6)</f>
        <v>0.927878709036443</v>
      </c>
      <c r="BK38" s="102"/>
      <c r="BL38" s="0" t="n">
        <f aca="false">J38*VLOOKUP(A38,NymexData!$J$12:$K$244,2)</f>
        <v>200861.509917406</v>
      </c>
      <c r="BO38" s="0" t="n">
        <f aca="false">Interest!AK34</f>
        <v>0.927878709036443</v>
      </c>
      <c r="BP38" s="0" t="n">
        <f aca="false">G38*Interest!AK34</f>
        <v>3.62522211620538</v>
      </c>
      <c r="BQ38" s="0" t="n">
        <f aca="false">IF(AND(A38&gt;=$B$3,A38&lt;=$B$4),1,0)</f>
        <v>1</v>
      </c>
      <c r="BR38" s="0" t="n">
        <f aca="false">BO38*BQ38</f>
        <v>0.927878709036443</v>
      </c>
      <c r="BS38" s="0" t="n">
        <f aca="false">BP38*BQ38</f>
        <v>3.62522211620538</v>
      </c>
    </row>
    <row r="39" customFormat="false" ht="18" hidden="false" customHeight="false" outlineLevel="0" collapsed="false">
      <c r="A39" s="112" t="n">
        <f aca="false">[2]EnergyCurve!$D61</f>
        <v>38018</v>
      </c>
      <c r="B39" s="324" t="n">
        <f aca="false" t="array" ref="B39:B39">SUM(IF(MONTH(NymexData!$AI$12:$AI$250)&amp;YEAR(NymexData!$AI$12:$AI$250)=MONTH(A39)&amp;YEAR(A39),NymexData!$AJ$12:$AJ$250))</f>
        <v>-194.82160343</v>
      </c>
      <c r="C39" s="325" t="n">
        <f aca="false">BD39*BJ39*BI39</f>
        <v>0</v>
      </c>
      <c r="D39" s="326" t="n">
        <f aca="false">C39+B39</f>
        <v>-194.82160343</v>
      </c>
      <c r="E39" s="327" t="n">
        <f aca="false" t="array" ref="E39:E39">SUM(IF(MONTH(NymexData!$S$12:$S$250)&amp;YEAR(NymexData!$S$12:$S$250)=MONTH(A39)&amp;YEAR(A39),NymexData!$T$12:$T$250))</f>
        <v>3.881</v>
      </c>
      <c r="F39" s="327" t="n">
        <f aca="false">G39-E39</f>
        <v>-0.0619999999999998</v>
      </c>
      <c r="G39" s="328" t="n">
        <f aca="false" t="array" ref="G39:G39">IF(NymexData!$AA$12="",GasPosn!E39,SUM(IF(MONTH(NymexData!$AA$12:$AA$250)&amp;YEAR(NymexData!$AA$12:$AA$250)=MONTH(A39)&amp;YEAR(A39),NymexData!$AB$12:$AB$250)))</f>
        <v>3.819</v>
      </c>
      <c r="H39" s="115" t="n">
        <f aca="false">B39*10000*F39</f>
        <v>120789.3941266</v>
      </c>
      <c r="I39" s="119" t="n">
        <f aca="false">(((G39-Q39)*P39+(G39-S39)*R39+(G39-U39)*T39+(G39-W39)*V39+(G39-Y39)*X39+(G39-AA39)*Z39+(G39-AC39)*AB39+(G39-AE39)*AD39+(G39-AG39)*AF39+(G39-AI39)*AH39+(G39-AK39)*AJ39+(G39-AM39)*AL39+(G39-AO39)*AN39+(G39-AQ39)*AP39+(G39-AS39)*AR39+(G39-AU39)*AT39+(G39-AW39)*AV39+(G39-AY39)*AX39+(G39-BA39)*AZ39+(G39-BC39)*BB39)*BJ39*BI39)*10000</f>
        <v>0</v>
      </c>
      <c r="J39" s="119" t="n">
        <f aca="false">H39+I39</f>
        <v>120789.3941266</v>
      </c>
      <c r="L39" s="329"/>
      <c r="M39" s="46"/>
      <c r="O39" s="95" t="n">
        <f aca="false">A39</f>
        <v>38018</v>
      </c>
      <c r="BD39" s="100" t="n">
        <f aca="false">(P39+R39+T39+V39+X39+Z39+AB39+AD39+AF39+AH39+AJ39+AL39+AN39+AP39+AR39+AT39+AV39+AX39+AZ39+BB39)</f>
        <v>0</v>
      </c>
      <c r="BE39" s="322" t="n">
        <f aca="false">IF(AND(BD39=0,BH39=0),0,(ABS(P39)*Q39+ABS(R39)*S39+ABS(T39)*U39+ABS(V39)*W39+ABS(X39)*Y39+ABS(Z39)*AA39+ABS(AB39)*AC39+ABS(AD39)*AE39+ABS(AF39)*AG39+ABS(AH39)*AI39+ABS(AJ39)*AK39+ABS(AL39)*AM39+ABS(AN39)*AO39+ABS(AP39)*AQ39+ABS(AR39)*AS39+ABS(AT39)*AU39+ABS(AV39)*AW39+ABS(AX39)*AY39+ABS(AZ39)*BA39+ABS(BB39)*BC39)/BH39)</f>
        <v>0</v>
      </c>
      <c r="BF39" s="1"/>
      <c r="BG39" s="103" t="n">
        <f aca="false">O39</f>
        <v>38018</v>
      </c>
      <c r="BH39" s="323" t="n">
        <f aca="false">(ABS(P39)+ABS(R39)+ABS(T39)+ABS(V39)+ABS(X39)+ABS(Z39)+ABS(AB39)+ABS(AD39)+ABS(AF39)+ABS(AH39)+ABS(AJ39)+ABS(AL39)+ABS(AN39)+ABS(AP39)+ABS(AR39)+ABS(AT39)+ABS(AV39)+ABS(AX39)+ABS(AZ39)+ABS(BB39))</f>
        <v>0</v>
      </c>
      <c r="BI39" s="104" t="n">
        <f aca="false">VLOOKUP(GasPosn!A39,'Pricing Summary'!$AB$12:$AD$250,3)</f>
        <v>29</v>
      </c>
      <c r="BJ39" s="102" t="n">
        <f aca="false">VLOOKUP(A39,Interest!$AF$8:$AK$367,6)</f>
        <v>0.924178330875414</v>
      </c>
      <c r="BK39" s="102"/>
      <c r="BL39" s="0" t="n">
        <f aca="false">J39*VLOOKUP(A39,NymexData!$J$12:$K$244,2)</f>
        <v>190208.837708251</v>
      </c>
      <c r="BO39" s="0" t="n">
        <f aca="false">Interest!AK35</f>
        <v>0.924178330875414</v>
      </c>
      <c r="BP39" s="0" t="n">
        <f aca="false">G39*Interest!AK35</f>
        <v>3.52943704561321</v>
      </c>
      <c r="BQ39" s="0" t="n">
        <f aca="false">IF(AND(A39&gt;=$B$3,A39&lt;=$B$4),1,0)</f>
        <v>1</v>
      </c>
      <c r="BR39" s="0" t="n">
        <f aca="false">BO39*BQ39</f>
        <v>0.924178330875414</v>
      </c>
      <c r="BS39" s="0" t="n">
        <f aca="false">BP39*BQ39</f>
        <v>3.52943704561321</v>
      </c>
    </row>
    <row r="40" customFormat="false" ht="18" hidden="false" customHeight="false" outlineLevel="0" collapsed="false">
      <c r="A40" s="75" t="n">
        <f aca="false">[2]EnergyCurve!$D62</f>
        <v>38047</v>
      </c>
      <c r="B40" s="317" t="n">
        <f aca="false" t="array" ref="B40:B40">SUM(IF(MONTH(NymexData!$AI$12:$AI$250)&amp;YEAR(NymexData!$AI$12:$AI$250)=MONTH(A40)&amp;YEAR(A40),NymexData!$AJ$12:$AJ$250))</f>
        <v>-207.48597316</v>
      </c>
      <c r="C40" s="317" t="n">
        <f aca="false">BD40*BJ40*BI40</f>
        <v>0</v>
      </c>
      <c r="D40" s="319" t="n">
        <f aca="false">C40+B40</f>
        <v>-207.48597316</v>
      </c>
      <c r="E40" s="320" t="n">
        <f aca="false" t="array" ref="E40:E40">SUM(IF(MONTH(NymexData!$S$12:$S$250)&amp;YEAR(NymexData!$S$12:$S$250)=MONTH(A40)&amp;YEAR(A40),NymexData!$T$12:$T$250))</f>
        <v>3.742</v>
      </c>
      <c r="F40" s="320" t="n">
        <f aca="false">G40-E40</f>
        <v>-0.0619999999999998</v>
      </c>
      <c r="G40" s="321" t="n">
        <f aca="false" t="array" ref="G40:G40">IF(NymexData!$AA$12="",GasPosn!E40,SUM(IF(MONTH(NymexData!$AA$12:$AA$250)&amp;YEAR(NymexData!$AA$12:$AA$250)=MONTH(A40)&amp;YEAR(A40),NymexData!$AB$12:$AB$250)))</f>
        <v>3.68</v>
      </c>
      <c r="H40" s="76" t="n">
        <f aca="false">B40*10000*F40</f>
        <v>128641.3033592</v>
      </c>
      <c r="I40" s="82" t="n">
        <f aca="false">(((G40-Q40)*P40+(G40-S40)*R40+(G40-U40)*T40+(G40-W40)*V40+(G40-Y40)*X40+(G40-AA40)*Z40+(G40-AC40)*AB40+(G40-AE40)*AD40+(G40-AG40)*AF40+(G40-AI40)*AH40+(G40-AK40)*AJ40+(G40-AM40)*AL40+(G40-AO40)*AN40+(G40-AQ40)*AP40+(G40-AS40)*AR40+(G40-AU40)*AT40+(G40-AW40)*AV40+(G40-AY40)*AX40+(G40-BA40)*AZ40+(G40-BC40)*BB40)*BJ40*BI40)*10000</f>
        <v>0</v>
      </c>
      <c r="J40" s="82" t="n">
        <f aca="false">H40+I40</f>
        <v>128641.3033592</v>
      </c>
      <c r="L40" s="329"/>
      <c r="M40" s="46"/>
      <c r="N40" s="46"/>
      <c r="O40" s="95" t="n">
        <f aca="false">A40</f>
        <v>38047</v>
      </c>
      <c r="BD40" s="100" t="n">
        <f aca="false">(P40+R40+T40+V40+X40+Z40+AB40+AD40+AF40+AH40+AJ40+AL40+AN40+AP40+AR40+AT40+AV40+AX40+AZ40+BB40)</f>
        <v>0</v>
      </c>
      <c r="BE40" s="322" t="n">
        <f aca="false">IF(AND(BD40=0,BH40=0),0,(ABS(P40)*Q40+ABS(R40)*S40+ABS(T40)*U40+ABS(V40)*W40+ABS(X40)*Y40+ABS(Z40)*AA40+ABS(AB40)*AC40+ABS(AD40)*AE40+ABS(AF40)*AG40+ABS(AH40)*AI40+ABS(AJ40)*AK40+ABS(AL40)*AM40+ABS(AN40)*AO40+ABS(AP40)*AQ40+ABS(AR40)*AS40+ABS(AT40)*AU40+ABS(AV40)*AW40+ABS(AX40)*AY40+ABS(AZ40)*BA40+ABS(BB40)*BC40)/BH40)</f>
        <v>0</v>
      </c>
      <c r="BF40" s="1"/>
      <c r="BG40" s="103" t="n">
        <f aca="false">O40</f>
        <v>38047</v>
      </c>
      <c r="BH40" s="323" t="n">
        <f aca="false">(ABS(P40)+ABS(R40)+ABS(T40)+ABS(V40)+ABS(X40)+ABS(Z40)+ABS(AB40)+ABS(AD40)+ABS(AF40)+ABS(AH40)+ABS(AJ40)+ABS(AL40)+ABS(AN40)+ABS(AP40)+ABS(AR40)+ABS(AT40)+ABS(AV40)+ABS(AX40)+ABS(AZ40)+ABS(BB40))</f>
        <v>0</v>
      </c>
      <c r="BI40" s="104" t="n">
        <f aca="false">VLOOKUP(GasPosn!A40,'Pricing Summary'!$AB$12:$AD$250,3)</f>
        <v>31</v>
      </c>
      <c r="BJ40" s="102" t="n">
        <f aca="false">VLOOKUP(A40,Interest!$AF$8:$AK$367,6)</f>
        <v>0.920321134097026</v>
      </c>
      <c r="BK40" s="102"/>
      <c r="BL40" s="0" t="n">
        <f aca="false">J40*VLOOKUP(A40,NymexData!$J$12:$K$244,2)</f>
        <v>202537.679721143</v>
      </c>
      <c r="BO40" s="0" t="n">
        <f aca="false">Interest!AK36</f>
        <v>0.920321134097026</v>
      </c>
      <c r="BP40" s="0" t="n">
        <f aca="false">G40*Interest!AK36</f>
        <v>3.38678177347706</v>
      </c>
      <c r="BQ40" s="0" t="n">
        <f aca="false">IF(AND(A40&gt;=$B$3,A40&lt;=$B$4),1,0)</f>
        <v>1</v>
      </c>
      <c r="BR40" s="0" t="n">
        <f aca="false">BO40*BQ40</f>
        <v>0.920321134097026</v>
      </c>
      <c r="BS40" s="0" t="n">
        <f aca="false">BP40*BQ40</f>
        <v>3.38678177347706</v>
      </c>
    </row>
    <row r="41" customFormat="false" ht="18" hidden="false" customHeight="false" outlineLevel="0" collapsed="false">
      <c r="A41" s="112" t="n">
        <f aca="false">[2]EnergyCurve!$D63</f>
        <v>38078</v>
      </c>
      <c r="B41" s="324" t="n">
        <f aca="false" t="array" ref="B41:B41">SUM(IF(MONTH(NymexData!$AI$12:$AI$250)&amp;YEAR(NymexData!$AI$12:$AI$250)=MONTH(A41)&amp;YEAR(A41),NymexData!$AJ$12:$AJ$250))</f>
        <v>-199.98211487</v>
      </c>
      <c r="C41" s="325" t="n">
        <f aca="false">BD41*BJ41*BI41</f>
        <v>0</v>
      </c>
      <c r="D41" s="326" t="n">
        <f aca="false">C41+B41</f>
        <v>-199.98211487</v>
      </c>
      <c r="E41" s="327" t="n">
        <f aca="false" t="array" ref="E41:E41">SUM(IF(MONTH(NymexData!$S$12:$S$250)&amp;YEAR(NymexData!$S$12:$S$250)=MONTH(A41)&amp;YEAR(A41),NymexData!$T$12:$T$250))</f>
        <v>3.588</v>
      </c>
      <c r="F41" s="327" t="n">
        <f aca="false">G41-E41</f>
        <v>-0.0619999999999998</v>
      </c>
      <c r="G41" s="328" t="n">
        <f aca="false" t="array" ref="G41:G41">IF(NymexData!$AA$12="",GasPosn!E41,SUM(IF(MONTH(NymexData!$AA$12:$AA$250)&amp;YEAR(NymexData!$AA$12:$AA$250)=MONTH(A41)&amp;YEAR(A41),NymexData!$AB$12:$AB$250)))</f>
        <v>3.526</v>
      </c>
      <c r="H41" s="115" t="n">
        <f aca="false">B41*10000*F41</f>
        <v>123988.9112194</v>
      </c>
      <c r="I41" s="119" t="n">
        <f aca="false">(((G41-Q41)*P41+(G41-S41)*R41+(G41-U41)*T41+(G41-W41)*V41+(G41-Y41)*X41+(G41-AA41)*Z41+(G41-AC41)*AB41+(G41-AE41)*AD41+(G41-AG41)*AF41+(G41-AI41)*AH41+(G41-AK41)*AJ41+(G41-AM41)*AL41+(G41-AO41)*AN41+(G41-AQ41)*AP41+(G41-AS41)*AR41+(G41-AU41)*AT41+(G41-AW41)*AV41+(G41-AY41)*AX41+(G41-BA41)*AZ41+(G41-BC41)*BB41)*BJ41*BI41)*10000</f>
        <v>0</v>
      </c>
      <c r="J41" s="119" t="n">
        <f aca="false">H41+I41</f>
        <v>123988.9112194</v>
      </c>
      <c r="L41" s="329"/>
      <c r="N41" s="46"/>
      <c r="O41" s="95" t="n">
        <f aca="false">A41</f>
        <v>38078</v>
      </c>
      <c r="BD41" s="100" t="n">
        <f aca="false">(P41+R41+T41+V41+X41+Z41+AB41+AD41+AF41+AH41+AJ41+AL41+AN41+AP41+AR41+AT41+AV41+AX41+AZ41+BB41)</f>
        <v>0</v>
      </c>
      <c r="BE41" s="322" t="n">
        <f aca="false">IF(AND(BD41=0,BH41=0),0,(ABS(P41)*Q41+ABS(R41)*S41+ABS(T41)*U41+ABS(V41)*W41+ABS(X41)*Y41+ABS(Z41)*AA41+ABS(AB41)*AC41+ABS(AD41)*AE41+ABS(AF41)*AG41+ABS(AH41)*AI41+ABS(AJ41)*AK41+ABS(AL41)*AM41+ABS(AN41)*AO41+ABS(AP41)*AQ41+ABS(AR41)*AS41+ABS(AT41)*AU41+ABS(AV41)*AW41+ABS(AX41)*AY41+ABS(AZ41)*BA41+ABS(BB41)*BC41)/BH41)</f>
        <v>0</v>
      </c>
      <c r="BF41" s="1"/>
      <c r="BG41" s="103" t="n">
        <f aca="false">O41</f>
        <v>38078</v>
      </c>
      <c r="BH41" s="323" t="n">
        <f aca="false">(ABS(P41)+ABS(R41)+ABS(T41)+ABS(V41)+ABS(X41)+ABS(Z41)+ABS(AB41)+ABS(AD41)+ABS(AF41)+ABS(AH41)+ABS(AJ41)+ABS(AL41)+ABS(AN41)+ABS(AP41)+ABS(AR41)+ABS(AT41)+ABS(AV41)+ABS(AX41)+ABS(AZ41)+ABS(BB41))</f>
        <v>0</v>
      </c>
      <c r="BI41" s="104" t="n">
        <f aca="false">VLOOKUP(GasPosn!A41,'Pricing Summary'!$AB$12:$AD$250,3)</f>
        <v>30</v>
      </c>
      <c r="BJ41" s="102" t="n">
        <f aca="false">VLOOKUP(A41,Interest!$AF$8:$AK$367,6)</f>
        <v>0.916469708585514</v>
      </c>
      <c r="BK41" s="102"/>
      <c r="BL41" s="0" t="n">
        <f aca="false">J41*VLOOKUP(A41,NymexData!$J$12:$K$244,2)</f>
        <v>195187.908884204</v>
      </c>
      <c r="BO41" s="0" t="n">
        <f aca="false">Interest!AK37</f>
        <v>0.916469708585514</v>
      </c>
      <c r="BP41" s="0" t="n">
        <f aca="false">G41*Interest!AK37</f>
        <v>3.23147219247252</v>
      </c>
      <c r="BQ41" s="0" t="n">
        <f aca="false">IF(AND(A41&gt;=$B$3,A41&lt;=$B$4),1,0)</f>
        <v>1</v>
      </c>
      <c r="BR41" s="0" t="n">
        <f aca="false">BO41*BQ41</f>
        <v>0.916469708585514</v>
      </c>
      <c r="BS41" s="0" t="n">
        <f aca="false">BP41*BQ41</f>
        <v>3.23147219247252</v>
      </c>
    </row>
    <row r="42" customFormat="false" ht="18" hidden="false" customHeight="false" outlineLevel="0" collapsed="false">
      <c r="A42" s="75" t="n">
        <f aca="false">[2]EnergyCurve!$D64</f>
        <v>38108</v>
      </c>
      <c r="B42" s="317" t="n">
        <f aca="false" t="array" ref="B42:B42">SUM(IF(MONTH(NymexData!$AI$12:$AI$250)&amp;YEAR(NymexData!$AI$12:$AI$250)=MONTH(A42)&amp;YEAR(A42),NymexData!$AJ$12:$AJ$250))</f>
        <v>-205.82484128</v>
      </c>
      <c r="C42" s="317" t="n">
        <f aca="false">BD42*BJ42*BI42</f>
        <v>0</v>
      </c>
      <c r="D42" s="319" t="n">
        <f aca="false">C42+B42</f>
        <v>-205.82484128</v>
      </c>
      <c r="E42" s="320" t="n">
        <f aca="false" t="array" ref="E42:E42">SUM(IF(MONTH(NymexData!$S$12:$S$250)&amp;YEAR(NymexData!$S$12:$S$250)=MONTH(A42)&amp;YEAR(A42),NymexData!$T$12:$T$250))</f>
        <v>3.593</v>
      </c>
      <c r="F42" s="320" t="n">
        <f aca="false">G42-E42</f>
        <v>-0.0619999999999998</v>
      </c>
      <c r="G42" s="321" t="n">
        <f aca="false" t="array" ref="G42:G42">IF(NymexData!$AA$12="",GasPosn!E42,SUM(IF(MONTH(NymexData!$AA$12:$AA$250)&amp;YEAR(NymexData!$AA$12:$AA$250)=MONTH(A42)&amp;YEAR(A42),NymexData!$AB$12:$AB$250)))</f>
        <v>3.531</v>
      </c>
      <c r="H42" s="76" t="n">
        <f aca="false">B42*10000*F42</f>
        <v>127611.4015936</v>
      </c>
      <c r="I42" s="82" t="n">
        <f aca="false">(((G42-Q42)*P42+(G42-S42)*R42+(G42-U42)*T42+(G42-W42)*V42+(G42-Y42)*X42+(G42-AA42)*Z42+(G42-AC42)*AB42+(G42-AE42)*AD42+(G42-AG42)*AF42+(G42-AI42)*AH42+(G42-AK42)*AJ42+(G42-AM42)*AL42+(G42-AO42)*AN42+(G42-AQ42)*AP42+(G42-AS42)*AR42+(G42-AU42)*AT42+(G42-AW42)*AV42+(G42-AY42)*AX42+(G42-BA42)*AZ42+(G42-BC42)*BB42)*BJ42*BI42)*10000</f>
        <v>0</v>
      </c>
      <c r="J42" s="82" t="n">
        <f aca="false">H42+I42</f>
        <v>127611.4015936</v>
      </c>
      <c r="L42" s="329"/>
      <c r="N42" s="46"/>
      <c r="O42" s="95" t="n">
        <f aca="false">A42</f>
        <v>38108</v>
      </c>
      <c r="BD42" s="100" t="n">
        <f aca="false">(P42+R42+T42+V42+X42+Z42+AB42+AD42+AF42+AH42+AJ42+AL42+AN42+AP42+AR42+AT42+AV42+AX42+AZ42+BB42)</f>
        <v>0</v>
      </c>
      <c r="BE42" s="322" t="n">
        <f aca="false">IF(AND(BD42=0,BH42=0),0,(ABS(P42)*Q42+ABS(R42)*S42+ABS(T42)*U42+ABS(V42)*W42+ABS(X42)*Y42+ABS(Z42)*AA42+ABS(AB42)*AC42+ABS(AD42)*AE42+ABS(AF42)*AG42+ABS(AH42)*AI42+ABS(AJ42)*AK42+ABS(AL42)*AM42+ABS(AN42)*AO42+ABS(AP42)*AQ42+ABS(AR42)*AS42+ABS(AT42)*AU42+ABS(AV42)*AW42+ABS(AX42)*AY42+ABS(AZ42)*BA42+ABS(BB42)*BC42)/BH42)</f>
        <v>0</v>
      </c>
      <c r="BF42" s="1"/>
      <c r="BG42" s="103" t="n">
        <f aca="false">O42</f>
        <v>38108</v>
      </c>
      <c r="BH42" s="323" t="n">
        <f aca="false">(ABS(P42)+ABS(R42)+ABS(T42)+ABS(V42)+ABS(X42)+ABS(Z42)+ABS(AB42)+ABS(AD42)+ABS(AF42)+ABS(AH42)+ABS(AJ42)+ABS(AL42)+ABS(AN42)+ABS(AP42)+ABS(AR42)+ABS(AT42)+ABS(AV42)+ABS(AX42)+ABS(AZ42)+ABS(BB42))</f>
        <v>0</v>
      </c>
      <c r="BI42" s="104" t="n">
        <f aca="false">VLOOKUP(GasPosn!A42,'Pricing Summary'!$AB$12:$AD$250,3)</f>
        <v>31</v>
      </c>
      <c r="BJ42" s="102" t="n">
        <f aca="false">VLOOKUP(A42,Interest!$AF$8:$AK$367,6)</f>
        <v>0.912587643013782</v>
      </c>
      <c r="BK42" s="102"/>
      <c r="BL42" s="0" t="n">
        <f aca="false">J42*VLOOKUP(A42,NymexData!$J$12:$K$244,2)</f>
        <v>200880.122648282</v>
      </c>
      <c r="BO42" s="0" t="n">
        <f aca="false">Interest!AK38</f>
        <v>0.912587643013782</v>
      </c>
      <c r="BP42" s="0" t="n">
        <f aca="false">G42*Interest!AK38</f>
        <v>3.22234696748167</v>
      </c>
      <c r="BQ42" s="0" t="n">
        <f aca="false">IF(AND(A42&gt;=$B$3,A42&lt;=$B$4),1,0)</f>
        <v>1</v>
      </c>
      <c r="BR42" s="0" t="n">
        <f aca="false">BO42*BQ42</f>
        <v>0.912587643013782</v>
      </c>
      <c r="BS42" s="0" t="n">
        <f aca="false">BP42*BQ42</f>
        <v>3.22234696748167</v>
      </c>
    </row>
    <row r="43" customFormat="false" ht="18" hidden="false" customHeight="false" outlineLevel="0" collapsed="false">
      <c r="A43" s="112" t="n">
        <f aca="false">[2]EnergyCurve!$D65</f>
        <v>38139</v>
      </c>
      <c r="B43" s="324" t="n">
        <f aca="false" t="array" ref="B43:B43">SUM(IF(MONTH(NymexData!$AI$12:$AI$250)&amp;YEAR(NymexData!$AI$12:$AI$250)=MONTH(A43)&amp;YEAR(A43),NymexData!$AJ$12:$AJ$250))</f>
        <v>-198.34959002</v>
      </c>
      <c r="C43" s="325" t="n">
        <f aca="false">BD43*BJ43*BI43</f>
        <v>0</v>
      </c>
      <c r="D43" s="326" t="n">
        <f aca="false">C43+B43</f>
        <v>-198.34959002</v>
      </c>
      <c r="E43" s="327" t="n">
        <f aca="false" t="array" ref="E43:E43">SUM(IF(MONTH(NymexData!$S$12:$S$250)&amp;YEAR(NymexData!$S$12:$S$250)=MONTH(A43)&amp;YEAR(A43),NymexData!$T$12:$T$250))</f>
        <v>3.631</v>
      </c>
      <c r="F43" s="327" t="n">
        <f aca="false">G43-E43</f>
        <v>-0.0620000000000003</v>
      </c>
      <c r="G43" s="328" t="n">
        <f aca="false" t="array" ref="G43:G43">IF(NymexData!$AA$12="",GasPosn!E43,SUM(IF(MONTH(NymexData!$AA$12:$AA$250)&amp;YEAR(NymexData!$AA$12:$AA$250)=MONTH(A43)&amp;YEAR(A43),NymexData!$AB$12:$AB$250)))</f>
        <v>3.569</v>
      </c>
      <c r="H43" s="115" t="n">
        <f aca="false">B43*10000*F43</f>
        <v>122976.745812401</v>
      </c>
      <c r="I43" s="119" t="n">
        <f aca="false">(((G43-Q43)*P43+(G43-S43)*R43+(G43-U43)*T43+(G43-W43)*V43+(G43-Y43)*X43+(G43-AA43)*Z43+(G43-AC43)*AB43+(G43-AE43)*AD43+(G43-AG43)*AF43+(G43-AI43)*AH43+(G43-AK43)*AJ43+(G43-AM43)*AL43+(G43-AO43)*AN43+(G43-AQ43)*AP43+(G43-AS43)*AR43+(G43-AU43)*AT43+(G43-AW43)*AV43+(G43-AY43)*AX43+(G43-BA43)*AZ43+(G43-BC43)*BB43)*BJ43*BI43)*10000</f>
        <v>0</v>
      </c>
      <c r="J43" s="119" t="n">
        <f aca="false">H43+I43</f>
        <v>122976.745812401</v>
      </c>
      <c r="L43" s="329"/>
      <c r="N43" s="46"/>
      <c r="O43" s="95" t="n">
        <f aca="false">A43</f>
        <v>38139</v>
      </c>
      <c r="BD43" s="100" t="n">
        <f aca="false">(P43+R43+T43+V43+X43+Z43+AB43+AD43+AF43+AH43+AJ43+AL43+AN43+AP43+AR43+AT43+AV43+AX43+AZ43+BB43)</f>
        <v>0</v>
      </c>
      <c r="BE43" s="322" t="n">
        <f aca="false">IF(AND(BD43=0,BH43=0),0,(ABS(P43)*Q43+ABS(R43)*S43+ABS(T43)*U43+ABS(V43)*W43+ABS(X43)*Y43+ABS(Z43)*AA43+ABS(AB43)*AC43+ABS(AD43)*AE43+ABS(AF43)*AG43+ABS(AH43)*AI43+ABS(AJ43)*AK43+ABS(AL43)*AM43+ABS(AN43)*AO43+ABS(AP43)*AQ43+ABS(AR43)*AS43+ABS(AT43)*AU43+ABS(AV43)*AW43+ABS(AX43)*AY43+ABS(AZ43)*BA43+ABS(BB43)*BC43)/BH43)</f>
        <v>0</v>
      </c>
      <c r="BF43" s="1"/>
      <c r="BG43" s="103" t="n">
        <f aca="false">O43</f>
        <v>38139</v>
      </c>
      <c r="BH43" s="323" t="n">
        <f aca="false">(ABS(P43)+ABS(R43)+ABS(T43)+ABS(V43)+ABS(X43)+ABS(Z43)+ABS(AB43)+ABS(AD43)+ABS(AF43)+ABS(AH43)+ABS(AJ43)+ABS(AL43)+ABS(AN43)+ABS(AP43)+ABS(AR43)+ABS(AT43)+ABS(AV43)+ABS(AX43)+ABS(AZ43)+ABS(BB43))</f>
        <v>0</v>
      </c>
      <c r="BI43" s="104" t="n">
        <f aca="false">VLOOKUP(GasPosn!A43,'Pricing Summary'!$AB$12:$AD$250,3)</f>
        <v>30</v>
      </c>
      <c r="BJ43" s="102" t="n">
        <f aca="false">VLOOKUP(A43,Interest!$AF$8:$AK$367,6)</f>
        <v>0.908691958422636</v>
      </c>
      <c r="BK43" s="102"/>
      <c r="BL43" s="0" t="n">
        <f aca="false">J43*VLOOKUP(A43,NymexData!$J$12:$K$244,2)</f>
        <v>193573.02230596</v>
      </c>
      <c r="BO43" s="0" t="n">
        <f aca="false">Interest!AK39</f>
        <v>0.908691958422636</v>
      </c>
      <c r="BP43" s="0" t="n">
        <f aca="false">G43*Interest!AK39</f>
        <v>3.24312159961039</v>
      </c>
      <c r="BQ43" s="0" t="n">
        <f aca="false">IF(AND(A43&gt;=$B$3,A43&lt;=$B$4),1,0)</f>
        <v>1</v>
      </c>
      <c r="BR43" s="0" t="n">
        <f aca="false">BO43*BQ43</f>
        <v>0.908691958422636</v>
      </c>
      <c r="BS43" s="0" t="n">
        <f aca="false">BP43*BQ43</f>
        <v>3.24312159961039</v>
      </c>
    </row>
    <row r="44" customFormat="false" ht="18" hidden="false" customHeight="false" outlineLevel="0" collapsed="false">
      <c r="A44" s="75" t="n">
        <f aca="false">[2]EnergyCurve!$D66</f>
        <v>38169</v>
      </c>
      <c r="B44" s="317" t="n">
        <f aca="false" t="array" ref="B44:B44">SUM(IF(MONTH(NymexData!$AI$12:$AI$250)&amp;YEAR(NymexData!$AI$12:$AI$250)=MONTH(A44)&amp;YEAR(A44),NymexData!$AJ$12:$AJ$250))</f>
        <v>-204.11329247</v>
      </c>
      <c r="C44" s="317" t="n">
        <f aca="false">BD44*BJ44*BI44</f>
        <v>0</v>
      </c>
      <c r="D44" s="319" t="n">
        <f aca="false">C44+B44</f>
        <v>-204.11329247</v>
      </c>
      <c r="E44" s="320" t="n">
        <f aca="false" t="array" ref="E44:E44">SUM(IF(MONTH(NymexData!$S$12:$S$250)&amp;YEAR(NymexData!$S$12:$S$250)=MONTH(A44)&amp;YEAR(A44),NymexData!$T$12:$T$250))</f>
        <v>3.676</v>
      </c>
      <c r="F44" s="320" t="n">
        <f aca="false">G44-E44</f>
        <v>-0.0619999999999998</v>
      </c>
      <c r="G44" s="321" t="n">
        <f aca="false" t="array" ref="G44:G44">IF(NymexData!$AA$12="",GasPosn!E44,SUM(IF(MONTH(NymexData!$AA$12:$AA$250)&amp;YEAR(NymexData!$AA$12:$AA$250)=MONTH(A44)&amp;YEAR(A44),NymexData!$AB$12:$AB$250)))</f>
        <v>3.614</v>
      </c>
      <c r="H44" s="76" t="n">
        <f aca="false">B44*10000*F44</f>
        <v>126550.2413314</v>
      </c>
      <c r="I44" s="82" t="n">
        <f aca="false">(((G44-Q44)*P44+(G44-S44)*R44+(G44-U44)*T44+(G44-W44)*V44+(G44-Y44)*X44+(G44-AA44)*Z44+(G44-AC44)*AB44+(G44-AE44)*AD44+(G44-AG44)*AF44+(G44-AI44)*AH44+(G44-AK44)*AJ44+(G44-AM44)*AL44+(G44-AO44)*AN44+(G44-AQ44)*AP44+(G44-AS44)*AR44+(G44-AU44)*AT44+(G44-AW44)*AV44+(G44-AY44)*AX44+(G44-BA44)*AZ44+(G44-BC44)*BB44)*BJ44*BI44)*10000</f>
        <v>0</v>
      </c>
      <c r="J44" s="82" t="n">
        <f aca="false">H44+I44</f>
        <v>126550.2413314</v>
      </c>
      <c r="L44" s="329"/>
      <c r="N44" s="46"/>
      <c r="O44" s="95" t="n">
        <f aca="false">A44</f>
        <v>38169</v>
      </c>
      <c r="BD44" s="100" t="n">
        <f aca="false">(P44+R44+T44+V44+X44+Z44+AB44+AD44+AF44+AH44+AJ44+AL44+AN44+AP44+AR44+AT44+AV44+AX44+AZ44+BB44)</f>
        <v>0</v>
      </c>
      <c r="BE44" s="322" t="n">
        <f aca="false">IF(AND(BD44=0,BH44=0),0,(ABS(P44)*Q44+ABS(R44)*S44+ABS(T44)*U44+ABS(V44)*W44+ABS(X44)*Y44+ABS(Z44)*AA44+ABS(AB44)*AC44+ABS(AD44)*AE44+ABS(AF44)*AG44+ABS(AH44)*AI44+ABS(AJ44)*AK44+ABS(AL44)*AM44+ABS(AN44)*AO44+ABS(AP44)*AQ44+ABS(AR44)*AS44+ABS(AT44)*AU44+ABS(AV44)*AW44+ABS(AX44)*AY44+ABS(AZ44)*BA44+ABS(BB44)*BC44)/BH44)</f>
        <v>0</v>
      </c>
      <c r="BF44" s="1"/>
      <c r="BG44" s="103" t="n">
        <f aca="false">O44</f>
        <v>38169</v>
      </c>
      <c r="BH44" s="323" t="n">
        <f aca="false">(ABS(P44)+ABS(R44)+ABS(T44)+ABS(V44)+ABS(X44)+ABS(Z44)+ABS(AB44)+ABS(AD44)+ABS(AF44)+ABS(AH44)+ABS(AJ44)+ABS(AL44)+ABS(AN44)+ABS(AP44)+ABS(AR44)+ABS(AT44)+ABS(AV44)+ABS(AX44)+ABS(AZ44)+ABS(BB44))</f>
        <v>0</v>
      </c>
      <c r="BI44" s="104" t="n">
        <f aca="false">VLOOKUP(GasPosn!A44,'Pricing Summary'!$AB$12:$AD$250,3)</f>
        <v>31</v>
      </c>
      <c r="BJ44" s="102" t="n">
        <f aca="false">VLOOKUP(A44,Interest!$AF$8:$AK$367,6)</f>
        <v>0.904734254686686</v>
      </c>
      <c r="BK44" s="102"/>
      <c r="BL44" s="0" t="n">
        <f aca="false">J44*VLOOKUP(A44,NymexData!$J$12:$K$244,2)</f>
        <v>199194.612626375</v>
      </c>
      <c r="BO44" s="0" t="n">
        <f aca="false">Interest!AK40</f>
        <v>0.904734254686686</v>
      </c>
      <c r="BP44" s="0" t="n">
        <f aca="false">G44*Interest!AK40</f>
        <v>3.26970959643769</v>
      </c>
      <c r="BQ44" s="0" t="n">
        <f aca="false">IF(AND(A44&gt;=$B$3,A44&lt;=$B$4),1,0)</f>
        <v>1</v>
      </c>
      <c r="BR44" s="0" t="n">
        <f aca="false">BO44*BQ44</f>
        <v>0.904734254686686</v>
      </c>
      <c r="BS44" s="0" t="n">
        <f aca="false">BP44*BQ44</f>
        <v>3.26970959643769</v>
      </c>
    </row>
    <row r="45" customFormat="false" ht="18" hidden="false" customHeight="false" outlineLevel="0" collapsed="false">
      <c r="A45" s="112" t="n">
        <f aca="false">[2]EnergyCurve!$D67</f>
        <v>38200</v>
      </c>
      <c r="B45" s="324" t="n">
        <f aca="false" t="array" ref="B45:B45">SUM(IF(MONTH(NymexData!$AI$12:$AI$250)&amp;YEAR(NymexData!$AI$12:$AI$250)=MONTH(A45)&amp;YEAR(A45),NymexData!$AJ$12:$AJ$250))</f>
        <v>-203.22465589</v>
      </c>
      <c r="C45" s="325" t="n">
        <f aca="false">BD45*BJ45*BI45</f>
        <v>0</v>
      </c>
      <c r="D45" s="326" t="n">
        <f aca="false">C45+B45</f>
        <v>-203.22465589</v>
      </c>
      <c r="E45" s="327" t="n">
        <f aca="false" t="array" ref="E45:E45">SUM(IF(MONTH(NymexData!$S$12:$S$250)&amp;YEAR(NymexData!$S$12:$S$250)=MONTH(A45)&amp;YEAR(A45),NymexData!$T$12:$T$250))</f>
        <v>3.714</v>
      </c>
      <c r="F45" s="327" t="n">
        <f aca="false">G45-E45</f>
        <v>-0.0619999999999998</v>
      </c>
      <c r="G45" s="328" t="n">
        <f aca="false" t="array" ref="G45:G45">IF(NymexData!$AA$12="",GasPosn!E45,SUM(IF(MONTH(NymexData!$AA$12:$AA$250)&amp;YEAR(NymexData!$AA$12:$AA$250)=MONTH(A45)&amp;YEAR(A45),NymexData!$AB$12:$AB$250)))</f>
        <v>3.652</v>
      </c>
      <c r="H45" s="115" t="n">
        <f aca="false">B45*10000*F45</f>
        <v>125999.2866518</v>
      </c>
      <c r="I45" s="119" t="n">
        <f aca="false">(((G45-Q45)*P45+(G45-S45)*R45+(G45-U45)*T45+(G45-W45)*V45+(G45-Y45)*X45+(G45-AA45)*Z45+(G45-AC45)*AB45+(G45-AE45)*AD45+(G45-AG45)*AF45+(G45-AI45)*AH45+(G45-AK45)*AJ45+(G45-AM45)*AL45+(G45-AO45)*AN45+(G45-AQ45)*AP45+(G45-AS45)*AR45+(G45-AU45)*AT45+(G45-AW45)*AV45+(G45-AY45)*AX45+(G45-BA45)*AZ45+(G45-BC45)*BB45)*BJ45*BI45)*10000</f>
        <v>0</v>
      </c>
      <c r="J45" s="119" t="n">
        <f aca="false">H45+I45</f>
        <v>125999.2866518</v>
      </c>
      <c r="L45" s="329"/>
      <c r="N45" s="46"/>
      <c r="O45" s="95" t="n">
        <f aca="false">A45</f>
        <v>38200</v>
      </c>
      <c r="BD45" s="100" t="n">
        <f aca="false">(P45+R45+T45+V45+X45+Z45+AB45+AD45+AF45+AH45+AJ45+AL45+AN45+AP45+AR45+AT45+AV45+AX45+AZ45+BB45)</f>
        <v>0</v>
      </c>
      <c r="BE45" s="322" t="n">
        <f aca="false">IF(AND(BD45=0,BH45=0),0,(ABS(P45)*Q45+ABS(R45)*S45+ABS(T45)*U45+ABS(V45)*W45+ABS(X45)*Y45+ABS(Z45)*AA45+ABS(AB45)*AC45+ABS(AD45)*AE45+ABS(AF45)*AG45+ABS(AH45)*AI45+ABS(AJ45)*AK45+ABS(AL45)*AM45+ABS(AN45)*AO45+ABS(AP45)*AQ45+ABS(AR45)*AS45+ABS(AT45)*AU45+ABS(AV45)*AW45+ABS(AX45)*AY45+ABS(AZ45)*BA45+ABS(BB45)*BC45)/BH45)</f>
        <v>0</v>
      </c>
      <c r="BF45" s="1"/>
      <c r="BG45" s="103" t="n">
        <f aca="false">O45</f>
        <v>38200</v>
      </c>
      <c r="BH45" s="323" t="n">
        <f aca="false">(ABS(P45)+ABS(R45)+ABS(T45)+ABS(V45)+ABS(X45)+ABS(Z45)+ABS(AB45)+ABS(AD45)+ABS(AF45)+ABS(AH45)+ABS(AJ45)+ABS(AL45)+ABS(AN45)+ABS(AP45)+ABS(AR45)+ABS(AT45)+ABS(AV45)+ABS(AX45)+ABS(AZ45)+ABS(BB45))</f>
        <v>0</v>
      </c>
      <c r="BI45" s="104" t="n">
        <f aca="false">VLOOKUP(GasPosn!A45,'Pricing Summary'!$AB$12:$AD$250,3)</f>
        <v>31</v>
      </c>
      <c r="BJ45" s="102" t="n">
        <f aca="false">VLOOKUP(A45,Interest!$AF$8:$AK$367,6)</f>
        <v>0.90072937745124</v>
      </c>
      <c r="BK45" s="102"/>
      <c r="BL45" s="0" t="n">
        <f aca="false">J45*VLOOKUP(A45,NymexData!$J$12:$K$244,2)</f>
        <v>198333.756467243</v>
      </c>
      <c r="BO45" s="0" t="n">
        <f aca="false">Interest!AK41</f>
        <v>0.90072937745124</v>
      </c>
      <c r="BP45" s="0" t="n">
        <f aca="false">G45*Interest!AK41</f>
        <v>3.28946368645193</v>
      </c>
      <c r="BQ45" s="0" t="n">
        <f aca="false">IF(AND(A45&gt;=$B$3,A45&lt;=$B$4),1,0)</f>
        <v>1</v>
      </c>
      <c r="BR45" s="0" t="n">
        <f aca="false">BO45*BQ45</f>
        <v>0.90072937745124</v>
      </c>
      <c r="BS45" s="0" t="n">
        <f aca="false">BP45*BQ45</f>
        <v>3.28946368645193</v>
      </c>
    </row>
    <row r="46" customFormat="false" ht="18" hidden="false" customHeight="false" outlineLevel="0" collapsed="false">
      <c r="A46" s="75" t="n">
        <f aca="false">[2]EnergyCurve!$D68</f>
        <v>38231</v>
      </c>
      <c r="B46" s="317" t="n">
        <f aca="false" t="array" ref="B46:B46">SUM(IF(MONTH(NymexData!$AI$12:$AI$250)&amp;YEAR(NymexData!$AI$12:$AI$250)=MONTH(A46)&amp;YEAR(A46),NymexData!$AJ$12:$AJ$250))</f>
        <v>-195.79702829</v>
      </c>
      <c r="C46" s="317" t="n">
        <f aca="false">BD46*BJ46*BI46</f>
        <v>0</v>
      </c>
      <c r="D46" s="319" t="n">
        <f aca="false">C46+B46</f>
        <v>-195.79702829</v>
      </c>
      <c r="E46" s="320" t="n">
        <f aca="false" t="array" ref="E46:E46">SUM(IF(MONTH(NymexData!$S$12:$S$250)&amp;YEAR(NymexData!$S$12:$S$250)=MONTH(A46)&amp;YEAR(A46),NymexData!$T$12:$T$250))</f>
        <v>3.708</v>
      </c>
      <c r="F46" s="320" t="n">
        <f aca="false">G46-E46</f>
        <v>-0.0619999999999998</v>
      </c>
      <c r="G46" s="321" t="n">
        <f aca="false" t="array" ref="G46:G46">IF(NymexData!$AA$12="",GasPosn!E46,SUM(IF(MONTH(NymexData!$AA$12:$AA$250)&amp;YEAR(NymexData!$AA$12:$AA$250)=MONTH(A46)&amp;YEAR(A46),NymexData!$AB$12:$AB$250)))</f>
        <v>3.646</v>
      </c>
      <c r="H46" s="76" t="n">
        <f aca="false">B46*10000*F46</f>
        <v>121394.1575398</v>
      </c>
      <c r="I46" s="82" t="n">
        <f aca="false">(((G46-Q46)*P46+(G46-S46)*R46+(G46-U46)*T46+(G46-W46)*V46+(G46-Y46)*X46+(G46-AA46)*Z46+(G46-AC46)*AB46+(G46-AE46)*AD46+(G46-AG46)*AF46+(G46-AI46)*AH46+(G46-AK46)*AJ46+(G46-AM46)*AL46+(G46-AO46)*AN46+(G46-AQ46)*AP46+(G46-AS46)*AR46+(G46-AU46)*AT46+(G46-AW46)*AV46+(G46-AY46)*AX46+(G46-BA46)*AZ46+(G46-BC46)*BB46)*BJ46*BI46)*10000</f>
        <v>0</v>
      </c>
      <c r="J46" s="82" t="n">
        <f aca="false">H46+I46</f>
        <v>121394.1575398</v>
      </c>
      <c r="L46" s="329"/>
      <c r="N46" s="46"/>
      <c r="O46" s="95" t="n">
        <f aca="false">A46</f>
        <v>38231</v>
      </c>
      <c r="BD46" s="100" t="n">
        <f aca="false">(P46+R46+T46+V46+X46+Z46+AB46+AD46+AF46+AH46+AJ46+AL46+AN46+AP46+AR46+AT46+AV46+AX46+AZ46+BB46)</f>
        <v>0</v>
      </c>
      <c r="BE46" s="322" t="n">
        <f aca="false">IF(AND(BD46=0,BH46=0),0,(ABS(P46)*Q46+ABS(R46)*S46+ABS(T46)*U46+ABS(V46)*W46+ABS(X46)*Y46+ABS(Z46)*AA46+ABS(AB46)*AC46+ABS(AD46)*AE46+ABS(AF46)*AG46+ABS(AH46)*AI46+ABS(AJ46)*AK46+ABS(AL46)*AM46+ABS(AN46)*AO46+ABS(AP46)*AQ46+ABS(AR46)*AS46+ABS(AT46)*AU46+ABS(AV46)*AW46+ABS(AX46)*AY46+ABS(AZ46)*BA46+ABS(BB46)*BC46)/BH46)</f>
        <v>0</v>
      </c>
      <c r="BF46" s="1"/>
      <c r="BG46" s="103" t="n">
        <f aca="false">O46</f>
        <v>38231</v>
      </c>
      <c r="BH46" s="323" t="n">
        <f aca="false">(ABS(P46)+ABS(R46)+ABS(T46)+ABS(V46)+ABS(X46)+ABS(Z46)+ABS(AB46)+ABS(AD46)+ABS(AF46)+ABS(AH46)+ABS(AJ46)+ABS(AL46)+ABS(AN46)+ABS(AP46)+ABS(AR46)+ABS(AT46)+ABS(AV46)+ABS(AX46)+ABS(AZ46)+ABS(BB46))</f>
        <v>0</v>
      </c>
      <c r="BI46" s="104" t="n">
        <f aca="false">VLOOKUP(GasPosn!A46,'Pricing Summary'!$AB$12:$AD$250,3)</f>
        <v>30</v>
      </c>
      <c r="BJ46" s="102" t="n">
        <f aca="false">VLOOKUP(A46,Interest!$AF$8:$AK$367,6)</f>
        <v>0.896760063996072</v>
      </c>
      <c r="BK46" s="102"/>
      <c r="BL46" s="0" t="n">
        <f aca="false">J46*VLOOKUP(A46,NymexData!$J$12:$K$244,2)</f>
        <v>191091.150432209</v>
      </c>
      <c r="BO46" s="0" t="n">
        <f aca="false">Interest!AK42</f>
        <v>0.896760063996072</v>
      </c>
      <c r="BP46" s="0" t="n">
        <f aca="false">G46*Interest!AK42</f>
        <v>3.26958719332968</v>
      </c>
      <c r="BQ46" s="0" t="n">
        <f aca="false">IF(AND(A46&gt;=$B$3,A46&lt;=$B$4),1,0)</f>
        <v>1</v>
      </c>
      <c r="BR46" s="0" t="n">
        <f aca="false">BO46*BQ46</f>
        <v>0.896760063996072</v>
      </c>
      <c r="BS46" s="0" t="n">
        <f aca="false">BP46*BQ46</f>
        <v>3.26958719332968</v>
      </c>
    </row>
    <row r="47" customFormat="false" ht="18" hidden="false" customHeight="false" outlineLevel="0" collapsed="false">
      <c r="A47" s="112" t="n">
        <f aca="false">[2]EnergyCurve!$D69</f>
        <v>38261</v>
      </c>
      <c r="B47" s="324" t="n">
        <f aca="false" t="array" ref="B47:B47">SUM(IF(MONTH(NymexData!$AI$12:$AI$250)&amp;YEAR(NymexData!$AI$12:$AI$250)=MONTH(A47)&amp;YEAR(A47),NymexData!$AJ$12:$AJ$250))</f>
        <v>-201.43996748</v>
      </c>
      <c r="C47" s="325" t="n">
        <f aca="false">BD47*BJ47*BI47</f>
        <v>0</v>
      </c>
      <c r="D47" s="326" t="n">
        <f aca="false">C47+B47</f>
        <v>-201.43996748</v>
      </c>
      <c r="E47" s="327" t="n">
        <f aca="false" t="array" ref="E47:E47">SUM(IF(MONTH(NymexData!$S$12:$S$250)&amp;YEAR(NymexData!$S$12:$S$250)=MONTH(A47)&amp;YEAR(A47),NymexData!$T$12:$T$250))</f>
        <v>3.708</v>
      </c>
      <c r="F47" s="327" t="n">
        <f aca="false">G47-E47</f>
        <v>-0.0619999999999998</v>
      </c>
      <c r="G47" s="328" t="n">
        <f aca="false" t="array" ref="G47:G47">IF(NymexData!$AA$12="",GasPosn!E47,SUM(IF(MONTH(NymexData!$AA$12:$AA$250)&amp;YEAR(NymexData!$AA$12:$AA$250)=MONTH(A47)&amp;YEAR(A47),NymexData!$AB$12:$AB$250)))</f>
        <v>3.646</v>
      </c>
      <c r="H47" s="115" t="n">
        <f aca="false">B47*10000*F47</f>
        <v>124892.7798376</v>
      </c>
      <c r="I47" s="119" t="n">
        <f aca="false">(((G47-Q47)*P47+(G47-S47)*R47+(G47-U47)*T47+(G47-W47)*V47+(G47-Y47)*X47+(G47-AA47)*Z47+(G47-AC47)*AB47+(G47-AE47)*AD47+(G47-AG47)*AF47+(G47-AI47)*AH47+(G47-AK47)*AJ47+(G47-AM47)*AL47+(G47-AO47)*AN47+(G47-AQ47)*AP47+(G47-AS47)*AR47+(G47-AU47)*AT47+(G47-AW47)*AV47+(G47-AY47)*AX47+(G47-BA47)*AZ47+(G47-BC47)*BB47)*BJ47*BI47)*10000</f>
        <v>0</v>
      </c>
      <c r="J47" s="119" t="n">
        <f aca="false">H47+I47</f>
        <v>124892.7798376</v>
      </c>
      <c r="L47" s="329"/>
      <c r="M47" s="46"/>
      <c r="N47" s="46"/>
      <c r="O47" s="95" t="n">
        <f aca="false">A47</f>
        <v>38261</v>
      </c>
      <c r="BD47" s="100" t="n">
        <f aca="false">(P47+R47+T47+V47+X47+Z47+AB47+AD47+AF47+AH47+AJ47+AL47+AN47+AP47+AR47+AT47+AV47+AX47+AZ47+BB47)</f>
        <v>0</v>
      </c>
      <c r="BE47" s="322" t="n">
        <f aca="false">IF(AND(BD47=0,BH47=0),0,(ABS(P47)*Q47+ABS(R47)*S47+ABS(T47)*U47+ABS(V47)*W47+ABS(X47)*Y47+ABS(Z47)*AA47+ABS(AB47)*AC47+ABS(AD47)*AE47+ABS(AF47)*AG47+ABS(AH47)*AI47+ABS(AJ47)*AK47+ABS(AL47)*AM47+ABS(AN47)*AO47+ABS(AP47)*AQ47+ABS(AR47)*AS47+ABS(AT47)*AU47+ABS(AV47)*AW47+ABS(AX47)*AY47+ABS(AZ47)*BA47+ABS(BB47)*BC47)/BH47)</f>
        <v>0</v>
      </c>
      <c r="BF47" s="1"/>
      <c r="BG47" s="103" t="n">
        <f aca="false">O47</f>
        <v>38261</v>
      </c>
      <c r="BH47" s="323" t="n">
        <f aca="false">(ABS(P47)+ABS(R47)+ABS(T47)+ABS(V47)+ABS(X47)+ABS(Z47)+ABS(AB47)+ABS(AD47)+ABS(AF47)+ABS(AH47)+ABS(AJ47)+ABS(AL47)+ABS(AN47)+ABS(AP47)+ABS(AR47)+ABS(AT47)+ABS(AV47)+ABS(AX47)+ABS(AZ47)+ABS(BB47))</f>
        <v>0</v>
      </c>
      <c r="BI47" s="104" t="n">
        <f aca="false">VLOOKUP(GasPosn!A47,'Pricing Summary'!$AB$12:$AD$250,3)</f>
        <v>31</v>
      </c>
      <c r="BJ47" s="102" t="n">
        <f aca="false">VLOOKUP(A47,Interest!$AF$8:$AK$367,6)</f>
        <v>0.892739001581238</v>
      </c>
      <c r="BK47" s="102"/>
      <c r="BL47" s="0" t="n">
        <f aca="false">J47*VLOOKUP(A47,NymexData!$J$12:$K$244,2)</f>
        <v>196615.128859779</v>
      </c>
      <c r="BO47" s="0" t="n">
        <f aca="false">Interest!AK43</f>
        <v>0.892739001581238</v>
      </c>
      <c r="BP47" s="0" t="n">
        <f aca="false">G47*Interest!AK43</f>
        <v>3.2549263997652</v>
      </c>
      <c r="BQ47" s="0" t="n">
        <f aca="false">IF(AND(A47&gt;=$B$3,A47&lt;=$B$4),1,0)</f>
        <v>1</v>
      </c>
      <c r="BR47" s="0" t="n">
        <f aca="false">BO47*BQ47</f>
        <v>0.892739001581238</v>
      </c>
      <c r="BS47" s="0" t="n">
        <f aca="false">BP47*BQ47</f>
        <v>3.2549263997652</v>
      </c>
    </row>
    <row r="48" customFormat="false" ht="18" hidden="false" customHeight="false" outlineLevel="0" collapsed="false">
      <c r="A48" s="75" t="n">
        <f aca="false">[2]EnergyCurve!$D70</f>
        <v>38292</v>
      </c>
      <c r="B48" s="317" t="n">
        <f aca="false" t="array" ref="B48:B48">SUM(IF(MONTH(NymexData!$AI$12:$AI$250)&amp;YEAR(NymexData!$AI$12:$AI$250)=MONTH(A48)&amp;YEAR(A48),NymexData!$AJ$12:$AJ$250))</f>
        <v>-194.06420142</v>
      </c>
      <c r="C48" s="317" t="n">
        <f aca="false">BD48*BJ48*BI48</f>
        <v>0</v>
      </c>
      <c r="D48" s="319" t="n">
        <f aca="false">C48+B48</f>
        <v>-194.06420142</v>
      </c>
      <c r="E48" s="320" t="n">
        <f aca="false" t="array" ref="E48:E48">SUM(IF(MONTH(NymexData!$S$12:$S$250)&amp;YEAR(NymexData!$S$12:$S$250)=MONTH(A48)&amp;YEAR(A48),NymexData!$T$12:$T$250))</f>
        <v>3.856</v>
      </c>
      <c r="F48" s="320" t="n">
        <f aca="false">G48-E48</f>
        <v>-0.0610000000000004</v>
      </c>
      <c r="G48" s="321" t="n">
        <f aca="false" t="array" ref="G48:G48">IF(NymexData!$AA$12="",GasPosn!E48,SUM(IF(MONTH(NymexData!$AA$12:$AA$250)&amp;YEAR(NymexData!$AA$12:$AA$250)=MONTH(A48)&amp;YEAR(A48),NymexData!$AB$12:$AB$250)))</f>
        <v>3.795</v>
      </c>
      <c r="H48" s="76" t="n">
        <f aca="false">B48*10000*F48</f>
        <v>118379.162866201</v>
      </c>
      <c r="I48" s="82" t="n">
        <f aca="false">(((G48-Q48)*P48+(G48-S48)*R48+(G48-U48)*T48+(G48-W48)*V48+(G48-Y48)*X48+(G48-AA48)*Z48+(G48-AC48)*AB48+(G48-AE48)*AD48+(G48-AG48)*AF48+(G48-AI48)*AH48+(G48-AK48)*AJ48+(G48-AM48)*AL48+(G48-AO48)*AN48+(G48-AQ48)*AP48+(G48-AS48)*AR48+(G48-AU48)*AT48+(G48-AW48)*AV48+(G48-AY48)*AX48+(G48-BA48)*AZ48+(G48-BC48)*BB48)*BJ48*BI48)*10000</f>
        <v>0</v>
      </c>
      <c r="J48" s="82" t="n">
        <f aca="false">H48+I48</f>
        <v>118379.162866201</v>
      </c>
      <c r="L48" s="329"/>
      <c r="O48" s="95" t="n">
        <f aca="false">A48</f>
        <v>38292</v>
      </c>
      <c r="BD48" s="100" t="n">
        <f aca="false">(P48+R48+T48+V48+X48+Z48+AB48+AD48+AF48+AH48+AJ48+AL48+AN48+AP48+AR48+AT48+AV48+AX48+AZ48+BB48)</f>
        <v>0</v>
      </c>
      <c r="BE48" s="322" t="n">
        <f aca="false">IF(AND(BD48=0,BH48=0),0,(ABS(P48)*Q48+ABS(R48)*S48+ABS(T48)*U48+ABS(V48)*W48+ABS(X48)*Y48+ABS(Z48)*AA48+ABS(AB48)*AC48+ABS(AD48)*AE48+ABS(AF48)*AG48+ABS(AH48)*AI48+ABS(AJ48)*AK48+ABS(AL48)*AM48+ABS(AN48)*AO48+ABS(AP48)*AQ48+ABS(AR48)*AS48+ABS(AT48)*AU48+ABS(AV48)*AW48+ABS(AX48)*AY48+ABS(AZ48)*BA48+ABS(BB48)*BC48)/BH48)</f>
        <v>0</v>
      </c>
      <c r="BG48" s="103" t="n">
        <f aca="false">O48</f>
        <v>38292</v>
      </c>
      <c r="BH48" s="323" t="n">
        <f aca="false">(ABS(P48)+ABS(R48)+ABS(T48)+ABS(V48)+ABS(X48)+ABS(Z48)+ABS(AB48)+ABS(AD48)+ABS(AF48)+ABS(AH48)+ABS(AJ48)+ABS(AL48)+ABS(AN48)+ABS(AP48)+ABS(AR48)+ABS(AT48)+ABS(AV48)+ABS(AX48)+ABS(AZ48)+ABS(BB48))</f>
        <v>0</v>
      </c>
      <c r="BI48" s="104" t="n">
        <f aca="false">VLOOKUP(GasPosn!A48,'Pricing Summary'!$AB$12:$AD$250,3)</f>
        <v>30</v>
      </c>
      <c r="BJ48" s="102" t="n">
        <f aca="false">VLOOKUP(A48,Interest!$AF$8:$AK$367,6)</f>
        <v>0.888769529277066</v>
      </c>
      <c r="BL48" s="0" t="n">
        <f aca="false">J48*VLOOKUP(A48,NymexData!$J$12:$K$244,2)</f>
        <v>186369.421605396</v>
      </c>
      <c r="BO48" s="0" t="n">
        <f aca="false">Interest!AK44</f>
        <v>0.888769529277066</v>
      </c>
      <c r="BP48" s="0" t="n">
        <f aca="false">G48*Interest!AK44</f>
        <v>3.37288036360647</v>
      </c>
      <c r="BQ48" s="0" t="n">
        <f aca="false">IF(AND(A48&gt;=$B$3,A48&lt;=$B$4),1,0)</f>
        <v>1</v>
      </c>
      <c r="BR48" s="0" t="n">
        <f aca="false">BO48*BQ48</f>
        <v>0.888769529277066</v>
      </c>
      <c r="BS48" s="0" t="n">
        <f aca="false">BP48*BQ48</f>
        <v>3.37288036360647</v>
      </c>
    </row>
    <row r="49" customFormat="false" ht="18" hidden="false" customHeight="false" outlineLevel="0" collapsed="false">
      <c r="A49" s="112" t="n">
        <f aca="false">[2]EnergyCurve!$D71</f>
        <v>38322</v>
      </c>
      <c r="B49" s="324" t="n">
        <f aca="false" t="array" ref="B49:B49">SUM(IF(MONTH(NymexData!$AI$12:$AI$250)&amp;YEAR(NymexData!$AI$12:$AI$250)=MONTH(A49)&amp;YEAR(A49),NymexData!$AJ$12:$AJ$250))</f>
        <v>-199.70573602</v>
      </c>
      <c r="C49" s="325" t="n">
        <f aca="false">BD49*BJ49*BI49</f>
        <v>0</v>
      </c>
      <c r="D49" s="326" t="n">
        <f aca="false">C49+B49</f>
        <v>-199.70573602</v>
      </c>
      <c r="E49" s="327" t="n">
        <f aca="false" t="array" ref="E49:E49">SUM(IF(MONTH(NymexData!$S$12:$S$250)&amp;YEAR(NymexData!$S$12:$S$250)=MONTH(A49)&amp;YEAR(A49),NymexData!$T$12:$T$250))</f>
        <v>4.008</v>
      </c>
      <c r="F49" s="327" t="n">
        <f aca="false">G49-E49</f>
        <v>-0.0609999999999999</v>
      </c>
      <c r="G49" s="328" t="n">
        <f aca="false" t="array" ref="G49:G49">IF(NymexData!$AA$12="",GasPosn!E49,SUM(IF(MONTH(NymexData!$AA$12:$AA$250)&amp;YEAR(NymexData!$AA$12:$AA$250)=MONTH(A49)&amp;YEAR(A49),NymexData!$AB$12:$AB$250)))</f>
        <v>3.947</v>
      </c>
      <c r="H49" s="115" t="n">
        <f aca="false">B49*10000*F49</f>
        <v>121820.4989722</v>
      </c>
      <c r="I49" s="119" t="n">
        <f aca="false">(((G49-Q49)*P49+(G49-S49)*R49+(G49-U49)*T49+(G49-W49)*V49+(G49-Y49)*X49+(G49-AA49)*Z49+(G49-AC49)*AB49+(G49-AE49)*AD49+(G49-AG49)*AF49+(G49-AI49)*AH49+(G49-AK49)*AJ49+(G49-AM49)*AL49+(G49-AO49)*AN49+(G49-AQ49)*AP49+(G49-AS49)*AR49+(G49-AU49)*AT49+(G49-AW49)*AV49+(G49-AY49)*AX49+(G49-BA49)*AZ49+(G49-BC49)*BB49)*BJ49*BI49)*10000</f>
        <v>0</v>
      </c>
      <c r="J49" s="119" t="n">
        <f aca="false">H49+I49</f>
        <v>121820.4989722</v>
      </c>
      <c r="L49" s="329"/>
      <c r="O49" s="95" t="n">
        <f aca="false">A49</f>
        <v>38322</v>
      </c>
      <c r="BD49" s="100" t="n">
        <f aca="false">(P49+R49+T49+V49+X49+Z49+AB49+AD49+AF49+AH49+AJ49+AL49+AN49+AP49+AR49+AT49+AV49+AX49+AZ49+BB49)</f>
        <v>0</v>
      </c>
      <c r="BE49" s="322" t="n">
        <f aca="false">IF(AND(BD49=0,BH49=0),0,(ABS(P49)*Q49+ABS(R49)*S49+ABS(T49)*U49+ABS(V49)*W49+ABS(X49)*Y49+ABS(Z49)*AA49+ABS(AB49)*AC49+ABS(AD49)*AE49+ABS(AF49)*AG49+ABS(AH49)*AI49+ABS(AJ49)*AK49+ABS(AL49)*AM49+ABS(AN49)*AO49+ABS(AP49)*AQ49+ABS(AR49)*AS49+ABS(AT49)*AU49+ABS(AV49)*AW49+ABS(AX49)*AY49+ABS(AZ49)*BA49+ABS(BB49)*BC49)/BH49)</f>
        <v>0</v>
      </c>
      <c r="BG49" s="103" t="n">
        <f aca="false">O49</f>
        <v>38322</v>
      </c>
      <c r="BH49" s="323" t="n">
        <f aca="false">(ABS(P49)+ABS(R49)+ABS(T49)+ABS(V49)+ABS(X49)+ABS(Z49)+ABS(AB49)+ABS(AD49)+ABS(AF49)+ABS(AH49)+ABS(AJ49)+ABS(AL49)+ABS(AN49)+ABS(AP49)+ABS(AR49)+ABS(AT49)+ABS(AV49)+ABS(AX49)+ABS(AZ49)+ABS(BB49))</f>
        <v>0</v>
      </c>
      <c r="BI49" s="104" t="n">
        <f aca="false">VLOOKUP(GasPosn!A49,'Pricing Summary'!$AB$12:$AD$250,3)</f>
        <v>31</v>
      </c>
      <c r="BJ49" s="102" t="n">
        <f aca="false">VLOOKUP(A49,Interest!$AF$8:$AK$367,6)</f>
        <v>0.8847011422324</v>
      </c>
      <c r="BL49" s="0" t="n">
        <f aca="false">J49*VLOOKUP(A49,NymexData!$J$12:$K$244,2)</f>
        <v>191732.221604897</v>
      </c>
      <c r="BO49" s="0" t="n">
        <f aca="false">Interest!AK45</f>
        <v>0.8847011422324</v>
      </c>
      <c r="BP49" s="0" t="n">
        <f aca="false">G49*Interest!AK45</f>
        <v>3.49191540839128</v>
      </c>
      <c r="BQ49" s="0" t="n">
        <f aca="false">IF(AND(A49&gt;=$B$3,A49&lt;=$B$4),1,0)</f>
        <v>1</v>
      </c>
      <c r="BR49" s="0" t="n">
        <f aca="false">BO49*BQ49</f>
        <v>0.8847011422324</v>
      </c>
      <c r="BS49" s="0" t="n">
        <f aca="false">BP49*BQ49</f>
        <v>3.49191540839128</v>
      </c>
    </row>
    <row r="50" customFormat="false" ht="18" hidden="false" customHeight="false" outlineLevel="0" collapsed="false">
      <c r="A50" s="75" t="n">
        <f aca="false">[2]EnergyCurve!$D72</f>
        <v>38353</v>
      </c>
      <c r="B50" s="317" t="n">
        <f aca="false" t="array" ref="B50:B50">SUM(IF(MONTH(NymexData!$AI$12:$AI$250)&amp;YEAR(NymexData!$AI$12:$AI$250)=MONTH(A50)&amp;YEAR(A50),NymexData!$AJ$12:$AJ$250))</f>
        <v>-191.98640453</v>
      </c>
      <c r="C50" s="317" t="n">
        <f aca="false">BD50*BJ50*BI50</f>
        <v>0</v>
      </c>
      <c r="D50" s="319" t="n">
        <f aca="false">C50+B50</f>
        <v>-191.98640453</v>
      </c>
      <c r="E50" s="320" t="n">
        <f aca="false" t="array" ref="E50:E50">SUM(IF(MONTH(NymexData!$S$12:$S$250)&amp;YEAR(NymexData!$S$12:$S$250)=MONTH(A50)&amp;YEAR(A50),NymexData!$T$12:$T$250))</f>
        <v>4.063</v>
      </c>
      <c r="F50" s="320" t="n">
        <f aca="false">G50-E50</f>
        <v>-0.0560000000000001</v>
      </c>
      <c r="G50" s="321" t="n">
        <f aca="false" t="array" ref="G50:G50">IF(NymexData!$AA$12="",GasPosn!E50,SUM(IF(MONTH(NymexData!$AA$12:$AA$250)&amp;YEAR(NymexData!$AA$12:$AA$250)=MONTH(A50)&amp;YEAR(A50),NymexData!$AB$12:$AB$250)))</f>
        <v>4.007</v>
      </c>
      <c r="H50" s="76" t="n">
        <f aca="false">B50*10000*F50</f>
        <v>107512.3865368</v>
      </c>
      <c r="I50" s="82" t="n">
        <f aca="false">(((G50-Q50)*P50+(G50-S50)*R50+(G50-U50)*T50+(G50-W50)*V50+(G50-Y50)*X50+(G50-AA50)*Z50+(G50-AC50)*AB50+(G50-AE50)*AD50+(G50-AG50)*AF50+(G50-AI50)*AH50+(G50-AK50)*AJ50+(G50-AM50)*AL50+(G50-AO50)*AN50+(G50-AQ50)*AP50+(G50-AS50)*AR50+(G50-AU50)*AT50+(G50-AW50)*AV50+(G50-AY50)*AX50+(G50-BA50)*AZ50+(G50-BC50)*BB50)*BJ50*BI50)*10000</f>
        <v>0</v>
      </c>
      <c r="J50" s="82" t="n">
        <f aca="false">H50+I50</f>
        <v>107512.3865368</v>
      </c>
      <c r="L50" s="329"/>
      <c r="O50" s="95" t="n">
        <f aca="false">A50</f>
        <v>38353</v>
      </c>
      <c r="BD50" s="100" t="n">
        <f aca="false">(P50+R50+T50+V50+X50+Z50+AB50+AD50+AF50+AH50+AJ50+AL50+AN50+AP50+AR50+AT50+AV50+AX50+AZ50+BB50)</f>
        <v>0</v>
      </c>
      <c r="BE50" s="322" t="n">
        <f aca="false">IF(AND(BD50=0,BH50=0),0,(ABS(P50)*Q50+ABS(R50)*S50+ABS(T50)*U50+ABS(V50)*W50+ABS(X50)*Y50+ABS(Z50)*AA50+ABS(AB50)*AC50+ABS(AD50)*AE50+ABS(AF50)*AG50+ABS(AH50)*AI50+ABS(AJ50)*AK50+ABS(AL50)*AM50+ABS(AN50)*AO50+ABS(AP50)*AQ50+ABS(AR50)*AS50+ABS(AT50)*AU50+ABS(AV50)*AW50+ABS(AX50)*AY50+ABS(AZ50)*BA50+ABS(BB50)*BC50)/BH50)</f>
        <v>0</v>
      </c>
      <c r="BG50" s="103" t="n">
        <f aca="false">O50</f>
        <v>38353</v>
      </c>
      <c r="BH50" s="323" t="n">
        <f aca="false">(ABS(P50)+ABS(R50)+ABS(T50)+ABS(V50)+ABS(X50)+ABS(Z50)+ABS(AB50)+ABS(AD50)+ABS(AF50)+ABS(AH50)+ABS(AJ50)+ABS(AL50)+ABS(AN50)+ABS(AP50)+ABS(AR50)+ABS(AT50)+ABS(AV50)+ABS(AX50)+ABS(AZ50)+ABS(BB50))</f>
        <v>0</v>
      </c>
      <c r="BI50" s="104" t="n">
        <f aca="false">VLOOKUP(GasPosn!A50,'Pricing Summary'!$AB$12:$AD$250,3)</f>
        <v>31</v>
      </c>
      <c r="BJ50" s="102" t="n">
        <f aca="false">VLOOKUP(A50,Interest!$AF$8:$AK$367,6)</f>
        <v>0.880579750985831</v>
      </c>
      <c r="BL50" s="0" t="n">
        <f aca="false">J50*VLOOKUP(A50,NymexData!$J$12:$K$244,2)</f>
        <v>169165.975666938</v>
      </c>
      <c r="BO50" s="0" t="n">
        <f aca="false">Interest!AK46</f>
        <v>0.880579750985831</v>
      </c>
      <c r="BP50" s="0" t="n">
        <f aca="false">G50*Interest!AK46</f>
        <v>3.52848306220023</v>
      </c>
      <c r="BQ50" s="0" t="n">
        <f aca="false">IF(AND(A50&gt;=$B$3,A50&lt;=$B$4),1,0)</f>
        <v>1</v>
      </c>
      <c r="BR50" s="0" t="n">
        <f aca="false">BO50*BQ50</f>
        <v>0.880579750985831</v>
      </c>
      <c r="BS50" s="0" t="n">
        <f aca="false">BP50*BQ50</f>
        <v>3.52848306220023</v>
      </c>
    </row>
    <row r="51" customFormat="false" ht="18" hidden="false" customHeight="false" outlineLevel="0" collapsed="false">
      <c r="A51" s="112" t="n">
        <f aca="false">[2]EnergyCurve!$D73</f>
        <v>38384</v>
      </c>
      <c r="B51" s="324" t="n">
        <f aca="false" t="array" ref="B51:B51">SUM(IF(MONTH(NymexData!$AI$12:$AI$250)&amp;YEAR(NymexData!$AI$12:$AI$250)=MONTH(A51)&amp;YEAR(A51),NymexData!$AJ$12:$AJ$250))</f>
        <v>-172.64793559</v>
      </c>
      <c r="C51" s="325" t="n">
        <f aca="false">BD51*BJ51*BI51</f>
        <v>0</v>
      </c>
      <c r="D51" s="326" t="n">
        <f aca="false">C51+B51</f>
        <v>-172.64793559</v>
      </c>
      <c r="E51" s="327" t="n">
        <f aca="false" t="array" ref="E51:E51">SUM(IF(MONTH(NymexData!$S$12:$S$250)&amp;YEAR(NymexData!$S$12:$S$250)=MONTH(A51)&amp;YEAR(A51),NymexData!$T$12:$T$250))</f>
        <v>3.976</v>
      </c>
      <c r="F51" s="327" t="n">
        <f aca="false">G51-E51</f>
        <v>-0.0569999999999999</v>
      </c>
      <c r="G51" s="328" t="n">
        <f aca="false" t="array" ref="G51:G51">IF(NymexData!$AA$12="",GasPosn!E51,SUM(IF(MONTH(NymexData!$AA$12:$AA$250)&amp;YEAR(NymexData!$AA$12:$AA$250)=MONTH(A51)&amp;YEAR(A51),NymexData!$AB$12:$AB$250)))</f>
        <v>3.919</v>
      </c>
      <c r="H51" s="115" t="n">
        <f aca="false">B51*10000*F51</f>
        <v>98409.3232862999</v>
      </c>
      <c r="I51" s="119" t="n">
        <f aca="false">(((G51-Q51)*P51+(G51-S51)*R51+(G51-U51)*T51+(G51-W51)*V51+(G51-Y51)*X51+(G51-AA51)*Z51+(G51-AC51)*AB51+(G51-AE51)*AD51+(G51-AG51)*AF51+(G51-AI51)*AH51+(G51-AK51)*AJ51+(G51-AM51)*AL51+(G51-AO51)*AN51+(G51-AQ51)*AP51+(G51-AS51)*AR51+(G51-AU51)*AT51+(G51-AW51)*AV51+(G51-AY51)*AX51+(G51-BA51)*AZ51+(G51-BC51)*BB51)*BJ51*BI51)*10000</f>
        <v>0</v>
      </c>
      <c r="J51" s="119" t="n">
        <f aca="false">H51+I51</f>
        <v>98409.3232862999</v>
      </c>
      <c r="L51" s="329"/>
      <c r="O51" s="95" t="n">
        <f aca="false">A51</f>
        <v>38384</v>
      </c>
      <c r="BD51" s="100" t="n">
        <f aca="false">(P51+R51+T51+V51+X51+Z51+AB51+AD51+AF51+AH51+AJ51+AL51+AN51+AP51+AR51+AT51+AV51+AX51+AZ51+BB51)</f>
        <v>0</v>
      </c>
      <c r="BE51" s="322" t="n">
        <f aca="false">IF(AND(BD51=0,BH51=0),0,(ABS(P51)*Q51+ABS(R51)*S51+ABS(T51)*U51+ABS(V51)*W51+ABS(X51)*Y51+ABS(Z51)*AA51+ABS(AB51)*AC51+ABS(AD51)*AE51+ABS(AF51)*AG51+ABS(AH51)*AI51+ABS(AJ51)*AK51+ABS(AL51)*AM51+ABS(AN51)*AO51+ABS(AP51)*AQ51+ABS(AR51)*AS51+ABS(AT51)*AU51+ABS(AV51)*AW51+ABS(AX51)*AY51+ABS(AZ51)*BA51+ABS(BB51)*BC51)/BH51)</f>
        <v>0</v>
      </c>
      <c r="BG51" s="103" t="n">
        <f aca="false">O51</f>
        <v>38384</v>
      </c>
      <c r="BH51" s="323" t="n">
        <f aca="false">(ABS(P51)+ABS(R51)+ABS(T51)+ABS(V51)+ABS(X51)+ABS(Z51)+ABS(AB51)+ABS(AD51)+ABS(AF51)+ABS(AH51)+ABS(AJ51)+ABS(AL51)+ABS(AN51)+ABS(AP51)+ABS(AR51)+ABS(AT51)+ABS(AV51)+ABS(AX51)+ABS(AZ51)+ABS(BB51))</f>
        <v>0</v>
      </c>
      <c r="BI51" s="104" t="n">
        <f aca="false">VLOOKUP(GasPosn!A51,'Pricing Summary'!$AB$12:$AD$250,3)</f>
        <v>28</v>
      </c>
      <c r="BJ51" s="102" t="n">
        <f aca="false">VLOOKUP(A51,Interest!$AF$8:$AK$367,6)</f>
        <v>0.87672383052938</v>
      </c>
      <c r="BL51" s="0" t="n">
        <f aca="false">J51*VLOOKUP(A51,NymexData!$J$12:$K$244,2)</f>
        <v>154802.295552669</v>
      </c>
      <c r="BO51" s="0" t="n">
        <f aca="false">Interest!AK47</f>
        <v>0.87672383052938</v>
      </c>
      <c r="BP51" s="0" t="n">
        <f aca="false">G51*Interest!AK47</f>
        <v>3.43588069184464</v>
      </c>
      <c r="BQ51" s="0" t="n">
        <f aca="false">IF(AND(A51&gt;=$B$3,A51&lt;=$B$4),1,0)</f>
        <v>1</v>
      </c>
      <c r="BR51" s="0" t="n">
        <f aca="false">BO51*BQ51</f>
        <v>0.87672383052938</v>
      </c>
      <c r="BS51" s="0" t="n">
        <f aca="false">BP51*BQ51</f>
        <v>3.43588069184464</v>
      </c>
    </row>
    <row r="52" customFormat="false" ht="18" hidden="false" customHeight="false" outlineLevel="0" collapsed="false">
      <c r="A52" s="75" t="n">
        <f aca="false">[2]EnergyCurve!$D74</f>
        <v>38412</v>
      </c>
      <c r="B52" s="317" t="n">
        <f aca="false" t="array" ref="B52:B52">SUM(IF(MONTH(NymexData!$AI$12:$AI$250)&amp;YEAR(NymexData!$AI$12:$AI$250)=MONTH(A52)&amp;YEAR(A52),NymexData!$AJ$12:$AJ$250))</f>
        <v>-190.3804119</v>
      </c>
      <c r="C52" s="317" t="n">
        <f aca="false">BD52*BJ52*BI52</f>
        <v>0</v>
      </c>
      <c r="D52" s="319" t="n">
        <f aca="false">C52+B52</f>
        <v>-190.3804119</v>
      </c>
      <c r="E52" s="320" t="n">
        <f aca="false" t="array" ref="E52:E52">SUM(IF(MONTH(NymexData!$S$12:$S$250)&amp;YEAR(NymexData!$S$12:$S$250)=MONTH(A52)&amp;YEAR(A52),NymexData!$T$12:$T$250))</f>
        <v>3.837</v>
      </c>
      <c r="F52" s="320" t="n">
        <f aca="false">G52-E52</f>
        <v>-0.0570000000000004</v>
      </c>
      <c r="G52" s="321" t="n">
        <f aca="false" t="array" ref="G52:G52">IF(NymexData!$AA$12="",GasPosn!E52,SUM(IF(MONTH(NymexData!$AA$12:$AA$250)&amp;YEAR(NymexData!$AA$12:$AA$250)=MONTH(A52)&amp;YEAR(A52),NymexData!$AB$12:$AB$250)))</f>
        <v>3.78</v>
      </c>
      <c r="H52" s="76" t="n">
        <f aca="false">B52*10000*F52</f>
        <v>108516.834783001</v>
      </c>
      <c r="I52" s="82" t="n">
        <f aca="false">(((G52-Q52)*P52+(G52-S52)*R52+(G52-U52)*T52+(G52-W52)*V52+(G52-Y52)*X52+(G52-AA52)*Z52+(G52-AC52)*AB52+(G52-AE52)*AD52+(G52-AG52)*AF52+(G52-AI52)*AH52+(G52-AK52)*AJ52+(G52-AM52)*AL52+(G52-AO52)*AN52+(G52-AQ52)*AP52+(G52-AS52)*AR52+(G52-AU52)*AT52+(G52-AW52)*AV52+(G52-AY52)*AX52+(G52-BA52)*AZ52+(G52-BC52)*BB52)*BJ52*BI52)*10000</f>
        <v>0</v>
      </c>
      <c r="J52" s="82" t="n">
        <f aca="false">H52+I52</f>
        <v>108516.834783001</v>
      </c>
      <c r="L52" s="329"/>
      <c r="O52" s="95" t="n">
        <f aca="false">A52</f>
        <v>38412</v>
      </c>
      <c r="BD52" s="100" t="n">
        <f aca="false">(P52+R52+T52+V52+X52+Z52+AB52+AD52+AF52+AH52+AJ52+AL52+AN52+AP52+AR52+AT52+AV52+AX52+AZ52+BB52)</f>
        <v>0</v>
      </c>
      <c r="BE52" s="322" t="n">
        <f aca="false">IF(AND(BD52=0,BH52=0),0,(ABS(P52)*Q52+ABS(R52)*S52+ABS(T52)*U52+ABS(V52)*W52+ABS(X52)*Y52+ABS(Z52)*AA52+ABS(AB52)*AC52+ABS(AD52)*AE52+ABS(AF52)*AG52+ABS(AH52)*AI52+ABS(AJ52)*AK52+ABS(AL52)*AM52+ABS(AN52)*AO52+ABS(AP52)*AQ52+ABS(AR52)*AS52+ABS(AT52)*AU52+ABS(AV52)*AW52+ABS(AX52)*AY52+ABS(AZ52)*BA52+ABS(BB52)*BC52)/BH52)</f>
        <v>0</v>
      </c>
      <c r="BG52" s="103" t="n">
        <f aca="false">O52</f>
        <v>38412</v>
      </c>
      <c r="BH52" s="323" t="n">
        <f aca="false">(ABS(P52)+ABS(R52)+ABS(T52)+ABS(V52)+ABS(X52)+ABS(Z52)+ABS(AB52)+ABS(AD52)+ABS(AF52)+ABS(AH52)+ABS(AJ52)+ABS(AL52)+ABS(AN52)+ABS(AP52)+ABS(AR52)+ABS(AT52)+ABS(AV52)+ABS(AX52)+ABS(AZ52)+ABS(BB52))</f>
        <v>0</v>
      </c>
      <c r="BI52" s="104" t="n">
        <f aca="false">VLOOKUP(GasPosn!A52,'Pricing Summary'!$AB$12:$AD$250,3)</f>
        <v>31</v>
      </c>
      <c r="BJ52" s="102" t="n">
        <f aca="false">VLOOKUP(A52,Interest!$AF$8:$AK$367,6)</f>
        <v>0.872667587646565</v>
      </c>
      <c r="BL52" s="0" t="n">
        <f aca="false">J52*VLOOKUP(A52,NymexData!$J$12:$K$244,2)</f>
        <v>170659.594882736</v>
      </c>
      <c r="BO52" s="0" t="n">
        <f aca="false">Interest!AK48</f>
        <v>0.872667587646565</v>
      </c>
      <c r="BP52" s="0" t="n">
        <f aca="false">G52*Interest!AK48</f>
        <v>3.29868348130402</v>
      </c>
      <c r="BQ52" s="0" t="n">
        <f aca="false">IF(AND(A52&gt;=$B$3,A52&lt;=$B$4),1,0)</f>
        <v>1</v>
      </c>
      <c r="BR52" s="0" t="n">
        <f aca="false">BO52*BQ52</f>
        <v>0.872667587646565</v>
      </c>
      <c r="BS52" s="0" t="n">
        <f aca="false">BP52*BQ52</f>
        <v>3.29868348130402</v>
      </c>
    </row>
    <row r="53" customFormat="false" ht="18" hidden="false" customHeight="false" outlineLevel="0" collapsed="false">
      <c r="A53" s="112" t="n">
        <f aca="false">[2]EnergyCurve!$D75</f>
        <v>38443</v>
      </c>
      <c r="B53" s="324" t="n">
        <f aca="false" t="array" ref="B53:B53">SUM(IF(MONTH(NymexData!$AI$12:$AI$250)&amp;YEAR(NymexData!$AI$12:$AI$250)=MONTH(A53)&amp;YEAR(A53),NymexData!$AJ$12:$AJ$250))</f>
        <v>-183.41219875</v>
      </c>
      <c r="C53" s="325" t="n">
        <f aca="false">BD53*BJ53*BI53</f>
        <v>0</v>
      </c>
      <c r="D53" s="326" t="n">
        <f aca="false">C53+B53</f>
        <v>-183.41219875</v>
      </c>
      <c r="E53" s="327" t="n">
        <f aca="false" t="array" ref="E53:E53">SUM(IF(MONTH(NymexData!$S$12:$S$250)&amp;YEAR(NymexData!$S$12:$S$250)=MONTH(A53)&amp;YEAR(A53),NymexData!$T$12:$T$250))</f>
        <v>3.683</v>
      </c>
      <c r="F53" s="327" t="n">
        <f aca="false">G53-E53</f>
        <v>-0.0569999999999999</v>
      </c>
      <c r="G53" s="328" t="n">
        <f aca="false" t="array" ref="G53:G53">IF(NymexData!$AA$12="",GasPosn!E53,SUM(IF(MONTH(NymexData!$AA$12:$AA$250)&amp;YEAR(NymexData!$AA$12:$AA$250)=MONTH(A53)&amp;YEAR(A53),NymexData!$AB$12:$AB$250)))</f>
        <v>3.626</v>
      </c>
      <c r="H53" s="115" t="n">
        <f aca="false">B53*10000*F53</f>
        <v>104544.9532875</v>
      </c>
      <c r="I53" s="119" t="n">
        <f aca="false">(((G53-Q53)*P53+(G53-S53)*R53+(G53-U53)*T53+(G53-W53)*V53+(G53-Y53)*X53+(G53-AA53)*Z53+(G53-AC53)*AB53+(G53-AE53)*AD53+(G53-AG53)*AF53+(G53-AI53)*AH53+(G53-AK53)*AJ53+(G53-AM53)*AL53+(G53-AO53)*AN53+(G53-AQ53)*AP53+(G53-AS53)*AR53+(G53-AU53)*AT53+(G53-AW53)*AV53+(G53-AY53)*AX53+(G53-BA53)*AZ53+(G53-BC53)*BB53)*BJ53*BI53)*10000</f>
        <v>0</v>
      </c>
      <c r="J53" s="119" t="n">
        <f aca="false">H53+I53</f>
        <v>104544.9532875</v>
      </c>
      <c r="L53" s="329"/>
      <c r="O53" s="95" t="n">
        <f aca="false">A53</f>
        <v>38443</v>
      </c>
      <c r="BD53" s="100" t="n">
        <f aca="false">(P53+R53+T53+V53+X53+Z53+AB53+AD53+AF53+AH53+AJ53+AL53+AN53+AP53+AR53+AT53+AV53+AX53+AZ53+BB53)</f>
        <v>0</v>
      </c>
      <c r="BE53" s="322" t="n">
        <f aca="false">IF(AND(BD53=0,BH53=0),0,(ABS(P53)*Q53+ABS(R53)*S53+ABS(T53)*U53+ABS(V53)*W53+ABS(X53)*Y53+ABS(Z53)*AA53+ABS(AB53)*AC53+ABS(AD53)*AE53+ABS(AF53)*AG53+ABS(AH53)*AI53+ABS(AJ53)*AK53+ABS(AL53)*AM53+ABS(AN53)*AO53+ABS(AP53)*AQ53+ABS(AR53)*AS53+ABS(AT53)*AU53+ABS(AV53)*AW53+ABS(AX53)*AY53+ABS(AZ53)*BA53+ABS(BB53)*BC53)/BH53)</f>
        <v>0</v>
      </c>
      <c r="BG53" s="103" t="n">
        <f aca="false">O53</f>
        <v>38443</v>
      </c>
      <c r="BH53" s="323" t="n">
        <f aca="false">(ABS(P53)+ABS(R53)+ABS(T53)+ABS(V53)+ABS(X53)+ABS(Z53)+ABS(AB53)+ABS(AD53)+ABS(AF53)+ABS(AH53)+ABS(AJ53)+ABS(AL53)+ABS(AN53)+ABS(AP53)+ABS(AR53)+ABS(AT53)+ABS(AV53)+ABS(AX53)+ABS(AZ53)+ABS(BB53))</f>
        <v>0</v>
      </c>
      <c r="BI53" s="104" t="n">
        <f aca="false">VLOOKUP(GasPosn!A53,'Pricing Summary'!$AB$12:$AD$250,3)</f>
        <v>30</v>
      </c>
      <c r="BJ53" s="102" t="n">
        <f aca="false">VLOOKUP(A53,Interest!$AF$8:$AK$367,6)</f>
        <v>0.868631738927956</v>
      </c>
      <c r="BL53" s="0" t="n">
        <f aca="false">J53*VLOOKUP(A53,NymexData!$J$12:$K$244,2)</f>
        <v>164382.108480024</v>
      </c>
      <c r="BO53" s="0" t="n">
        <f aca="false">Interest!AK49</f>
        <v>0.868631738927956</v>
      </c>
      <c r="BP53" s="0" t="n">
        <f aca="false">G53*Interest!AK49</f>
        <v>3.14965868535277</v>
      </c>
      <c r="BQ53" s="0" t="n">
        <f aca="false">IF(AND(A53&gt;=$B$3,A53&lt;=$B$4),1,0)</f>
        <v>1</v>
      </c>
      <c r="BR53" s="0" t="n">
        <f aca="false">BO53*BQ53</f>
        <v>0.868631738927956</v>
      </c>
      <c r="BS53" s="0" t="n">
        <f aca="false">BP53*BQ53</f>
        <v>3.14965868535277</v>
      </c>
    </row>
    <row r="54" customFormat="false" ht="18" hidden="false" customHeight="false" outlineLevel="0" collapsed="false">
      <c r="A54" s="75" t="n">
        <f aca="false">[2]EnergyCurve!$D76</f>
        <v>38473</v>
      </c>
      <c r="B54" s="317" t="n">
        <f aca="false" t="array" ref="B54:B54">SUM(IF(MONTH(NymexData!$AI$12:$AI$250)&amp;YEAR(NymexData!$AI$12:$AI$250)=MONTH(A54)&amp;YEAR(A54),NymexData!$AJ$12:$AJ$250))</f>
        <v>-188.69221153</v>
      </c>
      <c r="C54" s="317" t="n">
        <f aca="false">BD54*BJ54*BI54</f>
        <v>0</v>
      </c>
      <c r="D54" s="319" t="n">
        <f aca="false">C54+B54</f>
        <v>-188.69221153</v>
      </c>
      <c r="E54" s="320" t="n">
        <f aca="false" t="array" ref="E54:E54">SUM(IF(MONTH(NymexData!$S$12:$S$250)&amp;YEAR(NymexData!$S$12:$S$250)=MONTH(A54)&amp;YEAR(A54),NymexData!$T$12:$T$250))</f>
        <v>3.688</v>
      </c>
      <c r="F54" s="320" t="n">
        <f aca="false">G54-E54</f>
        <v>-0.0569999999999999</v>
      </c>
      <c r="G54" s="321" t="n">
        <f aca="false" t="array" ref="G54:G54">IF(NymexData!$AA$12="",GasPosn!E54,SUM(IF(MONTH(NymexData!$AA$12:$AA$250)&amp;YEAR(NymexData!$AA$12:$AA$250)=MONTH(A54)&amp;YEAR(A54),NymexData!$AB$12:$AB$250)))</f>
        <v>3.631</v>
      </c>
      <c r="H54" s="76" t="n">
        <f aca="false">B54*10000*F54</f>
        <v>107554.5605721</v>
      </c>
      <c r="I54" s="82" t="n">
        <f aca="false">(((G54-Q54)*P54+(G54-S54)*R54+(G54-U54)*T54+(G54-W54)*V54+(G54-Y54)*X54+(G54-AA54)*Z54+(G54-AC54)*AB54+(G54-AE54)*AD54+(G54-AG54)*AF54+(G54-AI54)*AH54+(G54-AK54)*AJ54+(G54-AM54)*AL54+(G54-AO54)*AN54+(G54-AQ54)*AP54+(G54-AS54)*AR54+(G54-AU54)*AT54+(G54-AW54)*AV54+(G54-AY54)*AX54+(G54-BA54)*AZ54+(G54-BC54)*BB54)*BJ54*BI54)*10000</f>
        <v>0</v>
      </c>
      <c r="J54" s="82" t="n">
        <f aca="false">H54+I54</f>
        <v>107554.5605721</v>
      </c>
      <c r="L54" s="329"/>
      <c r="O54" s="95" t="n">
        <f aca="false">A54</f>
        <v>38473</v>
      </c>
      <c r="BD54" s="100" t="n">
        <f aca="false">(P54+R54+T54+V54+X54+Z54+AB54+AD54+AF54+AH54+AJ54+AL54+AN54+AP54+AR54+AT54+AV54+AX54+AZ54+BB54)</f>
        <v>0</v>
      </c>
      <c r="BE54" s="322" t="n">
        <f aca="false">IF(AND(BD54=0,BH54=0),0,(ABS(P54)*Q54+ABS(R54)*S54+ABS(T54)*U54+ABS(V54)*W54+ABS(X54)*Y54+ABS(Z54)*AA54+ABS(AB54)*AC54+ABS(AD54)*AE54+ABS(AF54)*AG54+ABS(AH54)*AI54+ABS(AJ54)*AK54+ABS(AL54)*AM54+ABS(AN54)*AO54+ABS(AP54)*AQ54+ABS(AR54)*AS54+ABS(AT54)*AU54+ABS(AV54)*AW54+ABS(AX54)*AY54+ABS(AZ54)*BA54+ABS(BB54)*BC54)/BH54)</f>
        <v>0</v>
      </c>
      <c r="BG54" s="103" t="n">
        <f aca="false">O54</f>
        <v>38473</v>
      </c>
      <c r="BH54" s="323" t="n">
        <f aca="false">(ABS(P54)+ABS(R54)+ABS(T54)+ABS(V54)+ABS(X54)+ABS(Z54)+ABS(AB54)+ABS(AD54)+ABS(AF54)+ABS(AH54)+ABS(AJ54)+ABS(AL54)+ABS(AN54)+ABS(AP54)+ABS(AR54)+ABS(AT54)+ABS(AV54)+ABS(AX54)+ABS(AZ54)+ABS(BB54))</f>
        <v>0</v>
      </c>
      <c r="BI54" s="104" t="n">
        <f aca="false">VLOOKUP(GasPosn!A54,'Pricing Summary'!$AB$12:$AD$250,3)</f>
        <v>31</v>
      </c>
      <c r="BJ54" s="102" t="n">
        <f aca="false">VLOOKUP(A54,Interest!$AF$8:$AK$367,6)</f>
        <v>0.864580900722143</v>
      </c>
      <c r="BL54" s="0" t="n">
        <f aca="false">J54*VLOOKUP(A54,NymexData!$J$12:$K$244,2)</f>
        <v>169096.71301912</v>
      </c>
      <c r="BO54" s="0" t="n">
        <f aca="false">Interest!AK50</f>
        <v>0.864580900722143</v>
      </c>
      <c r="BP54" s="0" t="n">
        <f aca="false">G54*Interest!AK50</f>
        <v>3.1392932505221</v>
      </c>
      <c r="BQ54" s="0" t="n">
        <f aca="false">IF(AND(A54&gt;=$B$3,A54&lt;=$B$4),1,0)</f>
        <v>1</v>
      </c>
      <c r="BR54" s="0" t="n">
        <f aca="false">BO54*BQ54</f>
        <v>0.864580900722143</v>
      </c>
      <c r="BS54" s="0" t="n">
        <f aca="false">BP54*BQ54</f>
        <v>3.1392932505221</v>
      </c>
    </row>
    <row r="55" customFormat="false" ht="18" hidden="false" customHeight="false" outlineLevel="0" collapsed="false">
      <c r="A55" s="112" t="n">
        <f aca="false">[2]EnergyCurve!$D77</f>
        <v>38504</v>
      </c>
      <c r="B55" s="324" t="n">
        <f aca="false" t="array" ref="B55:B55">SUM(IF(MONTH(NymexData!$AI$12:$AI$250)&amp;YEAR(NymexData!$AI$12:$AI$250)=MONTH(A55)&amp;YEAR(A55),NymexData!$AJ$12:$AJ$250))</f>
        <v>-181.76494881</v>
      </c>
      <c r="C55" s="325" t="n">
        <f aca="false">BD55*BJ55*BI55</f>
        <v>0</v>
      </c>
      <c r="D55" s="326" t="n">
        <f aca="false">C55+B55</f>
        <v>-181.76494881</v>
      </c>
      <c r="E55" s="327" t="n">
        <f aca="false" t="array" ref="E55:E55">SUM(IF(MONTH(NymexData!$S$12:$S$250)&amp;YEAR(NymexData!$S$12:$S$250)=MONTH(A55)&amp;YEAR(A55),NymexData!$T$12:$T$250))</f>
        <v>3.726</v>
      </c>
      <c r="F55" s="327" t="n">
        <f aca="false">G55-E55</f>
        <v>-0.0569999999999999</v>
      </c>
      <c r="G55" s="328" t="n">
        <f aca="false" t="array" ref="G55:G55">IF(NymexData!$AA$12="",GasPosn!E55,SUM(IF(MONTH(NymexData!$AA$12:$AA$250)&amp;YEAR(NymexData!$AA$12:$AA$250)=MONTH(A55)&amp;YEAR(A55),NymexData!$AB$12:$AB$250)))</f>
        <v>3.669</v>
      </c>
      <c r="H55" s="115" t="n">
        <f aca="false">B55*10000*F55</f>
        <v>103606.0208217</v>
      </c>
      <c r="I55" s="119" t="n">
        <f aca="false">(((G55-Q55)*P55+(G55-S55)*R55+(G55-U55)*T55+(G55-W55)*V55+(G55-Y55)*X55+(G55-AA55)*Z55+(G55-AC55)*AB55+(G55-AE55)*AD55+(G55-AG55)*AF55+(G55-AI55)*AH55+(G55-AK55)*AJ55+(G55-AM55)*AL55+(G55-AO55)*AN55+(G55-AQ55)*AP55+(G55-AS55)*AR55+(G55-AU55)*AT55+(G55-AW55)*AV55+(G55-AY55)*AX55+(G55-BA55)*AZ55+(G55-BC55)*BB55)*BJ55*BI55)*10000</f>
        <v>0</v>
      </c>
      <c r="J55" s="119" t="n">
        <f aca="false">H55+I55</f>
        <v>103606.0208217</v>
      </c>
      <c r="L55" s="329"/>
      <c r="O55" s="95" t="n">
        <f aca="false">A55</f>
        <v>38504</v>
      </c>
      <c r="BD55" s="100" t="n">
        <f aca="false">(P55+R55+T55+V55+X55+Z55+AB55+AD55+AF55+AH55+AJ55+AL55+AN55+AP55+AR55+AT55+AV55+AX55+AZ55+BB55)</f>
        <v>0</v>
      </c>
      <c r="BE55" s="322" t="n">
        <f aca="false">IF(AND(BD55=0,BH55=0),0,(ABS(P55)*Q55+ABS(R55)*S55+ABS(T55)*U55+ABS(V55)*W55+ABS(X55)*Y55+ABS(Z55)*AA55+ABS(AB55)*AC55+ABS(AD55)*AE55+ABS(AF55)*AG55+ABS(AH55)*AI55+ABS(AJ55)*AK55+ABS(AL55)*AM55+ABS(AN55)*AO55+ABS(AP55)*AQ55+ABS(AR55)*AS55+ABS(AT55)*AU55+ABS(AV55)*AW55+ABS(AX55)*AY55+ABS(AZ55)*BA55+ABS(BB55)*BC55)/BH55)</f>
        <v>0</v>
      </c>
      <c r="BG55" s="103" t="n">
        <f aca="false">O55</f>
        <v>38504</v>
      </c>
      <c r="BH55" s="323" t="n">
        <f aca="false">(ABS(P55)+ABS(R55)+ABS(T55)+ABS(V55)+ABS(X55)+ABS(Z55)+ABS(AB55)+ABS(AD55)+ABS(AF55)+ABS(AH55)+ABS(AJ55)+ABS(AL55)+ABS(AN55)+ABS(AP55)+ABS(AR55)+ABS(AT55)+ABS(AV55)+ABS(AX55)+ABS(AZ55)+ABS(BB55))</f>
        <v>0</v>
      </c>
      <c r="BI55" s="104" t="n">
        <f aca="false">VLOOKUP(GasPosn!A55,'Pricing Summary'!$AB$12:$AD$250,3)</f>
        <v>30</v>
      </c>
      <c r="BJ55" s="102" t="n">
        <f aca="false">VLOOKUP(A55,Interest!$AF$8:$AK$367,6)</f>
        <v>0.860555281711277</v>
      </c>
      <c r="BL55" s="0" t="n">
        <f aca="false">J55*VLOOKUP(A55,NymexData!$J$12:$K$244,2)</f>
        <v>162870.599225758</v>
      </c>
      <c r="BO55" s="0" t="n">
        <f aca="false">Interest!AK51</f>
        <v>0.860555281711277</v>
      </c>
      <c r="BP55" s="0" t="n">
        <f aca="false">G55*Interest!AK51</f>
        <v>3.15737732859868</v>
      </c>
      <c r="BQ55" s="0" t="n">
        <f aca="false">IF(AND(A55&gt;=$B$3,A55&lt;=$B$4),1,0)</f>
        <v>1</v>
      </c>
      <c r="BR55" s="0" t="n">
        <f aca="false">BO55*BQ55</f>
        <v>0.860555281711277</v>
      </c>
      <c r="BS55" s="0" t="n">
        <f aca="false">BP55*BQ55</f>
        <v>3.15737732859868</v>
      </c>
    </row>
    <row r="56" customFormat="false" ht="18" hidden="false" customHeight="false" outlineLevel="0" collapsed="false">
      <c r="A56" s="75" t="n">
        <f aca="false">[2]EnergyCurve!$D78</f>
        <v>38534</v>
      </c>
      <c r="B56" s="317" t="n">
        <f aca="false" t="array" ref="B56:B56">SUM(IF(MONTH(NymexData!$AI$12:$AI$250)&amp;YEAR(NymexData!$AI$12:$AI$250)=MONTH(A56)&amp;YEAR(A56),NymexData!$AJ$12:$AJ$250))</f>
        <v>-186.97680008</v>
      </c>
      <c r="C56" s="318" t="n">
        <f aca="false">BD56*BJ56*BI56</f>
        <v>0</v>
      </c>
      <c r="D56" s="319" t="n">
        <f aca="false">C56+B56</f>
        <v>-186.97680008</v>
      </c>
      <c r="E56" s="320" t="n">
        <f aca="false" t="array" ref="E56:E56">SUM(IF(MONTH(NymexData!$S$12:$S$250)&amp;YEAR(NymexData!$S$12:$S$250)=MONTH(A56)&amp;YEAR(A56),NymexData!$T$12:$T$250))</f>
        <v>3.771</v>
      </c>
      <c r="F56" s="320" t="n">
        <f aca="false">G56-E56</f>
        <v>-0.0570000000000004</v>
      </c>
      <c r="G56" s="321" t="n">
        <f aca="false" t="array" ref="G56:G56">IF(NymexData!$AA$12="",GasPosn!E56,SUM(IF(MONTH(NymexData!$AA$12:$AA$250)&amp;YEAR(NymexData!$AA$12:$AA$250)=MONTH(A56)&amp;YEAR(A56),NymexData!$AB$12:$AB$250)))</f>
        <v>3.714</v>
      </c>
      <c r="H56" s="76" t="n">
        <f aca="false">B56*10000*F56</f>
        <v>106576.776045601</v>
      </c>
      <c r="I56" s="82" t="n">
        <f aca="false">(((G56-Q56)*P56+(G56-S56)*R56+(G56-U56)*T56+(G56-W56)*V56+(G56-Y56)*X56+(G56-AA56)*Z56+(G56-AC56)*AB56+(G56-AE56)*AD56+(G56-AG56)*AF56+(G56-AI56)*AH56+(G56-AK56)*AJ56+(G56-AM56)*AL56+(G56-AO56)*AN56+(G56-AQ56)*AP56+(G56-AS56)*AR56+(G56-AU56)*AT56+(G56-AW56)*AV56+(G56-AY56)*AX56+(G56-BA56)*AZ56+(G56-BC56)*BB56)*BJ56*BI56)*10000</f>
        <v>0</v>
      </c>
      <c r="J56" s="82" t="n">
        <f aca="false">H56+I56</f>
        <v>106576.776045601</v>
      </c>
      <c r="L56" s="329"/>
      <c r="O56" s="95" t="n">
        <f aca="false">A56</f>
        <v>38534</v>
      </c>
      <c r="BD56" s="100" t="n">
        <f aca="false">(P56+R56+T56+V56+X56+Z56+AB56+AD56+AF56+AH56+AJ56+AL56+AN56+AP56+AR56+AT56+AV56+AX56+AZ56+BB56)</f>
        <v>0</v>
      </c>
      <c r="BE56" s="322" t="n">
        <f aca="false">IF(AND(BD56=0,BH56=0),0,(ABS(P56)*Q56+ABS(R56)*S56+ABS(T56)*U56+ABS(V56)*W56+ABS(X56)*Y56+ABS(Z56)*AA56+ABS(AB56)*AC56+ABS(AD56)*AE56+ABS(AF56)*AG56+ABS(AH56)*AI56+ABS(AJ56)*AK56+ABS(AL56)*AM56+ABS(AN56)*AO56+ABS(AP56)*AQ56+ABS(AR56)*AS56+ABS(AT56)*AU56+ABS(AV56)*AW56+ABS(AX56)*AY56+ABS(AZ56)*BA56+ABS(BB56)*BC56)/BH56)</f>
        <v>0</v>
      </c>
      <c r="BG56" s="103" t="n">
        <f aca="false">O56</f>
        <v>38534</v>
      </c>
      <c r="BH56" s="323" t="n">
        <f aca="false">(ABS(P56)+ABS(R56)+ABS(T56)+ABS(V56)+ABS(X56)+ABS(Z56)+ABS(AB56)+ABS(AD56)+ABS(AF56)+ABS(AH56)+ABS(AJ56)+ABS(AL56)+ABS(AN56)+ABS(AP56)+ABS(AR56)+ABS(AT56)+ABS(AV56)+ABS(AX56)+ABS(AZ56)+ABS(BB56))</f>
        <v>0</v>
      </c>
      <c r="BI56" s="104" t="n">
        <f aca="false">VLOOKUP(GasPosn!A56,'Pricing Summary'!$AB$12:$AD$250,3)</f>
        <v>31</v>
      </c>
      <c r="BJ56" s="102" t="n">
        <f aca="false">VLOOKUP(A56,Interest!$AF$8:$AK$367,6)</f>
        <v>0.856483326701183</v>
      </c>
      <c r="BL56" s="0" t="n">
        <f aca="false">J56*VLOOKUP(A56,NymexData!$J$12:$K$244,2)</f>
        <v>167530.5444098</v>
      </c>
      <c r="BO56" s="0" t="n">
        <f aca="false">Interest!AK52</f>
        <v>0.856483326701183</v>
      </c>
      <c r="BP56" s="0" t="n">
        <f aca="false">G56*Interest!AK52</f>
        <v>3.18097907536819</v>
      </c>
      <c r="BQ56" s="0" t="n">
        <f aca="false">IF(AND(A56&gt;=$B$3,A56&lt;=$B$4),1,0)</f>
        <v>1</v>
      </c>
      <c r="BR56" s="0" t="n">
        <f aca="false">BO56*BQ56</f>
        <v>0.856483326701183</v>
      </c>
      <c r="BS56" s="0" t="n">
        <f aca="false">BP56*BQ56</f>
        <v>3.18097907536819</v>
      </c>
    </row>
    <row r="57" customFormat="false" ht="18" hidden="false" customHeight="false" outlineLevel="0" collapsed="false">
      <c r="A57" s="112" t="n">
        <f aca="false">[2]EnergyCurve!$D79</f>
        <v>38565</v>
      </c>
      <c r="B57" s="324" t="n">
        <f aca="false" t="array" ref="B57:B57">SUM(IF(MONTH(NymexData!$AI$12:$AI$250)&amp;YEAR(NymexData!$AI$12:$AI$250)=MONTH(A57)&amp;YEAR(A57),NymexData!$AJ$12:$AJ$250))</f>
        <v>-186.09493811</v>
      </c>
      <c r="C57" s="325" t="n">
        <f aca="false">BD57*BJ57*BI57</f>
        <v>0</v>
      </c>
      <c r="D57" s="326" t="n">
        <f aca="false">C57+B57</f>
        <v>-186.09493811</v>
      </c>
      <c r="E57" s="327" t="n">
        <f aca="false" t="array" ref="E57:E57">SUM(IF(MONTH(NymexData!$S$12:$S$250)&amp;YEAR(NymexData!$S$12:$S$250)=MONTH(A57)&amp;YEAR(A57),NymexData!$T$12:$T$250))</f>
        <v>3.809</v>
      </c>
      <c r="F57" s="327" t="n">
        <f aca="false">G57-E57</f>
        <v>-0.0569999999999999</v>
      </c>
      <c r="G57" s="328" t="n">
        <f aca="false" t="array" ref="G57:G57">IF(NymexData!$AA$12="",GasPosn!E57,SUM(IF(MONTH(NymexData!$AA$12:$AA$250)&amp;YEAR(NymexData!$AA$12:$AA$250)=MONTH(A57)&amp;YEAR(A57),NymexData!$AB$12:$AB$250)))</f>
        <v>3.752</v>
      </c>
      <c r="H57" s="115" t="n">
        <f aca="false">B57*10000*F57</f>
        <v>106074.1147227</v>
      </c>
      <c r="I57" s="119" t="n">
        <f aca="false">(((G57-Q57)*P57+(G57-S57)*R57+(G57-U57)*T57+(G57-W57)*V57+(G57-Y57)*X57+(G57-AA57)*Z57+(G57-AC57)*AB57+(G57-AE57)*AD57+(G57-AG57)*AF57+(G57-AI57)*AH57+(G57-AK57)*AJ57+(G57-AM57)*AL57+(G57-AO57)*AN57+(G57-AQ57)*AP57+(G57-AS57)*AR57+(G57-AU57)*AT57+(G57-AW57)*AV57+(G57-AY57)*AX57+(G57-BA57)*AZ57+(G57-BC57)*BB57)*BJ57*BI57)*10000</f>
        <v>0</v>
      </c>
      <c r="J57" s="119" t="n">
        <f aca="false">H57+I57</f>
        <v>106074.1147227</v>
      </c>
      <c r="L57" s="329"/>
      <c r="O57" s="95" t="n">
        <f aca="false">A57</f>
        <v>38565</v>
      </c>
      <c r="BD57" s="100" t="n">
        <f aca="false">(P57+R57+T57+V57+X57+Z57+AB57+AD57+AF57+AH57+AJ57+AL57+AN57+AP57+AR57+AT57+AV57+AX57+AZ57+BB57)</f>
        <v>0</v>
      </c>
      <c r="BE57" s="322" t="n">
        <f aca="false">IF(AND(BD57=0,BH57=0),0,(ABS(P57)*Q57+ABS(R57)*S57+ABS(T57)*U57+ABS(V57)*W57+ABS(X57)*Y57+ABS(Z57)*AA57+ABS(AB57)*AC57+ABS(AD57)*AE57+ABS(AF57)*AG57+ABS(AH57)*AI57+ABS(AJ57)*AK57+ABS(AL57)*AM57+ABS(AN57)*AO57+ABS(AP57)*AQ57+ABS(AR57)*AS57+ABS(AT57)*AU57+ABS(AV57)*AW57+ABS(AX57)*AY57+ABS(AZ57)*BA57+ABS(BB57)*BC57)/BH57)</f>
        <v>0</v>
      </c>
      <c r="BG57" s="103" t="n">
        <f aca="false">O57</f>
        <v>38565</v>
      </c>
      <c r="BH57" s="323" t="n">
        <f aca="false">(ABS(P57)+ABS(R57)+ABS(T57)+ABS(V57)+ABS(X57)+ABS(Z57)+ABS(AB57)+ABS(AD57)+ABS(AF57)+ABS(AH57)+ABS(AJ57)+ABS(AL57)+ABS(AN57)+ABS(AP57)+ABS(AR57)+ABS(AT57)+ABS(AV57)+ABS(AX57)+ABS(AZ57)+ABS(BB57))</f>
        <v>0</v>
      </c>
      <c r="BI57" s="104" t="n">
        <f aca="false">VLOOKUP(GasPosn!A57,'Pricing Summary'!$AB$12:$AD$250,3)</f>
        <v>31</v>
      </c>
      <c r="BJ57" s="102" t="n">
        <f aca="false">VLOOKUP(A57,Interest!$AF$8:$AK$367,6)</f>
        <v>0.852387171908071</v>
      </c>
      <c r="BL57" s="0" t="n">
        <f aca="false">J57*VLOOKUP(A57,NymexData!$J$12:$K$244,2)</f>
        <v>166738.198342298</v>
      </c>
      <c r="BO57" s="0" t="n">
        <f aca="false">Interest!AK53</f>
        <v>0.852387171908071</v>
      </c>
      <c r="BP57" s="0" t="n">
        <f aca="false">G57*Interest!AK53</f>
        <v>3.19815666899908</v>
      </c>
      <c r="BQ57" s="0" t="n">
        <f aca="false">IF(AND(A57&gt;=$B$3,A57&lt;=$B$4),1,0)</f>
        <v>1</v>
      </c>
      <c r="BR57" s="0" t="n">
        <f aca="false">BO57*BQ57</f>
        <v>0.852387171908071</v>
      </c>
      <c r="BS57" s="0" t="n">
        <f aca="false">BP57*BQ57</f>
        <v>3.19815666899908</v>
      </c>
    </row>
    <row r="58" customFormat="false" ht="18" hidden="false" customHeight="false" outlineLevel="0" collapsed="false">
      <c r="A58" s="75" t="n">
        <f aca="false">[2]EnergyCurve!$D80</f>
        <v>38596</v>
      </c>
      <c r="B58" s="317" t="n">
        <f aca="false" t="array" ref="B58:B58">SUM(IF(MONTH(NymexData!$AI$12:$AI$250)&amp;YEAR(NymexData!$AI$12:$AI$250)=MONTH(A58)&amp;YEAR(A58),NymexData!$AJ$12:$AJ$250))</f>
        <v>-179.23205202</v>
      </c>
      <c r="C58" s="317" t="n">
        <f aca="false">BD58*BJ58*BI58</f>
        <v>0</v>
      </c>
      <c r="D58" s="319" t="n">
        <f aca="false">C58+B58</f>
        <v>-179.23205202</v>
      </c>
      <c r="E58" s="320" t="n">
        <f aca="false" t="array" ref="E58:E58">SUM(IF(MONTH(NymexData!$S$12:$S$250)&amp;YEAR(NymexData!$S$12:$S$250)=MONTH(A58)&amp;YEAR(A58),NymexData!$T$12:$T$250))</f>
        <v>3.803</v>
      </c>
      <c r="F58" s="320" t="n">
        <f aca="false">G58-E58</f>
        <v>-0.0570000000000004</v>
      </c>
      <c r="G58" s="321" t="n">
        <f aca="false" t="array" ref="G58:G58">IF(NymexData!$AA$12="",GasPosn!E58,SUM(IF(MONTH(NymexData!$AA$12:$AA$250)&amp;YEAR(NymexData!$AA$12:$AA$250)=MONTH(A58)&amp;YEAR(A58),NymexData!$AB$12:$AB$250)))</f>
        <v>3.746</v>
      </c>
      <c r="H58" s="76" t="n">
        <f aca="false">B58*10000*F58</f>
        <v>102162.269651401</v>
      </c>
      <c r="I58" s="82" t="n">
        <f aca="false">(((G58-Q58)*P58+(G58-S58)*R58+(G58-U58)*T58+(G58-W58)*V58+(G58-Y58)*X58+(G58-AA58)*Z58+(G58-AC58)*AB58+(G58-AE58)*AD58+(G58-AG58)*AF58+(G58-AI58)*AH58+(G58-AK58)*AJ58+(G58-AM58)*AL58+(G58-AO58)*AN58+(G58-AQ58)*AP58+(G58-AS58)*AR58+(G58-AU58)*AT58+(G58-AW58)*AV58+(G58-AY58)*AX58+(G58-BA58)*AZ58+(G58-BC58)*BB58)*BJ58*BI58)*10000</f>
        <v>0</v>
      </c>
      <c r="J58" s="82" t="n">
        <f aca="false">H58+I58</f>
        <v>102162.269651401</v>
      </c>
      <c r="L58" s="329"/>
      <c r="O58" s="95" t="n">
        <f aca="false">A58</f>
        <v>38596</v>
      </c>
      <c r="BD58" s="100" t="n">
        <f aca="false">(P58+R58+T58+V58+X58+Z58+AB58+AD58+AF58+AH58+AJ58+AL58+AN58+AP58+AR58+AT58+AV58+AX58+AZ58+BB58)</f>
        <v>0</v>
      </c>
      <c r="BE58" s="322" t="n">
        <f aca="false">IF(AND(BD58=0,BH58=0),0,(ABS(P58)*Q58+ABS(R58)*S58+ABS(T58)*U58+ABS(V58)*W58+ABS(X58)*Y58+ABS(Z58)*AA58+ABS(AB58)*AC58+ABS(AD58)*AE58+ABS(AF58)*AG58+ABS(AH58)*AI58+ABS(AJ58)*AK58+ABS(AL58)*AM58+ABS(AN58)*AO58+ABS(AP58)*AQ58+ABS(AR58)*AS58+ABS(AT58)*AU58+ABS(AV58)*AW58+ABS(AX58)*AY58+ABS(AZ58)*BA58+ABS(BB58)*BC58)/BH58)</f>
        <v>0</v>
      </c>
      <c r="BG58" s="103" t="n">
        <f aca="false">O58</f>
        <v>38596</v>
      </c>
      <c r="BH58" s="323" t="n">
        <f aca="false">(ABS(P58)+ABS(R58)+ABS(T58)+ABS(V58)+ABS(X58)+ABS(Z58)+ABS(AB58)+ABS(AD58)+ABS(AF58)+ABS(AH58)+ABS(AJ58)+ABS(AL58)+ABS(AN58)+ABS(AP58)+ABS(AR58)+ABS(AT58)+ABS(AV58)+ABS(AX58)+ABS(AZ58)+ABS(BB58))</f>
        <v>0</v>
      </c>
      <c r="BI58" s="104" t="n">
        <f aca="false">VLOOKUP(GasPosn!A58,'Pricing Summary'!$AB$12:$AD$250,3)</f>
        <v>30</v>
      </c>
      <c r="BJ58" s="102" t="n">
        <f aca="false">VLOOKUP(A58,Interest!$AF$8:$AK$367,6)</f>
        <v>0.84835863810767</v>
      </c>
      <c r="BL58" s="0" t="n">
        <f aca="false">J58*VLOOKUP(A58,NymexData!$J$12:$K$244,2)</f>
        <v>160587.05691475</v>
      </c>
      <c r="BO58" s="0" t="n">
        <f aca="false">Interest!AK54</f>
        <v>0.84835863810767</v>
      </c>
      <c r="BP58" s="0" t="n">
        <f aca="false">G58*Interest!AK54</f>
        <v>3.17795145835133</v>
      </c>
      <c r="BQ58" s="0" t="n">
        <f aca="false">IF(AND(A58&gt;=$B$3,A58&lt;=$B$4),1,0)</f>
        <v>1</v>
      </c>
      <c r="BR58" s="0" t="n">
        <f aca="false">BO58*BQ58</f>
        <v>0.84835863810767</v>
      </c>
      <c r="BS58" s="0" t="n">
        <f aca="false">BP58*BQ58</f>
        <v>3.17795145835133</v>
      </c>
    </row>
    <row r="59" customFormat="false" ht="18" hidden="false" customHeight="false" outlineLevel="0" collapsed="false">
      <c r="A59" s="112" t="n">
        <f aca="false">[2]EnergyCurve!$D81</f>
        <v>38626</v>
      </c>
      <c r="B59" s="324" t="n">
        <f aca="false" t="array" ref="B59:B59">SUM(IF(MONTH(NymexData!$AI$12:$AI$250)&amp;YEAR(NymexData!$AI$12:$AI$250)=MONTH(A59)&amp;YEAR(A59),NymexData!$AJ$12:$AJ$250))</f>
        <v>-184.34045448</v>
      </c>
      <c r="C59" s="325" t="n">
        <f aca="false">BD59*BJ59*BI59</f>
        <v>0</v>
      </c>
      <c r="D59" s="326" t="n">
        <f aca="false">C59+B59</f>
        <v>-184.34045448</v>
      </c>
      <c r="E59" s="327" t="n">
        <f aca="false" t="array" ref="E59:E59">SUM(IF(MONTH(NymexData!$S$12:$S$250)&amp;YEAR(NymexData!$S$12:$S$250)=MONTH(A59)&amp;YEAR(A59),NymexData!$T$12:$T$250))</f>
        <v>3.803</v>
      </c>
      <c r="F59" s="327" t="n">
        <f aca="false">G59-E59</f>
        <v>-0.0570000000000004</v>
      </c>
      <c r="G59" s="328" t="n">
        <f aca="false" t="array" ref="G59:G59">IF(NymexData!$AA$12="",GasPosn!E59,SUM(IF(MONTH(NymexData!$AA$12:$AA$250)&amp;YEAR(NymexData!$AA$12:$AA$250)=MONTH(A59)&amp;YEAR(A59),NymexData!$AB$12:$AB$250)))</f>
        <v>3.746</v>
      </c>
      <c r="H59" s="115" t="n">
        <f aca="false">B59*10000*F59</f>
        <v>105074.059053601</v>
      </c>
      <c r="I59" s="119" t="n">
        <f aca="false">(((G59-Q59)*P59+(G59-S59)*R59+(G59-U59)*T59+(G59-W59)*V59+(G59-Y59)*X59+(G59-AA59)*Z59+(G59-AC59)*AB59+(G59-AE59)*AD59+(G59-AG59)*AF59+(G59-AI59)*AH59+(G59-AK59)*AJ59+(G59-AM59)*AL59+(G59-AO59)*AN59+(G59-AQ59)*AP59+(G59-AS59)*AR59+(G59-AU59)*AT59+(G59-AW59)*AV59+(G59-AY59)*AX59+(G59-BA59)*AZ59+(G59-BC59)*BB59)*BJ59*BI59)*10000</f>
        <v>0</v>
      </c>
      <c r="J59" s="119" t="n">
        <f aca="false">H59+I59</f>
        <v>105074.059053601</v>
      </c>
      <c r="L59" s="329"/>
      <c r="O59" s="95" t="n">
        <f aca="false">A59</f>
        <v>38626</v>
      </c>
      <c r="BD59" s="100" t="n">
        <f aca="false">(P59+R59+T59+V59+X59+Z59+AB59+AD59+AF59+AH59+AJ59+AL59+AN59+AP59+AR59+AT59+AV59+AX59+AZ59+BB59)</f>
        <v>0</v>
      </c>
      <c r="BE59" s="322" t="n">
        <f aca="false">IF(AND(BD59=0,BH59=0),0,(ABS(P59)*Q59+ABS(R59)*S59+ABS(T59)*U59+ABS(V59)*W59+ABS(X59)*Y59+ABS(Z59)*AA59+ABS(AB59)*AC59+ABS(AD59)*AE59+ABS(AF59)*AG59+ABS(AH59)*AI59+ABS(AJ59)*AK59+ABS(AL59)*AM59+ABS(AN59)*AO59+ABS(AP59)*AQ59+ABS(AR59)*AS59+ABS(AT59)*AU59+ABS(AV59)*AW59+ABS(AX59)*AY59+ABS(AZ59)*BA59+ABS(BB59)*BC59)/BH59)</f>
        <v>0</v>
      </c>
      <c r="BG59" s="103" t="n">
        <f aca="false">O59</f>
        <v>38626</v>
      </c>
      <c r="BH59" s="323" t="n">
        <f aca="false">(ABS(P59)+ABS(R59)+ABS(T59)+ABS(V59)+ABS(X59)+ABS(Z59)+ABS(AB59)+ABS(AD59)+ABS(AF59)+ABS(AH59)+ABS(AJ59)+ABS(AL59)+ABS(AN59)+ABS(AP59)+ABS(AR59)+ABS(AT59)+ABS(AV59)+ABS(AX59)+ABS(AZ59)+ABS(BB59))</f>
        <v>0</v>
      </c>
      <c r="BI59" s="104" t="n">
        <f aca="false">VLOOKUP(GasPosn!A59,'Pricing Summary'!$AB$12:$AD$250,3)</f>
        <v>31</v>
      </c>
      <c r="BJ59" s="102" t="n">
        <f aca="false">VLOOKUP(A59,Interest!$AF$8:$AK$367,6)</f>
        <v>0.844271662341034</v>
      </c>
      <c r="BL59" s="0" t="n">
        <f aca="false">J59*VLOOKUP(A59,NymexData!$J$12:$K$244,2)</f>
        <v>165167.484353935</v>
      </c>
      <c r="BO59" s="0" t="n">
        <f aca="false">Interest!AK55</f>
        <v>0.844271662341034</v>
      </c>
      <c r="BP59" s="0" t="n">
        <f aca="false">G59*Interest!AK55</f>
        <v>3.16264164712951</v>
      </c>
      <c r="BQ59" s="0" t="n">
        <f aca="false">IF(AND(A59&gt;=$B$3,A59&lt;=$B$4),1,0)</f>
        <v>1</v>
      </c>
      <c r="BR59" s="0" t="n">
        <f aca="false">BO59*BQ59</f>
        <v>0.844271662341034</v>
      </c>
      <c r="BS59" s="0" t="n">
        <f aca="false">BP59*BQ59</f>
        <v>3.16264164712951</v>
      </c>
    </row>
    <row r="60" customFormat="false" ht="18" hidden="false" customHeight="false" outlineLevel="0" collapsed="false">
      <c r="A60" s="75" t="n">
        <f aca="false">[2]EnergyCurve!$D82</f>
        <v>38657</v>
      </c>
      <c r="B60" s="317" t="n">
        <f aca="false" t="array" ref="B60:B60">SUM(IF(MONTH(NymexData!$AI$12:$AI$250)&amp;YEAR(NymexData!$AI$12:$AI$250)=MONTH(A60)&amp;YEAR(A60),NymexData!$AJ$12:$AJ$250))</f>
        <v>-177.52194307</v>
      </c>
      <c r="C60" s="317" t="n">
        <f aca="false">BD60*BJ60*BI60</f>
        <v>0</v>
      </c>
      <c r="D60" s="319" t="n">
        <f aca="false">C60+B60</f>
        <v>-177.52194307</v>
      </c>
      <c r="E60" s="320" t="n">
        <f aca="false" t="array" ref="E60:E60">SUM(IF(MONTH(NymexData!$S$12:$S$250)&amp;YEAR(NymexData!$S$12:$S$250)=MONTH(A60)&amp;YEAR(A60),NymexData!$T$12:$T$250))</f>
        <v>3.951</v>
      </c>
      <c r="F60" s="320" t="n">
        <f aca="false">G60-E60</f>
        <v>-0.0560000000000001</v>
      </c>
      <c r="G60" s="321" t="n">
        <f aca="false" t="array" ref="G60:G60">IF(NymexData!$AA$12="",GasPosn!E60,SUM(IF(MONTH(NymexData!$AA$12:$AA$250)&amp;YEAR(NymexData!$AA$12:$AA$250)=MONTH(A60)&amp;YEAR(A60),NymexData!$AB$12:$AB$250)))</f>
        <v>3.895</v>
      </c>
      <c r="H60" s="76" t="n">
        <f aca="false">B60*10000*F60</f>
        <v>99412.2881192001</v>
      </c>
      <c r="I60" s="82" t="n">
        <f aca="false">(((G60-Q60)*P60+(G60-S60)*R60+(G60-U60)*T60+(G60-W60)*V60+(G60-Y60)*X60+(G60-AA60)*Z60+(G60-AC60)*AB60+(G60-AE60)*AD60+(G60-AG60)*AF60+(G60-AI60)*AH60+(G60-AK60)*AJ60+(G60-AM60)*AL60+(G60-AO60)*AN60+(G60-AQ60)*AP60+(G60-AS60)*AR60+(G60-AU60)*AT60+(G60-AW60)*AV60+(G60-AY60)*AX60+(G60-BA60)*AZ60+(G60-BC60)*BB60)*BJ60*BI60)*10000</f>
        <v>0</v>
      </c>
      <c r="J60" s="82" t="n">
        <f aca="false">H60+I60</f>
        <v>99412.2881192001</v>
      </c>
      <c r="L60" s="329"/>
      <c r="O60" s="95" t="n">
        <f aca="false">A60</f>
        <v>38657</v>
      </c>
      <c r="BD60" s="100" t="n">
        <f aca="false">(P60+R60+T60+V60+X60+Z60+AB60+AD60+AF60+AH60+AJ60+AL60+AN60+AP60+AR60+AT60+AV60+AX60+AZ60+BB60)</f>
        <v>0</v>
      </c>
      <c r="BE60" s="322" t="n">
        <f aca="false">IF(AND(BD60=0,BH60=0),0,(ABS(P60)*Q60+ABS(R60)*S60+ABS(T60)*U60+ABS(V60)*W60+ABS(X60)*Y60+ABS(Z60)*AA60+ABS(AB60)*AC60+ABS(AD60)*AE60+ABS(AF60)*AG60+ABS(AH60)*AI60+ABS(AJ60)*AK60+ABS(AL60)*AM60+ABS(AN60)*AO60+ABS(AP60)*AQ60+ABS(AR60)*AS60+ABS(AT60)*AU60+ABS(AV60)*AW60+ABS(AX60)*AY60+ABS(AZ60)*BA60+ABS(BB60)*BC60)/BH60)</f>
        <v>0</v>
      </c>
      <c r="BG60" s="103" t="n">
        <f aca="false">O60</f>
        <v>38657</v>
      </c>
      <c r="BH60" s="323" t="n">
        <f aca="false">(ABS(P60)+ABS(R60)+ABS(T60)+ABS(V60)+ABS(X60)+ABS(Z60)+ABS(AB60)+ABS(AD60)+ABS(AF60)+ABS(AH60)+ABS(AJ60)+ABS(AL60)+ABS(AN60)+ABS(AP60)+ABS(AR60)+ABS(AT60)+ABS(AV60)+ABS(AX60)+ABS(AZ60)+ABS(BB60))</f>
        <v>0</v>
      </c>
      <c r="BI60" s="104" t="n">
        <f aca="false">VLOOKUP(GasPosn!A60,'Pricing Summary'!$AB$12:$AD$250,3)</f>
        <v>30</v>
      </c>
      <c r="BJ60" s="102" t="n">
        <f aca="false">VLOOKUP(A60,Interest!$AF$8:$AK$367,6)</f>
        <v>0.840284509808529</v>
      </c>
      <c r="BL60" s="0" t="n">
        <f aca="false">J60*VLOOKUP(A60,NymexData!$J$12:$K$244,2)</f>
        <v>156283.127667837</v>
      </c>
      <c r="BO60" s="0" t="n">
        <f aca="false">Interest!AK56</f>
        <v>0.840284509808529</v>
      </c>
      <c r="BP60" s="0" t="n">
        <f aca="false">G60*Interest!AK56</f>
        <v>3.27290816570422</v>
      </c>
      <c r="BQ60" s="0" t="n">
        <f aca="false">IF(AND(A60&gt;=$B$3,A60&lt;=$B$4),1,0)</f>
        <v>1</v>
      </c>
      <c r="BR60" s="0" t="n">
        <f aca="false">BO60*BQ60</f>
        <v>0.840284509808529</v>
      </c>
      <c r="BS60" s="0" t="n">
        <f aca="false">BP60*BQ60</f>
        <v>3.27290816570422</v>
      </c>
    </row>
    <row r="61" customFormat="false" ht="18" hidden="false" customHeight="false" outlineLevel="0" collapsed="false">
      <c r="A61" s="112" t="n">
        <f aca="false">[2]EnergyCurve!$D83</f>
        <v>38687</v>
      </c>
      <c r="B61" s="324" t="n">
        <f aca="false" t="array" ref="B61:B61">SUM(IF(MONTH(NymexData!$AI$12:$AI$250)&amp;YEAR(NymexData!$AI$12:$AI$250)=MONTH(A61)&amp;YEAR(A61),NymexData!$AJ$12:$AJ$250))</f>
        <v>-182.56137928</v>
      </c>
      <c r="C61" s="325" t="n">
        <f aca="false">BD61*BJ61*BI61</f>
        <v>0</v>
      </c>
      <c r="D61" s="326" t="n">
        <f aca="false">C61+B61</f>
        <v>-182.56137928</v>
      </c>
      <c r="E61" s="327" t="n">
        <f aca="false" t="array" ref="E61:E61">SUM(IF(MONTH(NymexData!$S$12:$S$250)&amp;YEAR(NymexData!$S$12:$S$250)=MONTH(A61)&amp;YEAR(A61),NymexData!$T$12:$T$250))</f>
        <v>4.103</v>
      </c>
      <c r="F61" s="327" t="n">
        <f aca="false">G61-E61</f>
        <v>-0.0559999999999992</v>
      </c>
      <c r="G61" s="328" t="n">
        <f aca="false" t="array" ref="G61:G61">IF(NymexData!$AA$12="",GasPosn!E61,SUM(IF(MONTH(NymexData!$AA$12:$AA$250)&amp;YEAR(NymexData!$AA$12:$AA$250)=MONTH(A61)&amp;YEAR(A61),NymexData!$AB$12:$AB$250)))</f>
        <v>4.047</v>
      </c>
      <c r="H61" s="115" t="n">
        <f aca="false">B61*10000*F61</f>
        <v>102234.372396798</v>
      </c>
      <c r="I61" s="119" t="n">
        <f aca="false">(((G61-Q61)*P61+(G61-S61)*R61+(G61-U61)*T61+(G61-W61)*V61+(G61-Y61)*X61+(G61-AA61)*Z61+(G61-AC61)*AB61+(G61-AE61)*AD61+(G61-AG61)*AF61+(G61-AI61)*AH61+(G61-AK61)*AJ61+(G61-AM61)*AL61+(G61-AO61)*AN61+(G61-AQ61)*AP61+(G61-AS61)*AR61+(G61-AU61)*AT61+(G61-AW61)*AV61+(G61-AY61)*AX61+(G61-BA61)*AZ61+(G61-BC61)*BB61)*BJ61*BI61)*10000</f>
        <v>0</v>
      </c>
      <c r="J61" s="119" t="n">
        <f aca="false">H61+I61</f>
        <v>102234.372396798</v>
      </c>
      <c r="L61" s="329"/>
      <c r="O61" s="95" t="n">
        <f aca="false">A61</f>
        <v>38687</v>
      </c>
      <c r="BD61" s="100" t="n">
        <f aca="false">(P61+R61+T61+V61+X61+Z61+AB61+AD61+AF61+AH61+AJ61+AL61+AN61+AP61+AR61+AT61+AV61+AX61+AZ61+BB61)</f>
        <v>0</v>
      </c>
      <c r="BE61" s="322" t="n">
        <f aca="false">IF(AND(BD61=0,BH61=0),0,(ABS(P61)*Q61+ABS(R61)*S61+ABS(T61)*U61+ABS(V61)*W61+ABS(X61)*Y61+ABS(Z61)*AA61+ABS(AB61)*AC61+ABS(AD61)*AE61+ABS(AF61)*AG61+ABS(AH61)*AI61+ABS(AJ61)*AK61+ABS(AL61)*AM61+ABS(AN61)*AO61+ABS(AP61)*AQ61+ABS(AR61)*AS61+ABS(AT61)*AU61+ABS(AV61)*AW61+ABS(AX61)*AY61+ABS(AZ61)*BA61+ABS(BB61)*BC61)/BH61)</f>
        <v>0</v>
      </c>
      <c r="BG61" s="103" t="n">
        <f aca="false">O61</f>
        <v>38687</v>
      </c>
      <c r="BH61" s="323" t="n">
        <f aca="false">(ABS(P61)+ABS(R61)+ABS(T61)+ABS(V61)+ABS(X61)+ABS(Z61)+ABS(AB61)+ABS(AD61)+ABS(AF61)+ABS(AH61)+ABS(AJ61)+ABS(AL61)+ABS(AN61)+ABS(AP61)+ABS(AR61)+ABS(AT61)+ABS(AV61)+ABS(AX61)+ABS(AZ61)+ABS(BB61))</f>
        <v>0</v>
      </c>
      <c r="BI61" s="104" t="n">
        <f aca="false">VLOOKUP(GasPosn!A61,'Pricing Summary'!$AB$12:$AD$250,3)</f>
        <v>31</v>
      </c>
      <c r="BJ61" s="102" t="n">
        <f aca="false">VLOOKUP(A61,Interest!$AF$8:$AK$367,6)</f>
        <v>0.836211209785273</v>
      </c>
      <c r="BL61" s="0" t="n">
        <f aca="false">J61*VLOOKUP(A61,NymexData!$J$12:$K$244,2)</f>
        <v>160735.766303006</v>
      </c>
      <c r="BO61" s="0" t="n">
        <f aca="false">Interest!AK57</f>
        <v>0.836211209785273</v>
      </c>
      <c r="BP61" s="0" t="n">
        <f aca="false">G61*Interest!AK57</f>
        <v>3.384146766001</v>
      </c>
      <c r="BQ61" s="0" t="n">
        <f aca="false">IF(AND(A61&gt;=$B$3,A61&lt;=$B$4),1,0)</f>
        <v>1</v>
      </c>
      <c r="BR61" s="0" t="n">
        <f aca="false">BO61*BQ61</f>
        <v>0.836211209785273</v>
      </c>
      <c r="BS61" s="0" t="n">
        <f aca="false">BP61*BQ61</f>
        <v>3.384146766001</v>
      </c>
    </row>
    <row r="62" customFormat="false" ht="18" hidden="false" customHeight="false" outlineLevel="0" collapsed="false">
      <c r="A62" s="75" t="n">
        <f aca="false">[2]EnergyCurve!$D84</f>
        <v>38718</v>
      </c>
      <c r="B62" s="317" t="n">
        <f aca="false" t="array" ref="B62:B62">SUM(IF(MONTH(NymexData!$AI$12:$AI$250)&amp;YEAR(NymexData!$AI$12:$AI$250)=MONTH(A62)&amp;YEAR(A62),NymexData!$AJ$12:$AJ$250))</f>
        <v>-181.64817286</v>
      </c>
      <c r="C62" s="317" t="n">
        <f aca="false">BD62*BJ62*BI62</f>
        <v>0</v>
      </c>
      <c r="D62" s="319" t="n">
        <f aca="false">C62+B62</f>
        <v>-181.64817286</v>
      </c>
      <c r="E62" s="320" t="n">
        <f aca="false" t="array" ref="E62:E62">SUM(IF(MONTH(NymexData!$S$12:$S$250)&amp;YEAR(NymexData!$S$12:$S$250)=MONTH(A62)&amp;YEAR(A62),NymexData!$T$12:$T$250))</f>
        <v>4.1605</v>
      </c>
      <c r="F62" s="320" t="n">
        <f aca="false">G62-E62</f>
        <v>-0.0509999999999993</v>
      </c>
      <c r="G62" s="321" t="n">
        <f aca="false" t="array" ref="G62:G62">IF(NymexData!$AA$12="",GasPosn!E62,SUM(IF(MONTH(NymexData!$AA$12:$AA$250)&amp;YEAR(NymexData!$AA$12:$AA$250)=MONTH(A62)&amp;YEAR(A62),NymexData!$AB$12:$AB$250)))</f>
        <v>4.1095</v>
      </c>
      <c r="H62" s="76" t="n">
        <f aca="false">B62*10000*F62</f>
        <v>92640.5681585987</v>
      </c>
      <c r="I62" s="82" t="n">
        <f aca="false">(((G62-Q62)*P62+(G62-S62)*R62+(G62-U62)*T62+(G62-W62)*V62+(G62-Y62)*X62+(G62-AA62)*Z62+(G62-AC62)*AB62+(G62-AE62)*AD62+(G62-AG62)*AF62+(G62-AI62)*AH62+(G62-AK62)*AJ62+(G62-AM62)*AL62+(G62-AO62)*AN62+(G62-AQ62)*AP62+(G62-AS62)*AR62+(G62-AU62)*AT62+(G62-AW62)*AV62+(G62-AY62)*AX62+(G62-BA62)*AZ62+(G62-BC62)*BB62)*BJ62*BI62)*10000</f>
        <v>0</v>
      </c>
      <c r="J62" s="82" t="n">
        <f aca="false">H62+I62</f>
        <v>92640.5681585987</v>
      </c>
      <c r="L62" s="329"/>
      <c r="O62" s="95" t="n">
        <f aca="false">A62</f>
        <v>38718</v>
      </c>
      <c r="BD62" s="100" t="n">
        <f aca="false">(P62+R62+T62+V62+X62+Z62+AB62+AD62+AF62+AH62+AJ62+AL62+AN62+AP62+AR62+AT62+AV62+AX62+AZ62+BB62)</f>
        <v>0</v>
      </c>
      <c r="BE62" s="322" t="n">
        <f aca="false">IF(AND(BD62=0,BH62=0),0,(ABS(P62)*Q62+ABS(R62)*S62+ABS(T62)*U62+ABS(V62)*W62+ABS(X62)*Y62+ABS(Z62)*AA62+ABS(AB62)*AC62+ABS(AD62)*AE62+ABS(AF62)*AG62+ABS(AH62)*AI62+ABS(AJ62)*AK62+ABS(AL62)*AM62+ABS(AN62)*AO62+ABS(AP62)*AQ62+ABS(AR62)*AS62+ABS(AT62)*AU62+ABS(AV62)*AW62+ABS(AX62)*AY62+ABS(AZ62)*BA62+ABS(BB62)*BC62)/BH62)</f>
        <v>0</v>
      </c>
      <c r="BG62" s="103" t="n">
        <f aca="false">O62</f>
        <v>38718</v>
      </c>
      <c r="BH62" s="323" t="n">
        <f aca="false">(ABS(P62)+ABS(R62)+ABS(T62)+ABS(V62)+ABS(X62)+ABS(Z62)+ABS(AB62)+ABS(AD62)+ABS(AF62)+ABS(AH62)+ABS(AJ62)+ABS(AL62)+ABS(AN62)+ABS(AP62)+ABS(AR62)+ABS(AT62)+ABS(AV62)+ABS(AX62)+ABS(AZ62)+ABS(BB62))</f>
        <v>0</v>
      </c>
      <c r="BI62" s="104" t="n">
        <f aca="false">VLOOKUP(GasPosn!A62,'Pricing Summary'!$AB$12:$AD$250,3)</f>
        <v>31</v>
      </c>
      <c r="BJ62" s="102" t="n">
        <f aca="false">VLOOKUP(A62,Interest!$AF$8:$AK$367,6)</f>
        <v>0.832150625982754</v>
      </c>
      <c r="BL62" s="0" t="n">
        <f aca="false">J62*VLOOKUP(A62,NymexData!$J$12:$K$244,2)</f>
        <v>145677.188509744</v>
      </c>
      <c r="BO62" s="0" t="n">
        <f aca="false">Interest!AK58</f>
        <v>0.832150625982754</v>
      </c>
      <c r="BP62" s="0" t="n">
        <f aca="false">G62*Interest!AK58</f>
        <v>3.41972299747613</v>
      </c>
      <c r="BQ62" s="0" t="n">
        <f aca="false">IF(AND(A62&gt;=$B$3,A62&lt;=$B$4),1,0)</f>
        <v>1</v>
      </c>
      <c r="BR62" s="0" t="n">
        <f aca="false">BO62*BQ62</f>
        <v>0.832150625982754</v>
      </c>
      <c r="BS62" s="0" t="n">
        <f aca="false">BP62*BQ62</f>
        <v>3.41972299747613</v>
      </c>
    </row>
    <row r="63" customFormat="false" ht="18" hidden="false" customHeight="false" outlineLevel="0" collapsed="false">
      <c r="A63" s="112" t="n">
        <f aca="false">[2]EnergyCurve!$D85</f>
        <v>38749</v>
      </c>
      <c r="B63" s="324" t="n">
        <f aca="false" t="array" ref="B63:B63">SUM(IF(MONTH(NymexData!$AI$12:$AI$250)&amp;YEAR(NymexData!$AI$12:$AI$250)=MONTH(A63)&amp;YEAR(A63),NymexData!$AJ$12:$AJ$250))</f>
        <v>-163.23912108</v>
      </c>
      <c r="C63" s="325" t="n">
        <f aca="false">BD63*BJ63*BI63</f>
        <v>0</v>
      </c>
      <c r="D63" s="326" t="n">
        <f aca="false">C63+B63</f>
        <v>-163.23912108</v>
      </c>
      <c r="E63" s="327" t="n">
        <f aca="false" t="array" ref="E63:E63">SUM(IF(MONTH(NymexData!$S$12:$S$250)&amp;YEAR(NymexData!$S$12:$S$250)=MONTH(A63)&amp;YEAR(A63),NymexData!$T$12:$T$250))</f>
        <v>4.0735</v>
      </c>
      <c r="F63" s="327" t="n">
        <f aca="false">G63-E63</f>
        <v>-0.0519999999999996</v>
      </c>
      <c r="G63" s="328" t="n">
        <f aca="false" t="array" ref="G63:G63">IF(NymexData!$AA$12="",GasPosn!E63,SUM(IF(MONTH(NymexData!$AA$12:$AA$250)&amp;YEAR(NymexData!$AA$12:$AA$250)=MONTH(A63)&amp;YEAR(A63),NymexData!$AB$12:$AB$250)))</f>
        <v>4.0215</v>
      </c>
      <c r="H63" s="115" t="n">
        <f aca="false">B63*10000*F63</f>
        <v>84884.3429615994</v>
      </c>
      <c r="I63" s="119" t="n">
        <f aca="false">(((G63-Q63)*P63+(G63-S63)*R63+(G63-U63)*T63+(G63-W63)*V63+(G63-Y63)*X63+(G63-AA63)*Z63+(G63-AC63)*AB63+(G63-AE63)*AD63+(G63-AG63)*AF63+(G63-AI63)*AH63+(G63-AK63)*AJ63+(G63-AM63)*AL63+(G63-AO63)*AN63+(G63-AQ63)*AP63+(G63-AS63)*AR63+(G63-AU63)*AT63+(G63-AW63)*AV63+(G63-AY63)*AX63+(G63-BA63)*AZ63+(G63-BC63)*BB63)*BJ63*BI63)*10000</f>
        <v>0</v>
      </c>
      <c r="J63" s="119" t="n">
        <f aca="false">H63+I63</f>
        <v>84884.3429615994</v>
      </c>
      <c r="L63" s="329"/>
      <c r="O63" s="95" t="n">
        <f aca="false">A63</f>
        <v>38749</v>
      </c>
      <c r="BD63" s="100" t="n">
        <f aca="false">(P63+R63+T63+V63+X63+Z63+AB63+AD63+AF63+AH63+AJ63+AL63+AN63+AP63+AR63+AT63+AV63+AX63+AZ63+BB63)</f>
        <v>0</v>
      </c>
      <c r="BE63" s="322" t="n">
        <f aca="false">IF(AND(BD63=0,BH63=0),0,(ABS(P63)*Q63+ABS(R63)*S63+ABS(T63)*U63+ABS(V63)*W63+ABS(X63)*Y63+ABS(Z63)*AA63+ABS(AB63)*AC63+ABS(AD63)*AE63+ABS(AF63)*AG63+ABS(AH63)*AI63+ABS(AJ63)*AK63+ABS(AL63)*AM63+ABS(AN63)*AO63+ABS(AP63)*AQ63+ABS(AR63)*AS63+ABS(AT63)*AU63+ABS(AV63)*AW63+ABS(AX63)*AY63+ABS(AZ63)*BA63+ABS(BB63)*BC63)/BH63)</f>
        <v>0</v>
      </c>
      <c r="BG63" s="103" t="n">
        <f aca="false">O63</f>
        <v>38749</v>
      </c>
      <c r="BH63" s="323" t="n">
        <f aca="false">(ABS(P63)+ABS(R63)+ABS(T63)+ABS(V63)+ABS(X63)+ABS(Z63)+ABS(AB63)+ABS(AD63)+ABS(AF63)+ABS(AH63)+ABS(AJ63)+ABS(AL63)+ABS(AN63)+ABS(AP63)+ABS(AR63)+ABS(AT63)+ABS(AV63)+ABS(AX63)+ABS(AZ63)+ABS(BB63))</f>
        <v>0</v>
      </c>
      <c r="BI63" s="104" t="n">
        <f aca="false">VLOOKUP(GasPosn!A63,'Pricing Summary'!$AB$12:$AD$250,3)</f>
        <v>28</v>
      </c>
      <c r="BJ63" s="102" t="n">
        <f aca="false">VLOOKUP(A63,Interest!$AF$8:$AK$367,6)</f>
        <v>0.828494182220687</v>
      </c>
      <c r="BL63" s="0" t="n">
        <f aca="false">J63*VLOOKUP(A63,NymexData!$J$12:$K$244,2)</f>
        <v>133520.281562235</v>
      </c>
      <c r="BO63" s="0" t="n">
        <f aca="false">Interest!AK59</f>
        <v>0.828494182220687</v>
      </c>
      <c r="BP63" s="0" t="n">
        <f aca="false">G63*Interest!AK59</f>
        <v>3.3317893538005</v>
      </c>
      <c r="BQ63" s="0" t="n">
        <f aca="false">IF(AND(A63&gt;=$B$3,A63&lt;=$B$4),1,0)</f>
        <v>1</v>
      </c>
      <c r="BR63" s="0" t="n">
        <f aca="false">BO63*BQ63</f>
        <v>0.828494182220687</v>
      </c>
      <c r="BS63" s="0" t="n">
        <f aca="false">BP63*BQ63</f>
        <v>3.3317893538005</v>
      </c>
    </row>
    <row r="64" customFormat="false" ht="18" hidden="false" customHeight="false" outlineLevel="0" collapsed="false">
      <c r="A64" s="75" t="n">
        <f aca="false">[2]EnergyCurve!$D86</f>
        <v>38777</v>
      </c>
      <c r="B64" s="317" t="n">
        <f aca="false" t="array" ref="B64:B64">SUM(IF(MONTH(NymexData!$AI$12:$AI$250)&amp;YEAR(NymexData!$AI$12:$AI$250)=MONTH(A64)&amp;YEAR(A64),NymexData!$AJ$12:$AJ$250))</f>
        <v>-179.8938414</v>
      </c>
      <c r="C64" s="317" t="n">
        <f aca="false">BD64*BJ64*BI64</f>
        <v>0</v>
      </c>
      <c r="D64" s="319" t="n">
        <f aca="false">C64+B64</f>
        <v>-179.8938414</v>
      </c>
      <c r="E64" s="320" t="n">
        <f aca="false" t="array" ref="E64:E64">SUM(IF(MONTH(NymexData!$S$12:$S$250)&amp;YEAR(NymexData!$S$12:$S$250)=MONTH(A64)&amp;YEAR(A64),NymexData!$T$12:$T$250))</f>
        <v>3.9345</v>
      </c>
      <c r="F64" s="320" t="n">
        <f aca="false">G64-E64</f>
        <v>-0.0520000000000005</v>
      </c>
      <c r="G64" s="321" t="n">
        <f aca="false" t="array" ref="G64:G64">IF(NymexData!$AA$12="",GasPosn!E64,SUM(IF(MONTH(NymexData!$AA$12:$AA$250)&amp;YEAR(NymexData!$AA$12:$AA$250)=MONTH(A64)&amp;YEAR(A64),NymexData!$AB$12:$AB$250)))</f>
        <v>3.8825</v>
      </c>
      <c r="H64" s="76" t="n">
        <f aca="false">B64*10000*F64</f>
        <v>93544.7975280009</v>
      </c>
      <c r="I64" s="82" t="n">
        <f aca="false">(((G64-Q64)*P64+(G64-S64)*R64+(G64-U64)*T64+(G64-W64)*V64+(G64-Y64)*X64+(G64-AA64)*Z64+(G64-AC64)*AB64+(G64-AE64)*AD64+(G64-AG64)*AF64+(G64-AI64)*AH64+(G64-AK64)*AJ64+(G64-AM64)*AL64+(G64-AO64)*AN64+(G64-AQ64)*AP64+(G64-AS64)*AR64+(G64-AU64)*AT64+(G64-AW64)*AV64+(G64-AY64)*AX64+(G64-BA64)*AZ64+(G64-BC64)*BB64)*BJ64*BI64)*10000</f>
        <v>0</v>
      </c>
      <c r="J64" s="82" t="n">
        <f aca="false">H64+I64</f>
        <v>93544.7975280009</v>
      </c>
      <c r="L64" s="329"/>
      <c r="O64" s="95" t="n">
        <f aca="false">A64</f>
        <v>38777</v>
      </c>
      <c r="BD64" s="100" t="n">
        <f aca="false">(P64+R64+T64+V64+X64+Z64+AB64+AD64+AF64+AH64+AJ64+AL64+AN64+AP64+AR64+AT64+AV64+AX64+AZ64+BB64)</f>
        <v>0</v>
      </c>
      <c r="BE64" s="322" t="n">
        <f aca="false">IF(AND(BD64=0,BH64=0),0,(ABS(P64)*Q64+ABS(R64)*S64+ABS(T64)*U64+ABS(V64)*W64+ABS(X64)*Y64+ABS(Z64)*AA64+ABS(AB64)*AC64+ABS(AD64)*AE64+ABS(AF64)*AG64+ABS(AH64)*AI64+ABS(AJ64)*AK64+ABS(AL64)*AM64+ABS(AN64)*AO64+ABS(AP64)*AQ64+ABS(AR64)*AS64+ABS(AT64)*AU64+ABS(AV64)*AW64+ABS(AX64)*AY64+ABS(AZ64)*BA64+ABS(BB64)*BC64)/BH64)</f>
        <v>0</v>
      </c>
      <c r="BG64" s="103" t="n">
        <f aca="false">O64</f>
        <v>38777</v>
      </c>
      <c r="BH64" s="323" t="n">
        <f aca="false">(ABS(P64)+ABS(R64)+ABS(T64)+ABS(V64)+ABS(X64)+ABS(Z64)+ABS(AB64)+ABS(AD64)+ABS(AF64)+ABS(AH64)+ABS(AJ64)+ABS(AL64)+ABS(AN64)+ABS(AP64)+ABS(AR64)+ABS(AT64)+ABS(AV64)+ABS(AX64)+ABS(AZ64)+ABS(BB64))</f>
        <v>0</v>
      </c>
      <c r="BI64" s="104" t="n">
        <f aca="false">VLOOKUP(GasPosn!A64,'Pricing Summary'!$AB$12:$AD$250,3)</f>
        <v>31</v>
      </c>
      <c r="BJ64" s="102" t="n">
        <f aca="false">VLOOKUP(A64,Interest!$AF$8:$AK$367,6)</f>
        <v>0.824618102879487</v>
      </c>
      <c r="BL64" s="0" t="n">
        <f aca="false">J64*VLOOKUP(A64,NymexData!$J$12:$K$244,2)</f>
        <v>147183.985135347</v>
      </c>
      <c r="BO64" s="0" t="n">
        <f aca="false">Interest!AK60</f>
        <v>0.824618102879487</v>
      </c>
      <c r="BP64" s="0" t="n">
        <f aca="false">G64*Interest!AK60</f>
        <v>3.20157978442961</v>
      </c>
      <c r="BQ64" s="0" t="n">
        <f aca="false">IF(AND(A64&gt;=$B$3,A64&lt;=$B$4),1,0)</f>
        <v>1</v>
      </c>
      <c r="BR64" s="0" t="n">
        <f aca="false">BO64*BQ64</f>
        <v>0.824618102879487</v>
      </c>
      <c r="BS64" s="0" t="n">
        <f aca="false">BP64*BQ64</f>
        <v>3.20157978442961</v>
      </c>
    </row>
    <row r="65" customFormat="false" ht="18" hidden="false" customHeight="false" outlineLevel="0" collapsed="false">
      <c r="A65" s="112" t="n">
        <f aca="false">[2]EnergyCurve!$D87</f>
        <v>38808</v>
      </c>
      <c r="B65" s="324" t="n">
        <f aca="false" t="array" ref="B65:B65">SUM(IF(MONTH(NymexData!$AI$12:$AI$250)&amp;YEAR(NymexData!$AI$12:$AI$250)=MONTH(A65)&amp;YEAR(A65),NymexData!$AJ$12:$AJ$250))</f>
        <v>-173.1907513</v>
      </c>
      <c r="C65" s="325" t="n">
        <f aca="false">BD65*BJ65*BI65</f>
        <v>0</v>
      </c>
      <c r="D65" s="326" t="n">
        <f aca="false">C65+B65</f>
        <v>-173.1907513</v>
      </c>
      <c r="E65" s="327" t="n">
        <f aca="false" t="array" ref="E65:E65">SUM(IF(MONTH(NymexData!$S$12:$S$250)&amp;YEAR(NymexData!$S$12:$S$250)=MONTH(A65)&amp;YEAR(A65),NymexData!$T$12:$T$250))</f>
        <v>3.7805</v>
      </c>
      <c r="F65" s="327" t="n">
        <f aca="false">G65-E65</f>
        <v>-0.0519999999999996</v>
      </c>
      <c r="G65" s="328" t="n">
        <f aca="false" t="array" ref="G65:G65">IF(NymexData!$AA$12="",GasPosn!E65,SUM(IF(MONTH(NymexData!$AA$12:$AA$250)&amp;YEAR(NymexData!$AA$12:$AA$250)=MONTH(A65)&amp;YEAR(A65),NymexData!$AB$12:$AB$250)))</f>
        <v>3.7285</v>
      </c>
      <c r="H65" s="115" t="n">
        <f aca="false">B65*10000*F65</f>
        <v>90059.1906759993</v>
      </c>
      <c r="I65" s="119" t="n">
        <f aca="false">(((G65-Q65)*P65+(G65-S65)*R65+(G65-U65)*T65+(G65-W65)*V65+(G65-Y65)*X65+(G65-AA65)*Z65+(G65-AC65)*AB65+(G65-AE65)*AD65+(G65-AG65)*AF65+(G65-AI65)*AH65+(G65-AK65)*AJ65+(G65-AM65)*AL65+(G65-AO65)*AN65+(G65-AQ65)*AP65+(G65-AS65)*AR65+(G65-AU65)*AT65+(G65-AW65)*AV65+(G65-AY65)*AX65+(G65-BA65)*AZ65+(G65-BC65)*BB65)*BJ65*BI65)*10000</f>
        <v>0</v>
      </c>
      <c r="J65" s="119" t="n">
        <f aca="false">H65+I65</f>
        <v>90059.1906759993</v>
      </c>
      <c r="L65" s="329"/>
      <c r="O65" s="95" t="n">
        <f aca="false">A65</f>
        <v>38808</v>
      </c>
      <c r="BD65" s="100" t="n">
        <f aca="false">(P65+R65+T65+V65+X65+Z65+AB65+AD65+AF65+AH65+AJ65+AL65+AN65+AP65+AR65+AT65+AV65+AX65+AZ65+BB65)</f>
        <v>0</v>
      </c>
      <c r="BE65" s="322" t="n">
        <f aca="false">IF(AND(BD65=0,BH65=0),0,(ABS(P65)*Q65+ABS(R65)*S65+ABS(T65)*U65+ABS(V65)*W65+ABS(X65)*Y65+ABS(Z65)*AA65+ABS(AB65)*AC65+ABS(AD65)*AE65+ABS(AF65)*AG65+ABS(AH65)*AI65+ABS(AJ65)*AK65+ABS(AL65)*AM65+ABS(AN65)*AO65+ABS(AP65)*AQ65+ABS(AR65)*AS65+ABS(AT65)*AU65+ABS(AV65)*AW65+ABS(AX65)*AY65+ABS(AZ65)*BA65+ABS(BB65)*BC65)/BH65)</f>
        <v>0</v>
      </c>
      <c r="BG65" s="103" t="n">
        <f aca="false">O65</f>
        <v>38808</v>
      </c>
      <c r="BH65" s="323" t="n">
        <f aca="false">(ABS(P65)+ABS(R65)+ABS(T65)+ABS(V65)+ABS(X65)+ABS(Z65)+ABS(AB65)+ABS(AD65)+ABS(AF65)+ABS(AH65)+ABS(AJ65)+ABS(AL65)+ABS(AN65)+ABS(AP65)+ABS(AR65)+ABS(AT65)+ABS(AV65)+ABS(AX65)+ABS(AZ65)+ABS(BB65))</f>
        <v>0</v>
      </c>
      <c r="BI65" s="104" t="n">
        <f aca="false">VLOOKUP(GasPosn!A65,'Pricing Summary'!$AB$12:$AD$250,3)</f>
        <v>30</v>
      </c>
      <c r="BJ65" s="102" t="n">
        <f aca="false">VLOOKUP(A65,Interest!$AF$8:$AK$367,6)</f>
        <v>0.820734271783372</v>
      </c>
      <c r="BL65" s="0" t="n">
        <f aca="false">J65*VLOOKUP(A65,NymexData!$J$12:$K$244,2)</f>
        <v>141745.13962894</v>
      </c>
      <c r="BO65" s="0" t="n">
        <f aca="false">Interest!AK61</f>
        <v>0.820734271783372</v>
      </c>
      <c r="BP65" s="0" t="n">
        <f aca="false">G65*Interest!AK61</f>
        <v>3.0601077323443</v>
      </c>
      <c r="BQ65" s="0" t="n">
        <f aca="false">IF(AND(A65&gt;=$B$3,A65&lt;=$B$4),1,0)</f>
        <v>1</v>
      </c>
      <c r="BR65" s="0" t="n">
        <f aca="false">BO65*BQ65</f>
        <v>0.820734271783372</v>
      </c>
      <c r="BS65" s="0" t="n">
        <f aca="false">BP65*BQ65</f>
        <v>3.0601077323443</v>
      </c>
    </row>
    <row r="66" customFormat="false" ht="18" hidden="false" customHeight="false" outlineLevel="0" collapsed="false">
      <c r="A66" s="75" t="n">
        <f aca="false">[2]EnergyCurve!$D88</f>
        <v>38838</v>
      </c>
      <c r="B66" s="317" t="n">
        <f aca="false" t="array" ref="B66:B66">SUM(IF(MONTH(NymexData!$AI$12:$AI$250)&amp;YEAR(NymexData!$AI$12:$AI$250)=MONTH(A66)&amp;YEAR(A66),NymexData!$AJ$12:$AJ$250))</f>
        <v>-178.05844266</v>
      </c>
      <c r="C66" s="317" t="n">
        <f aca="false">BD66*BJ66*BI66</f>
        <v>0</v>
      </c>
      <c r="D66" s="319" t="n">
        <f aca="false">C66+B66</f>
        <v>-178.05844266</v>
      </c>
      <c r="E66" s="320" t="n">
        <f aca="false" t="array" ref="E66:E66">SUM(IF(MONTH(NymexData!$S$12:$S$250)&amp;YEAR(NymexData!$S$12:$S$250)=MONTH(A66)&amp;YEAR(A66),NymexData!$T$12:$T$250))</f>
        <v>3.7855</v>
      </c>
      <c r="F66" s="320" t="n">
        <f aca="false">G66-E66</f>
        <v>-0.052</v>
      </c>
      <c r="G66" s="321" t="n">
        <f aca="false" t="array" ref="G66:G66">IF(NymexData!$AA$12="",GasPosn!E66,SUM(IF(MONTH(NymexData!$AA$12:$AA$250)&amp;YEAR(NymexData!$AA$12:$AA$250)=MONTH(A66)&amp;YEAR(A66),NymexData!$AB$12:$AB$250)))</f>
        <v>3.7335</v>
      </c>
      <c r="H66" s="76" t="n">
        <f aca="false">B66*10000*F66</f>
        <v>92590.3901832001</v>
      </c>
      <c r="I66" s="82" t="n">
        <f aca="false">(((G66-Q66)*P66+(G66-S66)*R66+(G66-U66)*T66+(G66-W66)*V66+(G66-Y66)*X66+(G66-AA66)*Z66+(G66-AC66)*AB66+(G66-AE66)*AD66+(G66-AG66)*AF66+(G66-AI66)*AH66+(G66-AK66)*AJ66+(G66-AM66)*AL66+(G66-AO66)*AN66+(G66-AQ66)*AP66+(G66-AS66)*AR66+(G66-AU66)*AT66+(G66-AW66)*AV66+(G66-AY66)*AX66+(G66-BA66)*AZ66+(G66-BC66)*BB66)*BJ66*BI66)*10000</f>
        <v>0</v>
      </c>
      <c r="J66" s="82" t="n">
        <f aca="false">H66+I66</f>
        <v>92590.3901832001</v>
      </c>
      <c r="L66" s="329"/>
      <c r="O66" s="95" t="n">
        <f aca="false">A66</f>
        <v>38838</v>
      </c>
      <c r="BD66" s="100" t="n">
        <f aca="false">(P66+R66+T66+V66+X66+Z66+AB66+AD66+AF66+AH66+AJ66+AL66+AN66+AP66+AR66+AT66+AV66+AX66+AZ66+BB66)</f>
        <v>0</v>
      </c>
      <c r="BE66" s="322" t="n">
        <f aca="false">IF(AND(BD66=0,BH66=0),0,(ABS(P66)*Q66+ABS(R66)*S66+ABS(T66)*U66+ABS(V66)*W66+ABS(X66)*Y66+ABS(Z66)*AA66+ABS(AB66)*AC66+ABS(AD66)*AE66+ABS(AF66)*AG66+ABS(AH66)*AI66+ABS(AJ66)*AK66+ABS(AL66)*AM66+ABS(AN66)*AO66+ABS(AP66)*AQ66+ABS(AR66)*AS66+ABS(AT66)*AU66+ABS(AV66)*AW66+ABS(AX66)*AY66+ABS(AZ66)*BA66+ABS(BB66)*BC66)/BH66)</f>
        <v>0</v>
      </c>
      <c r="BG66" s="103" t="n">
        <f aca="false">O66</f>
        <v>38838</v>
      </c>
      <c r="BH66" s="323" t="n">
        <f aca="false">(ABS(P66)+ABS(R66)+ABS(T66)+ABS(V66)+ABS(X66)+ABS(Z66)+ABS(AB66)+ABS(AD66)+ABS(AF66)+ABS(AH66)+ABS(AJ66)+ABS(AL66)+ABS(AN66)+ABS(AP66)+ABS(AR66)+ABS(AT66)+ABS(AV66)+ABS(AX66)+ABS(AZ66)+ABS(BB66))</f>
        <v>0</v>
      </c>
      <c r="BI66" s="104" t="n">
        <f aca="false">VLOOKUP(GasPosn!A66,'Pricing Summary'!$AB$12:$AD$250,3)</f>
        <v>31</v>
      </c>
      <c r="BJ66" s="102" t="n">
        <f aca="false">VLOOKUP(A66,Interest!$AF$8:$AK$367,6)</f>
        <v>0.816767412940281</v>
      </c>
      <c r="BL66" s="0" t="n">
        <f aca="false">J66*VLOOKUP(A66,NymexData!$J$12:$K$244,2)</f>
        <v>145775.900369276</v>
      </c>
      <c r="BO66" s="0" t="n">
        <f aca="false">Interest!AK62</f>
        <v>0.816767412940281</v>
      </c>
      <c r="BP66" s="0" t="n">
        <f aca="false">G66*Interest!AK62</f>
        <v>3.04940113621254</v>
      </c>
      <c r="BQ66" s="0" t="n">
        <f aca="false">IF(AND(A66&gt;=$B$3,A66&lt;=$B$4),1,0)</f>
        <v>1</v>
      </c>
      <c r="BR66" s="0" t="n">
        <f aca="false">BO66*BQ66</f>
        <v>0.816767412940281</v>
      </c>
      <c r="BS66" s="0" t="n">
        <f aca="false">BP66*BQ66</f>
        <v>3.04940113621254</v>
      </c>
    </row>
    <row r="67" customFormat="false" ht="18" hidden="false" customHeight="false" outlineLevel="0" collapsed="false">
      <c r="A67" s="112" t="n">
        <f aca="false">[2]EnergyCurve!$D89</f>
        <v>38869</v>
      </c>
      <c r="B67" s="324" t="n">
        <f aca="false" t="array" ref="B67:B67">SUM(IF(MONTH(NymexData!$AI$12:$AI$250)&amp;YEAR(NymexData!$AI$12:$AI$250)=MONTH(A67)&amp;YEAR(A67),NymexData!$AJ$12:$AJ$250))</f>
        <v>-171.40414928</v>
      </c>
      <c r="C67" s="325" t="n">
        <f aca="false">BD67*BJ67*BI67</f>
        <v>0</v>
      </c>
      <c r="D67" s="326" t="n">
        <f aca="false">C67+B67</f>
        <v>-171.40414928</v>
      </c>
      <c r="E67" s="327" t="n">
        <f aca="false" t="array" ref="E67:E67">SUM(IF(MONTH(NymexData!$S$12:$S$250)&amp;YEAR(NymexData!$S$12:$S$250)=MONTH(A67)&amp;YEAR(A67),NymexData!$T$12:$T$250))</f>
        <v>3.8235</v>
      </c>
      <c r="F67" s="327" t="n">
        <f aca="false">G67-E67</f>
        <v>-0.052</v>
      </c>
      <c r="G67" s="328" t="n">
        <f aca="false" t="array" ref="G67:G67">IF(NymexData!$AA$12="",GasPosn!E67,SUM(IF(MONTH(NymexData!$AA$12:$AA$250)&amp;YEAR(NymexData!$AA$12:$AA$250)=MONTH(A67)&amp;YEAR(A67),NymexData!$AB$12:$AB$250)))</f>
        <v>3.7715</v>
      </c>
      <c r="H67" s="115" t="n">
        <f aca="false">B67*10000*F67</f>
        <v>89130.1576256001</v>
      </c>
      <c r="I67" s="119" t="n">
        <f aca="false">(((G67-Q67)*P67+(G67-S67)*R67+(G67-U67)*T67+(G67-W67)*V67+(G67-Y67)*X67+(G67-AA67)*Z67+(G67-AC67)*AB67+(G67-AE67)*AD67+(G67-AG67)*AF67+(G67-AI67)*AH67+(G67-AK67)*AJ67+(G67-AM67)*AL67+(G67-AO67)*AN67+(G67-AQ67)*AP67+(G67-AS67)*AR67+(G67-AU67)*AT67+(G67-AW67)*AV67+(G67-AY67)*AX67+(G67-BA67)*AZ67+(G67-BC67)*BB67)*BJ67*BI67)*10000</f>
        <v>0</v>
      </c>
      <c r="J67" s="119" t="n">
        <f aca="false">H67+I67</f>
        <v>89130.1576256001</v>
      </c>
      <c r="L67" s="329"/>
      <c r="O67" s="95" t="n">
        <f aca="false">A67</f>
        <v>38869</v>
      </c>
      <c r="BD67" s="100" t="n">
        <f aca="false">(P67+R67+T67+V67+X67+Z67+AB67+AD67+AF67+AH67+AJ67+AL67+AN67+AP67+AR67+AT67+AV67+AX67+AZ67+BB67)</f>
        <v>0</v>
      </c>
      <c r="BE67" s="322" t="n">
        <f aca="false">IF(AND(BD67=0,BH67=0),0,(ABS(P67)*Q67+ABS(R67)*S67+ABS(T67)*U67+ABS(V67)*W67+ABS(X67)*Y67+ABS(Z67)*AA67+ABS(AB67)*AC67+ABS(AD67)*AE67+ABS(AF67)*AG67+ABS(AH67)*AI67+ABS(AJ67)*AK67+ABS(AL67)*AM67+ABS(AN67)*AO67+ABS(AP67)*AQ67+ABS(AR67)*AS67+ABS(AT67)*AU67+ABS(AV67)*AW67+ABS(AX67)*AY67+ABS(AZ67)*BA67+ABS(BB67)*BC67)/BH67)</f>
        <v>0</v>
      </c>
      <c r="BG67" s="103" t="n">
        <f aca="false">O67</f>
        <v>38869</v>
      </c>
      <c r="BH67" s="323" t="n">
        <f aca="false">(ABS(P67)+ABS(R67)+ABS(T67)+ABS(V67)+ABS(X67)+ABS(Z67)+ABS(AB67)+ABS(AD67)+ABS(AF67)+ABS(AH67)+ABS(AJ67)+ABS(AL67)+ABS(AN67)+ABS(AP67)+ABS(AR67)+ABS(AT67)+ABS(AV67)+ABS(AX67)+ABS(AZ67)+ABS(BB67))</f>
        <v>0</v>
      </c>
      <c r="BI67" s="104" t="n">
        <f aca="false">VLOOKUP(GasPosn!A67,'Pricing Summary'!$AB$12:$AD$250,3)</f>
        <v>30</v>
      </c>
      <c r="BJ67" s="102" t="n">
        <f aca="false">VLOOKUP(A67,Interest!$AF$8:$AK$367,6)</f>
        <v>0.812852535184464</v>
      </c>
      <c r="BL67" s="0" t="n">
        <f aca="false">J67*VLOOKUP(A67,NymexData!$J$12:$K$244,2)</f>
        <v>140376.35086345</v>
      </c>
      <c r="BO67" s="0" t="n">
        <f aca="false">Interest!AK63</f>
        <v>0.812852535184464</v>
      </c>
      <c r="BP67" s="0" t="n">
        <f aca="false">G67*Interest!AK63</f>
        <v>3.06567333644821</v>
      </c>
      <c r="BQ67" s="0" t="n">
        <f aca="false">IF(AND(A67&gt;=$B$3,A67&lt;=$B$4),1,0)</f>
        <v>1</v>
      </c>
      <c r="BR67" s="0" t="n">
        <f aca="false">BO67*BQ67</f>
        <v>0.812852535184464</v>
      </c>
      <c r="BS67" s="0" t="n">
        <f aca="false">BP67*BQ67</f>
        <v>3.06567333644821</v>
      </c>
    </row>
    <row r="68" customFormat="false" ht="18" hidden="false" customHeight="false" outlineLevel="0" collapsed="false">
      <c r="A68" s="75" t="n">
        <f aca="false">[2]EnergyCurve!$D90</f>
        <v>38899</v>
      </c>
      <c r="B68" s="317" t="n">
        <f aca="false" t="array" ref="B68:B68">SUM(IF(MONTH(NymexData!$AI$12:$AI$250)&amp;YEAR(NymexData!$AI$12:$AI$250)=MONTH(A68)&amp;YEAR(A68),NymexData!$AJ$12:$AJ$250))</f>
        <v>-176.20213996</v>
      </c>
      <c r="C68" s="317" t="n">
        <f aca="false">BD68*BJ68*BI68</f>
        <v>0</v>
      </c>
      <c r="D68" s="319" t="n">
        <f aca="false">C68+B68</f>
        <v>-176.20213996</v>
      </c>
      <c r="E68" s="320" t="n">
        <f aca="false" t="array" ref="E68:E68">SUM(IF(MONTH(NymexData!$S$12:$S$250)&amp;YEAR(NymexData!$S$12:$S$250)=MONTH(A68)&amp;YEAR(A68),NymexData!$T$12:$T$250))</f>
        <v>3.8685</v>
      </c>
      <c r="F68" s="320" t="n">
        <f aca="false">G68-E68</f>
        <v>-0.052</v>
      </c>
      <c r="G68" s="321" t="n">
        <f aca="false" t="array" ref="G68:G68">IF(NymexData!$AA$12="",GasPosn!E68,SUM(IF(MONTH(NymexData!$AA$12:$AA$250)&amp;YEAR(NymexData!$AA$12:$AA$250)=MONTH(A68)&amp;YEAR(A68),NymexData!$AB$12:$AB$250)))</f>
        <v>3.8165</v>
      </c>
      <c r="H68" s="76" t="n">
        <f aca="false">B68*10000*F68</f>
        <v>91625.1127792001</v>
      </c>
      <c r="I68" s="82" t="n">
        <f aca="false">(((G68-Q68)*P68+(G68-S68)*R68+(G68-U68)*T68+(G68-W68)*V68+(G68-Y68)*X68+(G68-AA68)*Z68+(G68-AC68)*AB68+(G68-AE68)*AD68+(G68-AG68)*AF68+(G68-AI68)*AH68+(G68-AK68)*AJ68+(G68-AM68)*AL68+(G68-AO68)*AN68+(G68-AQ68)*AP68+(G68-AS68)*AR68+(G68-AU68)*AT68+(G68-AW68)*AV68+(G68-AY68)*AX68+(G68-BA68)*AZ68+(G68-BC68)*BB68)*BJ68*BI68)*10000</f>
        <v>0</v>
      </c>
      <c r="J68" s="82" t="n">
        <f aca="false">H68+I68</f>
        <v>91625.1127792001</v>
      </c>
      <c r="L68" s="329"/>
      <c r="O68" s="95" t="n">
        <f aca="false">A68</f>
        <v>38899</v>
      </c>
      <c r="BD68" s="100" t="n">
        <f aca="false">(P68+R68+T68+V68+X68+Z68+AB68+AD68+AF68+AH68+AJ68+AL68+AN68+AP68+AR68+AT68+AV68+AX68+AZ68+BB68)</f>
        <v>0</v>
      </c>
      <c r="BE68" s="322" t="n">
        <f aca="false">IF(AND(BD68=0,BH68=0),0,(ABS(P68)*Q68+ABS(R68)*S68+ABS(T68)*U68+ABS(V68)*W68+ABS(X68)*Y68+ABS(Z68)*AA68+ABS(AB68)*AC68+ABS(AD68)*AE68+ABS(AF68)*AG68+ABS(AH68)*AI68+ABS(AJ68)*AK68+ABS(AL68)*AM68+ABS(AN68)*AO68+ABS(AP68)*AQ68+ABS(AR68)*AS68+ABS(AT68)*AU68+ABS(AV68)*AW68+ABS(AX68)*AY68+ABS(AZ68)*BA68+ABS(BB68)*BC68)/BH68)</f>
        <v>0</v>
      </c>
      <c r="BG68" s="103" t="n">
        <f aca="false">O68</f>
        <v>38899</v>
      </c>
      <c r="BH68" s="323" t="n">
        <f aca="false">(ABS(P68)+ABS(R68)+ABS(T68)+ABS(V68)+ABS(X68)+ABS(Z68)+ABS(AB68)+ABS(AD68)+ABS(AF68)+ABS(AH68)+ABS(AJ68)+ABS(AL68)+ABS(AN68)+ABS(AP68)+ABS(AR68)+ABS(AT68)+ABS(AV68)+ABS(AX68)+ABS(AZ68)+ABS(BB68))</f>
        <v>0</v>
      </c>
      <c r="BI68" s="104" t="n">
        <f aca="false">VLOOKUP(GasPosn!A68,'Pricing Summary'!$AB$12:$AD$250,3)</f>
        <v>31</v>
      </c>
      <c r="BJ68" s="102" t="n">
        <f aca="false">VLOOKUP(A68,Interest!$AF$8:$AK$367,6)</f>
        <v>0.808856088364466</v>
      </c>
      <c r="BL68" s="0" t="n">
        <f aca="false">J68*VLOOKUP(A68,NymexData!$J$12:$K$244,2)</f>
        <v>144355.515263924</v>
      </c>
      <c r="BO68" s="0" t="n">
        <f aca="false">Interest!AK64</f>
        <v>0.808856088364466</v>
      </c>
      <c r="BP68" s="0" t="n">
        <f aca="false">G68*Interest!AK64</f>
        <v>3.08699926124298</v>
      </c>
      <c r="BQ68" s="0" t="n">
        <f aca="false">IF(AND(A68&gt;=$B$3,A68&lt;=$B$4),1,0)</f>
        <v>1</v>
      </c>
      <c r="BR68" s="0" t="n">
        <f aca="false">BO68*BQ68</f>
        <v>0.808856088364466</v>
      </c>
      <c r="BS68" s="0" t="n">
        <f aca="false">BP68*BQ68</f>
        <v>3.08699926124298</v>
      </c>
    </row>
    <row r="69" customFormat="false" ht="18" hidden="false" customHeight="false" outlineLevel="0" collapsed="false">
      <c r="A69" s="112" t="n">
        <f aca="false">[2]EnergyCurve!$D91</f>
        <v>38930</v>
      </c>
      <c r="B69" s="324" t="n">
        <f aca="false" t="array" ref="B69:B69">SUM(IF(MONTH(NymexData!$AI$12:$AI$250)&amp;YEAR(NymexData!$AI$12:$AI$250)=MONTH(A69)&amp;YEAR(A69),NymexData!$AJ$12:$AJ$250))</f>
        <v>-175.25110414</v>
      </c>
      <c r="C69" s="325" t="n">
        <f aca="false">BD69*BJ69*BI69</f>
        <v>0</v>
      </c>
      <c r="D69" s="326" t="n">
        <f aca="false">C69+B69</f>
        <v>-175.25110414</v>
      </c>
      <c r="E69" s="327" t="n">
        <f aca="false" t="array" ref="E69:E69">SUM(IF(MONTH(NymexData!$S$12:$S$250)&amp;YEAR(NymexData!$S$12:$S$250)=MONTH(A69)&amp;YEAR(A69),NymexData!$T$12:$T$250))</f>
        <v>3.9065</v>
      </c>
      <c r="F69" s="327" t="n">
        <f aca="false">G69-E69</f>
        <v>-0.052</v>
      </c>
      <c r="G69" s="328" t="n">
        <f aca="false" t="array" ref="G69:G69">IF(NymexData!$AA$12="",GasPosn!E69,SUM(IF(MONTH(NymexData!$AA$12:$AA$250)&amp;YEAR(NymexData!$AA$12:$AA$250)=MONTH(A69)&amp;YEAR(A69),NymexData!$AB$12:$AB$250)))</f>
        <v>3.8545</v>
      </c>
      <c r="H69" s="115" t="n">
        <f aca="false">B69*10000*F69</f>
        <v>91130.5741528001</v>
      </c>
      <c r="I69" s="119" t="n">
        <f aca="false">(((G69-Q69)*P69+(G69-S69)*R69+(G69-U69)*T69+(G69-W69)*V69+(G69-Y69)*X69+(G69-AA69)*Z69+(G69-AC69)*AB69+(G69-AE69)*AD69+(G69-AG69)*AF69+(G69-AI69)*AH69+(G69-AK69)*AJ69+(G69-AM69)*AL69+(G69-AO69)*AN69+(G69-AQ69)*AP69+(G69-AS69)*AR69+(G69-AU69)*AT69+(G69-AW69)*AV69+(G69-AY69)*AX69+(G69-BA69)*AZ69+(G69-BC69)*BB69)*BJ69*BI69)*10000</f>
        <v>0</v>
      </c>
      <c r="J69" s="119" t="n">
        <f aca="false">H69+I69</f>
        <v>91130.5741528001</v>
      </c>
      <c r="L69" s="329"/>
      <c r="O69" s="95" t="n">
        <f aca="false">A69</f>
        <v>38930</v>
      </c>
      <c r="BD69" s="100" t="n">
        <f aca="false">(P69+R69+T69+V69+X69+Z69+AB69+AD69+AF69+AH69+AJ69+AL69+AN69+AP69+AR69+AT69+AV69+AX69+AZ69+BB69)</f>
        <v>0</v>
      </c>
      <c r="BE69" s="322" t="n">
        <f aca="false">IF(AND(BD69=0,BH69=0),0,(ABS(P69)*Q69+ABS(R69)*S69+ABS(T69)*U69+ABS(V69)*W69+ABS(X69)*Y69+ABS(Z69)*AA69+ABS(AB69)*AC69+ABS(AD69)*AE69+ABS(AF69)*AG69+ABS(AH69)*AI69+ABS(AJ69)*AK69+ABS(AL69)*AM69+ABS(AN69)*AO69+ABS(AP69)*AQ69+ABS(AR69)*AS69+ABS(AT69)*AU69+ABS(AV69)*AW69+ABS(AX69)*AY69+ABS(AZ69)*BA69+ABS(BB69)*BC69)/BH69)</f>
        <v>0</v>
      </c>
      <c r="BG69" s="103" t="n">
        <f aca="false">O69</f>
        <v>38930</v>
      </c>
      <c r="BH69" s="323" t="n">
        <f aca="false">(ABS(P69)+ABS(R69)+ABS(T69)+ABS(V69)+ABS(X69)+ABS(Z69)+ABS(AB69)+ABS(AD69)+ABS(AF69)+ABS(AH69)+ABS(AJ69)+ABS(AL69)+ABS(AN69)+ABS(AP69)+ABS(AR69)+ABS(AT69)+ABS(AV69)+ABS(AX69)+ABS(AZ69)+ABS(BB69))</f>
        <v>0</v>
      </c>
      <c r="BI69" s="104" t="n">
        <f aca="false">VLOOKUP(GasPosn!A69,'Pricing Summary'!$AB$12:$AD$250,3)</f>
        <v>31</v>
      </c>
      <c r="BJ69" s="102" t="n">
        <f aca="false">VLOOKUP(A69,Interest!$AF$8:$AK$367,6)</f>
        <v>0.804813390873511</v>
      </c>
      <c r="BL69" s="0" t="n">
        <f aca="false">J69*VLOOKUP(A69,NymexData!$J$12:$K$244,2)</f>
        <v>143629.169653333</v>
      </c>
      <c r="BO69" s="0" t="n">
        <f aca="false">Interest!AK65</f>
        <v>0.804813390873511</v>
      </c>
      <c r="BP69" s="0" t="n">
        <f aca="false">G69*Interest!AK65</f>
        <v>3.10215321512195</v>
      </c>
      <c r="BQ69" s="0" t="n">
        <f aca="false">IF(AND(A69&gt;=$B$3,A69&lt;=$B$4),1,0)</f>
        <v>1</v>
      </c>
      <c r="BR69" s="0" t="n">
        <f aca="false">BO69*BQ69</f>
        <v>0.804813390873511</v>
      </c>
      <c r="BS69" s="0" t="n">
        <f aca="false">BP69*BQ69</f>
        <v>3.10215321512195</v>
      </c>
    </row>
    <row r="70" customFormat="false" ht="18" hidden="false" customHeight="false" outlineLevel="0" collapsed="false">
      <c r="A70" s="75" t="n">
        <f aca="false">[2]EnergyCurve!$D92</f>
        <v>38961</v>
      </c>
      <c r="B70" s="317" t="n">
        <f aca="false" t="array" ref="B70:B70">SUM(IF(MONTH(NymexData!$AI$12:$AI$250)&amp;YEAR(NymexData!$AI$12:$AI$250)=MONTH(A70)&amp;YEAR(A70),NymexData!$AJ$12:$AJ$250))</f>
        <v>-168.6726636</v>
      </c>
      <c r="C70" s="317" t="n">
        <f aca="false">BD70*BJ70*BI70</f>
        <v>0</v>
      </c>
      <c r="D70" s="319" t="n">
        <f aca="false">C70+B70</f>
        <v>-168.6726636</v>
      </c>
      <c r="E70" s="320" t="n">
        <f aca="false" t="array" ref="E70:E70">SUM(IF(MONTH(NymexData!$S$12:$S$250)&amp;YEAR(NymexData!$S$12:$S$250)=MONTH(A70)&amp;YEAR(A70),NymexData!$T$12:$T$250))</f>
        <v>3.9005</v>
      </c>
      <c r="F70" s="320" t="n">
        <f aca="false">G70-E70</f>
        <v>-0.052</v>
      </c>
      <c r="G70" s="321" t="n">
        <f aca="false" t="array" ref="G70:G70">IF(NymexData!$AA$12="",GasPosn!E70,SUM(IF(MONTH(NymexData!$AA$12:$AA$250)&amp;YEAR(NymexData!$AA$12:$AA$250)=MONTH(A70)&amp;YEAR(A70),NymexData!$AB$12:$AB$250)))</f>
        <v>3.8485</v>
      </c>
      <c r="H70" s="76" t="n">
        <f aca="false">B70*10000*F70</f>
        <v>87709.7850720001</v>
      </c>
      <c r="I70" s="82" t="n">
        <f aca="false">(((G70-Q70)*P70+(G70-S70)*R70+(G70-U70)*T70+(G70-W70)*V70+(G70-Y70)*X70+(G70-AA70)*Z70+(G70-AC70)*AB70+(G70-AE70)*AD70+(G70-AG70)*AF70+(G70-AI70)*AH70+(G70-AK70)*AJ70+(G70-AM70)*AL70+(G70-AO70)*AN70+(G70-AQ70)*AP70+(G70-AS70)*AR70+(G70-AU70)*AT70+(G70-AW70)*AV70+(G70-AY70)*AX70+(G70-BA70)*AZ70+(G70-BC70)*BB70)*BJ70*BI70)*10000</f>
        <v>0</v>
      </c>
      <c r="J70" s="82" t="n">
        <f aca="false">H70+I70</f>
        <v>87709.7850720001</v>
      </c>
      <c r="L70" s="329"/>
      <c r="O70" s="95" t="n">
        <f aca="false">A70</f>
        <v>38961</v>
      </c>
      <c r="BD70" s="100" t="n">
        <f aca="false">(P70+R70+T70+V70+X70+Z70+AB70+AD70+AF70+AH70+AJ70+AL70+AN70+AP70+AR70+AT70+AV70+AX70+AZ70+BB70)</f>
        <v>0</v>
      </c>
      <c r="BE70" s="322" t="n">
        <f aca="false">IF(AND(BD70=0,BH70=0),0,(ABS(P70)*Q70+ABS(R70)*S70+ABS(T70)*U70+ABS(V70)*W70+ABS(X70)*Y70+ABS(Z70)*AA70+ABS(AB70)*AC70+ABS(AD70)*AE70+ABS(AF70)*AG70+ABS(AH70)*AI70+ABS(AJ70)*AK70+ABS(AL70)*AM70+ABS(AN70)*AO70+ABS(AP70)*AQ70+ABS(AR70)*AS70+ABS(AT70)*AU70+ABS(AV70)*AW70+ABS(AX70)*AY70+ABS(AZ70)*BA70+ABS(BB70)*BC70)/BH70)</f>
        <v>0</v>
      </c>
      <c r="BG70" s="103" t="n">
        <f aca="false">O70</f>
        <v>38961</v>
      </c>
      <c r="BH70" s="323" t="n">
        <f aca="false">(ABS(P70)+ABS(R70)+ABS(T70)+ABS(V70)+ABS(X70)+ABS(Z70)+ABS(AB70)+ABS(AD70)+ABS(AF70)+ABS(AH70)+ABS(AJ70)+ABS(AL70)+ABS(AN70)+ABS(AP70)+ABS(AR70)+ABS(AT70)+ABS(AV70)+ABS(AX70)+ABS(AZ70)+ABS(BB70))</f>
        <v>0</v>
      </c>
      <c r="BI70" s="104" t="n">
        <f aca="false">VLOOKUP(GasPosn!A70,'Pricing Summary'!$AB$12:$AD$250,3)</f>
        <v>30</v>
      </c>
      <c r="BJ70" s="102" t="n">
        <f aca="false">VLOOKUP(A70,Interest!$AF$8:$AK$367,6)</f>
        <v>0.800854779478237</v>
      </c>
      <c r="BL70" s="0" t="n">
        <f aca="false">J70*VLOOKUP(A70,NymexData!$J$12:$K$244,2)</f>
        <v>138290.220394131</v>
      </c>
      <c r="BO70" s="0" t="n">
        <f aca="false">Interest!AK66</f>
        <v>0.800854779478237</v>
      </c>
      <c r="BP70" s="0" t="n">
        <f aca="false">G70*Interest!AK66</f>
        <v>3.082089618822</v>
      </c>
      <c r="BQ70" s="0" t="n">
        <f aca="false">IF(AND(A70&gt;=$B$3,A70&lt;=$B$4),1,0)</f>
        <v>1</v>
      </c>
      <c r="BR70" s="0" t="n">
        <f aca="false">BO70*BQ70</f>
        <v>0.800854779478237</v>
      </c>
      <c r="BS70" s="0" t="n">
        <f aca="false">BP70*BQ70</f>
        <v>3.082089618822</v>
      </c>
    </row>
    <row r="71" customFormat="false" ht="18" hidden="false" customHeight="false" outlineLevel="0" collapsed="false">
      <c r="A71" s="112" t="n">
        <f aca="false">[2]EnergyCurve!$D93</f>
        <v>38991</v>
      </c>
      <c r="B71" s="324" t="n">
        <f aca="false" t="array" ref="B71:B71">SUM(IF(MONTH(NymexData!$AI$12:$AI$250)&amp;YEAR(NymexData!$AI$12:$AI$250)=MONTH(A71)&amp;YEAR(A71),NymexData!$AJ$12:$AJ$250))</f>
        <v>-173.3652949</v>
      </c>
      <c r="C71" s="325" t="n">
        <f aca="false">BD71*BJ71*BI71</f>
        <v>0</v>
      </c>
      <c r="D71" s="326" t="n">
        <f aca="false">C71+B71</f>
        <v>-173.3652949</v>
      </c>
      <c r="E71" s="327" t="n">
        <f aca="false" t="array" ref="E71:E71">SUM(IF(MONTH(NymexData!$S$12:$S$250)&amp;YEAR(NymexData!$S$12:$S$250)=MONTH(A71)&amp;YEAR(A71),NymexData!$T$12:$T$250))</f>
        <v>3.9005</v>
      </c>
      <c r="F71" s="327" t="n">
        <f aca="false">G71-E71</f>
        <v>-0.052</v>
      </c>
      <c r="G71" s="328" t="n">
        <f aca="false" t="array" ref="G71:G71">IF(NymexData!$AA$12="",GasPosn!E71,SUM(IF(MONTH(NymexData!$AA$12:$AA$250)&amp;YEAR(NymexData!$AA$12:$AA$250)=MONTH(A71)&amp;YEAR(A71),NymexData!$AB$12:$AB$250)))</f>
        <v>3.8485</v>
      </c>
      <c r="H71" s="115" t="n">
        <f aca="false">B71*10000*F71</f>
        <v>90149.9533480001</v>
      </c>
      <c r="I71" s="119" t="n">
        <f aca="false">(((G71-Q71)*P71+(G71-S71)*R71+(G71-U71)*T71+(G71-W71)*V71+(G71-Y71)*X71+(G71-AA71)*Z71+(G71-AC71)*AB71+(G71-AE71)*AD71+(G71-AG71)*AF71+(G71-AI71)*AH71+(G71-AK71)*AJ71+(G71-AM71)*AL71+(G71-AO71)*AN71+(G71-AQ71)*AP71+(G71-AS71)*AR71+(G71-AU71)*AT71+(G71-AW71)*AV71+(G71-AY71)*AX71+(G71-BA71)*AZ71+(G71-BC71)*BB71)*BJ71*BI71)*10000</f>
        <v>0</v>
      </c>
      <c r="J71" s="119" t="n">
        <f aca="false">H71+I71</f>
        <v>90149.9533480001</v>
      </c>
      <c r="L71" s="329"/>
      <c r="O71" s="95" t="n">
        <f aca="false">A71</f>
        <v>38991</v>
      </c>
      <c r="BD71" s="100" t="n">
        <f aca="false">(P71+R71+T71+V71+X71+Z71+AB71+AD71+AF71+AH71+AJ71+AL71+AN71+AP71+AR71+AT71+AV71+AX71+AZ71+BB71)</f>
        <v>0</v>
      </c>
      <c r="BE71" s="322" t="n">
        <f aca="false">IF(AND(BD71=0,BH71=0),0,(ABS(P71)*Q71+ABS(R71)*S71+ABS(T71)*U71+ABS(V71)*W71+ABS(X71)*Y71+ABS(Z71)*AA71+ABS(AB71)*AC71+ABS(AD71)*AE71+ABS(AF71)*AG71+ABS(AH71)*AI71+ABS(AJ71)*AK71+ABS(AL71)*AM71+ABS(AN71)*AO71+ABS(AP71)*AQ71+ABS(AR71)*AS71+ABS(AT71)*AU71+ABS(AV71)*AW71+ABS(AX71)*AY71+ABS(AZ71)*BA71+ABS(BB71)*BC71)/BH71)</f>
        <v>0</v>
      </c>
      <c r="BG71" s="103" t="n">
        <f aca="false">O71</f>
        <v>38991</v>
      </c>
      <c r="BH71" s="323" t="n">
        <f aca="false">(ABS(P71)+ABS(R71)+ABS(T71)+ABS(V71)+ABS(X71)+ABS(Z71)+ABS(AB71)+ABS(AD71)+ABS(AF71)+ABS(AH71)+ABS(AJ71)+ABS(AL71)+ABS(AN71)+ABS(AP71)+ABS(AR71)+ABS(AT71)+ABS(AV71)+ABS(AX71)+ABS(AZ71)+ABS(BB71))</f>
        <v>0</v>
      </c>
      <c r="BI71" s="104" t="n">
        <f aca="false">VLOOKUP(GasPosn!A71,'Pricing Summary'!$AB$12:$AD$250,3)</f>
        <v>31</v>
      </c>
      <c r="BJ71" s="102" t="n">
        <f aca="false">VLOOKUP(A71,Interest!$AF$8:$AK$367,6)</f>
        <v>0.796816805901599</v>
      </c>
      <c r="BL71" s="0" t="n">
        <f aca="false">J71*VLOOKUP(A71,NymexData!$J$12:$K$244,2)</f>
        <v>142191.433267733</v>
      </c>
      <c r="BO71" s="0" t="n">
        <f aca="false">Interest!AK67</f>
        <v>0.796816805901599</v>
      </c>
      <c r="BP71" s="0" t="n">
        <f aca="false">G71*Interest!AK67</f>
        <v>3.06654947751231</v>
      </c>
      <c r="BQ71" s="0" t="n">
        <f aca="false">IF(AND(A71&gt;=$B$3,A71&lt;=$B$4),1,0)</f>
        <v>1</v>
      </c>
      <c r="BR71" s="0" t="n">
        <f aca="false">BO71*BQ71</f>
        <v>0.796816805901599</v>
      </c>
      <c r="BS71" s="0" t="n">
        <f aca="false">BP71*BQ71</f>
        <v>3.06654947751231</v>
      </c>
    </row>
    <row r="72" customFormat="false" ht="18" hidden="false" customHeight="false" outlineLevel="0" collapsed="false">
      <c r="A72" s="75" t="n">
        <f aca="false">[2]EnergyCurve!$D94</f>
        <v>39022</v>
      </c>
      <c r="B72" s="317" t="n">
        <f aca="false" t="array" ref="B72:B72">SUM(IF(MONTH(NymexData!$AI$12:$AI$250)&amp;YEAR(NymexData!$AI$12:$AI$250)=MONTH(A72)&amp;YEAR(A72),NymexData!$AJ$12:$AJ$250))</f>
        <v>-166.87365366</v>
      </c>
      <c r="C72" s="317" t="n">
        <f aca="false">BD72*BJ72*BI72</f>
        <v>0</v>
      </c>
      <c r="D72" s="319" t="n">
        <f aca="false">C72+B72</f>
        <v>-166.87365366</v>
      </c>
      <c r="E72" s="320" t="n">
        <f aca="false" t="array" ref="E72:E72">SUM(IF(MONTH(NymexData!$S$12:$S$250)&amp;YEAR(NymexData!$S$12:$S$250)=MONTH(A72)&amp;YEAR(A72),NymexData!$T$12:$T$250))</f>
        <v>4.0485</v>
      </c>
      <c r="F72" s="320" t="n">
        <f aca="false">G72-E72</f>
        <v>-0.0509999999999997</v>
      </c>
      <c r="G72" s="321" t="n">
        <f aca="false" t="array" ref="G72:G72">IF(NymexData!$AA$12="",GasPosn!E72,SUM(IF(MONTH(NymexData!$AA$12:$AA$250)&amp;YEAR(NymexData!$AA$12:$AA$250)=MONTH(A72)&amp;YEAR(A72),NymexData!$AB$12:$AB$250)))</f>
        <v>3.9975</v>
      </c>
      <c r="H72" s="76" t="n">
        <f aca="false">B72*10000*F72</f>
        <v>85105.5633665995</v>
      </c>
      <c r="I72" s="82" t="n">
        <f aca="false">(((G72-Q72)*P72+(G72-S72)*R72+(G72-U72)*T72+(G72-W72)*V72+(G72-Y72)*X72+(G72-AA72)*Z72+(G72-AC72)*AB72+(G72-AE72)*AD72+(G72-AG72)*AF72+(G72-AI72)*AH72+(G72-AK72)*AJ72+(G72-AM72)*AL72+(G72-AO72)*AN72+(G72-AQ72)*AP72+(G72-AS72)*AR72+(G72-AU72)*AT72+(G72-AW72)*AV72+(G72-AY72)*AX72+(G72-BA72)*AZ72+(G72-BC72)*BB72)*BJ72*BI72)*10000</f>
        <v>0</v>
      </c>
      <c r="J72" s="82" t="n">
        <f aca="false">H72+I72</f>
        <v>85105.5633665995</v>
      </c>
      <c r="L72" s="329"/>
      <c r="O72" s="95" t="n">
        <f aca="false">A72</f>
        <v>39022</v>
      </c>
      <c r="BD72" s="100" t="n">
        <f aca="false">(P72+R72+T72+V72+X72+Z72+AB72+AD72+AF72+AH72+AJ72+AL72+AN72+AP72+AR72+AT72+AV72+AX72+AZ72+BB72)</f>
        <v>0</v>
      </c>
      <c r="BE72" s="322" t="n">
        <f aca="false">IF(AND(BD72=0,BH72=0),0,(ABS(P72)*Q72+ABS(R72)*S72+ABS(T72)*U72+ABS(V72)*W72+ABS(X72)*Y72+ABS(Z72)*AA72+ABS(AB72)*AC72+ABS(AD72)*AE72+ABS(AF72)*AG72+ABS(AH72)*AI72+ABS(AJ72)*AK72+ABS(AL72)*AM72+ABS(AN72)*AO72+ABS(AP72)*AQ72+ABS(AR72)*AS72+ABS(AT72)*AU72+ABS(AV72)*AW72+ABS(AX72)*AY72+ABS(AZ72)*BA72+ABS(BB72)*BC72)/BH72)</f>
        <v>0</v>
      </c>
      <c r="BG72" s="103" t="n">
        <f aca="false">O72</f>
        <v>39022</v>
      </c>
      <c r="BH72" s="323" t="n">
        <f aca="false">(ABS(P72)+ABS(R72)+ABS(T72)+ABS(V72)+ABS(X72)+ABS(Z72)+ABS(AB72)+ABS(AD72)+ABS(AF72)+ABS(AH72)+ABS(AJ72)+ABS(AL72)+ABS(AN72)+ABS(AP72)+ABS(AR72)+ABS(AT72)+ABS(AV72)+ABS(AX72)+ABS(AZ72)+ABS(BB72))</f>
        <v>0</v>
      </c>
      <c r="BI72" s="104" t="n">
        <f aca="false">VLOOKUP(GasPosn!A72,'Pricing Summary'!$AB$12:$AD$250,3)</f>
        <v>30</v>
      </c>
      <c r="BJ72" s="102" t="n">
        <f aca="false">VLOOKUP(A72,Interest!$AF$8:$AK$367,6)</f>
        <v>0.79288469694292</v>
      </c>
      <c r="BL72" s="0" t="n">
        <f aca="false">J72*VLOOKUP(A72,NymexData!$J$12:$K$244,2)</f>
        <v>134267.081345182</v>
      </c>
      <c r="BO72" s="0" t="n">
        <f aca="false">Interest!AK68</f>
        <v>0.79288469694292</v>
      </c>
      <c r="BP72" s="0" t="n">
        <f aca="false">G72*Interest!AK68</f>
        <v>3.16955657602932</v>
      </c>
      <c r="BQ72" s="0" t="n">
        <f aca="false">IF(AND(A72&gt;=$B$3,A72&lt;=$B$4),1,0)</f>
        <v>1</v>
      </c>
      <c r="BR72" s="0" t="n">
        <f aca="false">BO72*BQ72</f>
        <v>0.79288469694292</v>
      </c>
      <c r="BS72" s="0" t="n">
        <f aca="false">BP72*BQ72</f>
        <v>3.16955657602932</v>
      </c>
    </row>
    <row r="73" customFormat="false" ht="18" hidden="false" customHeight="false" outlineLevel="0" collapsed="false">
      <c r="A73" s="112" t="n">
        <f aca="false">[2]EnergyCurve!$D95</f>
        <v>39052</v>
      </c>
      <c r="B73" s="324" t="n">
        <f aca="false" t="array" ref="B73:B73">SUM(IF(MONTH(NymexData!$AI$12:$AI$250)&amp;YEAR(NymexData!$AI$12:$AI$250)=MONTH(A73)&amp;YEAR(A73),NymexData!$AJ$12:$AJ$250))</f>
        <v>-171.63525008</v>
      </c>
      <c r="C73" s="325" t="n">
        <f aca="false">BD73*BJ73*BI73</f>
        <v>0</v>
      </c>
      <c r="D73" s="326" t="n">
        <f aca="false">C73+B73</f>
        <v>-171.63525008</v>
      </c>
      <c r="E73" s="327" t="n">
        <f aca="false" t="array" ref="E73:E73">SUM(IF(MONTH(NymexData!$S$12:$S$250)&amp;YEAR(NymexData!$S$12:$S$250)=MONTH(A73)&amp;YEAR(A73),NymexData!$T$12:$T$250))</f>
        <v>4.2005</v>
      </c>
      <c r="F73" s="327" t="n">
        <f aca="false">G73-E73</f>
        <v>-0.0509999999999993</v>
      </c>
      <c r="G73" s="328" t="n">
        <f aca="false" t="array" ref="G73:G73">IF(NymexData!$AA$12="",GasPosn!E73,SUM(IF(MONTH(NymexData!$AA$12:$AA$250)&amp;YEAR(NymexData!$AA$12:$AA$250)=MONTH(A73)&amp;YEAR(A73),NymexData!$AB$12:$AB$250)))</f>
        <v>4.1495</v>
      </c>
      <c r="H73" s="115" t="n">
        <f aca="false">B73*10000*F73</f>
        <v>87533.9775407987</v>
      </c>
      <c r="I73" s="119" t="n">
        <f aca="false">(((G73-Q73)*P73+(G73-S73)*R73+(G73-U73)*T73+(G73-W73)*V73+(G73-Y73)*X73+(G73-AA73)*Z73+(G73-AC73)*AB73+(G73-AE73)*AD73+(G73-AG73)*AF73+(G73-AI73)*AH73+(G73-AK73)*AJ73+(G73-AM73)*AL73+(G73-AO73)*AN73+(G73-AQ73)*AP73+(G73-AS73)*AR73+(G73-AU73)*AT73+(G73-AW73)*AV73+(G73-AY73)*AX73+(G73-BA73)*AZ73+(G73-BC73)*BB73)*BJ73*BI73)*10000</f>
        <v>0</v>
      </c>
      <c r="J73" s="119" t="n">
        <f aca="false">H73+I73</f>
        <v>87533.9775407987</v>
      </c>
      <c r="L73" s="329"/>
      <c r="O73" s="95" t="n">
        <f aca="false">A73</f>
        <v>39052</v>
      </c>
      <c r="BD73" s="100" t="n">
        <f aca="false">(P73+R73+T73+V73+X73+Z73+AB73+AD73+AF73+AH73+AJ73+AL73+AN73+AP73+AR73+AT73+AV73+AX73+AZ73+BB73)</f>
        <v>0</v>
      </c>
      <c r="BE73" s="322" t="n">
        <f aca="false">IF(AND(BD73=0,BH73=0),0,(ABS(P73)*Q73+ABS(R73)*S73+ABS(T73)*U73+ABS(V73)*W73+ABS(X73)*Y73+ABS(Z73)*AA73+ABS(AB73)*AC73+ABS(AD73)*AE73+ABS(AF73)*AG73+ABS(AH73)*AI73+ABS(AJ73)*AK73+ABS(AL73)*AM73+ABS(AN73)*AO73+ABS(AP73)*AQ73+ABS(AR73)*AS73+ABS(AT73)*AU73+ABS(AV73)*AW73+ABS(AX73)*AY73+ABS(AZ73)*BA73+ABS(BB73)*BC73)/BH73)</f>
        <v>0</v>
      </c>
      <c r="BG73" s="103" t="n">
        <f aca="false">O73</f>
        <v>39052</v>
      </c>
      <c r="BH73" s="323" t="n">
        <f aca="false">(ABS(P73)+ABS(R73)+ABS(T73)+ABS(V73)+ABS(X73)+ABS(Z73)+ABS(AB73)+ABS(AD73)+ABS(AF73)+ABS(AH73)+ABS(AJ73)+ABS(AL73)+ABS(AN73)+ABS(AP73)+ABS(AR73)+ABS(AT73)+ABS(AV73)+ABS(AX73)+ABS(AZ73)+ABS(BB73))</f>
        <v>0</v>
      </c>
      <c r="BI73" s="104" t="n">
        <f aca="false">VLOOKUP(GasPosn!A73,'Pricing Summary'!$AB$12:$AD$250,3)</f>
        <v>31</v>
      </c>
      <c r="BJ73" s="102" t="n">
        <f aca="false">VLOOKUP(A73,Interest!$AF$8:$AK$367,6)</f>
        <v>0.789092182819624</v>
      </c>
      <c r="BL73" s="0" t="n">
        <f aca="false">J73*VLOOKUP(A73,NymexData!$J$12:$K$244,2)</f>
        <v>138098.052964646</v>
      </c>
      <c r="BO73" s="0" t="n">
        <f aca="false">Interest!AK69</f>
        <v>0.789092182819624</v>
      </c>
      <c r="BP73" s="0" t="n">
        <f aca="false">G73*Interest!AK69</f>
        <v>3.27433801261003</v>
      </c>
      <c r="BQ73" s="0" t="n">
        <f aca="false">IF(AND(A73&gt;=$B$3,A73&lt;=$B$4),1,0)</f>
        <v>1</v>
      </c>
      <c r="BR73" s="0" t="n">
        <f aca="false">BO73*BQ73</f>
        <v>0.789092182819624</v>
      </c>
      <c r="BS73" s="0" t="n">
        <f aca="false">BP73*BQ73</f>
        <v>3.27433801261003</v>
      </c>
    </row>
    <row r="74" customFormat="false" ht="18" hidden="false" customHeight="false" outlineLevel="0" collapsed="false">
      <c r="A74" s="75" t="n">
        <f aca="false">[2]EnergyCurve!$D96</f>
        <v>39083</v>
      </c>
      <c r="B74" s="317" t="n">
        <f aca="false" t="array" ref="B74:B74">SUM(IF(MONTH(NymexData!$AI$12:$AI$250)&amp;YEAR(NymexData!$AI$12:$AI$250)=MONTH(A74)&amp;YEAR(A74),NymexData!$AJ$12:$AJ$250))</f>
        <v>-170.80644784</v>
      </c>
      <c r="C74" s="317" t="n">
        <f aca="false">BD74*BJ74*BI74</f>
        <v>0</v>
      </c>
      <c r="D74" s="319" t="n">
        <f aca="false">C74+B74</f>
        <v>-170.80644784</v>
      </c>
      <c r="E74" s="320" t="n">
        <f aca="false" t="array" ref="E74:E74">SUM(IF(MONTH(NymexData!$S$12:$S$250)&amp;YEAR(NymexData!$S$12:$S$250)=MONTH(A74)&amp;YEAR(A74),NymexData!$T$12:$T$250))</f>
        <v>4.2605</v>
      </c>
      <c r="F74" s="320" t="n">
        <f aca="false">G74-E74</f>
        <v>-0.0460000000000003</v>
      </c>
      <c r="G74" s="321" t="n">
        <f aca="false" t="array" ref="G74:G74">IF(NymexData!$AA$12="",GasPosn!E74,SUM(IF(MONTH(NymexData!$AA$12:$AA$250)&amp;YEAR(NymexData!$AA$12:$AA$250)=MONTH(A74)&amp;YEAR(A74),NymexData!$AB$12:$AB$250)))</f>
        <v>4.2145</v>
      </c>
      <c r="H74" s="76" t="n">
        <f aca="false">B74*10000*F74</f>
        <v>78570.9660064005</v>
      </c>
      <c r="I74" s="82" t="n">
        <f aca="false">(((G74-Q74)*P74+(G74-S74)*R74+(G74-U74)*T74+(G74-W74)*V74+(G74-Y74)*X74+(G74-AA74)*Z74+(G74-AC74)*AB74+(G74-AE74)*AD74+(G74-AG74)*AF74+(G74-AI74)*AH74+(G74-AK74)*AJ74+(G74-AM74)*AL74+(G74-AO74)*AN74+(G74-AQ74)*AP74+(G74-AS74)*AR74+(G74-AU74)*AT74+(G74-AW74)*AV74+(G74-AY74)*AX74+(G74-BA74)*AZ74+(G74-BC74)*BB74)*BJ74*BI74)*10000</f>
        <v>0</v>
      </c>
      <c r="J74" s="82" t="n">
        <f aca="false">H74+I74</f>
        <v>78570.9660064005</v>
      </c>
      <c r="L74" s="329"/>
      <c r="O74" s="95" t="n">
        <f aca="false">A74</f>
        <v>39083</v>
      </c>
      <c r="BD74" s="100" t="n">
        <f aca="false">(P74+R74+T74+V74+X74+Z74+AB74+AD74+AF74+AH74+AJ74+AL74+AN74+AP74+AR74+AT74+AV74+AX74+AZ74+BB74)</f>
        <v>0</v>
      </c>
      <c r="BE74" s="322" t="n">
        <f aca="false">IF(AND(BD74=0,BH74=0),0,(ABS(P74)*Q74+ABS(R74)*S74+ABS(T74)*U74+ABS(V74)*W74+ABS(X74)*Y74+ABS(Z74)*AA74+ABS(AB74)*AC74+ABS(AD74)*AE74+ABS(AF74)*AG74+ABS(AH74)*AI74+ABS(AJ74)*AK74+ABS(AL74)*AM74+ABS(AN74)*AO74+ABS(AP74)*AQ74+ABS(AR74)*AS74+ABS(AT74)*AU74+ABS(AV74)*AW74+ABS(AX74)*AY74+ABS(AZ74)*BA74+ABS(BB74)*BC74)/BH74)</f>
        <v>0</v>
      </c>
      <c r="BG74" s="103" t="n">
        <f aca="false">O74</f>
        <v>39083</v>
      </c>
      <c r="BH74" s="323" t="n">
        <f aca="false">(ABS(P74)+ABS(R74)+ABS(T74)+ABS(V74)+ABS(X74)+ABS(Z74)+ABS(AB74)+ABS(AD74)+ABS(AF74)+ABS(AH74)+ABS(AJ74)+ABS(AL74)+ABS(AN74)+ABS(AP74)+ABS(AR74)+ABS(AT74)+ABS(AV74)+ABS(AX74)+ABS(AZ74)+ABS(BB74))</f>
        <v>0</v>
      </c>
      <c r="BI74" s="104" t="n">
        <f aca="false">VLOOKUP(GasPosn!A74,'Pricing Summary'!$AB$12:$AD$250,3)</f>
        <v>31</v>
      </c>
      <c r="BJ74" s="102" t="n">
        <f aca="false">VLOOKUP(A74,Interest!$AF$8:$AK$367,6)</f>
        <v>0.785268696455368</v>
      </c>
      <c r="BL74" s="0" t="n">
        <f aca="false">J74*VLOOKUP(A74,NymexData!$J$12:$K$244,2)</f>
        <v>123957.13389362</v>
      </c>
      <c r="BO74" s="0" t="n">
        <f aca="false">Interest!AK70</f>
        <v>0.785268696455368</v>
      </c>
      <c r="BP74" s="0" t="n">
        <f aca="false">G74*Interest!AK70</f>
        <v>3.30951492121115</v>
      </c>
      <c r="BQ74" s="0" t="n">
        <f aca="false">IF(AND(A74&gt;=$B$3,A74&lt;=$B$4),1,0)</f>
        <v>1</v>
      </c>
      <c r="BR74" s="0" t="n">
        <f aca="false">BO74*BQ74</f>
        <v>0.785268696455368</v>
      </c>
      <c r="BS74" s="0" t="n">
        <f aca="false">BP74*BQ74</f>
        <v>3.30951492121115</v>
      </c>
    </row>
    <row r="75" customFormat="false" ht="18" hidden="false" customHeight="false" outlineLevel="0" collapsed="false">
      <c r="A75" s="112" t="n">
        <f aca="false">[2]EnergyCurve!$D97</f>
        <v>39114</v>
      </c>
      <c r="B75" s="324" t="n">
        <f aca="false" t="array" ref="B75:B75">SUM(IF(MONTH(NymexData!$AI$12:$AI$250)&amp;YEAR(NymexData!$AI$12:$AI$250)=MONTH(A75)&amp;YEAR(A75),NymexData!$AJ$12:$AJ$250))</f>
        <v>-153.52710156</v>
      </c>
      <c r="C75" s="325" t="n">
        <f aca="false">BD75*BJ75*BI75</f>
        <v>0</v>
      </c>
      <c r="D75" s="326" t="n">
        <f aca="false">C75+B75</f>
        <v>-153.52710156</v>
      </c>
      <c r="E75" s="327" t="n">
        <f aca="false" t="array" ref="E75:E75">SUM(IF(MONTH(NymexData!$S$12:$S$250)&amp;YEAR(NymexData!$S$12:$S$250)=MONTH(A75)&amp;YEAR(A75),NymexData!$T$12:$T$250))</f>
        <v>4.1735</v>
      </c>
      <c r="F75" s="327" t="n">
        <f aca="false">G75-E75</f>
        <v>-0.0469999999999997</v>
      </c>
      <c r="G75" s="328" t="n">
        <f aca="false" t="array" ref="G75:G75">IF(NymexData!$AA$12="",GasPosn!E75,SUM(IF(MONTH(NymexData!$AA$12:$AA$250)&amp;YEAR(NymexData!$AA$12:$AA$250)=MONTH(A75)&amp;YEAR(A75),NymexData!$AB$12:$AB$250)))</f>
        <v>4.1265</v>
      </c>
      <c r="H75" s="115" t="n">
        <f aca="false">B75*10000*F75</f>
        <v>72157.7377331996</v>
      </c>
      <c r="I75" s="119" t="n">
        <f aca="false">(((G75-Q75)*P75+(G75-S75)*R75+(G75-U75)*T75+(G75-W75)*V75+(G75-Y75)*X75+(G75-AA75)*Z75+(G75-AC75)*AB75+(G75-AE75)*AD75+(G75-AG75)*AF75+(G75-AI75)*AH75+(G75-AK75)*AJ75+(G75-AM75)*AL75+(G75-AO75)*AN75+(G75-AQ75)*AP75+(G75-AS75)*AR75+(G75-AU75)*AT75+(G75-AW75)*AV75+(G75-AY75)*AX75+(G75-BA75)*AZ75+(G75-BC75)*BB75)*BJ75*BI75)*10000</f>
        <v>0</v>
      </c>
      <c r="J75" s="119" t="n">
        <f aca="false">H75+I75</f>
        <v>72157.7377331996</v>
      </c>
      <c r="L75" s="329"/>
      <c r="O75" s="95" t="n">
        <f aca="false">A75</f>
        <v>39114</v>
      </c>
      <c r="BD75" s="100" t="n">
        <f aca="false">(P75+R75+T75+V75+X75+Z75+AB75+AD75+AF75+AH75+AJ75+AL75+AN75+AP75+AR75+AT75+AV75+AX75+AZ75+BB75)</f>
        <v>0</v>
      </c>
      <c r="BE75" s="322" t="n">
        <f aca="false">IF(AND(BD75=0,BH75=0),0,(ABS(P75)*Q75+ABS(R75)*S75+ABS(T75)*U75+ABS(V75)*W75+ABS(X75)*Y75+ABS(Z75)*AA75+ABS(AB75)*AC75+ABS(AD75)*AE75+ABS(AF75)*AG75+ABS(AH75)*AI75+ABS(AJ75)*AK75+ABS(AL75)*AM75+ABS(AN75)*AO75+ABS(AP75)*AQ75+ABS(AR75)*AS75+ABS(AT75)*AU75+ABS(AV75)*AW75+ABS(AX75)*AY75+ABS(AZ75)*BA75+ABS(BB75)*BC75)/BH75)</f>
        <v>0</v>
      </c>
      <c r="BG75" s="103" t="n">
        <f aca="false">O75</f>
        <v>39114</v>
      </c>
      <c r="BH75" s="323" t="n">
        <f aca="false">(ABS(P75)+ABS(R75)+ABS(T75)+ABS(V75)+ABS(X75)+ABS(Z75)+ABS(AB75)+ABS(AD75)+ABS(AF75)+ABS(AH75)+ABS(AJ75)+ABS(AL75)+ABS(AN75)+ABS(AP75)+ABS(AR75)+ABS(AT75)+ABS(AV75)+ABS(AX75)+ABS(AZ75)+ABS(BB75))</f>
        <v>0</v>
      </c>
      <c r="BI75" s="104" t="n">
        <f aca="false">VLOOKUP(GasPosn!A75,'Pricing Summary'!$AB$12:$AD$250,3)</f>
        <v>28</v>
      </c>
      <c r="BJ75" s="102" t="n">
        <f aca="false">VLOOKUP(A75,Interest!$AF$8:$AK$367,6)</f>
        <v>0.781734016081202</v>
      </c>
      <c r="BL75" s="0" t="n">
        <f aca="false">J75*VLOOKUP(A75,NymexData!$J$12:$K$244,2)</f>
        <v>113838.756012527</v>
      </c>
      <c r="BO75" s="0" t="n">
        <f aca="false">Interest!AK71</f>
        <v>0.781734016081202</v>
      </c>
      <c r="BP75" s="0" t="n">
        <f aca="false">G75*Interest!AK71</f>
        <v>3.22582541735908</v>
      </c>
      <c r="BQ75" s="0" t="n">
        <f aca="false">IF(AND(A75&gt;=$B$3,A75&lt;=$B$4),1,0)</f>
        <v>1</v>
      </c>
      <c r="BR75" s="0" t="n">
        <f aca="false">BO75*BQ75</f>
        <v>0.781734016081202</v>
      </c>
      <c r="BS75" s="0" t="n">
        <f aca="false">BP75*BQ75</f>
        <v>3.22582541735908</v>
      </c>
    </row>
    <row r="76" customFormat="false" ht="18" hidden="false" customHeight="false" outlineLevel="0" collapsed="false">
      <c r="A76" s="75" t="n">
        <f aca="false">[2]EnergyCurve!$D98</f>
        <v>39142</v>
      </c>
      <c r="B76" s="317" t="n">
        <f aca="false" t="array" ref="B76:B76">SUM(IF(MONTH(NymexData!$AI$12:$AI$250)&amp;YEAR(NymexData!$AI$12:$AI$250)=MONTH(A76)&amp;YEAR(A76),NymexData!$AJ$12:$AJ$250))</f>
        <v>-169.22574998</v>
      </c>
      <c r="C76" s="317" t="n">
        <f aca="false">BD76*BJ76*BI76</f>
        <v>0</v>
      </c>
      <c r="D76" s="319" t="n">
        <f aca="false">C76+B76</f>
        <v>-169.22574998</v>
      </c>
      <c r="E76" s="320" t="n">
        <f aca="false" t="array" ref="E76:E76">SUM(IF(MONTH(NymexData!$S$12:$S$250)&amp;YEAR(NymexData!$S$12:$S$250)=MONTH(A76)&amp;YEAR(A76),NymexData!$T$12:$T$250))</f>
        <v>4.0345</v>
      </c>
      <c r="F76" s="320" t="n">
        <f aca="false">G76-E76</f>
        <v>-0.0470000000000006</v>
      </c>
      <c r="G76" s="321" t="n">
        <f aca="false" t="array" ref="G76:G76">IF(NymexData!$AA$12="",GasPosn!E76,SUM(IF(MONTH(NymexData!$AA$12:$AA$250)&amp;YEAR(NymexData!$AA$12:$AA$250)=MONTH(A76)&amp;YEAR(A76),NymexData!$AB$12:$AB$250)))</f>
        <v>3.9875</v>
      </c>
      <c r="H76" s="76" t="n">
        <f aca="false">B76*10000*F76</f>
        <v>79536.102490601</v>
      </c>
      <c r="I76" s="82" t="n">
        <f aca="false">(((G76-Q76)*P76+(G76-S76)*R76+(G76-U76)*T76+(G76-W76)*V76+(G76-Y76)*X76+(G76-AA76)*Z76+(G76-AC76)*AB76+(G76-AE76)*AD76+(G76-AG76)*AF76+(G76-AI76)*AH76+(G76-AK76)*AJ76+(G76-AM76)*AL76+(G76-AO76)*AN76+(G76-AQ76)*AP76+(G76-AS76)*AR76+(G76-AU76)*AT76+(G76-AW76)*AV76+(G76-AY76)*AX76+(G76-BA76)*AZ76+(G76-BC76)*BB76)*BJ76*BI76)*10000</f>
        <v>0</v>
      </c>
      <c r="J76" s="82" t="n">
        <f aca="false">H76+I76</f>
        <v>79536.102490601</v>
      </c>
      <c r="L76" s="329"/>
      <c r="O76" s="95" t="n">
        <f aca="false">A76</f>
        <v>39142</v>
      </c>
      <c r="BD76" s="100" t="n">
        <f aca="false">(P76+R76+T76+V76+X76+Z76+AB76+AD76+AF76+AH76+AJ76+AL76+AN76+AP76+AR76+AT76+AV76+AX76+AZ76+BB76)</f>
        <v>0</v>
      </c>
      <c r="BE76" s="322" t="n">
        <f aca="false">IF(AND(BD76=0,BH76=0),0,(ABS(P76)*Q76+ABS(R76)*S76+ABS(T76)*U76+ABS(V76)*W76+ABS(X76)*Y76+ABS(Z76)*AA76+ABS(AB76)*AC76+ABS(AD76)*AE76+ABS(AF76)*AG76+ABS(AH76)*AI76+ABS(AJ76)*AK76+ABS(AL76)*AM76+ABS(AN76)*AO76+ABS(AP76)*AQ76+ABS(AR76)*AS76+ABS(AT76)*AU76+ABS(AV76)*AW76+ABS(AX76)*AY76+ABS(AZ76)*BA76+ABS(BB76)*BC76)/BH76)</f>
        <v>0</v>
      </c>
      <c r="BG76" s="103" t="n">
        <f aca="false">O76</f>
        <v>39142</v>
      </c>
      <c r="BH76" s="323" t="n">
        <f aca="false">(ABS(P76)+ABS(R76)+ABS(T76)+ABS(V76)+ABS(X76)+ABS(Z76)+ABS(AB76)+ABS(AD76)+ABS(AF76)+ABS(AH76)+ABS(AJ76)+ABS(AL76)+ABS(AN76)+ABS(AP76)+ABS(AR76)+ABS(AT76)+ABS(AV76)+ABS(AX76)+ABS(AZ76)+ABS(BB76))</f>
        <v>0</v>
      </c>
      <c r="BI76" s="104" t="n">
        <f aca="false">VLOOKUP(GasPosn!A76,'Pricing Summary'!$AB$12:$AD$250,3)</f>
        <v>31</v>
      </c>
      <c r="BJ76" s="102" t="n">
        <f aca="false">VLOOKUP(A76,Interest!$AF$8:$AK$367,6)</f>
        <v>0.777974770387315</v>
      </c>
      <c r="BL76" s="0" t="n">
        <f aca="false">J76*VLOOKUP(A76,NymexData!$J$12:$K$244,2)</f>
        <v>125478.382679926</v>
      </c>
      <c r="BO76" s="0" t="n">
        <f aca="false">Interest!AK72</f>
        <v>0.777974770387315</v>
      </c>
      <c r="BP76" s="0" t="n">
        <f aca="false">G76*Interest!AK72</f>
        <v>3.10217439691942</v>
      </c>
      <c r="BQ76" s="0" t="n">
        <f aca="false">IF(AND(A76&gt;=$B$3,A76&lt;=$B$4),1,0)</f>
        <v>1</v>
      </c>
      <c r="BR76" s="0" t="n">
        <f aca="false">BO76*BQ76</f>
        <v>0.777974770387315</v>
      </c>
      <c r="BS76" s="0" t="n">
        <f aca="false">BP76*BQ76</f>
        <v>3.10217439691942</v>
      </c>
    </row>
    <row r="77" customFormat="false" ht="18" hidden="false" customHeight="false" outlineLevel="0" collapsed="false">
      <c r="A77" s="112" t="n">
        <f aca="false">[2]EnergyCurve!$D99</f>
        <v>39173</v>
      </c>
      <c r="B77" s="324" t="n">
        <f aca="false" t="array" ref="B77:B77">SUM(IF(MONTH(NymexData!$AI$12:$AI$250)&amp;YEAR(NymexData!$AI$12:$AI$250)=MONTH(A77)&amp;YEAR(A77),NymexData!$AJ$12:$AJ$250))</f>
        <v>-162.96153692</v>
      </c>
      <c r="C77" s="325" t="n">
        <f aca="false">BD77*BJ77*BI77</f>
        <v>0</v>
      </c>
      <c r="D77" s="326" t="n">
        <f aca="false">C77+B77</f>
        <v>-162.96153692</v>
      </c>
      <c r="E77" s="327" t="n">
        <f aca="false" t="array" ref="E77:E77">SUM(IF(MONTH(NymexData!$S$12:$S$250)&amp;YEAR(NymexData!$S$12:$S$250)=MONTH(A77)&amp;YEAR(A77),NymexData!$T$12:$T$250))</f>
        <v>3.8805</v>
      </c>
      <c r="F77" s="327" t="n">
        <f aca="false">G77-E77</f>
        <v>-0.0469999999999997</v>
      </c>
      <c r="G77" s="328" t="n">
        <f aca="false" t="array" ref="G77:G77">IF(NymexData!$AA$12="",GasPosn!E77,SUM(IF(MONTH(NymexData!$AA$12:$AA$250)&amp;YEAR(NymexData!$AA$12:$AA$250)=MONTH(A77)&amp;YEAR(A77),NymexData!$AB$12:$AB$250)))</f>
        <v>3.8335</v>
      </c>
      <c r="H77" s="115" t="n">
        <f aca="false">B77*10000*F77</f>
        <v>76591.9223523995</v>
      </c>
      <c r="I77" s="119" t="n">
        <f aca="false">(((G77-Q77)*P77+(G77-S77)*R77+(G77-U77)*T77+(G77-W77)*V77+(G77-Y77)*X77+(G77-AA77)*Z77+(G77-AC77)*AB77+(G77-AE77)*AD77+(G77-AG77)*AF77+(G77-AI77)*AH77+(G77-AK77)*AJ77+(G77-AM77)*AL77+(G77-AO77)*AN77+(G77-AQ77)*AP77+(G77-AS77)*AR77+(G77-AU77)*AT77+(G77-AW77)*AV77+(G77-AY77)*AX77+(G77-BA77)*AZ77+(G77-BC77)*BB77)*BJ77*BI77)*10000</f>
        <v>0</v>
      </c>
      <c r="J77" s="119" t="n">
        <f aca="false">H77+I77</f>
        <v>76591.9223523995</v>
      </c>
      <c r="L77" s="329"/>
      <c r="O77" s="95" t="n">
        <f aca="false">A77</f>
        <v>39173</v>
      </c>
      <c r="BD77" s="100" t="n">
        <f aca="false">(P77+R77+T77+V77+X77+Z77+AB77+AD77+AF77+AH77+AJ77+AL77+AN77+AP77+AR77+AT77+AV77+AX77+AZ77+BB77)</f>
        <v>0</v>
      </c>
      <c r="BE77" s="322" t="n">
        <f aca="false">IF(AND(BD77=0,BH77=0),0,(ABS(P77)*Q77+ABS(R77)*S77+ABS(T77)*U77+ABS(V77)*W77+ABS(X77)*Y77+ABS(Z77)*AA77+ABS(AB77)*AC77+ABS(AD77)*AE77+ABS(AF77)*AG77+ABS(AH77)*AI77+ABS(AJ77)*AK77+ABS(AL77)*AM77+ABS(AN77)*AO77+ABS(AP77)*AQ77+ABS(AR77)*AS77+ABS(AT77)*AU77+ABS(AV77)*AW77+ABS(AX77)*AY77+ABS(AZ77)*BA77+ABS(BB77)*BC77)/BH77)</f>
        <v>0</v>
      </c>
      <c r="BG77" s="103" t="n">
        <f aca="false">O77</f>
        <v>39173</v>
      </c>
      <c r="BH77" s="323" t="n">
        <f aca="false">(ABS(P77)+ABS(R77)+ABS(T77)+ABS(V77)+ABS(X77)+ABS(Z77)+ABS(AB77)+ABS(AD77)+ABS(AF77)+ABS(AH77)+ABS(AJ77)+ABS(AL77)+ABS(AN77)+ABS(AP77)+ABS(AR77)+ABS(AT77)+ABS(AV77)+ABS(AX77)+ABS(AZ77)+ABS(BB77))</f>
        <v>0</v>
      </c>
      <c r="BI77" s="104" t="n">
        <f aca="false">VLOOKUP(GasPosn!A77,'Pricing Summary'!$AB$12:$AD$250,3)</f>
        <v>30</v>
      </c>
      <c r="BJ77" s="102" t="n">
        <f aca="false">VLOOKUP(A77,Interest!$AF$8:$AK$367,6)</f>
        <v>0.774232140134311</v>
      </c>
      <c r="BL77" s="0" t="n">
        <f aca="false">J77*VLOOKUP(A77,NymexData!$J$12:$K$244,2)</f>
        <v>120832.556542473</v>
      </c>
      <c r="BO77" s="0" t="n">
        <f aca="false">Interest!AK73</f>
        <v>0.774232140134311</v>
      </c>
      <c r="BP77" s="0" t="n">
        <f aca="false">G77*Interest!AK73</f>
        <v>2.96801890920488</v>
      </c>
      <c r="BQ77" s="0" t="n">
        <f aca="false">IF(AND(A77&gt;=$B$3,A77&lt;=$B$4),1,0)</f>
        <v>1</v>
      </c>
      <c r="BR77" s="0" t="n">
        <f aca="false">BO77*BQ77</f>
        <v>0.774232140134311</v>
      </c>
      <c r="BS77" s="0" t="n">
        <f aca="false">BP77*BQ77</f>
        <v>2.96801890920488</v>
      </c>
    </row>
    <row r="78" customFormat="false" ht="18" hidden="false" customHeight="false" outlineLevel="0" collapsed="false">
      <c r="A78" s="75" t="n">
        <f aca="false">[2]EnergyCurve!$D100</f>
        <v>39203</v>
      </c>
      <c r="B78" s="317" t="n">
        <f aca="false" t="array" ref="B78:B78">SUM(IF(MONTH(NymexData!$AI$12:$AI$250)&amp;YEAR(NymexData!$AI$12:$AI$250)=MONTH(A78)&amp;YEAR(A78),NymexData!$AJ$12:$AJ$250))</f>
        <v>-167.58727398</v>
      </c>
      <c r="C78" s="318" t="n">
        <f aca="false">BD78*BJ78*BI78</f>
        <v>0</v>
      </c>
      <c r="D78" s="319" t="n">
        <f aca="false">C78+B78</f>
        <v>-167.58727398</v>
      </c>
      <c r="E78" s="320" t="n">
        <f aca="false" t="array" ref="E78:E78">SUM(IF(MONTH(NymexData!$S$12:$S$250)&amp;YEAR(NymexData!$S$12:$S$250)=MONTH(A78)&amp;YEAR(A78),NymexData!$T$12:$T$250))</f>
        <v>3.8855</v>
      </c>
      <c r="F78" s="320" t="n">
        <f aca="false">G78-E78</f>
        <v>-0.0470000000000002</v>
      </c>
      <c r="G78" s="321" t="n">
        <f aca="false" t="array" ref="G78:G78">IF(NymexData!$AA$12="",GasPosn!E78,SUM(IF(MONTH(NymexData!$AA$12:$AA$250)&amp;YEAR(NymexData!$AA$12:$AA$250)=MONTH(A78)&amp;YEAR(A78),NymexData!$AB$12:$AB$250)))</f>
        <v>3.8385</v>
      </c>
      <c r="H78" s="76" t="n">
        <f aca="false">B78*10000*F78</f>
        <v>78766.0187706003</v>
      </c>
      <c r="I78" s="82" t="n">
        <f aca="false">(((G78-Q78)*P78+(G78-S78)*R78+(G78-U78)*T78+(G78-W78)*V78+(G78-Y78)*X78+(G78-AA78)*Z78+(G78-AC78)*AB78+(G78-AE78)*AD78+(G78-AG78)*AF78+(G78-AI78)*AH78+(G78-AK78)*AJ78+(G78-AM78)*AL78+(G78-AO78)*AN78+(G78-AQ78)*AP78+(G78-AS78)*AR78+(G78-AU78)*AT78+(G78-AW78)*AV78+(G78-AY78)*AX78+(G78-BA78)*AZ78+(G78-BC78)*BB78)*BJ78*BI78)*10000</f>
        <v>0</v>
      </c>
      <c r="J78" s="82" t="n">
        <f aca="false">H78+I78</f>
        <v>78766.0187706003</v>
      </c>
      <c r="L78" s="329"/>
      <c r="O78" s="95" t="n">
        <f aca="false">A78</f>
        <v>39203</v>
      </c>
      <c r="BD78" s="100" t="n">
        <f aca="false">(P78+R78+T78+V78+X78+Z78+AB78+AD78+AF78+AH78+AJ78+AL78+AN78+AP78+AR78+AT78+AV78+AX78+AZ78+BB78)</f>
        <v>0</v>
      </c>
      <c r="BE78" s="322" t="n">
        <f aca="false">IF(AND(BD78=0,BH78=0),0,(ABS(P78)*Q78+ABS(R78)*S78+ABS(T78)*U78+ABS(V78)*W78+ABS(X78)*Y78+ABS(Z78)*AA78+ABS(AB78)*AC78+ABS(AD78)*AE78+ABS(AF78)*AG78+ABS(AH78)*AI78+ABS(AJ78)*AK78+ABS(AL78)*AM78+ABS(AN78)*AO78+ABS(AP78)*AQ78+ABS(AR78)*AS78+ABS(AT78)*AU78+ABS(AV78)*AW78+ABS(AX78)*AY78+ABS(AZ78)*BA78+ABS(BB78)*BC78)/BH78)</f>
        <v>0</v>
      </c>
      <c r="BG78" s="103" t="n">
        <f aca="false">O78</f>
        <v>39203</v>
      </c>
      <c r="BH78" s="323" t="n">
        <f aca="false">(ABS(P78)+ABS(R78)+ABS(T78)+ABS(V78)+ABS(X78)+ABS(Z78)+ABS(AB78)+ABS(AD78)+ABS(AF78)+ABS(AH78)+ABS(AJ78)+ABS(AL78)+ABS(AN78)+ABS(AP78)+ABS(AR78)+ABS(AT78)+ABS(AV78)+ABS(AX78)+ABS(AZ78)+ABS(BB78))</f>
        <v>0</v>
      </c>
      <c r="BI78" s="104" t="n">
        <f aca="false">VLOOKUP(GasPosn!A78,'Pricing Summary'!$AB$12:$AD$250,3)</f>
        <v>31</v>
      </c>
      <c r="BJ78" s="102" t="n">
        <f aca="false">VLOOKUP(A78,Interest!$AF$8:$AK$367,6)</f>
        <v>0.77041190341347</v>
      </c>
      <c r="BL78" s="0" t="n">
        <f aca="false">J78*VLOOKUP(A78,NymexData!$J$12:$K$244,2)</f>
        <v>124261.24115404</v>
      </c>
      <c r="BO78" s="0" t="n">
        <f aca="false">Interest!AK74</f>
        <v>0.77041190341347</v>
      </c>
      <c r="BP78" s="0" t="n">
        <f aca="false">G78*Interest!AK74</f>
        <v>2.95722609125261</v>
      </c>
      <c r="BQ78" s="0" t="n">
        <f aca="false">IF(AND(A78&gt;=$B$3,A78&lt;=$B$4),1,0)</f>
        <v>1</v>
      </c>
      <c r="BR78" s="0" t="n">
        <f aca="false">BO78*BQ78</f>
        <v>0.77041190341347</v>
      </c>
      <c r="BS78" s="0" t="n">
        <f aca="false">BP78*BQ78</f>
        <v>2.95722609125261</v>
      </c>
    </row>
    <row r="79" customFormat="false" ht="18" hidden="false" customHeight="false" outlineLevel="0" collapsed="false">
      <c r="A79" s="112" t="n">
        <f aca="false">[2]EnergyCurve!$D101</f>
        <v>39234</v>
      </c>
      <c r="B79" s="324" t="n">
        <f aca="false" t="array" ref="B79:B79">SUM(IF(MONTH(NymexData!$AI$12:$AI$250)&amp;YEAR(NymexData!$AI$12:$AI$250)=MONTH(A79)&amp;YEAR(A79),NymexData!$AJ$12:$AJ$250))</f>
        <v>-161.37397612</v>
      </c>
      <c r="C79" s="325" t="n">
        <f aca="false">BD79*BJ79*BI79</f>
        <v>0</v>
      </c>
      <c r="D79" s="326" t="n">
        <f aca="false">C79+B79</f>
        <v>-161.37397612</v>
      </c>
      <c r="E79" s="327" t="n">
        <f aca="false" t="array" ref="E79:E79">SUM(IF(MONTH(NymexData!$S$12:$S$250)&amp;YEAR(NymexData!$S$12:$S$250)=MONTH(A79)&amp;YEAR(A79),NymexData!$T$12:$T$250))</f>
        <v>3.9235</v>
      </c>
      <c r="F79" s="327" t="n">
        <f aca="false">G79-E79</f>
        <v>-0.0470000000000002</v>
      </c>
      <c r="G79" s="328" t="n">
        <f aca="false" t="array" ref="G79:G79">IF(NymexData!$AA$12="",GasPosn!E79,SUM(IF(MONTH(NymexData!$AA$12:$AA$250)&amp;YEAR(NymexData!$AA$12:$AA$250)=MONTH(A79)&amp;YEAR(A79),NymexData!$AB$12:$AB$250)))</f>
        <v>3.8765</v>
      </c>
      <c r="H79" s="115" t="n">
        <f aca="false">B79*10000*F79</f>
        <v>75845.7687764003</v>
      </c>
      <c r="I79" s="119" t="n">
        <f aca="false">(((G79-Q79)*P79+(G79-S79)*R79+(G79-U79)*T79+(G79-W79)*V79+(G79-Y79)*X79+(G79-AA79)*Z79+(G79-AC79)*AB79+(G79-AE79)*AD79+(G79-AG79)*AF79+(G79-AI79)*AH79+(G79-AK79)*AJ79+(G79-AM79)*AL79+(G79-AO79)*AN79+(G79-AQ79)*AP79+(G79-AS79)*AR79+(G79-AU79)*AT79+(G79-AW79)*AV79+(G79-AY79)*AX79+(G79-BA79)*AZ79+(G79-BC79)*BB79)*BJ79*BI79)*10000</f>
        <v>0</v>
      </c>
      <c r="J79" s="119" t="n">
        <f aca="false">H79+I79</f>
        <v>75845.7687764003</v>
      </c>
      <c r="L79" s="329"/>
      <c r="O79" s="95" t="n">
        <f aca="false">A79</f>
        <v>39234</v>
      </c>
      <c r="BD79" s="100" t="n">
        <f aca="false">(P79+R79+T79+V79+X79+Z79+AB79+AD79+AF79+AH79+AJ79+AL79+AN79+AP79+AR79+AT79+AV79+AX79+AZ79+BB79)</f>
        <v>0</v>
      </c>
      <c r="BE79" s="322" t="n">
        <f aca="false">IF(AND(BD79=0,BH79=0),0,(ABS(P79)*Q79+ABS(R79)*S79+ABS(T79)*U79+ABS(V79)*W79+ABS(X79)*Y79+ABS(Z79)*AA79+ABS(AB79)*AC79+ABS(AD79)*AE79+ABS(AF79)*AG79+ABS(AH79)*AI79+ABS(AJ79)*AK79+ABS(AL79)*AM79+ABS(AN79)*AO79+ABS(AP79)*AQ79+ABS(AR79)*AS79+ABS(AT79)*AU79+ABS(AV79)*AW79+ABS(AX79)*AY79+ABS(AZ79)*BA79+ABS(BB79)*BC79)/BH79)</f>
        <v>0</v>
      </c>
      <c r="BG79" s="103" t="n">
        <f aca="false">O79</f>
        <v>39234</v>
      </c>
      <c r="BH79" s="323" t="n">
        <f aca="false">(ABS(P79)+ABS(R79)+ABS(T79)+ABS(V79)+ABS(X79)+ABS(Z79)+ABS(AB79)+ABS(AD79)+ABS(AF79)+ABS(AH79)+ABS(AJ79)+ABS(AL79)+ABS(AN79)+ABS(AP79)+ABS(AR79)+ABS(AT79)+ABS(AV79)+ABS(AX79)+ABS(AZ79)+ABS(BB79))</f>
        <v>0</v>
      </c>
      <c r="BI79" s="104" t="n">
        <f aca="false">VLOOKUP(GasPosn!A79,'Pricing Summary'!$AB$12:$AD$250,3)</f>
        <v>30</v>
      </c>
      <c r="BJ79" s="102" t="n">
        <f aca="false">VLOOKUP(A79,Interest!$AF$8:$AK$367,6)</f>
        <v>0.766658667910148</v>
      </c>
      <c r="BL79" s="0" t="n">
        <f aca="false">J79*VLOOKUP(A79,NymexData!$J$12:$K$244,2)</f>
        <v>119652.858709364</v>
      </c>
      <c r="BO79" s="0" t="n">
        <f aca="false">Interest!AK75</f>
        <v>0.766658667910148</v>
      </c>
      <c r="BP79" s="0" t="n">
        <f aca="false">G79*Interest!AK75</f>
        <v>2.97195232615369</v>
      </c>
      <c r="BQ79" s="0" t="n">
        <f aca="false">IF(AND(A79&gt;=$B$3,A79&lt;=$B$4),1,0)</f>
        <v>1</v>
      </c>
      <c r="BR79" s="0" t="n">
        <f aca="false">BO79*BQ79</f>
        <v>0.766658667910148</v>
      </c>
      <c r="BS79" s="0" t="n">
        <f aca="false">BP79*BQ79</f>
        <v>2.97195232615369</v>
      </c>
    </row>
    <row r="80" customFormat="false" ht="18" hidden="false" customHeight="false" outlineLevel="0" collapsed="false">
      <c r="A80" s="75" t="n">
        <f aca="false">[2]EnergyCurve!$D102</f>
        <v>39264</v>
      </c>
      <c r="B80" s="317" t="n">
        <f aca="false" t="array" ref="B80:B80">SUM(IF(MONTH(NymexData!$AI$12:$AI$250)&amp;YEAR(NymexData!$AI$12:$AI$250)=MONTH(A80)&amp;YEAR(A80),NymexData!$AJ$12:$AJ$250))</f>
        <v>-165.94496198</v>
      </c>
      <c r="C80" s="317" t="n">
        <f aca="false">BD80*BJ80*BI80</f>
        <v>0</v>
      </c>
      <c r="D80" s="319" t="n">
        <f aca="false">C80+B80</f>
        <v>-165.94496198</v>
      </c>
      <c r="E80" s="320" t="n">
        <f aca="false" t="array" ref="E80:E80">SUM(IF(MONTH(NymexData!$S$12:$S$250)&amp;YEAR(NymexData!$S$12:$S$250)=MONTH(A80)&amp;YEAR(A80),NymexData!$T$12:$T$250))</f>
        <v>3.9685</v>
      </c>
      <c r="F80" s="320" t="n">
        <f aca="false">G80-E80</f>
        <v>-0.0470000000000002</v>
      </c>
      <c r="G80" s="321" t="n">
        <f aca="false" t="array" ref="G80:G80">IF(NymexData!$AA$12="",GasPosn!E80,SUM(IF(MONTH(NymexData!$AA$12:$AA$250)&amp;YEAR(NymexData!$AA$12:$AA$250)=MONTH(A80)&amp;YEAR(A80),NymexData!$AB$12:$AB$250)))</f>
        <v>3.9215</v>
      </c>
      <c r="H80" s="76" t="n">
        <f aca="false">B80*10000*F80</f>
        <v>77994.1321306003</v>
      </c>
      <c r="I80" s="82" t="n">
        <f aca="false">(((G80-Q80)*P80+(G80-S80)*R80+(G80-U80)*T80+(G80-W80)*V80+(G80-Y80)*X80+(G80-AA80)*Z80+(G80-AC80)*AB80+(G80-AE80)*AD80+(G80-AG80)*AF80+(G80-AI80)*AH80+(G80-AK80)*AJ80+(G80-AM80)*AL80+(G80-AO80)*AN80+(G80-AQ80)*AP80+(G80-AS80)*AR80+(G80-AU80)*AT80+(G80-AW80)*AV80+(G80-AY80)*AX80+(G80-BA80)*AZ80+(G80-BC80)*BB80)*BJ80*BI80)*10000</f>
        <v>0</v>
      </c>
      <c r="J80" s="82" t="n">
        <f aca="false">H80+I80</f>
        <v>77994.1321306003</v>
      </c>
      <c r="L80" s="329"/>
      <c r="O80" s="95" t="n">
        <f aca="false">A80</f>
        <v>39264</v>
      </c>
      <c r="BD80" s="100" t="n">
        <f aca="false">(P80+R80+T80+V80+X80+Z80+AB80+AD80+AF80+AH80+AJ80+AL80+AN80+AP80+AR80+AT80+AV80+AX80+AZ80+BB80)</f>
        <v>0</v>
      </c>
      <c r="BE80" s="322" t="n">
        <f aca="false">IF(AND(BD80=0,BH80=0),0,(ABS(P80)*Q80+ABS(R80)*S80+ABS(T80)*U80+ABS(V80)*W80+ABS(X80)*Y80+ABS(Z80)*AA80+ABS(AB80)*AC80+ABS(AD80)*AE80+ABS(AF80)*AG80+ABS(AH80)*AI80+ABS(AJ80)*AK80+ABS(AL80)*AM80+ABS(AN80)*AO80+ABS(AP80)*AQ80+ABS(AR80)*AS80+ABS(AT80)*AU80+ABS(AV80)*AW80+ABS(AX80)*AY80+ABS(AZ80)*BA80+ABS(BB80)*BC80)/BH80)</f>
        <v>0</v>
      </c>
      <c r="BG80" s="103" t="n">
        <f aca="false">O80</f>
        <v>39264</v>
      </c>
      <c r="BH80" s="323" t="n">
        <f aca="false">(ABS(P80)+ABS(R80)+ABS(T80)+ABS(V80)+ABS(X80)+ABS(Z80)+ABS(AB80)+ABS(AD80)+ABS(AF80)+ABS(AH80)+ABS(AJ80)+ABS(AL80)+ABS(AN80)+ABS(AP80)+ABS(AR80)+ABS(AT80)+ABS(AV80)+ABS(AX80)+ABS(AZ80)+ABS(BB80))</f>
        <v>0</v>
      </c>
      <c r="BI80" s="104" t="n">
        <f aca="false">VLOOKUP(GasPosn!A80,'Pricing Summary'!$AB$12:$AD$250,3)</f>
        <v>31</v>
      </c>
      <c r="BJ80" s="102" t="n">
        <f aca="false">VLOOKUP(A80,Interest!$AF$8:$AK$367,6)</f>
        <v>0.7628290486285</v>
      </c>
      <c r="BL80" s="0" t="n">
        <f aca="false">J80*VLOOKUP(A80,NymexData!$J$12:$K$244,2)</f>
        <v>123040.486078434</v>
      </c>
      <c r="BO80" s="0" t="n">
        <f aca="false">Interest!AK76</f>
        <v>0.7628290486285</v>
      </c>
      <c r="BP80" s="0" t="n">
        <f aca="false">G80*Interest!AK76</f>
        <v>2.99143411419666</v>
      </c>
      <c r="BQ80" s="0" t="n">
        <f aca="false">IF(AND(A80&gt;=$B$3,A80&lt;=$B$4),1,0)</f>
        <v>1</v>
      </c>
      <c r="BR80" s="0" t="n">
        <f aca="false">BO80*BQ80</f>
        <v>0.7628290486285</v>
      </c>
      <c r="BS80" s="0" t="n">
        <f aca="false">BP80*BQ80</f>
        <v>2.99143411419666</v>
      </c>
    </row>
    <row r="81" customFormat="false" ht="18" hidden="false" customHeight="false" outlineLevel="0" collapsed="false">
      <c r="A81" s="112" t="n">
        <f aca="false">[2]EnergyCurve!$D103</f>
        <v>39295</v>
      </c>
      <c r="B81" s="324" t="n">
        <f aca="false" t="array" ref="B81:B81">SUM(IF(MONTH(NymexData!$AI$12:$AI$250)&amp;YEAR(NymexData!$AI$12:$AI$250)=MONTH(A81)&amp;YEAR(A81),NymexData!$AJ$12:$AJ$250))</f>
        <v>-165.10901246</v>
      </c>
      <c r="C81" s="325" t="n">
        <f aca="false">BD81*BJ81*BI81</f>
        <v>0</v>
      </c>
      <c r="D81" s="326" t="n">
        <f aca="false">C81+B81</f>
        <v>-165.10901246</v>
      </c>
      <c r="E81" s="327" t="n">
        <f aca="false" t="array" ref="E81:E81">SUM(IF(MONTH(NymexData!$S$12:$S$250)&amp;YEAR(NymexData!$S$12:$S$250)=MONTH(A81)&amp;YEAR(A81),NymexData!$T$12:$T$250))</f>
        <v>4.0065</v>
      </c>
      <c r="F81" s="327" t="n">
        <f aca="false">G81-E81</f>
        <v>-0.0469999999999997</v>
      </c>
      <c r="G81" s="328" t="n">
        <f aca="false" t="array" ref="G81:G81">IF(NymexData!$AA$12="",GasPosn!E81,SUM(IF(MONTH(NymexData!$AA$12:$AA$250)&amp;YEAR(NymexData!$AA$12:$AA$250)=MONTH(A81)&amp;YEAR(A81),NymexData!$AB$12:$AB$250)))</f>
        <v>3.9595</v>
      </c>
      <c r="H81" s="115" t="n">
        <f aca="false">B81*10000*F81</f>
        <v>77601.2358561995</v>
      </c>
      <c r="I81" s="119" t="n">
        <f aca="false">(((G81-Q81)*P81+(G81-S81)*R81+(G81-U81)*T81+(G81-W81)*V81+(G81-Y81)*X81+(G81-AA81)*Z81+(G81-AC81)*AB81+(G81-AE81)*AD81+(G81-AG81)*AF81+(G81-AI81)*AH81+(G81-AK81)*AJ81+(G81-AM81)*AL81+(G81-AO81)*AN81+(G81-AQ81)*AP81+(G81-AS81)*AR81+(G81-AU81)*AT81+(G81-AW81)*AV81+(G81-AY81)*AX81+(G81-BA81)*AZ81+(G81-BC81)*BB81)*BJ81*BI81)*10000</f>
        <v>0</v>
      </c>
      <c r="J81" s="119" t="n">
        <f aca="false">H81+I81</f>
        <v>77601.2358561995</v>
      </c>
      <c r="L81" s="329"/>
      <c r="O81" s="95" t="n">
        <f aca="false">A81</f>
        <v>39295</v>
      </c>
      <c r="BD81" s="100" t="n">
        <f aca="false">(P81+R81+T81+V81+X81+Z81+AB81+AD81+AF81+AH81+AJ81+AL81+AN81+AP81+AR81+AT81+AV81+AX81+AZ81+BB81)</f>
        <v>0</v>
      </c>
      <c r="BE81" s="322" t="n">
        <f aca="false">IF(AND(BD81=0,BH81=0),0,(ABS(P81)*Q81+ABS(R81)*S81+ABS(T81)*U81+ABS(V81)*W81+ABS(X81)*Y81+ABS(Z81)*AA81+ABS(AB81)*AC81+ABS(AD81)*AE81+ABS(AF81)*AG81+ABS(AH81)*AI81+ABS(AJ81)*AK81+ABS(AL81)*AM81+ABS(AN81)*AO81+ABS(AP81)*AQ81+ABS(AR81)*AS81+ABS(AT81)*AU81+ABS(AV81)*AW81+ABS(AX81)*AY81+ABS(AZ81)*BA81+ABS(BB81)*BC81)/BH81)</f>
        <v>0</v>
      </c>
      <c r="BG81" s="103" t="n">
        <f aca="false">O81</f>
        <v>39295</v>
      </c>
      <c r="BH81" s="323" t="n">
        <f aca="false">(ABS(P81)+ABS(R81)+ABS(T81)+ABS(V81)+ABS(X81)+ABS(Z81)+ABS(AB81)+ABS(AD81)+ABS(AF81)+ABS(AH81)+ABS(AJ81)+ABS(AL81)+ABS(AN81)+ABS(AP81)+ABS(AR81)+ABS(AT81)+ABS(AV81)+ABS(AX81)+ABS(AZ81)+ABS(BB81))</f>
        <v>0</v>
      </c>
      <c r="BI81" s="104" t="n">
        <f aca="false">VLOOKUP(GasPosn!A81,'Pricing Summary'!$AB$12:$AD$250,3)</f>
        <v>31</v>
      </c>
      <c r="BJ81" s="102" t="n">
        <f aca="false">VLOOKUP(A81,Interest!$AF$8:$AK$367,6)</f>
        <v>0.758968471168259</v>
      </c>
      <c r="BL81" s="0" t="n">
        <f aca="false">J81*VLOOKUP(A81,NymexData!$J$12:$K$244,2)</f>
        <v>122418.827895658</v>
      </c>
      <c r="BO81" s="0" t="n">
        <f aca="false">Interest!AK77</f>
        <v>0.758968471168259</v>
      </c>
      <c r="BP81" s="0" t="n">
        <f aca="false">G81*Interest!AK77</f>
        <v>3.00513566159072</v>
      </c>
      <c r="BQ81" s="0" t="n">
        <f aca="false">IF(AND(A81&gt;=$B$3,A81&lt;=$B$4),1,0)</f>
        <v>1</v>
      </c>
      <c r="BR81" s="0" t="n">
        <f aca="false">BO81*BQ81</f>
        <v>0.758968471168259</v>
      </c>
      <c r="BS81" s="0" t="n">
        <f aca="false">BP81*BQ81</f>
        <v>3.00513566159072</v>
      </c>
    </row>
    <row r="82" customFormat="false" ht="18" hidden="false" customHeight="false" outlineLevel="0" collapsed="false">
      <c r="A82" s="75" t="n">
        <f aca="false">[2]EnergyCurve!$D104</f>
        <v>39326</v>
      </c>
      <c r="B82" s="317" t="n">
        <f aca="false" t="array" ref="B82:B82">SUM(IF(MONTH(NymexData!$AI$12:$AI$250)&amp;YEAR(NymexData!$AI$12:$AI$250)=MONTH(A82)&amp;YEAR(A82),NymexData!$AJ$12:$AJ$250))</f>
        <v>-158.97313516</v>
      </c>
      <c r="C82" s="317" t="n">
        <f aca="false">BD82*BJ82*BI82</f>
        <v>0</v>
      </c>
      <c r="D82" s="319" t="n">
        <f aca="false">C82+B82</f>
        <v>-158.97313516</v>
      </c>
      <c r="E82" s="320" t="n">
        <f aca="false" t="array" ref="E82:E82">SUM(IF(MONTH(NymexData!$S$12:$S$250)&amp;YEAR(NymexData!$S$12:$S$250)=MONTH(A82)&amp;YEAR(A82),NymexData!$T$12:$T$250))</f>
        <v>4.0005</v>
      </c>
      <c r="F82" s="320" t="n">
        <f aca="false">G82-E82</f>
        <v>-0.0470000000000006</v>
      </c>
      <c r="G82" s="321" t="n">
        <f aca="false" t="array" ref="G82:G82">IF(NymexData!$AA$12="",GasPosn!E82,SUM(IF(MONTH(NymexData!$AA$12:$AA$250)&amp;YEAR(NymexData!$AA$12:$AA$250)=MONTH(A82)&amp;YEAR(A82),NymexData!$AB$12:$AB$250)))</f>
        <v>3.9535</v>
      </c>
      <c r="H82" s="76" t="n">
        <f aca="false">B82*10000*F82</f>
        <v>74717.373525201</v>
      </c>
      <c r="I82" s="82" t="n">
        <f aca="false">(((G82-Q82)*P82+(G82-S82)*R82+(G82-U82)*T82+(G82-W82)*V82+(G82-Y82)*X82+(G82-AA82)*Z82+(G82-AC82)*AB82+(G82-AE82)*AD82+(G82-AG82)*AF82+(G82-AI82)*AH82+(G82-AK82)*AJ82+(G82-AM82)*AL82+(G82-AO82)*AN82+(G82-AQ82)*AP82+(G82-AS82)*AR82+(G82-AU82)*AT82+(G82-AW82)*AV82+(G82-AY82)*AX82+(G82-BA82)*AZ82+(G82-BC82)*BB82)*BJ82*BI82)*10000</f>
        <v>0</v>
      </c>
      <c r="J82" s="82" t="n">
        <f aca="false">H82+I82</f>
        <v>74717.373525201</v>
      </c>
      <c r="L82" s="329"/>
      <c r="O82" s="95" t="n">
        <f aca="false">A82</f>
        <v>39326</v>
      </c>
      <c r="BD82" s="100" t="n">
        <f aca="false">(P82+R82+T82+V82+X82+Z82+AB82+AD82+AF82+AH82+AJ82+AL82+AN82+AP82+AR82+AT82+AV82+AX82+AZ82+BB82)</f>
        <v>0</v>
      </c>
      <c r="BE82" s="322" t="n">
        <f aca="false">IF(AND(BD82=0,BH82=0),0,(ABS(P82)*Q82+ABS(R82)*S82+ABS(T82)*U82+ABS(V82)*W82+ABS(X82)*Y82+ABS(Z82)*AA82+ABS(AB82)*AC82+ABS(AD82)*AE82+ABS(AF82)*AG82+ABS(AH82)*AI82+ABS(AJ82)*AK82+ABS(AL82)*AM82+ABS(AN82)*AO82+ABS(AP82)*AQ82+ABS(AR82)*AS82+ABS(AT82)*AU82+ABS(AV82)*AW82+ABS(AX82)*AY82+ABS(AZ82)*BA82+ABS(BB82)*BC82)/BH82)</f>
        <v>0</v>
      </c>
      <c r="BG82" s="103" t="n">
        <f aca="false">O82</f>
        <v>39326</v>
      </c>
      <c r="BH82" s="323" t="n">
        <f aca="false">(ABS(P82)+ABS(R82)+ABS(T82)+ABS(V82)+ABS(X82)+ABS(Z82)+ABS(AB82)+ABS(AD82)+ABS(AF82)+ABS(AH82)+ABS(AJ82)+ABS(AL82)+ABS(AN82)+ABS(AP82)+ABS(AR82)+ABS(AT82)+ABS(AV82)+ABS(AX82)+ABS(AZ82)+ABS(BB82))</f>
        <v>0</v>
      </c>
      <c r="BI82" s="104" t="n">
        <f aca="false">VLOOKUP(GasPosn!A82,'Pricing Summary'!$AB$12:$AD$250,3)</f>
        <v>30</v>
      </c>
      <c r="BJ82" s="102" t="n">
        <f aca="false">VLOOKUP(A82,Interest!$AF$8:$AK$367,6)</f>
        <v>0.755201199742492</v>
      </c>
      <c r="BL82" s="0" t="n">
        <f aca="false">J82*VLOOKUP(A82,NymexData!$J$12:$K$244,2)</f>
        <v>117867.45510801</v>
      </c>
      <c r="BO82" s="0" t="n">
        <f aca="false">Interest!AK78</f>
        <v>0.755201199742492</v>
      </c>
      <c r="BP82" s="0" t="n">
        <f aca="false">G82*Interest!AK78</f>
        <v>2.98568794318194</v>
      </c>
      <c r="BQ82" s="0" t="n">
        <f aca="false">IF(AND(A82&gt;=$B$3,A82&lt;=$B$4),1,0)</f>
        <v>1</v>
      </c>
      <c r="BR82" s="0" t="n">
        <f aca="false">BO82*BQ82</f>
        <v>0.755201199742492</v>
      </c>
      <c r="BS82" s="0" t="n">
        <f aca="false">BP82*BQ82</f>
        <v>2.98568794318194</v>
      </c>
    </row>
    <row r="83" customFormat="false" ht="18" hidden="false" customHeight="false" outlineLevel="0" collapsed="false">
      <c r="A83" s="112" t="n">
        <f aca="false">[2]EnergyCurve!$D105</f>
        <v>39356</v>
      </c>
      <c r="B83" s="324" t="n">
        <f aca="false" t="array" ref="B83:B83">SUM(IF(MONTH(NymexData!$AI$12:$AI$250)&amp;YEAR(NymexData!$AI$12:$AI$250)=MONTH(A83)&amp;YEAR(A83),NymexData!$AJ$12:$AJ$250))</f>
        <v>-163.46172864</v>
      </c>
      <c r="C83" s="325" t="n">
        <f aca="false">BD83*BJ83*BI83</f>
        <v>0</v>
      </c>
      <c r="D83" s="326" t="n">
        <f aca="false">C83+B83</f>
        <v>-163.46172864</v>
      </c>
      <c r="E83" s="327" t="n">
        <f aca="false" t="array" ref="E83:E83">SUM(IF(MONTH(NymexData!$S$12:$S$250)&amp;YEAR(NymexData!$S$12:$S$250)=MONTH(A83)&amp;YEAR(A83),NymexData!$T$12:$T$250))</f>
        <v>4.0005</v>
      </c>
      <c r="F83" s="327" t="n">
        <f aca="false">G83-E83</f>
        <v>-0.0470000000000006</v>
      </c>
      <c r="G83" s="328" t="n">
        <f aca="false" t="array" ref="G83:G83">IF(NymexData!$AA$12="",GasPosn!E83,SUM(IF(MONTH(NymexData!$AA$12:$AA$250)&amp;YEAR(NymexData!$AA$12:$AA$250)=MONTH(A83)&amp;YEAR(A83),NymexData!$AB$12:$AB$250)))</f>
        <v>3.9535</v>
      </c>
      <c r="H83" s="115" t="n">
        <f aca="false">B83*10000*F83</f>
        <v>76827.012460801</v>
      </c>
      <c r="I83" s="119" t="n">
        <f aca="false">(((G83-Q83)*P83+(G83-S83)*R83+(G83-U83)*T83+(G83-W83)*V83+(G83-Y83)*X83+(G83-AA83)*Z83+(G83-AC83)*AB83+(G83-AE83)*AD83+(G83-AG83)*AF83+(G83-AI83)*AH83+(G83-AK83)*AJ83+(G83-AM83)*AL83+(G83-AO83)*AN83+(G83-AQ83)*AP83+(G83-AS83)*AR83+(G83-AU83)*AT83+(G83-AW83)*AV83+(G83-AY83)*AX83+(G83-BA83)*AZ83+(G83-BC83)*BB83)*BJ83*BI83)*10000</f>
        <v>0</v>
      </c>
      <c r="J83" s="119" t="n">
        <f aca="false">H83+I83</f>
        <v>76827.012460801</v>
      </c>
      <c r="L83" s="329"/>
      <c r="O83" s="95" t="n">
        <f aca="false">A83</f>
        <v>39356</v>
      </c>
      <c r="BD83" s="100" t="n">
        <f aca="false">(P83+R83+T83+V83+X83+Z83+AB83+AD83+AF83+AH83+AJ83+AL83+AN83+AP83+AR83+AT83+AV83+AX83+AZ83+BB83)</f>
        <v>0</v>
      </c>
      <c r="BE83" s="322" t="n">
        <f aca="false">IF(AND(BD83=0,BH83=0),0,(ABS(P83)*Q83+ABS(R83)*S83+ABS(T83)*U83+ABS(V83)*W83+ABS(X83)*Y83+ABS(Z83)*AA83+ABS(AB83)*AC83+ABS(AD83)*AE83+ABS(AF83)*AG83+ABS(AH83)*AI83+ABS(AJ83)*AK83+ABS(AL83)*AM83+ABS(AN83)*AO83+ABS(AP83)*AQ83+ABS(AR83)*AS83+ABS(AT83)*AU83+ABS(AV83)*AW83+ABS(AX83)*AY83+ABS(AZ83)*BA83+ABS(BB83)*BC83)/BH83)</f>
        <v>0</v>
      </c>
      <c r="BG83" s="103" t="n">
        <f aca="false">O83</f>
        <v>39356</v>
      </c>
      <c r="BH83" s="323" t="n">
        <f aca="false">(ABS(P83)+ABS(R83)+ABS(T83)+ABS(V83)+ABS(X83)+ABS(Z83)+ABS(AB83)+ABS(AD83)+ABS(AF83)+ABS(AH83)+ABS(AJ83)+ABS(AL83)+ABS(AN83)+ABS(AP83)+ABS(AR83)+ABS(AT83)+ABS(AV83)+ABS(AX83)+ABS(AZ83)+ABS(BB83))</f>
        <v>0</v>
      </c>
      <c r="BI83" s="104" t="n">
        <f aca="false">VLOOKUP(GasPosn!A83,'Pricing Summary'!$AB$12:$AD$250,3)</f>
        <v>31</v>
      </c>
      <c r="BJ83" s="102" t="n">
        <f aca="false">VLOOKUP(A83,Interest!$AF$8:$AK$367,6)</f>
        <v>0.751359384964995</v>
      </c>
      <c r="BL83" s="0" t="n">
        <f aca="false">J83*VLOOKUP(A83,NymexData!$J$12:$K$244,2)</f>
        <v>121193.273120788</v>
      </c>
      <c r="BO83" s="0" t="n">
        <f aca="false">Interest!AK79</f>
        <v>0.751359384964995</v>
      </c>
      <c r="BP83" s="0" t="n">
        <f aca="false">G83*Interest!AK79</f>
        <v>2.97049932845911</v>
      </c>
      <c r="BQ83" s="0" t="n">
        <f aca="false">IF(AND(A83&gt;=$B$3,A83&lt;=$B$4),1,0)</f>
        <v>1</v>
      </c>
      <c r="BR83" s="0" t="n">
        <f aca="false">BO83*BQ83</f>
        <v>0.751359384964995</v>
      </c>
      <c r="BS83" s="0" t="n">
        <f aca="false">BP83*BQ83</f>
        <v>2.97049932845911</v>
      </c>
    </row>
    <row r="84" customFormat="false" ht="18" hidden="false" customHeight="false" outlineLevel="0" collapsed="false">
      <c r="A84" s="75" t="n">
        <f aca="false">[2]EnergyCurve!$D106</f>
        <v>39387</v>
      </c>
      <c r="B84" s="317" t="n">
        <f aca="false" t="array" ref="B84:B84">SUM(IF(MONTH(NymexData!$AI$12:$AI$250)&amp;YEAR(NymexData!$AI$12:$AI$250)=MONTH(A84)&amp;YEAR(A84),NymexData!$AJ$12:$AJ$250))</f>
        <v>-157.37758008</v>
      </c>
      <c r="C84" s="317" t="n">
        <f aca="false">BD84*BJ84*BI84</f>
        <v>0</v>
      </c>
      <c r="D84" s="319" t="n">
        <f aca="false">C84+B84</f>
        <v>-157.37758008</v>
      </c>
      <c r="E84" s="320" t="n">
        <f aca="false" t="array" ref="E84:E84">SUM(IF(MONTH(NymexData!$S$12:$S$250)&amp;YEAR(NymexData!$S$12:$S$250)=MONTH(A84)&amp;YEAR(A84),NymexData!$T$12:$T$250))</f>
        <v>4.1485</v>
      </c>
      <c r="F84" s="320" t="n">
        <f aca="false">G84-E84</f>
        <v>-0.0460000000000003</v>
      </c>
      <c r="G84" s="321" t="n">
        <f aca="false" t="array" ref="G84:G84">IF(NymexData!$AA$12="",GasPosn!E84,SUM(IF(MONTH(NymexData!$AA$12:$AA$250)&amp;YEAR(NymexData!$AA$12:$AA$250)=MONTH(A84)&amp;YEAR(A84),NymexData!$AB$12:$AB$250)))</f>
        <v>4.1025</v>
      </c>
      <c r="H84" s="76" t="n">
        <f aca="false">B84*10000*F84</f>
        <v>72393.6868368004</v>
      </c>
      <c r="I84" s="82" t="n">
        <f aca="false">(((G84-Q84)*P84+(G84-S84)*R84+(G84-U84)*T84+(G84-W84)*V84+(G84-Y84)*X84+(G84-AA84)*Z84+(G84-AC84)*AB84+(G84-AE84)*AD84+(G84-AG84)*AF84+(G84-AI84)*AH84+(G84-AK84)*AJ84+(G84-AM84)*AL84+(G84-AO84)*AN84+(G84-AQ84)*AP84+(G84-AS84)*AR84+(G84-AU84)*AT84+(G84-AW84)*AV84+(G84-AY84)*AX84+(G84-BA84)*AZ84+(G84-BC84)*BB84)*BJ84*BI84)*10000</f>
        <v>0</v>
      </c>
      <c r="J84" s="82" t="n">
        <f aca="false">H84+I84</f>
        <v>72393.6868368004</v>
      </c>
      <c r="L84" s="329"/>
      <c r="O84" s="95" t="n">
        <f aca="false">A84</f>
        <v>39387</v>
      </c>
      <c r="BD84" s="100" t="n">
        <f aca="false">(P84+R84+T84+V84+X84+Z84+AB84+AD84+AF84+AH84+AJ84+AL84+AN84+AP84+AR84+AT84+AV84+AX84+AZ84+BB84)</f>
        <v>0</v>
      </c>
      <c r="BE84" s="322" t="n">
        <f aca="false">IF(AND(BD84=0,BH84=0),0,(ABS(P84)*Q84+ABS(R84)*S84+ABS(T84)*U84+ABS(V84)*W84+ABS(X84)*Y84+ABS(Z84)*AA84+ABS(AB84)*AC84+ABS(AD84)*AE84+ABS(AF84)*AG84+ABS(AH84)*AI84+ABS(AJ84)*AK84+ABS(AL84)*AM84+ABS(AN84)*AO84+ABS(AP84)*AQ84+ABS(AR84)*AS84+ABS(AT84)*AU84+ABS(AV84)*AW84+ABS(AX84)*AY84+ABS(AZ84)*BA84+ABS(BB84)*BC84)/BH84)</f>
        <v>0</v>
      </c>
      <c r="BG84" s="103" t="n">
        <f aca="false">O84</f>
        <v>39387</v>
      </c>
      <c r="BH84" s="323" t="n">
        <f aca="false">(ABS(P84)+ABS(R84)+ABS(T84)+ABS(V84)+ABS(X84)+ABS(Z84)+ABS(AB84)+ABS(AD84)+ABS(AF84)+ABS(AH84)+ABS(AJ84)+ABS(AL84)+ABS(AN84)+ABS(AP84)+ABS(AR84)+ABS(AT84)+ABS(AV84)+ABS(AX84)+ABS(AZ84)+ABS(BB84))</f>
        <v>0</v>
      </c>
      <c r="BI84" s="104" t="n">
        <f aca="false">VLOOKUP(GasPosn!A84,'Pricing Summary'!$AB$12:$AD$250,3)</f>
        <v>30</v>
      </c>
      <c r="BJ84" s="102" t="n">
        <f aca="false">VLOOKUP(A84,Interest!$AF$8:$AK$367,6)</f>
        <v>0.747584095261325</v>
      </c>
      <c r="BL84" s="0" t="n">
        <f aca="false">J84*VLOOKUP(A84,NymexData!$J$12:$K$244,2)</f>
        <v>114197.484608635</v>
      </c>
      <c r="BO84" s="0" t="n">
        <f aca="false">Interest!AK80</f>
        <v>0.747584095261325</v>
      </c>
      <c r="BP84" s="0" t="n">
        <f aca="false">G84*Interest!AK80</f>
        <v>3.06696375080959</v>
      </c>
      <c r="BQ84" s="0" t="n">
        <f aca="false">IF(AND(A84&gt;=$B$3,A84&lt;=$B$4),1,0)</f>
        <v>1</v>
      </c>
      <c r="BR84" s="0" t="n">
        <f aca="false">BO84*BQ84</f>
        <v>0.747584095261325</v>
      </c>
      <c r="BS84" s="0" t="n">
        <f aca="false">BP84*BQ84</f>
        <v>3.06696375080959</v>
      </c>
    </row>
    <row r="85" customFormat="false" ht="18" hidden="false" customHeight="false" outlineLevel="0" collapsed="false">
      <c r="A85" s="112" t="n">
        <f aca="false">[2]EnergyCurve!$D107</f>
        <v>39417</v>
      </c>
      <c r="B85" s="324" t="n">
        <f aca="false" t="array" ref="B85:B85">SUM(IF(MONTH(NymexData!$AI$12:$AI$250)&amp;YEAR(NymexData!$AI$12:$AI$250)=MONTH(A85)&amp;YEAR(A85),NymexData!$AJ$12:$AJ$250))</f>
        <v>-161.81168318</v>
      </c>
      <c r="C85" s="325" t="n">
        <f aca="false">BD85*BJ85*BI85</f>
        <v>0</v>
      </c>
      <c r="D85" s="326" t="n">
        <f aca="false">C85+B85</f>
        <v>-161.81168318</v>
      </c>
      <c r="E85" s="327" t="n">
        <f aca="false" t="array" ref="E85:E85">SUM(IF(MONTH(NymexData!$S$12:$S$250)&amp;YEAR(NymexData!$S$12:$S$250)=MONTH(A85)&amp;YEAR(A85),NymexData!$T$12:$T$250))</f>
        <v>4.3005</v>
      </c>
      <c r="F85" s="327" t="n">
        <f aca="false">G85-E85</f>
        <v>-0.0460000000000003</v>
      </c>
      <c r="G85" s="328" t="n">
        <f aca="false" t="array" ref="G85:G85">IF(NymexData!$AA$12="",GasPosn!E85,SUM(IF(MONTH(NymexData!$AA$12:$AA$250)&amp;YEAR(NymexData!$AA$12:$AA$250)=MONTH(A85)&amp;YEAR(A85),NymexData!$AB$12:$AB$250)))</f>
        <v>4.2545</v>
      </c>
      <c r="H85" s="115" t="n">
        <f aca="false">B85*10000*F85</f>
        <v>74433.3742628004</v>
      </c>
      <c r="I85" s="119" t="n">
        <f aca="false">(((G85-Q85)*P85+(G85-S85)*R85+(G85-U85)*T85+(G85-W85)*V85+(G85-Y85)*X85+(G85-AA85)*Z85+(G85-AC85)*AB85+(G85-AE85)*AD85+(G85-AG85)*AF85+(G85-AI85)*AH85+(G85-AK85)*AJ85+(G85-AM85)*AL85+(G85-AO85)*AN85+(G85-AQ85)*AP85+(G85-AS85)*AR85+(G85-AU85)*AT85+(G85-AW85)*AV85+(G85-AY85)*AX85+(G85-BA85)*AZ85+(G85-BC85)*BB85)*BJ85*BI85)*10000</f>
        <v>0</v>
      </c>
      <c r="J85" s="119" t="n">
        <f aca="false">H85+I85</f>
        <v>74433.3742628004</v>
      </c>
      <c r="L85" s="329"/>
      <c r="O85" s="95" t="n">
        <f aca="false">A85</f>
        <v>39417</v>
      </c>
      <c r="BD85" s="100" t="n">
        <f aca="false">(P85+R85+T85+V85+X85+Z85+AB85+AD85+AF85+AH85+AJ85+AL85+AN85+AP85+AR85+AT85+AV85+AX85+AZ85+BB85)</f>
        <v>0</v>
      </c>
      <c r="BE85" s="322" t="n">
        <f aca="false">IF(AND(BD85=0,BH85=0),0,(ABS(P85)*Q85+ABS(R85)*S85+ABS(T85)*U85+ABS(V85)*W85+ABS(X85)*Y85+ABS(Z85)*AA85+ABS(AB85)*AC85+ABS(AD85)*AE85+ABS(AF85)*AG85+ABS(AH85)*AI85+ABS(AJ85)*AK85+ABS(AL85)*AM85+ABS(AN85)*AO85+ABS(AP85)*AQ85+ABS(AR85)*AS85+ABS(AT85)*AU85+ABS(AV85)*AW85+ABS(AX85)*AY85+ABS(AZ85)*BA85+ABS(BB85)*BC85)/BH85)</f>
        <v>0</v>
      </c>
      <c r="BG85" s="103" t="n">
        <f aca="false">O85</f>
        <v>39417</v>
      </c>
      <c r="BH85" s="323" t="n">
        <f aca="false">(ABS(P85)+ABS(R85)+ABS(T85)+ABS(V85)+ABS(X85)+ABS(Z85)+ABS(AB85)+ABS(AD85)+ABS(AF85)+ABS(AH85)+ABS(AJ85)+ABS(AL85)+ABS(AN85)+ABS(AP85)+ABS(AR85)+ABS(AT85)+ABS(AV85)+ABS(AX85)+ABS(AZ85)+ABS(BB85))</f>
        <v>0</v>
      </c>
      <c r="BI85" s="104" t="n">
        <f aca="false">VLOOKUP(GasPosn!A85,'Pricing Summary'!$AB$12:$AD$250,3)</f>
        <v>31</v>
      </c>
      <c r="BJ85" s="102" t="n">
        <f aca="false">VLOOKUP(A85,Interest!$AF$8:$AK$367,6)</f>
        <v>0.743735479489769</v>
      </c>
      <c r="BL85" s="0" t="n">
        <f aca="false">J85*VLOOKUP(A85,NymexData!$J$12:$K$244,2)</f>
        <v>117412.517728376</v>
      </c>
      <c r="BO85" s="0" t="n">
        <f aca="false">Interest!AK81</f>
        <v>0.743735479489769</v>
      </c>
      <c r="BP85" s="0" t="n">
        <f aca="false">G85*Interest!AK81</f>
        <v>3.16422259748922</v>
      </c>
      <c r="BQ85" s="0" t="n">
        <f aca="false">IF(AND(A85&gt;=$B$3,A85&lt;=$B$4),1,0)</f>
        <v>1</v>
      </c>
      <c r="BR85" s="0" t="n">
        <f aca="false">BO85*BQ85</f>
        <v>0.743735479489769</v>
      </c>
      <c r="BS85" s="0" t="n">
        <f aca="false">BP85*BQ85</f>
        <v>3.16422259748922</v>
      </c>
    </row>
    <row r="86" customFormat="false" ht="18" hidden="false" customHeight="false" outlineLevel="0" collapsed="false">
      <c r="A86" s="75" t="n">
        <f aca="false">[2]EnergyCurve!$D108</f>
        <v>39448</v>
      </c>
      <c r="B86" s="317" t="n">
        <f aca="false" t="array" ref="B86:B86">SUM(IF(MONTH(NymexData!$AI$12:$AI$250)&amp;YEAR(NymexData!$AI$12:$AI$250)=MONTH(A86)&amp;YEAR(A86),NymexData!$AJ$12:$AJ$250))</f>
        <v>-160.97221252</v>
      </c>
      <c r="C86" s="317" t="n">
        <f aca="false">BD86*BJ86*BI86</f>
        <v>0</v>
      </c>
      <c r="D86" s="319" t="n">
        <f aca="false">C86+B86</f>
        <v>-160.97221252</v>
      </c>
      <c r="E86" s="320" t="n">
        <f aca="false" t="array" ref="E86:E86">SUM(IF(MONTH(NymexData!$S$12:$S$250)&amp;YEAR(NymexData!$S$12:$S$250)=MONTH(A86)&amp;YEAR(A86),NymexData!$T$12:$T$250))</f>
        <v>4.363</v>
      </c>
      <c r="F86" s="320" t="n">
        <f aca="false">G86-E86</f>
        <v>-0.0410000000000004</v>
      </c>
      <c r="G86" s="321" t="n">
        <f aca="false" t="array" ref="G86:G86">IF(NymexData!$AA$12="",GasPosn!E86,SUM(IF(MONTH(NymexData!$AA$12:$AA$250)&amp;YEAR(NymexData!$AA$12:$AA$250)=MONTH(A86)&amp;YEAR(A86),NymexData!$AB$12:$AB$250)))</f>
        <v>4.322</v>
      </c>
      <c r="H86" s="76" t="n">
        <f aca="false">B86*10000*F86</f>
        <v>65998.6071332006</v>
      </c>
      <c r="I86" s="82" t="n">
        <f aca="false">(((G86-Q86)*P86+(G86-S86)*R86+(G86-U86)*T86+(G86-W86)*V86+(G86-Y86)*X86+(G86-AA86)*Z86+(G86-AC86)*AB86+(G86-AE86)*AD86+(G86-AG86)*AF86+(G86-AI86)*AH86+(G86-AK86)*AJ86+(G86-AM86)*AL86+(G86-AO86)*AN86+(G86-AQ86)*AP86+(G86-AS86)*AR86+(G86-AU86)*AT86+(G86-AW86)*AV86+(G86-AY86)*AX86+(G86-BA86)*AZ86+(G86-BC86)*BB86)*BJ86*BI86)*10000</f>
        <v>0</v>
      </c>
      <c r="J86" s="82" t="n">
        <f aca="false">H86+I86</f>
        <v>65998.6071332006</v>
      </c>
      <c r="L86" s="329"/>
      <c r="O86" s="95" t="n">
        <f aca="false">A86</f>
        <v>39448</v>
      </c>
      <c r="BD86" s="100" t="n">
        <f aca="false">(P86+R86+T86+V86+X86+Z86+AB86+AD86+AF86+AH86+AJ86+AL86+AN86+AP86+AR86+AT86+AV86+AX86+AZ86+BB86)</f>
        <v>0</v>
      </c>
      <c r="BE86" s="322" t="n">
        <f aca="false">IF(AND(BD86=0,BH86=0),0,(ABS(P86)*Q86+ABS(R86)*S86+ABS(T86)*U86+ABS(V86)*W86+ABS(X86)*Y86+ABS(Z86)*AA86+ABS(AB86)*AC86+ABS(AD86)*AE86+ABS(AF86)*AG86+ABS(AH86)*AI86+ABS(AJ86)*AK86+ABS(AL86)*AM86+ABS(AN86)*AO86+ABS(AP86)*AQ86+ABS(AR86)*AS86+ABS(AT86)*AU86+ABS(AV86)*AW86+ABS(AX86)*AY86+ABS(AZ86)*BA86+ABS(BB86)*BC86)/BH86)</f>
        <v>0</v>
      </c>
      <c r="BG86" s="103" t="n">
        <f aca="false">O86</f>
        <v>39448</v>
      </c>
      <c r="BH86" s="323" t="n">
        <f aca="false">(ABS(P86)+ABS(R86)+ABS(T86)+ABS(V86)+ABS(X86)+ABS(Z86)+ABS(AB86)+ABS(AD86)+ABS(AF86)+ABS(AH86)+ABS(AJ86)+ABS(AL86)+ABS(AN86)+ABS(AP86)+ABS(AR86)+ABS(AT86)+ABS(AV86)+ABS(AX86)+ABS(AZ86)+ABS(BB86))</f>
        <v>0</v>
      </c>
      <c r="BI86" s="104" t="n">
        <f aca="false">VLOOKUP(GasPosn!A86,'Pricing Summary'!$AB$12:$AD$250,3)</f>
        <v>31</v>
      </c>
      <c r="BJ86" s="102" t="n">
        <f aca="false">VLOOKUP(A86,Interest!$AF$8:$AK$367,6)</f>
        <v>0.739856008662002</v>
      </c>
      <c r="BL86" s="0" t="n">
        <f aca="false">J86*VLOOKUP(A86,NymexData!$J$12:$K$244,2)</f>
        <v>104104.926424763</v>
      </c>
      <c r="BO86" s="0" t="n">
        <f aca="false">Interest!AK82</f>
        <v>0.739856008662002</v>
      </c>
      <c r="BP86" s="0" t="n">
        <f aca="false">G86*Interest!AK82</f>
        <v>3.19765766943717</v>
      </c>
      <c r="BQ86" s="0" t="n">
        <f aca="false">IF(AND(A86&gt;=$B$3,A86&lt;=$B$4),1,0)</f>
        <v>1</v>
      </c>
      <c r="BR86" s="0" t="n">
        <f aca="false">BO86*BQ86</f>
        <v>0.739856008662002</v>
      </c>
      <c r="BS86" s="0" t="n">
        <f aca="false">BP86*BQ86</f>
        <v>3.19765766943717</v>
      </c>
    </row>
    <row r="87" customFormat="false" ht="18" hidden="false" customHeight="false" outlineLevel="0" collapsed="false">
      <c r="A87" s="112" t="n">
        <f aca="false">[2]EnergyCurve!$D109</f>
        <v>39479</v>
      </c>
      <c r="B87" s="324" t="n">
        <f aca="false" t="array" ref="B87:B87">SUM(IF(MONTH(NymexData!$AI$12:$AI$250)&amp;YEAR(NymexData!$AI$12:$AI$250)=MONTH(A87)&amp;YEAR(A87),NymexData!$AJ$12:$AJ$250))</f>
        <v>-149.80108374</v>
      </c>
      <c r="C87" s="325" t="n">
        <f aca="false">BD87*BJ87*BI87</f>
        <v>0</v>
      </c>
      <c r="D87" s="326" t="n">
        <f aca="false">C87+B87</f>
        <v>-149.80108374</v>
      </c>
      <c r="E87" s="327" t="n">
        <f aca="false" t="array" ref="E87:E87">SUM(IF(MONTH(NymexData!$S$12:$S$250)&amp;YEAR(NymexData!$S$12:$S$250)=MONTH(A87)&amp;YEAR(A87),NymexData!$T$12:$T$250))</f>
        <v>4.276</v>
      </c>
      <c r="F87" s="327" t="n">
        <f aca="false">G87-E87</f>
        <v>-0.0419999999999998</v>
      </c>
      <c r="G87" s="328" t="n">
        <f aca="false" t="array" ref="G87:G87">IF(NymexData!$AA$12="",GasPosn!E87,SUM(IF(MONTH(NymexData!$AA$12:$AA$250)&amp;YEAR(NymexData!$AA$12:$AA$250)=MONTH(A87)&amp;YEAR(A87),NymexData!$AB$12:$AB$250)))</f>
        <v>4.234</v>
      </c>
      <c r="H87" s="115" t="n">
        <f aca="false">B87*10000*F87</f>
        <v>62916.4551707997</v>
      </c>
      <c r="I87" s="119" t="n">
        <f aca="false">(((G87-Q87)*P87+(G87-S87)*R87+(G87-U87)*T87+(G87-W87)*V87+(G87-Y87)*X87+(G87-AA87)*Z87+(G87-AC87)*AB87+(G87-AE87)*AD87+(G87-AG87)*AF87+(G87-AI87)*AH87+(G87-AK87)*AJ87+(G87-AM87)*AL87+(G87-AO87)*AN87+(G87-AQ87)*AP87+(G87-AS87)*AR87+(G87-AU87)*AT87+(G87-AW87)*AV87+(G87-AY87)*AX87+(G87-BA87)*AZ87+(G87-BC87)*BB87)*BJ87*BI87)*10000</f>
        <v>0</v>
      </c>
      <c r="J87" s="119" t="n">
        <f aca="false">H87+I87</f>
        <v>62916.4551707997</v>
      </c>
      <c r="L87" s="329"/>
      <c r="O87" s="95" t="n">
        <f aca="false">A87</f>
        <v>39479</v>
      </c>
      <c r="BD87" s="100" t="n">
        <f aca="false">(P87+R87+T87+V87+X87+Z87+AB87+AD87+AF87+AH87+AJ87+AL87+AN87+AP87+AR87+AT87+AV87+AX87+AZ87+BB87)</f>
        <v>0</v>
      </c>
      <c r="BE87" s="322" t="n">
        <f aca="false">IF(AND(BD87=0,BH87=0),0,(ABS(P87)*Q87+ABS(R87)*S87+ABS(T87)*U87+ABS(V87)*W87+ABS(X87)*Y87+ABS(Z87)*AA87+ABS(AB87)*AC87+ABS(AD87)*AE87+ABS(AF87)*AG87+ABS(AH87)*AI87+ABS(AJ87)*AK87+ABS(AL87)*AM87+ABS(AN87)*AO87+ABS(AP87)*AQ87+ABS(AR87)*AS87+ABS(AT87)*AU87+ABS(AV87)*AW87+ABS(AX87)*AY87+ABS(AZ87)*BA87+ABS(BB87)*BC87)/BH87)</f>
        <v>0</v>
      </c>
      <c r="BG87" s="103" t="n">
        <f aca="false">O87</f>
        <v>39479</v>
      </c>
      <c r="BH87" s="323" t="n">
        <f aca="false">(ABS(P87)+ABS(R87)+ABS(T87)+ABS(V87)+ABS(X87)+ABS(Z87)+ABS(AB87)+ABS(AD87)+ABS(AF87)+ABS(AH87)+ABS(AJ87)+ABS(AL87)+ABS(AN87)+ABS(AP87)+ABS(AR87)+ABS(AT87)+ABS(AV87)+ABS(AX87)+ABS(AZ87)+ABS(BB87))</f>
        <v>0</v>
      </c>
      <c r="BI87" s="104" t="n">
        <f aca="false">VLOOKUP(GasPosn!A87,'Pricing Summary'!$AB$12:$AD$250,3)</f>
        <v>29</v>
      </c>
      <c r="BJ87" s="102" t="n">
        <f aca="false">VLOOKUP(A87,Interest!$AF$8:$AK$367,6)</f>
        <v>0.736167609246348</v>
      </c>
      <c r="BL87" s="0" t="n">
        <f aca="false">J87*VLOOKUP(A87,NymexData!$J$12:$K$244,2)</f>
        <v>99240.7037400386</v>
      </c>
      <c r="BO87" s="0" t="n">
        <f aca="false">Interest!AK83</f>
        <v>0.736167609246348</v>
      </c>
      <c r="BP87" s="0" t="n">
        <f aca="false">G87*Interest!AK83</f>
        <v>3.11693365754904</v>
      </c>
      <c r="BQ87" s="0" t="n">
        <f aca="false">IF(AND(A87&gt;=$B$3,A87&lt;=$B$4),1,0)</f>
        <v>1</v>
      </c>
      <c r="BR87" s="0" t="n">
        <f aca="false">BO87*BQ87</f>
        <v>0.736167609246348</v>
      </c>
      <c r="BS87" s="0" t="n">
        <f aca="false">BP87*BQ87</f>
        <v>3.11693365754904</v>
      </c>
    </row>
    <row r="88" customFormat="false" ht="18" hidden="false" customHeight="false" outlineLevel="0" collapsed="false">
      <c r="A88" s="75" t="n">
        <f aca="false">[2]EnergyCurve!$D110</f>
        <v>39508</v>
      </c>
      <c r="B88" s="317" t="n">
        <f aca="false" t="array" ref="B88:B88">SUM(IF(MONTH(NymexData!$AI$12:$AI$250)&amp;YEAR(NymexData!$AI$12:$AI$250)=MONTH(A88)&amp;YEAR(A88),NymexData!$AJ$12:$AJ$250))</f>
        <v>-159.34591974</v>
      </c>
      <c r="C88" s="317" t="n">
        <f aca="false">BD88*BJ88*BI88</f>
        <v>0</v>
      </c>
      <c r="D88" s="319" t="n">
        <f aca="false">C88+B88</f>
        <v>-159.34591974</v>
      </c>
      <c r="E88" s="320" t="n">
        <f aca="false" t="array" ref="E88:E88">SUM(IF(MONTH(NymexData!$S$12:$S$250)&amp;YEAR(NymexData!$S$12:$S$250)=MONTH(A88)&amp;YEAR(A88),NymexData!$T$12:$T$250))</f>
        <v>4.137</v>
      </c>
      <c r="F88" s="320" t="n">
        <f aca="false">G88-E88</f>
        <v>-0.0420000000000007</v>
      </c>
      <c r="G88" s="321" t="n">
        <f aca="false" t="array" ref="G88:G88">IF(NymexData!$AA$12="",GasPosn!E88,SUM(IF(MONTH(NymexData!$AA$12:$AA$250)&amp;YEAR(NymexData!$AA$12:$AA$250)=MONTH(A88)&amp;YEAR(A88),NymexData!$AB$12:$AB$250)))</f>
        <v>4.095</v>
      </c>
      <c r="H88" s="76" t="n">
        <f aca="false">B88*10000*F88</f>
        <v>66925.2862908011</v>
      </c>
      <c r="I88" s="82" t="n">
        <f aca="false">(((G88-Q88)*P88+(G88-S88)*R88+(G88-U88)*T88+(G88-W88)*V88+(G88-Y88)*X88+(G88-AA88)*Z88+(G88-AC88)*AB88+(G88-AE88)*AD88+(G88-AG88)*AF88+(G88-AI88)*AH88+(G88-AK88)*AJ88+(G88-AM88)*AL88+(G88-AO88)*AN88+(G88-AQ88)*AP88+(G88-AS88)*AR88+(G88-AU88)*AT88+(G88-AW88)*AV88+(G88-AY88)*AX88+(G88-BA88)*AZ88+(G88-BC88)*BB88)*BJ88*BI88)*10000</f>
        <v>0</v>
      </c>
      <c r="J88" s="82" t="n">
        <f aca="false">H88+I88</f>
        <v>66925.2862908011</v>
      </c>
      <c r="L88" s="329"/>
      <c r="O88" s="95" t="n">
        <f aca="false">A88</f>
        <v>39508</v>
      </c>
      <c r="BD88" s="100" t="n">
        <f aca="false">(P88+R88+T88+V88+X88+Z88+AB88+AD88+AF88+AH88+AJ88+AL88+AN88+AP88+AR88+AT88+AV88+AX88+AZ88+BB88)</f>
        <v>0</v>
      </c>
      <c r="BE88" s="322" t="n">
        <f aca="false">IF(AND(BD88=0,BH88=0),0,(ABS(P88)*Q88+ABS(R88)*S88+ABS(T88)*U88+ABS(V88)*W88+ABS(X88)*Y88+ABS(Z88)*AA88+ABS(AB88)*AC88+ABS(AD88)*AE88+ABS(AF88)*AG88+ABS(AH88)*AI88+ABS(AJ88)*AK88+ABS(AL88)*AM88+ABS(AN88)*AO88+ABS(AP88)*AQ88+ABS(AR88)*AS88+ABS(AT88)*AU88+ABS(AV88)*AW88+ABS(AX88)*AY88+ABS(AZ88)*BA88+ABS(BB88)*BC88)/BH88)</f>
        <v>0</v>
      </c>
      <c r="BG88" s="103" t="n">
        <f aca="false">O88</f>
        <v>39508</v>
      </c>
      <c r="BH88" s="323" t="n">
        <f aca="false">(ABS(P88)+ABS(R88)+ABS(T88)+ABS(V88)+ABS(X88)+ABS(Z88)+ABS(AB88)+ABS(AD88)+ABS(AF88)+ABS(AH88)+ABS(AJ88)+ABS(AL88)+ABS(AN88)+ABS(AP88)+ABS(AR88)+ABS(AT88)+ABS(AV88)+ABS(AX88)+ABS(AZ88)+ABS(BB88))</f>
        <v>0</v>
      </c>
      <c r="BI88" s="104" t="n">
        <f aca="false">VLOOKUP(GasPosn!A88,'Pricing Summary'!$AB$12:$AD$250,3)</f>
        <v>31</v>
      </c>
      <c r="BJ88" s="102" t="n">
        <f aca="false">VLOOKUP(A88,Interest!$AF$8:$AK$367,6)</f>
        <v>0.73233896283891</v>
      </c>
      <c r="BL88" s="0" t="n">
        <f aca="false">J88*VLOOKUP(A88,NymexData!$J$12:$K$244,2)</f>
        <v>105561.351211238</v>
      </c>
      <c r="BO88" s="0" t="n">
        <f aca="false">Interest!AK84</f>
        <v>0.73233896283891</v>
      </c>
      <c r="BP88" s="0" t="n">
        <f aca="false">G88*Interest!AK84</f>
        <v>2.99892805282534</v>
      </c>
      <c r="BQ88" s="0" t="n">
        <f aca="false">IF(AND(A88&gt;=$B$3,A88&lt;=$B$4),1,0)</f>
        <v>1</v>
      </c>
      <c r="BR88" s="0" t="n">
        <f aca="false">BO88*BQ88</f>
        <v>0.73233896283891</v>
      </c>
      <c r="BS88" s="0" t="n">
        <f aca="false">BP88*BQ88</f>
        <v>2.99892805282534</v>
      </c>
    </row>
    <row r="89" customFormat="false" ht="18" hidden="false" customHeight="false" outlineLevel="0" collapsed="false">
      <c r="A89" s="112" t="n">
        <f aca="false">[2]EnergyCurve!$D111</f>
        <v>39539</v>
      </c>
      <c r="B89" s="324" t="n">
        <f aca="false" t="array" ref="B89:B89">SUM(IF(MONTH(NymexData!$AI$12:$AI$250)&amp;YEAR(NymexData!$AI$12:$AI$250)=MONTH(A89)&amp;YEAR(A89),NymexData!$AJ$12:$AJ$250))</f>
        <v>-153.3919289</v>
      </c>
      <c r="C89" s="325" t="n">
        <f aca="false">BD89*BJ89*BI89</f>
        <v>0</v>
      </c>
      <c r="D89" s="326" t="n">
        <f aca="false">C89+B89</f>
        <v>-153.3919289</v>
      </c>
      <c r="E89" s="327" t="n">
        <f aca="false" t="array" ref="E89:E89">SUM(IF(MONTH(NymexData!$S$12:$S$250)&amp;YEAR(NymexData!$S$12:$S$250)=MONTH(A89)&amp;YEAR(A89),NymexData!$T$12:$T$250))</f>
        <v>3.983</v>
      </c>
      <c r="F89" s="327" t="n">
        <f aca="false">G89-E89</f>
        <v>-0.0419999999999998</v>
      </c>
      <c r="G89" s="328" t="n">
        <f aca="false" t="array" ref="G89:G89">IF(NymexData!$AA$12="",GasPosn!E89,SUM(IF(MONTH(NymexData!$AA$12:$AA$250)&amp;YEAR(NymexData!$AA$12:$AA$250)=MONTH(A89)&amp;YEAR(A89),NymexData!$AB$12:$AB$250)))</f>
        <v>3.941</v>
      </c>
      <c r="H89" s="115" t="n">
        <f aca="false">B89*10000*F89</f>
        <v>64424.6101379997</v>
      </c>
      <c r="I89" s="119" t="n">
        <f aca="false">(((G89-Q89)*P89+(G89-S89)*R89+(G89-U89)*T89+(G89-W89)*V89+(G89-Y89)*X89+(G89-AA89)*Z89+(G89-AC89)*AB89+(G89-AE89)*AD89+(G89-AG89)*AF89+(G89-AI89)*AH89+(G89-AK89)*AJ89+(G89-AM89)*AL89+(G89-AO89)*AN89+(G89-AQ89)*AP89+(G89-AS89)*AR89+(G89-AU89)*AT89+(G89-AW89)*AV89+(G89-AY89)*AX89+(G89-BA89)*AZ89+(G89-BC89)*BB89)*BJ89*BI89)*10000</f>
        <v>0</v>
      </c>
      <c r="J89" s="119" t="n">
        <f aca="false">H89+I89</f>
        <v>64424.6101379997</v>
      </c>
      <c r="L89" s="329"/>
      <c r="O89" s="95" t="n">
        <f aca="false">A89</f>
        <v>39539</v>
      </c>
      <c r="BD89" s="100" t="n">
        <f aca="false">(P89+R89+T89+V89+X89+Z89+AB89+AD89+AF89+AH89+AJ89+AL89+AN89+AP89+AR89+AT89+AV89+AX89+AZ89+BB89)</f>
        <v>0</v>
      </c>
      <c r="BE89" s="322" t="n">
        <f aca="false">IF(AND(BD89=0,BH89=0),0,(ABS(P89)*Q89+ABS(R89)*S89+ABS(T89)*U89+ABS(V89)*W89+ABS(X89)*Y89+ABS(Z89)*AA89+ABS(AB89)*AC89+ABS(AD89)*AE89+ABS(AF89)*AG89+ABS(AH89)*AI89+ABS(AJ89)*AK89+ABS(AL89)*AM89+ABS(AN89)*AO89+ABS(AP89)*AQ89+ABS(AR89)*AS89+ABS(AT89)*AU89+ABS(AV89)*AW89+ABS(AX89)*AY89+ABS(AZ89)*BA89+ABS(BB89)*BC89)/BH89)</f>
        <v>0</v>
      </c>
      <c r="BG89" s="103" t="n">
        <f aca="false">O89</f>
        <v>39539</v>
      </c>
      <c r="BH89" s="323" t="n">
        <f aca="false">(ABS(P89)+ABS(R89)+ABS(T89)+ABS(V89)+ABS(X89)+ABS(Z89)+ABS(AB89)+ABS(AD89)+ABS(AF89)+ABS(AH89)+ABS(AJ89)+ABS(AL89)+ABS(AN89)+ABS(AP89)+ABS(AR89)+ABS(AT89)+ABS(AV89)+ABS(AX89)+ABS(AZ89)+ABS(BB89))</f>
        <v>0</v>
      </c>
      <c r="BI89" s="104" t="n">
        <f aca="false">VLOOKUP(GasPosn!A89,'Pricing Summary'!$AB$12:$AD$250,3)</f>
        <v>30</v>
      </c>
      <c r="BJ89" s="102" t="n">
        <f aca="false">VLOOKUP(A89,Interest!$AF$8:$AK$367,6)</f>
        <v>0.728548104309011</v>
      </c>
      <c r="BL89" s="0" t="n">
        <f aca="false">J89*VLOOKUP(A89,NymexData!$J$12:$K$244,2)</f>
        <v>101614.140797829</v>
      </c>
      <c r="BO89" s="0" t="n">
        <f aca="false">Interest!AK85</f>
        <v>0.728548104309011</v>
      </c>
      <c r="BP89" s="0" t="n">
        <f aca="false">G89*Interest!AK85</f>
        <v>2.87120807908181</v>
      </c>
      <c r="BQ89" s="0" t="n">
        <f aca="false">IF(AND(A89&gt;=$B$3,A89&lt;=$B$4),1,0)</f>
        <v>1</v>
      </c>
      <c r="BR89" s="0" t="n">
        <f aca="false">BO89*BQ89</f>
        <v>0.728548104309011</v>
      </c>
      <c r="BS89" s="0" t="n">
        <f aca="false">BP89*BQ89</f>
        <v>2.87120807908181</v>
      </c>
    </row>
    <row r="90" customFormat="false" ht="18" hidden="false" customHeight="false" outlineLevel="0" collapsed="false">
      <c r="A90" s="75" t="n">
        <f aca="false">[2]EnergyCurve!$D112</f>
        <v>39569</v>
      </c>
      <c r="B90" s="317" t="n">
        <f aca="false" t="array" ref="B90:B90">SUM(IF(MONTH(NymexData!$AI$12:$AI$250)&amp;YEAR(NymexData!$AI$12:$AI$250)=MONTH(A90)&amp;YEAR(A90),NymexData!$AJ$12:$AJ$250))</f>
        <v>-157.69082252</v>
      </c>
      <c r="C90" s="317" t="n">
        <f aca="false">BD90*BJ90*BI90</f>
        <v>0</v>
      </c>
      <c r="D90" s="319" t="n">
        <f aca="false">C90+B90</f>
        <v>-157.69082252</v>
      </c>
      <c r="E90" s="320" t="n">
        <f aca="false" t="array" ref="E90:E90">SUM(IF(MONTH(NymexData!$S$12:$S$250)&amp;YEAR(NymexData!$S$12:$S$250)=MONTH(A90)&amp;YEAR(A90),NymexData!$T$12:$T$250))</f>
        <v>3.988</v>
      </c>
      <c r="F90" s="320" t="n">
        <f aca="false">G90-E90</f>
        <v>-0.0419999999999998</v>
      </c>
      <c r="G90" s="321" t="n">
        <f aca="false" t="array" ref="G90:G90">IF(NymexData!$AA$12="",GasPosn!E90,SUM(IF(MONTH(NymexData!$AA$12:$AA$250)&amp;YEAR(NymexData!$AA$12:$AA$250)=MONTH(A90)&amp;YEAR(A90),NymexData!$AB$12:$AB$250)))</f>
        <v>3.946</v>
      </c>
      <c r="H90" s="76" t="n">
        <f aca="false">B90*10000*F90</f>
        <v>66230.1454583997</v>
      </c>
      <c r="I90" s="82" t="n">
        <f aca="false">(((G90-Q90)*P90+(G90-S90)*R90+(G90-U90)*T90+(G90-W90)*V90+(G90-Y90)*X90+(G90-AA90)*Z90+(G90-AC90)*AB90+(G90-AE90)*AD90+(G90-AG90)*AF90+(G90-AI90)*AH90+(G90-AK90)*AJ90+(G90-AM90)*AL90+(G90-AO90)*AN90+(G90-AQ90)*AP90+(G90-AS90)*AR90+(G90-AU90)*AT90+(G90-AW90)*AV90+(G90-AY90)*AX90+(G90-BA90)*AZ90+(G90-BC90)*BB90)*BJ90*BI90)*10000</f>
        <v>0</v>
      </c>
      <c r="J90" s="82" t="n">
        <f aca="false">H90+I90</f>
        <v>66230.1454583997</v>
      </c>
      <c r="L90" s="329"/>
      <c r="O90" s="95" t="n">
        <f aca="false">A90</f>
        <v>39569</v>
      </c>
      <c r="BD90" s="100" t="n">
        <f aca="false">(P90+R90+T90+V90+X90+Z90+AB90+AD90+AF90+AH90+AJ90+AL90+AN90+AP90+AR90+AT90+AV90+AX90+AZ90+BB90)</f>
        <v>0</v>
      </c>
      <c r="BE90" s="322" t="n">
        <f aca="false">IF(AND(BD90=0,BH90=0),0,(ABS(P90)*Q90+ABS(R90)*S90+ABS(T90)*U90+ABS(V90)*W90+ABS(X90)*Y90+ABS(Z90)*AA90+ABS(AB90)*AC90+ABS(AD90)*AE90+ABS(AF90)*AG90+ABS(AH90)*AI90+ABS(AJ90)*AK90+ABS(AL90)*AM90+ABS(AN90)*AO90+ABS(AP90)*AQ90+ABS(AR90)*AS90+ABS(AT90)*AU90+ABS(AV90)*AW90+ABS(AX90)*AY90+ABS(AZ90)*BA90+ABS(BB90)*BC90)/BH90)</f>
        <v>0</v>
      </c>
      <c r="BG90" s="103" t="n">
        <f aca="false">O90</f>
        <v>39569</v>
      </c>
      <c r="BH90" s="323" t="n">
        <f aca="false">(ABS(P90)+ABS(R90)+ABS(T90)+ABS(V90)+ABS(X90)+ABS(Z90)+ABS(AB90)+ABS(AD90)+ABS(AF90)+ABS(AH90)+ABS(AJ90)+ABS(AL90)+ABS(AN90)+ABS(AP90)+ABS(AR90)+ABS(AT90)+ABS(AV90)+ABS(AX90)+ABS(AZ90)+ABS(BB90))</f>
        <v>0</v>
      </c>
      <c r="BI90" s="104" t="n">
        <f aca="false">VLOOKUP(GasPosn!A90,'Pricing Summary'!$AB$12:$AD$250,3)</f>
        <v>31</v>
      </c>
      <c r="BJ90" s="102" t="n">
        <f aca="false">VLOOKUP(A90,Interest!$AF$8:$AK$367,6)</f>
        <v>0.724686939677706</v>
      </c>
      <c r="BL90" s="0" t="n">
        <f aca="false">J90*VLOOKUP(A90,NymexData!$J$12:$K$244,2)</f>
        <v>104458.888672831</v>
      </c>
      <c r="BO90" s="0" t="n">
        <f aca="false">Interest!AK86</f>
        <v>0.724686939677706</v>
      </c>
      <c r="BP90" s="0" t="n">
        <f aca="false">G90*Interest!AK86</f>
        <v>2.85961466396823</v>
      </c>
      <c r="BQ90" s="0" t="n">
        <f aca="false">IF(AND(A90&gt;=$B$3,A90&lt;=$B$4),1,0)</f>
        <v>1</v>
      </c>
      <c r="BR90" s="0" t="n">
        <f aca="false">BO90*BQ90</f>
        <v>0.724686939677706</v>
      </c>
      <c r="BS90" s="0" t="n">
        <f aca="false">BP90*BQ90</f>
        <v>2.85961466396823</v>
      </c>
    </row>
    <row r="91" customFormat="false" ht="18" hidden="false" customHeight="false" outlineLevel="0" collapsed="false">
      <c r="A91" s="112" t="n">
        <f aca="false">[2]EnergyCurve!$D113</f>
        <v>39600</v>
      </c>
      <c r="B91" s="324" t="n">
        <f aca="false" t="array" ref="B91:B91">SUM(IF(MONTH(NymexData!$AI$12:$AI$250)&amp;YEAR(NymexData!$AI$12:$AI$250)=MONTH(A91)&amp;YEAR(A91),NymexData!$AJ$12:$AJ$250))</f>
        <v>-151.78953146</v>
      </c>
      <c r="C91" s="325" t="n">
        <f aca="false">BD91*BJ91*BI91</f>
        <v>0</v>
      </c>
      <c r="D91" s="326" t="n">
        <f aca="false">C91+B91</f>
        <v>-151.78953146</v>
      </c>
      <c r="E91" s="327" t="n">
        <f aca="false" t="array" ref="E91:E91">SUM(IF(MONTH(NymexData!$S$12:$S$250)&amp;YEAR(NymexData!$S$12:$S$250)=MONTH(A91)&amp;YEAR(A91),NymexData!$T$12:$T$250))</f>
        <v>4.026</v>
      </c>
      <c r="F91" s="327" t="n">
        <f aca="false">G91-E91</f>
        <v>-0.0419999999999998</v>
      </c>
      <c r="G91" s="328" t="n">
        <f aca="false" t="array" ref="G91:G91">IF(NymexData!$AA$12="",GasPosn!E91,SUM(IF(MONTH(NymexData!$AA$12:$AA$250)&amp;YEAR(NymexData!$AA$12:$AA$250)=MONTH(A91)&amp;YEAR(A91),NymexData!$AB$12:$AB$250)))</f>
        <v>3.984</v>
      </c>
      <c r="H91" s="115" t="n">
        <f aca="false">B91*10000*F91</f>
        <v>63751.6032131997</v>
      </c>
      <c r="I91" s="119" t="n">
        <f aca="false">(((G91-Q91)*P91+(G91-S91)*R91+(G91-U91)*T91+(G91-W91)*V91+(G91-Y91)*X91+(G91-AA91)*Z91+(G91-AC91)*AB91+(G91-AE91)*AD91+(G91-AG91)*AF91+(G91-AI91)*AH91+(G91-AK91)*AJ91+(G91-AM91)*AL91+(G91-AO91)*AN91+(G91-AQ91)*AP91+(G91-AS91)*AR91+(G91-AU91)*AT91+(G91-AW91)*AV91+(G91-AY91)*AX91+(G91-BA91)*AZ91+(G91-BC91)*BB91)*BJ91*BI91)*10000</f>
        <v>0</v>
      </c>
      <c r="J91" s="119" t="n">
        <f aca="false">H91+I91</f>
        <v>63751.6032131997</v>
      </c>
      <c r="L91" s="329"/>
      <c r="O91" s="95" t="n">
        <f aca="false">A91</f>
        <v>39600</v>
      </c>
      <c r="BD91" s="100" t="n">
        <f aca="false">(P91+R91+T91+V91+X91+Z91+AB91+AD91+AF91+AH91+AJ91+AL91+AN91+AP91+AR91+AT91+AV91+AX91+AZ91+BB91)</f>
        <v>0</v>
      </c>
      <c r="BE91" s="322" t="n">
        <f aca="false">IF(AND(BD91=0,BH91=0),0,(ABS(P91)*Q91+ABS(R91)*S91+ABS(T91)*U91+ABS(V91)*W91+ABS(X91)*Y91+ABS(Z91)*AA91+ABS(AB91)*AC91+ABS(AD91)*AE91+ABS(AF91)*AG91+ABS(AH91)*AI91+ABS(AJ91)*AK91+ABS(AL91)*AM91+ABS(AN91)*AO91+ABS(AP91)*AQ91+ABS(AR91)*AS91+ABS(AT91)*AU91+ABS(AV91)*AW91+ABS(AX91)*AY91+ABS(AZ91)*BA91+ABS(BB91)*BC91)/BH91)</f>
        <v>0</v>
      </c>
      <c r="BG91" s="103" t="n">
        <f aca="false">O91</f>
        <v>39600</v>
      </c>
      <c r="BH91" s="323" t="n">
        <f aca="false">(ABS(P91)+ABS(R91)+ABS(T91)+ABS(V91)+ABS(X91)+ABS(Z91)+ABS(AB91)+ABS(AD91)+ABS(AF91)+ABS(AH91)+ABS(AJ91)+ABS(AL91)+ABS(AN91)+ABS(AP91)+ABS(AR91)+ABS(AT91)+ABS(AV91)+ABS(AX91)+ABS(AZ91)+ABS(BB91))</f>
        <v>0</v>
      </c>
      <c r="BI91" s="104" t="n">
        <f aca="false">VLOOKUP(GasPosn!A91,'Pricing Summary'!$AB$12:$AD$250,3)</f>
        <v>30</v>
      </c>
      <c r="BJ91" s="102" t="n">
        <f aca="false">VLOOKUP(A91,Interest!$AF$8:$AK$367,6)</f>
        <v>0.720891581071059</v>
      </c>
      <c r="BL91" s="0" t="n">
        <f aca="false">J91*VLOOKUP(A91,NymexData!$J$12:$K$244,2)</f>
        <v>100546.508970708</v>
      </c>
      <c r="BO91" s="0" t="n">
        <f aca="false">Interest!AK87</f>
        <v>0.720891581071059</v>
      </c>
      <c r="BP91" s="0" t="n">
        <f aca="false">G91*Interest!AK87</f>
        <v>2.8720320589871</v>
      </c>
      <c r="BQ91" s="0" t="n">
        <f aca="false">IF(AND(A91&gt;=$B$3,A91&lt;=$B$4),1,0)</f>
        <v>1</v>
      </c>
      <c r="BR91" s="0" t="n">
        <f aca="false">BO91*BQ91</f>
        <v>0.720891581071059</v>
      </c>
      <c r="BS91" s="0" t="n">
        <f aca="false">BP91*BQ91</f>
        <v>2.8720320589871</v>
      </c>
    </row>
    <row r="92" customFormat="false" ht="18" hidden="false" customHeight="false" outlineLevel="0" collapsed="false">
      <c r="A92" s="75" t="n">
        <f aca="false">[2]EnergyCurve!$D114</f>
        <v>39630</v>
      </c>
      <c r="B92" s="317" t="n">
        <f aca="false" t="array" ref="B92:B92">SUM(IF(MONTH(NymexData!$AI$12:$AI$250)&amp;YEAR(NymexData!$AI$12:$AI$250)=MONTH(A92)&amp;YEAR(A92),NymexData!$AJ$12:$AJ$250))</f>
        <v>-156.0344226</v>
      </c>
      <c r="C92" s="317" t="n">
        <f aca="false">BD92*BJ92*BI92</f>
        <v>0</v>
      </c>
      <c r="D92" s="319" t="n">
        <f aca="false">C92+B92</f>
        <v>-156.0344226</v>
      </c>
      <c r="E92" s="320" t="n">
        <f aca="false" t="array" ref="E92:E92">SUM(IF(MONTH(NymexData!$S$12:$S$250)&amp;YEAR(NymexData!$S$12:$S$250)=MONTH(A92)&amp;YEAR(A92),NymexData!$T$12:$T$250))</f>
        <v>4.071</v>
      </c>
      <c r="F92" s="320" t="n">
        <f aca="false">G92-E92</f>
        <v>-0.0420000000000007</v>
      </c>
      <c r="G92" s="321" t="n">
        <f aca="false" t="array" ref="G92:G92">IF(NymexData!$AA$12="",GasPosn!E92,SUM(IF(MONTH(NymexData!$AA$12:$AA$250)&amp;YEAR(NymexData!$AA$12:$AA$250)=MONTH(A92)&amp;YEAR(A92),NymexData!$AB$12:$AB$250)))</f>
        <v>4.029</v>
      </c>
      <c r="H92" s="76" t="n">
        <f aca="false">B92*10000*F92</f>
        <v>65534.4574920011</v>
      </c>
      <c r="I92" s="82" t="n">
        <f aca="false">(((G92-Q92)*P92+(G92-S92)*R92+(G92-U92)*T92+(G92-W92)*V92+(G92-Y92)*X92+(G92-AA92)*Z92+(G92-AC92)*AB92+(G92-AE92)*AD92+(G92-AG92)*AF92+(G92-AI92)*AH92+(G92-AK92)*AJ92+(G92-AM92)*AL92+(G92-AO92)*AN92+(G92-AQ92)*AP92+(G92-AS92)*AR92+(G92-AU92)*AT92+(G92-AW92)*AV92+(G92-AY92)*AX92+(G92-BA92)*AZ92+(G92-BC92)*BB92)*BJ92*BI92)*10000</f>
        <v>0</v>
      </c>
      <c r="J92" s="82" t="n">
        <f aca="false">H92+I92</f>
        <v>65534.4574920011</v>
      </c>
      <c r="L92" s="329"/>
      <c r="O92" s="95" t="n">
        <f aca="false">A92</f>
        <v>39630</v>
      </c>
      <c r="BD92" s="100" t="n">
        <f aca="false">(P92+R92+T92+V92+X92+Z92+AB92+AD92+AF92+AH92+AJ92+AL92+AN92+AP92+AR92+AT92+AV92+AX92+AZ92+BB92)</f>
        <v>0</v>
      </c>
      <c r="BE92" s="322" t="n">
        <f aca="false">IF(AND(BD92=0,BH92=0),0,(ABS(P92)*Q92+ABS(R92)*S92+ABS(T92)*U92+ABS(V92)*W92+ABS(X92)*Y92+ABS(Z92)*AA92+ABS(AB92)*AC92+ABS(AD92)*AE92+ABS(AF92)*AG92+ABS(AH92)*AI92+ABS(AJ92)*AK92+ABS(AL92)*AM92+ABS(AN92)*AO92+ABS(AP92)*AQ92+ABS(AR92)*AS92+ABS(AT92)*AU92+ABS(AV92)*AW92+ABS(AX92)*AY92+ABS(AZ92)*BA92+ABS(BB92)*BC92)/BH92)</f>
        <v>0</v>
      </c>
      <c r="BG92" s="103" t="n">
        <f aca="false">O92</f>
        <v>39630</v>
      </c>
      <c r="BH92" s="323" t="n">
        <f aca="false">(ABS(P92)+ABS(R92)+ABS(T92)+ABS(V92)+ABS(X92)+ABS(Z92)+ABS(AB92)+ABS(AD92)+ABS(AF92)+ABS(AH92)+ABS(AJ92)+ABS(AL92)+ABS(AN92)+ABS(AP92)+ABS(AR92)+ABS(AT92)+ABS(AV92)+ABS(AX92)+ABS(AZ92)+ABS(BB92))</f>
        <v>0</v>
      </c>
      <c r="BI92" s="104" t="n">
        <f aca="false">VLOOKUP(GasPosn!A92,'Pricing Summary'!$AB$12:$AD$250,3)</f>
        <v>31</v>
      </c>
      <c r="BJ92" s="102" t="n">
        <f aca="false">VLOOKUP(A92,Interest!$AF$8:$AK$367,6)</f>
        <v>0.717027121992884</v>
      </c>
      <c r="BL92" s="0" t="n">
        <f aca="false">J92*VLOOKUP(A92,NymexData!$J$12:$K$244,2)</f>
        <v>103355.009059926</v>
      </c>
      <c r="BO92" s="0" t="n">
        <f aca="false">Interest!AK88</f>
        <v>0.717027121992884</v>
      </c>
      <c r="BP92" s="0" t="n">
        <f aca="false">G92*Interest!AK88</f>
        <v>2.88890227450933</v>
      </c>
      <c r="BQ92" s="0" t="n">
        <f aca="false">IF(AND(A92&gt;=$B$3,A92&lt;=$B$4),1,0)</f>
        <v>1</v>
      </c>
      <c r="BR92" s="0" t="n">
        <f aca="false">BO92*BQ92</f>
        <v>0.717027121992884</v>
      </c>
      <c r="BS92" s="0" t="n">
        <f aca="false">BP92*BQ92</f>
        <v>2.88890227450933</v>
      </c>
    </row>
    <row r="93" customFormat="false" ht="18" hidden="false" customHeight="false" outlineLevel="0" collapsed="false">
      <c r="A93" s="112" t="n">
        <f aca="false">[2]EnergyCurve!$D115</f>
        <v>39661</v>
      </c>
      <c r="B93" s="324" t="n">
        <f aca="false" t="array" ref="B93:B93">SUM(IF(MONTH(NymexData!$AI$12:$AI$250)&amp;YEAR(NymexData!$AI$12:$AI$250)=MONTH(A93)&amp;YEAR(A93),NymexData!$AJ$12:$AJ$250))</f>
        <v>-155.19227752</v>
      </c>
      <c r="C93" s="325" t="n">
        <f aca="false">BD93*BJ93*BI93</f>
        <v>0</v>
      </c>
      <c r="D93" s="326" t="n">
        <f aca="false">C93+B93</f>
        <v>-155.19227752</v>
      </c>
      <c r="E93" s="327" t="n">
        <f aca="false" t="array" ref="E93:E93">SUM(IF(MONTH(NymexData!$S$12:$S$250)&amp;YEAR(NymexData!$S$12:$S$250)=MONTH(A93)&amp;YEAR(A93),NymexData!$T$12:$T$250))</f>
        <v>4.109</v>
      </c>
      <c r="F93" s="327" t="n">
        <f aca="false">G93-E93</f>
        <v>-0.0419999999999998</v>
      </c>
      <c r="G93" s="328" t="n">
        <f aca="false" t="array" ref="G93:G93">IF(NymexData!$AA$12="",GasPosn!E93,SUM(IF(MONTH(NymexData!$AA$12:$AA$250)&amp;YEAR(NymexData!$AA$12:$AA$250)=MONTH(A93)&amp;YEAR(A93),NymexData!$AB$12:$AB$250)))</f>
        <v>4.067</v>
      </c>
      <c r="H93" s="115" t="n">
        <f aca="false">B93*10000*F93</f>
        <v>65180.7565583997</v>
      </c>
      <c r="I93" s="119" t="n">
        <f aca="false">(((G93-Q93)*P93+(G93-S93)*R93+(G93-U93)*T93+(G93-W93)*V93+(G93-Y93)*X93+(G93-AA93)*Z93+(G93-AC93)*AB93+(G93-AE93)*AD93+(G93-AG93)*AF93+(G93-AI93)*AH93+(G93-AK93)*AJ93+(G93-AM93)*AL93+(G93-AO93)*AN93+(G93-AQ93)*AP93+(G93-AS93)*AR93+(G93-AU93)*AT93+(G93-AW93)*AV93+(G93-AY93)*AX93+(G93-BA93)*AZ93+(G93-BC93)*BB93)*BJ93*BI93)*10000</f>
        <v>0</v>
      </c>
      <c r="J93" s="119" t="n">
        <f aca="false">H93+I93</f>
        <v>65180.7565583997</v>
      </c>
      <c r="L93" s="329"/>
      <c r="O93" s="95" t="n">
        <f aca="false">A93</f>
        <v>39661</v>
      </c>
      <c r="BD93" s="100" t="n">
        <f aca="false">(P93+R93+T93+V93+X93+Z93+AB93+AD93+AF93+AH93+AJ93+AL93+AN93+AP93+AR93+AT93+AV93+AX93+AZ93+BB93)</f>
        <v>0</v>
      </c>
      <c r="BE93" s="322" t="n">
        <f aca="false">IF(AND(BD93=0,BH93=0),0,(ABS(P93)*Q93+ABS(R93)*S93+ABS(T93)*U93+ABS(V93)*W93+ABS(X93)*Y93+ABS(Z93)*AA93+ABS(AB93)*AC93+ABS(AD93)*AE93+ABS(AF93)*AG93+ABS(AH93)*AI93+ABS(AJ93)*AK93+ABS(AL93)*AM93+ABS(AN93)*AO93+ABS(AP93)*AQ93+ABS(AR93)*AS93+ABS(AT93)*AU93+ABS(AV93)*AW93+ABS(AX93)*AY93+ABS(AZ93)*BA93+ABS(BB93)*BC93)/BH93)</f>
        <v>0</v>
      </c>
      <c r="BG93" s="103" t="n">
        <f aca="false">O93</f>
        <v>39661</v>
      </c>
      <c r="BH93" s="323" t="n">
        <f aca="false">(ABS(P93)+ABS(R93)+ABS(T93)+ABS(V93)+ABS(X93)+ABS(Z93)+ABS(AB93)+ABS(AD93)+ABS(AF93)+ABS(AH93)+ABS(AJ93)+ABS(AL93)+ABS(AN93)+ABS(AP93)+ABS(AR93)+ABS(AT93)+ABS(AV93)+ABS(AX93)+ABS(AZ93)+ABS(BB93))</f>
        <v>0</v>
      </c>
      <c r="BI93" s="104" t="n">
        <f aca="false">VLOOKUP(GasPosn!A93,'Pricing Summary'!$AB$12:$AD$250,3)</f>
        <v>31</v>
      </c>
      <c r="BJ93" s="102" t="n">
        <f aca="false">VLOOKUP(A93,Interest!$AF$8:$AK$367,6)</f>
        <v>0.713132072922188</v>
      </c>
      <c r="BL93" s="0" t="n">
        <f aca="false">J93*VLOOKUP(A93,NymexData!$J$12:$K$244,2)</f>
        <v>102793.57202348</v>
      </c>
      <c r="BO93" s="0" t="n">
        <f aca="false">Interest!AK89</f>
        <v>0.713132072922188</v>
      </c>
      <c r="BP93" s="0" t="n">
        <f aca="false">G93*Interest!AK89</f>
        <v>2.90030814057454</v>
      </c>
      <c r="BQ93" s="0" t="n">
        <f aca="false">IF(AND(A93&gt;=$B$3,A93&lt;=$B$4),1,0)</f>
        <v>1</v>
      </c>
      <c r="BR93" s="0" t="n">
        <f aca="false">BO93*BQ93</f>
        <v>0.713132072922188</v>
      </c>
      <c r="BS93" s="0" t="n">
        <f aca="false">BP93*BQ93</f>
        <v>2.90030814057454</v>
      </c>
    </row>
    <row r="94" customFormat="false" ht="18" hidden="false" customHeight="false" outlineLevel="0" collapsed="false">
      <c r="A94" s="75" t="n">
        <f aca="false">[2]EnergyCurve!$D116</f>
        <v>39692</v>
      </c>
      <c r="B94" s="317" t="n">
        <f aca="false" t="array" ref="B94:B94">SUM(IF(MONTH(NymexData!$AI$12:$AI$250)&amp;YEAR(NymexData!$AI$12:$AI$250)=MONTH(A94)&amp;YEAR(A94),NymexData!$AJ$12:$AJ$250))</f>
        <v>-149.37092422</v>
      </c>
      <c r="C94" s="317" t="n">
        <f aca="false">BD94*BJ94*BI94</f>
        <v>0</v>
      </c>
      <c r="D94" s="319" t="n">
        <f aca="false">C94+B94</f>
        <v>-149.37092422</v>
      </c>
      <c r="E94" s="320" t="n">
        <f aca="false" t="array" ref="E94:E94">SUM(IF(MONTH(NymexData!$S$12:$S$250)&amp;YEAR(NymexData!$S$12:$S$250)=MONTH(A94)&amp;YEAR(A94),NymexData!$T$12:$T$250))</f>
        <v>4.103</v>
      </c>
      <c r="F94" s="320" t="n">
        <f aca="false">G94-E94</f>
        <v>-0.0419999999999998</v>
      </c>
      <c r="G94" s="321" t="n">
        <f aca="false" t="array" ref="G94:G94">IF(NymexData!$AA$12="",GasPosn!E94,SUM(IF(MONTH(NymexData!$AA$12:$AA$250)&amp;YEAR(NymexData!$AA$12:$AA$250)=MONTH(A94)&amp;YEAR(A94),NymexData!$AB$12:$AB$250)))</f>
        <v>4.061</v>
      </c>
      <c r="H94" s="76" t="n">
        <f aca="false">B94*10000*F94</f>
        <v>62735.7881723997</v>
      </c>
      <c r="I94" s="82" t="n">
        <f aca="false">(((G94-Q94)*P94+(G94-S94)*R94+(G94-U94)*T94+(G94-W94)*V94+(G94-Y94)*X94+(G94-AA94)*Z94+(G94-AC94)*AB94+(G94-AE94)*AD94+(G94-AG94)*AF94+(G94-AI94)*AH94+(G94-AK94)*AJ94+(G94-AM94)*AL94+(G94-AO94)*AN94+(G94-AQ94)*AP94+(G94-AS94)*AR94+(G94-AU94)*AT94+(G94-AW94)*AV94+(G94-AY94)*AX94+(G94-BA94)*AZ94+(G94-BC94)*BB94)*BJ94*BI94)*10000</f>
        <v>0</v>
      </c>
      <c r="J94" s="82" t="n">
        <f aca="false">H94+I94</f>
        <v>62735.7881723997</v>
      </c>
      <c r="L94" s="329"/>
      <c r="O94" s="95" t="n">
        <f aca="false">A94</f>
        <v>39692</v>
      </c>
      <c r="BD94" s="100" t="n">
        <f aca="false">(P94+R94+T94+V94+X94+Z94+AB94+AD94+AF94+AH94+AJ94+AL94+AN94+AP94+AR94+AT94+AV94+AX94+AZ94+BB94)</f>
        <v>0</v>
      </c>
      <c r="BE94" s="322" t="n">
        <f aca="false">IF(AND(BD94=0,BH94=0),0,(ABS(P94)*Q94+ABS(R94)*S94+ABS(T94)*U94+ABS(V94)*W94+ABS(X94)*Y94+ABS(Z94)*AA94+ABS(AB94)*AC94+ABS(AD94)*AE94+ABS(AF94)*AG94+ABS(AH94)*AI94+ABS(AJ94)*AK94+ABS(AL94)*AM94+ABS(AN94)*AO94+ABS(AP94)*AQ94+ABS(AR94)*AS94+ABS(AT94)*AU94+ABS(AV94)*AW94+ABS(AX94)*AY94+ABS(AZ94)*BA94+ABS(BB94)*BC94)/BH94)</f>
        <v>0</v>
      </c>
      <c r="BG94" s="103" t="n">
        <f aca="false">O94</f>
        <v>39692</v>
      </c>
      <c r="BH94" s="323" t="n">
        <f aca="false">(ABS(P94)+ABS(R94)+ABS(T94)+ABS(V94)+ABS(X94)+ABS(Z94)+ABS(AB94)+ABS(AD94)+ABS(AF94)+ABS(AH94)+ABS(AJ94)+ABS(AL94)+ABS(AN94)+ABS(AP94)+ABS(AR94)+ABS(AT94)+ABS(AV94)+ABS(AX94)+ABS(AZ94)+ABS(BB94))</f>
        <v>0</v>
      </c>
      <c r="BI94" s="104" t="n">
        <f aca="false">VLOOKUP(GasPosn!A94,'Pricing Summary'!$AB$12:$AD$250,3)</f>
        <v>30</v>
      </c>
      <c r="BJ94" s="102" t="n">
        <f aca="false">VLOOKUP(A94,Interest!$AF$8:$AK$367,6)</f>
        <v>0.709331792142431</v>
      </c>
      <c r="BL94" s="0" t="n">
        <f aca="false">J94*VLOOKUP(A94,NymexData!$J$12:$K$244,2)</f>
        <v>98934.080351474</v>
      </c>
      <c r="BO94" s="0" t="n">
        <f aca="false">Interest!AK90</f>
        <v>0.709331792142431</v>
      </c>
      <c r="BP94" s="0" t="n">
        <f aca="false">G94*Interest!AK90</f>
        <v>2.88059640789041</v>
      </c>
      <c r="BQ94" s="0" t="n">
        <f aca="false">IF(AND(A94&gt;=$B$3,A94&lt;=$B$4),1,0)</f>
        <v>1</v>
      </c>
      <c r="BR94" s="0" t="n">
        <f aca="false">BO94*BQ94</f>
        <v>0.709331792142431</v>
      </c>
      <c r="BS94" s="0" t="n">
        <f aca="false">BP94*BQ94</f>
        <v>2.88059640789041</v>
      </c>
    </row>
    <row r="95" customFormat="false" ht="18" hidden="false" customHeight="false" outlineLevel="0" collapsed="false">
      <c r="A95" s="112" t="n">
        <f aca="false">[2]EnergyCurve!$D117</f>
        <v>39722</v>
      </c>
      <c r="B95" s="324" t="n">
        <f aca="false" t="array" ref="B95:B95">SUM(IF(MONTH(NymexData!$AI$12:$AI$250)&amp;YEAR(NymexData!$AI$12:$AI$250)=MONTH(A95)&amp;YEAR(A95),NymexData!$AJ$12:$AJ$250))</f>
        <v>-153.53468522</v>
      </c>
      <c r="C95" s="325" t="n">
        <f aca="false">BD95*BJ95*BI95</f>
        <v>0</v>
      </c>
      <c r="D95" s="326" t="n">
        <f aca="false">C95+B95</f>
        <v>-153.53468522</v>
      </c>
      <c r="E95" s="327" t="n">
        <f aca="false" t="array" ref="E95:E95">SUM(IF(MONTH(NymexData!$S$12:$S$250)&amp;YEAR(NymexData!$S$12:$S$250)=MONTH(A95)&amp;YEAR(A95),NymexData!$T$12:$T$250))</f>
        <v>4.103</v>
      </c>
      <c r="F95" s="327" t="n">
        <f aca="false">G95-E95</f>
        <v>-0.0419999999999998</v>
      </c>
      <c r="G95" s="328" t="n">
        <f aca="false" t="array" ref="G95:G95">IF(NymexData!$AA$12="",GasPosn!E95,SUM(IF(MONTH(NymexData!$AA$12:$AA$250)&amp;YEAR(NymexData!$AA$12:$AA$250)=MONTH(A95)&amp;YEAR(A95),NymexData!$AB$12:$AB$250)))</f>
        <v>4.061</v>
      </c>
      <c r="H95" s="115" t="n">
        <f aca="false">B95*10000*F95</f>
        <v>64484.5677923997</v>
      </c>
      <c r="I95" s="119" t="n">
        <f aca="false">(((G95-Q95)*P95+(G95-S95)*R95+(G95-U95)*T95+(G95-W95)*V95+(G95-Y95)*X95+(G95-AA95)*Z95+(G95-AC95)*AB95+(G95-AE95)*AD95+(G95-AG95)*AF95+(G95-AI95)*AH95+(G95-AK95)*AJ95+(G95-AM95)*AL95+(G95-AO95)*AN95+(G95-AQ95)*AP95+(G95-AS95)*AR95+(G95-AU95)*AT95+(G95-AW95)*AV95+(G95-AY95)*AX95+(G95-BA95)*AZ95+(G95-BC95)*BB95)*BJ95*BI95)*10000</f>
        <v>0</v>
      </c>
      <c r="J95" s="119" t="n">
        <f aca="false">H95+I95</f>
        <v>64484.5677923997</v>
      </c>
      <c r="L95" s="329"/>
      <c r="O95" s="95" t="n">
        <f aca="false">A95</f>
        <v>39722</v>
      </c>
      <c r="BD95" s="100" t="n">
        <f aca="false">(P95+R95+T95+V95+X95+Z95+AB95+AD95+AF95+AH95+AJ95+AL95+AN95+AP95+AR95+AT95+AV95+AX95+AZ95+BB95)</f>
        <v>0</v>
      </c>
      <c r="BE95" s="322" t="n">
        <f aca="false">IF(AND(BD95=0,BH95=0),0,(ABS(P95)*Q95+ABS(R95)*S95+ABS(T95)*U95+ABS(V95)*W95+ABS(X95)*Y95+ABS(Z95)*AA95+ABS(AB95)*AC95+ABS(AD95)*AE95+ABS(AF95)*AG95+ABS(AH95)*AI95+ABS(AJ95)*AK95+ABS(AL95)*AM95+ABS(AN95)*AO95+ABS(AP95)*AQ95+ABS(AR95)*AS95+ABS(AT95)*AU95+ABS(AV95)*AW95+ABS(AX95)*AY95+ABS(AZ95)*BA95+ABS(BB95)*BC95)/BH95)</f>
        <v>0</v>
      </c>
      <c r="BG95" s="103" t="n">
        <f aca="false">O95</f>
        <v>39722</v>
      </c>
      <c r="BH95" s="323" t="n">
        <f aca="false">(ABS(P95)+ABS(R95)+ABS(T95)+ABS(V95)+ABS(X95)+ABS(Z95)+ABS(AB95)+ABS(AD95)+ABS(AF95)+ABS(AH95)+ABS(AJ95)+ABS(AL95)+ABS(AN95)+ABS(AP95)+ABS(AR95)+ABS(AT95)+ABS(AV95)+ABS(AX95)+ABS(AZ95)+ABS(BB95))</f>
        <v>0</v>
      </c>
      <c r="BI95" s="104" t="n">
        <f aca="false">VLOOKUP(GasPosn!A95,'Pricing Summary'!$AB$12:$AD$250,3)</f>
        <v>31</v>
      </c>
      <c r="BJ95" s="102" t="n">
        <f aca="false">VLOOKUP(A95,Interest!$AF$8:$AK$367,6)</f>
        <v>0.705464221177491</v>
      </c>
      <c r="BL95" s="0" t="n">
        <f aca="false">J95*VLOOKUP(A95,NymexData!$J$12:$K$244,2)</f>
        <v>101688.108949051</v>
      </c>
      <c r="BO95" s="0" t="n">
        <f aca="false">Interest!AK91</f>
        <v>0.705464221177491</v>
      </c>
      <c r="BP95" s="0" t="n">
        <f aca="false">G95*Interest!AK91</f>
        <v>2.86489020220179</v>
      </c>
      <c r="BQ95" s="0" t="n">
        <f aca="false">IF(AND(A95&gt;=$B$3,A95&lt;=$B$4),1,0)</f>
        <v>1</v>
      </c>
      <c r="BR95" s="0" t="n">
        <f aca="false">BO95*BQ95</f>
        <v>0.705464221177491</v>
      </c>
      <c r="BS95" s="0" t="n">
        <f aca="false">BP95*BQ95</f>
        <v>2.86489020220179</v>
      </c>
    </row>
    <row r="96" customFormat="false" ht="18" hidden="false" customHeight="false" outlineLevel="0" collapsed="false">
      <c r="A96" s="75" t="n">
        <f aca="false">[2]EnergyCurve!$D118</f>
        <v>39753</v>
      </c>
      <c r="B96" s="317" t="n">
        <f aca="false" t="array" ref="B96:B96">SUM(IF(MONTH(NymexData!$AI$12:$AI$250)&amp;YEAR(NymexData!$AI$12:$AI$250)=MONTH(A96)&amp;YEAR(A96),NymexData!$AJ$12:$AJ$250))</f>
        <v>-147.76661424</v>
      </c>
      <c r="C96" s="317" t="n">
        <f aca="false">BD96*BJ96*BI96</f>
        <v>0</v>
      </c>
      <c r="D96" s="319" t="n">
        <f aca="false">C96+B96</f>
        <v>-147.76661424</v>
      </c>
      <c r="E96" s="320" t="n">
        <f aca="false" t="array" ref="E96:E96">SUM(IF(MONTH(NymexData!$S$12:$S$250)&amp;YEAR(NymexData!$S$12:$S$250)=MONTH(A96)&amp;YEAR(A96),NymexData!$T$12:$T$250))</f>
        <v>4.251</v>
      </c>
      <c r="F96" s="320" t="n">
        <f aca="false">G96-E96</f>
        <v>-0.0410000000000004</v>
      </c>
      <c r="G96" s="321" t="n">
        <f aca="false" t="array" ref="G96:G96">IF(NymexData!$AA$12="",GasPosn!E96,SUM(IF(MONTH(NymexData!$AA$12:$AA$250)&amp;YEAR(NymexData!$AA$12:$AA$250)=MONTH(A96)&amp;YEAR(A96),NymexData!$AB$12:$AB$250)))</f>
        <v>4.21</v>
      </c>
      <c r="H96" s="76" t="n">
        <f aca="false">B96*10000*F96</f>
        <v>60584.3118384005</v>
      </c>
      <c r="I96" s="82" t="n">
        <f aca="false">(((G96-Q96)*P96+(G96-S96)*R96+(G96-U96)*T96+(G96-W96)*V96+(G96-Y96)*X96+(G96-AA96)*Z96+(G96-AC96)*AB96+(G96-AE96)*AD96+(G96-AG96)*AF96+(G96-AI96)*AH96+(G96-AK96)*AJ96+(G96-AM96)*AL96+(G96-AO96)*AN96+(G96-AQ96)*AP96+(G96-AS96)*AR96+(G96-AU96)*AT96+(G96-AW96)*AV96+(G96-AY96)*AX96+(G96-BA96)*AZ96+(G96-BC96)*BB96)*BJ96*BI96)*10000</f>
        <v>0</v>
      </c>
      <c r="J96" s="82" t="n">
        <f aca="false">H96+I96</f>
        <v>60584.3118384005</v>
      </c>
      <c r="L96" s="329"/>
      <c r="O96" s="95" t="n">
        <f aca="false">A96</f>
        <v>39753</v>
      </c>
      <c r="BD96" s="100" t="n">
        <f aca="false">(P96+R96+T96+V96+X96+Z96+AB96+AD96+AF96+AH96+AJ96+AL96+AN96+AP96+AR96+AT96+AV96+AX96+AZ96+BB96)</f>
        <v>0</v>
      </c>
      <c r="BE96" s="322" t="n">
        <f aca="false">IF(AND(BD96=0,BH96=0),0,(ABS(P96)*Q96+ABS(R96)*S96+ABS(T96)*U96+ABS(V96)*W96+ABS(X96)*Y96+ABS(Z96)*AA96+ABS(AB96)*AC96+ABS(AD96)*AE96+ABS(AF96)*AG96+ABS(AH96)*AI96+ABS(AJ96)*AK96+ABS(AL96)*AM96+ABS(AN96)*AO96+ABS(AP96)*AQ96+ABS(AR96)*AS96+ABS(AT96)*AU96+ABS(AV96)*AW96+ABS(AX96)*AY96+ABS(AZ96)*BA96+ABS(BB96)*BC96)/BH96)</f>
        <v>0</v>
      </c>
      <c r="BG96" s="103" t="n">
        <f aca="false">O96</f>
        <v>39753</v>
      </c>
      <c r="BH96" s="323" t="n">
        <f aca="false">(ABS(P96)+ABS(R96)+ABS(T96)+ABS(V96)+ABS(X96)+ABS(Z96)+ABS(AB96)+ABS(AD96)+ABS(AF96)+ABS(AH96)+ABS(AJ96)+ABS(AL96)+ABS(AN96)+ABS(AP96)+ABS(AR96)+ABS(AT96)+ABS(AV96)+ABS(AX96)+ABS(AZ96)+ABS(BB96))</f>
        <v>0</v>
      </c>
      <c r="BI96" s="104" t="n">
        <f aca="false">VLOOKUP(GasPosn!A96,'Pricing Summary'!$AB$12:$AD$250,3)</f>
        <v>30</v>
      </c>
      <c r="BJ96" s="102" t="n">
        <f aca="false">VLOOKUP(A96,Interest!$AF$8:$AK$367,6)</f>
        <v>0.701727112178413</v>
      </c>
      <c r="BL96" s="0" t="n">
        <f aca="false">J96*VLOOKUP(A96,NymexData!$J$12:$K$244,2)</f>
        <v>95538.919247632</v>
      </c>
      <c r="BO96" s="0" t="n">
        <f aca="false">Interest!AK92</f>
        <v>0.701727112178413</v>
      </c>
      <c r="BP96" s="0" t="n">
        <f aca="false">G96*Interest!AK92</f>
        <v>2.95427114227112</v>
      </c>
      <c r="BQ96" s="0" t="n">
        <f aca="false">IF(AND(A96&gt;=$B$3,A96&lt;=$B$4),1,0)</f>
        <v>1</v>
      </c>
      <c r="BR96" s="0" t="n">
        <f aca="false">BO96*BQ96</f>
        <v>0.701727112178413</v>
      </c>
      <c r="BS96" s="0" t="n">
        <f aca="false">BP96*BQ96</f>
        <v>2.95427114227112</v>
      </c>
    </row>
    <row r="97" customFormat="false" ht="18" hidden="false" customHeight="false" outlineLevel="0" collapsed="false">
      <c r="A97" s="112" t="n">
        <f aca="false">[2]EnergyCurve!$D119</f>
        <v>39783</v>
      </c>
      <c r="B97" s="324" t="n">
        <f aca="false" t="array" ref="B97:B97">SUM(IF(MONTH(NymexData!$AI$12:$AI$250)&amp;YEAR(NymexData!$AI$12:$AI$250)=MONTH(A97)&amp;YEAR(A97),NymexData!$AJ$12:$AJ$250))</f>
        <v>-151.87680844</v>
      </c>
      <c r="C97" s="325" t="n">
        <f aca="false">BD97*BJ97*BI97</f>
        <v>0</v>
      </c>
      <c r="D97" s="326" t="n">
        <f aca="false">C97+B97</f>
        <v>-151.87680844</v>
      </c>
      <c r="E97" s="327" t="n">
        <f aca="false" t="array" ref="E97:E97">SUM(IF(MONTH(NymexData!$S$12:$S$250)&amp;YEAR(NymexData!$S$12:$S$250)=MONTH(A97)&amp;YEAR(A97),NymexData!$T$12:$T$250))</f>
        <v>4.403</v>
      </c>
      <c r="F97" s="327" t="n">
        <f aca="false">G97-E97</f>
        <v>-0.0410000000000004</v>
      </c>
      <c r="G97" s="328" t="n">
        <f aca="false" t="array" ref="G97:G97">IF(NymexData!$AA$12="",GasPosn!E97,SUM(IF(MONTH(NymexData!$AA$12:$AA$250)&amp;YEAR(NymexData!$AA$12:$AA$250)=MONTH(A97)&amp;YEAR(A97),NymexData!$AB$12:$AB$250)))</f>
        <v>4.362</v>
      </c>
      <c r="H97" s="115" t="n">
        <f aca="false">B97*10000*F97</f>
        <v>62269.4914604006</v>
      </c>
      <c r="I97" s="119" t="n">
        <f aca="false">(((G97-Q97)*P97+(G97-S97)*R97+(G97-U97)*T97+(G97-W97)*V97+(G97-Y97)*X97+(G97-AA97)*Z97+(G97-AC97)*AB97+(G97-AE97)*AD97+(G97-AG97)*AF97+(G97-AI97)*AH97+(G97-AK97)*AJ97+(G97-AM97)*AL97+(G97-AO97)*AN97+(G97-AQ97)*AP97+(G97-AS97)*AR97+(G97-AU97)*AT97+(G97-AW97)*AV97+(G97-AY97)*AX97+(G97-BA97)*AZ97+(G97-BC97)*BB97)*BJ97*BI97)*10000</f>
        <v>0</v>
      </c>
      <c r="J97" s="119" t="n">
        <f aca="false">H97+I97</f>
        <v>62269.4914604006</v>
      </c>
      <c r="L97" s="329"/>
      <c r="O97" s="95" t="n">
        <f aca="false">A97</f>
        <v>39783</v>
      </c>
      <c r="BD97" s="100" t="n">
        <f aca="false">(P97+R97+T97+V97+X97+Z97+AB97+AD97+AF97+AH97+AJ97+AL97+AN97+AP97+AR97+AT97+AV97+AX97+AZ97+BB97)</f>
        <v>0</v>
      </c>
      <c r="BE97" s="322" t="n">
        <f aca="false">IF(AND(BD97=0,BH97=0),0,(ABS(P97)*Q97+ABS(R97)*S97+ABS(T97)*U97+ABS(V97)*W97+ABS(X97)*Y97+ABS(Z97)*AA97+ABS(AB97)*AC97+ABS(AD97)*AE97+ABS(AF97)*AG97+ABS(AH97)*AI97+ABS(AJ97)*AK97+ABS(AL97)*AM97+ABS(AN97)*AO97+ABS(AP97)*AQ97+ABS(AR97)*AS97+ABS(AT97)*AU97+ABS(AV97)*AW97+ABS(AX97)*AY97+ABS(AZ97)*BA97+ABS(BB97)*BC97)/BH97)</f>
        <v>0</v>
      </c>
      <c r="BG97" s="103" t="n">
        <f aca="false">O97</f>
        <v>39783</v>
      </c>
      <c r="BH97" s="323" t="n">
        <f aca="false">(ABS(P97)+ABS(R97)+ABS(T97)+ABS(V97)+ABS(X97)+ABS(Z97)+ABS(AB97)+ABS(AD97)+ABS(AF97)+ABS(AH97)+ABS(AJ97)+ABS(AL97)+ABS(AN97)+ABS(AP97)+ABS(AR97)+ABS(AT97)+ABS(AV97)+ABS(AX97)+ABS(AZ97)+ABS(BB97))</f>
        <v>0</v>
      </c>
      <c r="BI97" s="104" t="n">
        <f aca="false">VLOOKUP(GasPosn!A97,'Pricing Summary'!$AB$12:$AD$250,3)</f>
        <v>31</v>
      </c>
      <c r="BJ97" s="102" t="n">
        <f aca="false">VLOOKUP(A97,Interest!$AF$8:$AK$367,6)</f>
        <v>0.698252970929119</v>
      </c>
      <c r="BL97" s="0" t="n">
        <f aca="false">J97*VLOOKUP(A97,NymexData!$J$12:$K$244,2)</f>
        <v>98245.5796869627</v>
      </c>
      <c r="BO97" s="0" t="n">
        <f aca="false">Interest!AK93</f>
        <v>0.698252970929119</v>
      </c>
      <c r="BP97" s="0" t="n">
        <f aca="false">G97*Interest!AK93</f>
        <v>3.04577945919282</v>
      </c>
      <c r="BQ97" s="0" t="n">
        <f aca="false">IF(AND(A97&gt;=$B$3,A97&lt;=$B$4),1,0)</f>
        <v>1</v>
      </c>
      <c r="BR97" s="0" t="n">
        <f aca="false">BO97*BQ97</f>
        <v>0.698252970929119</v>
      </c>
      <c r="BS97" s="0" t="n">
        <f aca="false">BP97*BQ97</f>
        <v>3.04577945919282</v>
      </c>
    </row>
    <row r="98" customFormat="false" ht="18" hidden="false" customHeight="false" outlineLevel="0" collapsed="false">
      <c r="A98" s="75" t="n">
        <f aca="false">[2]EnergyCurve!$D120</f>
        <v>39814</v>
      </c>
      <c r="B98" s="317" t="n">
        <f aca="false" t="array" ref="B98:B98">SUM(IF(MONTH(NymexData!$AI$12:$AI$250)&amp;YEAR(NymexData!$AI$12:$AI$250)=MONTH(A98)&amp;YEAR(A98),NymexData!$AJ$12:$AJ$250))</f>
        <v>-151.03429964</v>
      </c>
      <c r="C98" s="317" t="n">
        <f aca="false">BD98*BJ98*BI98</f>
        <v>0</v>
      </c>
      <c r="D98" s="319" t="n">
        <f aca="false">C98+B98</f>
        <v>-151.03429964</v>
      </c>
      <c r="E98" s="320" t="n">
        <f aca="false" t="array" ref="E98:E98">SUM(IF(MONTH(NymexData!$S$12:$S$250)&amp;YEAR(NymexData!$S$12:$S$250)=MONTH(A98)&amp;YEAR(A98),NymexData!$T$12:$T$250))</f>
        <v>4.468</v>
      </c>
      <c r="F98" s="320" t="n">
        <f aca="false">G98-E98</f>
        <v>-0.0359999999999996</v>
      </c>
      <c r="G98" s="321" t="n">
        <f aca="false" t="array" ref="G98:G98">IF(NymexData!$AA$12="",GasPosn!E98,SUM(IF(MONTH(NymexData!$AA$12:$AA$250)&amp;YEAR(NymexData!$AA$12:$AA$250)=MONTH(A98)&amp;YEAR(A98),NymexData!$AB$12:$AB$250)))</f>
        <v>4.432</v>
      </c>
      <c r="H98" s="76" t="n">
        <f aca="false">B98*10000*F98</f>
        <v>54372.3478703994</v>
      </c>
      <c r="I98" s="82" t="n">
        <f aca="false">(((G98-Q98)*P98+(G98-S98)*R98+(G98-U98)*T98+(G98-W98)*V98+(G98-Y98)*X98+(G98-AA98)*Z98+(G98-AC98)*AB98+(G98-AE98)*AD98+(G98-AG98)*AF98+(G98-AI98)*AH98+(G98-AK98)*AJ98+(G98-AM98)*AL98+(G98-AO98)*AN98+(G98-AQ98)*AP98+(G98-AS98)*AR98+(G98-AU98)*AT98+(G98-AW98)*AV98+(G98-AY98)*AX98+(G98-BA98)*AZ98+(G98-BC98)*BB98)*BJ98*BI98)*10000</f>
        <v>0</v>
      </c>
      <c r="J98" s="82" t="n">
        <f aca="false">H98+I98</f>
        <v>54372.3478703994</v>
      </c>
      <c r="L98" s="329"/>
      <c r="O98" s="95" t="n">
        <f aca="false">A98</f>
        <v>39814</v>
      </c>
      <c r="BD98" s="100" t="n">
        <f aca="false">(P98+R98+T98+V98+X98+Z98+AB98+AD98+AF98+AH98+AJ98+AL98+AN98+AP98+AR98+AT98+AV98+AX98+AZ98+BB98)</f>
        <v>0</v>
      </c>
      <c r="BE98" s="322" t="n">
        <f aca="false">IF(AND(BD98=0,BH98=0),0,(ABS(P98)*Q98+ABS(R98)*S98+ABS(T98)*U98+ABS(V98)*W98+ABS(X98)*Y98+ABS(Z98)*AA98+ABS(AB98)*AC98+ABS(AD98)*AE98+ABS(AF98)*AG98+ABS(AH98)*AI98+ABS(AJ98)*AK98+ABS(AL98)*AM98+ABS(AN98)*AO98+ABS(AP98)*AQ98+ABS(AR98)*AS98+ABS(AT98)*AU98+ABS(AV98)*AW98+ABS(AX98)*AY98+ABS(AZ98)*BA98+ABS(BB98)*BC98)/BH98)</f>
        <v>0</v>
      </c>
      <c r="BG98" s="103" t="n">
        <f aca="false">O98</f>
        <v>39814</v>
      </c>
      <c r="BH98" s="323" t="n">
        <f aca="false">(ABS(P98)+ABS(R98)+ABS(T98)+ABS(V98)+ABS(X98)+ABS(Z98)+ABS(AB98)+ABS(AD98)+ABS(AF98)+ABS(AH98)+ABS(AJ98)+ABS(AL98)+ABS(AN98)+ABS(AP98)+ABS(AR98)+ABS(AT98)+ABS(AV98)+ABS(AX98)+ABS(AZ98)+ABS(BB98))</f>
        <v>0</v>
      </c>
      <c r="BI98" s="104" t="n">
        <f aca="false">VLOOKUP(GasPosn!A98,'Pricing Summary'!$AB$12:$AD$250,3)</f>
        <v>31</v>
      </c>
      <c r="BJ98" s="102" t="n">
        <f aca="false">VLOOKUP(A98,Interest!$AF$8:$AK$367,6)</f>
        <v>0.694766727509116</v>
      </c>
      <c r="BL98" s="0" t="n">
        <f aca="false">J98*VLOOKUP(A98,NymexData!$J$12:$K$244,2)</f>
        <v>85831.2705225848</v>
      </c>
      <c r="BO98" s="0" t="n">
        <f aca="false">Interest!AK94</f>
        <v>0.694766727509116</v>
      </c>
      <c r="BP98" s="0" t="n">
        <f aca="false">G98*Interest!AK94</f>
        <v>3.0792061363204</v>
      </c>
      <c r="BQ98" s="0" t="n">
        <f aca="false">IF(AND(A98&gt;=$B$3,A98&lt;=$B$4),1,0)</f>
        <v>1</v>
      </c>
      <c r="BR98" s="0" t="n">
        <f aca="false">BO98*BQ98</f>
        <v>0.694766727509116</v>
      </c>
      <c r="BS98" s="0" t="n">
        <f aca="false">BP98*BQ98</f>
        <v>3.0792061363204</v>
      </c>
    </row>
    <row r="99" customFormat="false" ht="18" hidden="false" customHeight="false" outlineLevel="0" collapsed="false">
      <c r="A99" s="112" t="n">
        <f aca="false">[2]EnergyCurve!$D121</f>
        <v>39845</v>
      </c>
      <c r="B99" s="324" t="n">
        <f aca="false" t="array" ref="B99:B99">SUM(IF(MONTH(NymexData!$AI$12:$AI$250)&amp;YEAR(NymexData!$AI$12:$AI$250)=MONTH(A99)&amp;YEAR(A99),NymexData!$AJ$12:$AJ$250))</f>
        <v>-135.6571748</v>
      </c>
      <c r="C99" s="325" t="n">
        <f aca="false">BD99*BJ99*BI99</f>
        <v>0</v>
      </c>
      <c r="D99" s="326" t="n">
        <f aca="false">C99+B99</f>
        <v>-135.6571748</v>
      </c>
      <c r="E99" s="327" t="n">
        <f aca="false" t="array" ref="E99:E99">SUM(IF(MONTH(NymexData!$S$12:$S$250)&amp;YEAR(NymexData!$S$12:$S$250)=MONTH(A99)&amp;YEAR(A99),NymexData!$T$12:$T$250))</f>
        <v>4.381</v>
      </c>
      <c r="F99" s="327" t="n">
        <f aca="false">G99-E99</f>
        <v>-0.0369999999999999</v>
      </c>
      <c r="G99" s="328" t="n">
        <f aca="false" t="array" ref="G99:G99">IF(NymexData!$AA$12="",GasPosn!E99,SUM(IF(MONTH(NymexData!$AA$12:$AA$250)&amp;YEAR(NymexData!$AA$12:$AA$250)=MONTH(A99)&amp;YEAR(A99),NymexData!$AB$12:$AB$250)))</f>
        <v>4.344</v>
      </c>
      <c r="H99" s="115" t="n">
        <f aca="false">B99*10000*F99</f>
        <v>50193.1546759999</v>
      </c>
      <c r="I99" s="119" t="n">
        <f aca="false">(((G99-Q99)*P99+(G99-S99)*R99+(G99-U99)*T99+(G99-W99)*V99+(G99-Y99)*X99+(G99-AA99)*Z99+(G99-AC99)*AB99+(G99-AE99)*AD99+(G99-AG99)*AF99+(G99-AI99)*AH99+(G99-AK99)*AJ99+(G99-AM99)*AL99+(G99-AO99)*AN99+(G99-AQ99)*AP99+(G99-AS99)*AR99+(G99-AU99)*AT99+(G99-AW99)*AV99+(G99-AY99)*AX99+(G99-BA99)*AZ99+(G99-BC99)*BB99)*BJ99*BI99)*10000</f>
        <v>0</v>
      </c>
      <c r="J99" s="119" t="n">
        <f aca="false">H99+I99</f>
        <v>50193.1546759999</v>
      </c>
      <c r="L99" s="329"/>
      <c r="O99" s="95" t="n">
        <f aca="false">A99</f>
        <v>39845</v>
      </c>
      <c r="BD99" s="100" t="n">
        <f aca="false">(P99+R99+T99+V99+X99+Z99+AB99+AD99+AF99+AH99+AJ99+AL99+AN99+AP99+AR99+AT99+AV99+AX99+AZ99+BB99)</f>
        <v>0</v>
      </c>
      <c r="BE99" s="322" t="n">
        <f aca="false">IF(AND(BD99=0,BH99=0),0,(ABS(P99)*Q99+ABS(R99)*S99+ABS(T99)*U99+ABS(V99)*W99+ABS(X99)*Y99+ABS(Z99)*AA99+ABS(AB99)*AC99+ABS(AD99)*AE99+ABS(AF99)*AG99+ABS(AH99)*AI99+ABS(AJ99)*AK99+ABS(AL99)*AM99+ABS(AN99)*AO99+ABS(AP99)*AQ99+ABS(AR99)*AS99+ABS(AT99)*AU99+ABS(AV99)*AW99+ABS(AX99)*AY99+ABS(AZ99)*BA99+ABS(BB99)*BC99)/BH99)</f>
        <v>0</v>
      </c>
      <c r="BG99" s="103" t="n">
        <f aca="false">O99</f>
        <v>39845</v>
      </c>
      <c r="BH99" s="323" t="n">
        <f aca="false">(ABS(P99)+ABS(R99)+ABS(T99)+ABS(V99)+ABS(X99)+ABS(Z99)+ABS(AB99)+ABS(AD99)+ABS(AF99)+ABS(AH99)+ABS(AJ99)+ABS(AL99)+ABS(AN99)+ABS(AP99)+ABS(AR99)+ABS(AT99)+ABS(AV99)+ABS(AX99)+ABS(AZ99)+ABS(BB99))</f>
        <v>0</v>
      </c>
      <c r="BI99" s="104" t="n">
        <f aca="false">VLOOKUP(GasPosn!A99,'Pricing Summary'!$AB$12:$AD$250,3)</f>
        <v>28</v>
      </c>
      <c r="BJ99" s="102" t="n">
        <f aca="false">VLOOKUP(A99,Interest!$AF$8:$AK$367,6)</f>
        <v>0.691570099761067</v>
      </c>
      <c r="BL99" s="0" t="n">
        <f aca="false">J99*VLOOKUP(A99,NymexData!$J$12:$K$244,2)</f>
        <v>79276.912348154</v>
      </c>
      <c r="BO99" s="0" t="n">
        <f aca="false">Interest!AK95</f>
        <v>0.691570099761067</v>
      </c>
      <c r="BP99" s="0" t="n">
        <f aca="false">G99*Interest!AK95</f>
        <v>3.00418051336207</v>
      </c>
      <c r="BQ99" s="0" t="n">
        <f aca="false">IF(AND(A99&gt;=$B$3,A99&lt;=$B$4),1,0)</f>
        <v>1</v>
      </c>
      <c r="BR99" s="0" t="n">
        <f aca="false">BO99*BQ99</f>
        <v>0.691570099761067</v>
      </c>
      <c r="BS99" s="0" t="n">
        <f aca="false">BP99*BQ99</f>
        <v>3.00418051336207</v>
      </c>
    </row>
    <row r="100" customFormat="false" ht="18" hidden="false" customHeight="false" outlineLevel="0" collapsed="false">
      <c r="A100" s="75" t="n">
        <f aca="false">[2]EnergyCurve!$D122</f>
        <v>39873</v>
      </c>
      <c r="B100" s="317" t="n">
        <f aca="false" t="array" ref="B100:B100">SUM(IF(MONTH(NymexData!$AI$12:$AI$250)&amp;YEAR(NymexData!$AI$12:$AI$250)=MONTH(A100)&amp;YEAR(A100),NymexData!$AJ$12:$AJ$250))</f>
        <v>-149.4310825</v>
      </c>
      <c r="C100" s="317" t="n">
        <f aca="false">BD100*BJ100*BI100</f>
        <v>0</v>
      </c>
      <c r="D100" s="319" t="n">
        <f aca="false">C100+B100</f>
        <v>-149.4310825</v>
      </c>
      <c r="E100" s="320" t="n">
        <f aca="false" t="array" ref="E100:E100">SUM(IF(MONTH(NymexData!$S$12:$S$250)&amp;YEAR(NymexData!$S$12:$S$250)=MONTH(A100)&amp;YEAR(A100),NymexData!$T$12:$T$250))</f>
        <v>4.242</v>
      </c>
      <c r="F100" s="320" t="n">
        <f aca="false">G100-E100</f>
        <v>-0.0369999999999999</v>
      </c>
      <c r="G100" s="321" t="n">
        <f aca="false" t="array" ref="G100:G100">IF(NymexData!$AA$12="",GasPosn!E100,SUM(IF(MONTH(NymexData!$AA$12:$AA$250)&amp;YEAR(NymexData!$AA$12:$AA$250)=MONTH(A100)&amp;YEAR(A100),NymexData!$AB$12:$AB$250)))</f>
        <v>4.205</v>
      </c>
      <c r="H100" s="76" t="n">
        <f aca="false">B100*10000*F100</f>
        <v>55289.5005249999</v>
      </c>
      <c r="I100" s="82" t="n">
        <f aca="false">(((G100-Q100)*P100+(G100-S100)*R100+(G100-U100)*T100+(G100-W100)*V100+(G100-Y100)*X100+(G100-AA100)*Z100+(G100-AC100)*AB100+(G100-AE100)*AD100+(G100-AG100)*AF100+(G100-AI100)*AH100+(G100-AK100)*AJ100+(G100-AM100)*AL100+(G100-AO100)*AN100+(G100-AQ100)*AP100+(G100-AS100)*AR100+(G100-AU100)*AT100+(G100-AW100)*AV100+(G100-AY100)*AX100+(G100-BA100)*AZ100+(G100-BC100)*BB100)*BJ100*BI100)*10000</f>
        <v>0</v>
      </c>
      <c r="J100" s="82" t="n">
        <f aca="false">H100+I100</f>
        <v>55289.5005249999</v>
      </c>
      <c r="L100" s="329"/>
      <c r="O100" s="95" t="n">
        <f aca="false">A100</f>
        <v>39873</v>
      </c>
      <c r="BD100" s="100" t="n">
        <f aca="false">(P100+R100+T100+V100+X100+Z100+AB100+AD100+AF100+AH100+AJ100+AL100+AN100+AP100+AR100+AT100+AV100+AX100+AZ100+BB100)</f>
        <v>0</v>
      </c>
      <c r="BE100" s="322" t="n">
        <f aca="false">IF(AND(BD100=0,BH100=0),0,(ABS(P100)*Q100+ABS(R100)*S100+ABS(T100)*U100+ABS(V100)*W100+ABS(X100)*Y100+ABS(Z100)*AA100+ABS(AB100)*AC100+ABS(AD100)*AE100+ABS(AF100)*AG100+ABS(AH100)*AI100+ABS(AJ100)*AK100+ABS(AL100)*AM100+ABS(AN100)*AO100+ABS(AP100)*AQ100+ABS(AR100)*AS100+ABS(AT100)*AU100+ABS(AV100)*AW100+ABS(AX100)*AY100+ABS(AZ100)*BA100+ABS(BB100)*BC100)/BH100)</f>
        <v>0</v>
      </c>
      <c r="BG100" s="103" t="n">
        <f aca="false">O100</f>
        <v>39873</v>
      </c>
      <c r="BH100" s="323" t="n">
        <f aca="false">(ABS(P100)+ABS(R100)+ABS(T100)+ABS(V100)+ABS(X100)+ABS(Z100)+ABS(AB100)+ABS(AD100)+ABS(AF100)+ABS(AH100)+ABS(AJ100)+ABS(AL100)+ABS(AN100)+ABS(AP100)+ABS(AR100)+ABS(AT100)+ABS(AV100)+ABS(AX100)+ABS(AZ100)+ABS(BB100))</f>
        <v>0</v>
      </c>
      <c r="BI100" s="104" t="n">
        <f aca="false">VLOOKUP(GasPosn!A100,'Pricing Summary'!$AB$12:$AD$250,3)</f>
        <v>31</v>
      </c>
      <c r="BJ100" s="102" t="n">
        <f aca="false">VLOOKUP(A100,Interest!$AF$8:$AK$367,6)</f>
        <v>0.6881455884701</v>
      </c>
      <c r="BL100" s="0" t="n">
        <f aca="false">J100*VLOOKUP(A100,NymexData!$J$12:$K$244,2)</f>
        <v>87369.7877284353</v>
      </c>
      <c r="BO100" s="0" t="n">
        <f aca="false">Interest!AK96</f>
        <v>0.6881455884701</v>
      </c>
      <c r="BP100" s="0" t="n">
        <f aca="false">G100*Interest!AK96</f>
        <v>2.89365219951677</v>
      </c>
      <c r="BQ100" s="0" t="n">
        <f aca="false">IF(AND(A100&gt;=$B$3,A100&lt;=$B$4),1,0)</f>
        <v>1</v>
      </c>
      <c r="BR100" s="0" t="n">
        <f aca="false">BO100*BQ100</f>
        <v>0.6881455884701</v>
      </c>
      <c r="BS100" s="0" t="n">
        <f aca="false">BP100*BQ100</f>
        <v>2.89365219951677</v>
      </c>
    </row>
    <row r="101" customFormat="false" ht="18" hidden="false" customHeight="false" outlineLevel="0" collapsed="false">
      <c r="A101" s="112" t="n">
        <f aca="false">[2]EnergyCurve!$D123</f>
        <v>39904</v>
      </c>
      <c r="B101" s="324" t="n">
        <f aca="false" t="array" ref="B101:B101">SUM(IF(MONTH(NymexData!$AI$12:$AI$250)&amp;YEAR(NymexData!$AI$12:$AI$250)=MONTH(A101)&amp;YEAR(A101),NymexData!$AJ$12:$AJ$250))</f>
        <v>-143.79575994</v>
      </c>
      <c r="C101" s="325" t="n">
        <f aca="false">BD101*BJ101*BI101</f>
        <v>0</v>
      </c>
      <c r="D101" s="326" t="n">
        <f aca="false">C101+B101</f>
        <v>-143.79575994</v>
      </c>
      <c r="E101" s="327" t="n">
        <f aca="false" t="array" ref="E101:E101">SUM(IF(MONTH(NymexData!$S$12:$S$250)&amp;YEAR(NymexData!$S$12:$S$250)=MONTH(A101)&amp;YEAR(A101),NymexData!$T$12:$T$250))</f>
        <v>4.088</v>
      </c>
      <c r="F101" s="327" t="n">
        <f aca="false">G101-E101</f>
        <v>-0.0369999999999999</v>
      </c>
      <c r="G101" s="328" t="n">
        <f aca="false" t="array" ref="G101:G101">IF(NymexData!$AA$12="",GasPosn!E101,SUM(IF(MONTH(NymexData!$AA$12:$AA$250)&amp;YEAR(NymexData!$AA$12:$AA$250)=MONTH(A101)&amp;YEAR(A101),NymexData!$AB$12:$AB$250)))</f>
        <v>4.051</v>
      </c>
      <c r="H101" s="115" t="n">
        <f aca="false">B101*10000*F101</f>
        <v>53204.4311777999</v>
      </c>
      <c r="I101" s="119" t="n">
        <f aca="false">(((G101-Q101)*P101+(G101-S101)*R101+(G101-U101)*T101+(G101-W101)*V101+(G101-Y101)*X101+(G101-AA101)*Z101+(G101-AC101)*AB101+(G101-AE101)*AD101+(G101-AG101)*AF101+(G101-AI101)*AH101+(G101-AK101)*AJ101+(G101-AM101)*AL101+(G101-AO101)*AN101+(G101-AQ101)*AP101+(G101-AS101)*AR101+(G101-AU101)*AT101+(G101-AW101)*AV101+(G101-AY101)*AX101+(G101-BA101)*AZ101+(G101-BC101)*BB101)*BJ101*BI101)*10000</f>
        <v>0</v>
      </c>
      <c r="J101" s="119" t="n">
        <f aca="false">H101+I101</f>
        <v>53204.4311777999</v>
      </c>
      <c r="L101" s="329"/>
      <c r="O101" s="95" t="n">
        <f aca="false">A101</f>
        <v>39904</v>
      </c>
      <c r="BD101" s="100" t="n">
        <f aca="false">(P101+R101+T101+V101+X101+Z101+AB101+AD101+AF101+AH101+AJ101+AL101+AN101+AP101+AR101+AT101+AV101+AX101+AZ101+BB101)</f>
        <v>0</v>
      </c>
      <c r="BE101" s="322" t="n">
        <f aca="false">IF(AND(BD101=0,BH101=0),0,(ABS(P101)*Q101+ABS(R101)*S101+ABS(T101)*U101+ABS(V101)*W101+ABS(X101)*Y101+ABS(Z101)*AA101+ABS(AB101)*AC101+ABS(AD101)*AE101+ABS(AF101)*AG101+ABS(AH101)*AI101+ABS(AJ101)*AK101+ABS(AL101)*AM101+ABS(AN101)*AO101+ABS(AP101)*AQ101+ABS(AR101)*AS101+ABS(AT101)*AU101+ABS(AV101)*AW101+ABS(AX101)*AY101+ABS(AZ101)*BA101+ABS(BB101)*BC101)/BH101)</f>
        <v>0</v>
      </c>
      <c r="BG101" s="103" t="n">
        <f aca="false">O101</f>
        <v>39904</v>
      </c>
      <c r="BH101" s="323" t="n">
        <f aca="false">(ABS(P101)+ABS(R101)+ABS(T101)+ABS(V101)+ABS(X101)+ABS(Z101)+ABS(AB101)+ABS(AD101)+ABS(AF101)+ABS(AH101)+ABS(AJ101)+ABS(AL101)+ABS(AN101)+ABS(AP101)+ABS(AR101)+ABS(AT101)+ABS(AV101)+ABS(AX101)+ABS(AZ101)+ABS(BB101))</f>
        <v>0</v>
      </c>
      <c r="BI101" s="104" t="n">
        <f aca="false">VLOOKUP(GasPosn!A101,'Pricing Summary'!$AB$12:$AD$250,3)</f>
        <v>30</v>
      </c>
      <c r="BJ101" s="102" t="n">
        <f aca="false">VLOOKUP(A101,Interest!$AF$8:$AK$367,6)</f>
        <v>0.684768533547132</v>
      </c>
      <c r="BL101" s="0" t="n">
        <f aca="false">J101*VLOOKUP(A101,NymexData!$J$12:$K$244,2)</f>
        <v>84122.2271674854</v>
      </c>
      <c r="BO101" s="0" t="n">
        <f aca="false">Interest!AK97</f>
        <v>0.684768533547132</v>
      </c>
      <c r="BP101" s="0" t="n">
        <f aca="false">G101*Interest!AK97</f>
        <v>2.77399732939943</v>
      </c>
      <c r="BQ101" s="0" t="n">
        <f aca="false">IF(AND(A101&gt;=$B$3,A101&lt;=$B$4),1,0)</f>
        <v>1</v>
      </c>
      <c r="BR101" s="0" t="n">
        <f aca="false">BO101*BQ101</f>
        <v>0.684768533547132</v>
      </c>
      <c r="BS101" s="0" t="n">
        <f aca="false">BP101*BQ101</f>
        <v>2.77399732939943</v>
      </c>
    </row>
    <row r="102" customFormat="false" ht="18" hidden="false" customHeight="false" outlineLevel="0" collapsed="false">
      <c r="A102" s="75" t="n">
        <f aca="false">[2]EnergyCurve!$D124</f>
        <v>39934</v>
      </c>
      <c r="B102" s="317" t="n">
        <f aca="false" t="array" ref="B102:B102">SUM(IF(MONTH(NymexData!$AI$12:$AI$250)&amp;YEAR(NymexData!$AI$12:$AI$250)=MONTH(A102)&amp;YEAR(A102),NymexData!$AJ$12:$AJ$250))</f>
        <v>-147.77420532</v>
      </c>
      <c r="C102" s="317" t="n">
        <f aca="false">BD102*BJ102*BI102</f>
        <v>0</v>
      </c>
      <c r="D102" s="319" t="n">
        <f aca="false">C102+B102</f>
        <v>-147.77420532</v>
      </c>
      <c r="E102" s="320" t="n">
        <f aca="false" t="array" ref="E102:E102">SUM(IF(MONTH(NymexData!$S$12:$S$250)&amp;YEAR(NymexData!$S$12:$S$250)=MONTH(A102)&amp;YEAR(A102),NymexData!$T$12:$T$250))</f>
        <v>4.093</v>
      </c>
      <c r="F102" s="320" t="n">
        <f aca="false">G102-E102</f>
        <v>-0.0369999999999999</v>
      </c>
      <c r="G102" s="321" t="n">
        <f aca="false" t="array" ref="G102:G102">IF(NymexData!$AA$12="",GasPosn!E102,SUM(IF(MONTH(NymexData!$AA$12:$AA$250)&amp;YEAR(NymexData!$AA$12:$AA$250)=MONTH(A102)&amp;YEAR(A102),NymexData!$AB$12:$AB$250)))</f>
        <v>4.056</v>
      </c>
      <c r="H102" s="76" t="n">
        <f aca="false">B102*10000*F102</f>
        <v>54676.4559683999</v>
      </c>
      <c r="I102" s="82" t="n">
        <f aca="false">(((G102-Q102)*P102+(G102-S102)*R102+(G102-U102)*T102+(G102-W102)*V102+(G102-Y102)*X102+(G102-AA102)*Z102+(G102-AC102)*AB102+(G102-AE102)*AD102+(G102-AG102)*AF102+(G102-AI102)*AH102+(G102-AK102)*AJ102+(G102-AM102)*AL102+(G102-AO102)*AN102+(G102-AQ102)*AP102+(G102-AS102)*AR102+(G102-AU102)*AT102+(G102-AW102)*AV102+(G102-AY102)*AX102+(G102-BA102)*AZ102+(G102-BC102)*BB102)*BJ102*BI102)*10000</f>
        <v>0</v>
      </c>
      <c r="J102" s="82" t="n">
        <f aca="false">H102+I102</f>
        <v>54676.4559683999</v>
      </c>
      <c r="L102" s="329"/>
      <c r="O102" s="95" t="n">
        <f aca="false">A102</f>
        <v>39934</v>
      </c>
      <c r="BD102" s="100" t="n">
        <f aca="false">(P102+R102+T102+V102+X102+Z102+AB102+AD102+AF102+AH102+AJ102+AL102+AN102+AP102+AR102+AT102+AV102+AX102+AZ102+BB102)</f>
        <v>0</v>
      </c>
      <c r="BE102" s="322" t="n">
        <f aca="false">IF(AND(BD102=0,BH102=0),0,(ABS(P102)*Q102+ABS(R102)*S102+ABS(T102)*U102+ABS(V102)*W102+ABS(X102)*Y102+ABS(Z102)*AA102+ABS(AB102)*AC102+ABS(AD102)*AE102+ABS(AF102)*AG102+ABS(AH102)*AI102+ABS(AJ102)*AK102+ABS(AL102)*AM102+ABS(AN102)*AO102+ABS(AP102)*AQ102+ABS(AR102)*AS102+ABS(AT102)*AU102+ABS(AV102)*AW102+ABS(AX102)*AY102+ABS(AZ102)*BA102+ABS(BB102)*BC102)/BH102)</f>
        <v>0</v>
      </c>
      <c r="BG102" s="103" t="n">
        <f aca="false">O102</f>
        <v>39934</v>
      </c>
      <c r="BH102" s="323" t="n">
        <f aca="false">(ABS(P102)+ABS(R102)+ABS(T102)+ABS(V102)+ABS(X102)+ABS(Z102)+ABS(AB102)+ABS(AD102)+ABS(AF102)+ABS(AH102)+ABS(AJ102)+ABS(AL102)+ABS(AN102)+ABS(AP102)+ABS(AR102)+ABS(AT102)+ABS(AV102)+ABS(AX102)+ABS(AZ102)+ABS(BB102))</f>
        <v>0</v>
      </c>
      <c r="BI102" s="104" t="n">
        <f aca="false">VLOOKUP(GasPosn!A102,'Pricing Summary'!$AB$12:$AD$250,3)</f>
        <v>31</v>
      </c>
      <c r="BJ102" s="102" t="n">
        <f aca="false">VLOOKUP(A102,Interest!$AF$8:$AK$367,6)</f>
        <v>0.681319877287582</v>
      </c>
      <c r="BL102" s="0" t="n">
        <f aca="false">J102*VLOOKUP(A102,NymexData!$J$12:$K$244,2)</f>
        <v>86497.699940333</v>
      </c>
      <c r="BO102" s="0" t="n">
        <f aca="false">Interest!AK98</f>
        <v>0.681319877287582</v>
      </c>
      <c r="BP102" s="0" t="n">
        <f aca="false">G102*Interest!AK98</f>
        <v>2.76343342227843</v>
      </c>
      <c r="BQ102" s="0" t="n">
        <f aca="false">IF(AND(A102&gt;=$B$3,A102&lt;=$B$4),1,0)</f>
        <v>1</v>
      </c>
      <c r="BR102" s="0" t="n">
        <f aca="false">BO102*BQ102</f>
        <v>0.681319877287582</v>
      </c>
      <c r="BS102" s="0" t="n">
        <f aca="false">BP102*BQ102</f>
        <v>2.76343342227843</v>
      </c>
    </row>
    <row r="103" customFormat="false" ht="18" hidden="false" customHeight="false" outlineLevel="0" collapsed="false">
      <c r="A103" s="112" t="n">
        <f aca="false">[2]EnergyCurve!$D125</f>
        <v>39965</v>
      </c>
      <c r="B103" s="324" t="n">
        <f aca="false" t="array" ref="B103:B103">SUM(IF(MONTH(NymexData!$AI$12:$AI$250)&amp;YEAR(NymexData!$AI$12:$AI$250)=MONTH(A103)&amp;YEAR(A103),NymexData!$AJ$12:$AJ$250))</f>
        <v>-142.1928151</v>
      </c>
      <c r="C103" s="325" t="n">
        <f aca="false">BD103*BJ103*BI103</f>
        <v>0</v>
      </c>
      <c r="D103" s="326" t="n">
        <f aca="false">C103+B103</f>
        <v>-142.1928151</v>
      </c>
      <c r="E103" s="327" t="n">
        <f aca="false" t="array" ref="E103:E103">SUM(IF(MONTH(NymexData!$S$12:$S$250)&amp;YEAR(NymexData!$S$12:$S$250)=MONTH(A103)&amp;YEAR(A103),NymexData!$T$12:$T$250))</f>
        <v>4.131</v>
      </c>
      <c r="F103" s="327" t="n">
        <f aca="false">G103-E103</f>
        <v>-0.0369999999999999</v>
      </c>
      <c r="G103" s="328" t="n">
        <f aca="false" t="array" ref="G103:G103">IF(NymexData!$AA$12="",GasPosn!E103,SUM(IF(MONTH(NymexData!$AA$12:$AA$250)&amp;YEAR(NymexData!$AA$12:$AA$250)=MONTH(A103)&amp;YEAR(A103),NymexData!$AB$12:$AB$250)))</f>
        <v>4.094</v>
      </c>
      <c r="H103" s="115" t="n">
        <f aca="false">B103*10000*F103</f>
        <v>52611.3415869999</v>
      </c>
      <c r="I103" s="119" t="n">
        <f aca="false">(((G103-Q103)*P103+(G103-S103)*R103+(G103-U103)*T103+(G103-W103)*V103+(G103-Y103)*X103+(G103-AA103)*Z103+(G103-AC103)*AB103+(G103-AE103)*AD103+(G103-AG103)*AF103+(G103-AI103)*AH103+(G103-AK103)*AJ103+(G103-AM103)*AL103+(G103-AO103)*AN103+(G103-AQ103)*AP103+(G103-AS103)*AR103+(G103-AU103)*AT103+(G103-AW103)*AV103+(G103-AY103)*AX103+(G103-BA103)*AZ103+(G103-BC103)*BB103)*BJ103*BI103)*10000</f>
        <v>0</v>
      </c>
      <c r="J103" s="119" t="n">
        <f aca="false">H103+I103</f>
        <v>52611.3415869999</v>
      </c>
      <c r="L103" s="329"/>
      <c r="O103" s="95" t="n">
        <f aca="false">A103</f>
        <v>39965</v>
      </c>
      <c r="BD103" s="100" t="n">
        <f aca="false">(P103+R103+T103+V103+X103+Z103+AB103+AD103+AF103+AH103+AJ103+AL103+AN103+AP103+AR103+AT103+AV103+AX103+AZ103+BB103)</f>
        <v>0</v>
      </c>
      <c r="BE103" s="322" t="n">
        <f aca="false">IF(AND(BD103=0,BH103=0),0,(ABS(P103)*Q103+ABS(R103)*S103+ABS(T103)*U103+ABS(V103)*W103+ABS(X103)*Y103+ABS(Z103)*AA103+ABS(AB103)*AC103+ABS(AD103)*AE103+ABS(AF103)*AG103+ABS(AH103)*AI103+ABS(AJ103)*AK103+ABS(AL103)*AM103+ABS(AN103)*AO103+ABS(AP103)*AQ103+ABS(AR103)*AS103+ABS(AT103)*AU103+ABS(AV103)*AW103+ABS(AX103)*AY103+ABS(AZ103)*BA103+ABS(BB103)*BC103)/BH103)</f>
        <v>0</v>
      </c>
      <c r="BG103" s="103" t="n">
        <f aca="false">O103</f>
        <v>39965</v>
      </c>
      <c r="BH103" s="323" t="n">
        <f aca="false">(ABS(P103)+ABS(R103)+ABS(T103)+ABS(V103)+ABS(X103)+ABS(Z103)+ABS(AB103)+ABS(AD103)+ABS(AF103)+ABS(AH103)+ABS(AJ103)+ABS(AL103)+ABS(AN103)+ABS(AP103)+ABS(AR103)+ABS(AT103)+ABS(AV103)+ABS(AX103)+ABS(AZ103)+ABS(BB103))</f>
        <v>0</v>
      </c>
      <c r="BI103" s="104" t="n">
        <f aca="false">VLOOKUP(GasPosn!A103,'Pricing Summary'!$AB$12:$AD$250,3)</f>
        <v>30</v>
      </c>
      <c r="BJ103" s="102" t="n">
        <f aca="false">VLOOKUP(A103,Interest!$AF$8:$AK$367,6)</f>
        <v>0.677952820954559</v>
      </c>
      <c r="BL103" s="0" t="n">
        <f aca="false">J103*VLOOKUP(A103,NymexData!$J$12:$K$244,2)</f>
        <v>83279.4420334739</v>
      </c>
      <c r="BO103" s="0" t="n">
        <f aca="false">Interest!AK99</f>
        <v>0.677952820954559</v>
      </c>
      <c r="BP103" s="0" t="n">
        <f aca="false">G103*Interest!AK99</f>
        <v>2.77553884898797</v>
      </c>
      <c r="BQ103" s="0" t="n">
        <f aca="false">IF(AND(A103&gt;=$B$3,A103&lt;=$B$4),1,0)</f>
        <v>1</v>
      </c>
      <c r="BR103" s="0" t="n">
        <f aca="false">BO103*BQ103</f>
        <v>0.677952820954559</v>
      </c>
      <c r="BS103" s="0" t="n">
        <f aca="false">BP103*BQ103</f>
        <v>2.77553884898797</v>
      </c>
    </row>
    <row r="104" customFormat="false" ht="18" hidden="false" customHeight="false" outlineLevel="0" collapsed="false">
      <c r="A104" s="75" t="n">
        <f aca="false">[2]EnergyCurve!$D126</f>
        <v>39995</v>
      </c>
      <c r="B104" s="317" t="n">
        <f aca="false" t="array" ref="B104:B104">SUM(IF(MONTH(NymexData!$AI$12:$AI$250)&amp;YEAR(NymexData!$AI$12:$AI$250)=MONTH(A104)&amp;YEAR(A104),NymexData!$AJ$12:$AJ$250))</f>
        <v>-146.11840838</v>
      </c>
      <c r="C104" s="317" t="n">
        <f aca="false">BD104*BJ104*BI104</f>
        <v>0</v>
      </c>
      <c r="D104" s="319" t="n">
        <f aca="false">C104+B104</f>
        <v>-146.11840838</v>
      </c>
      <c r="E104" s="320" t="n">
        <f aca="false" t="array" ref="E104:E104">SUM(IF(MONTH(NymexData!$S$12:$S$250)&amp;YEAR(NymexData!$S$12:$S$250)=MONTH(A104)&amp;YEAR(A104),NymexData!$T$12:$T$250))</f>
        <v>4.176</v>
      </c>
      <c r="F104" s="320" t="n">
        <f aca="false">G104-E104</f>
        <v>-0.0369999999999999</v>
      </c>
      <c r="G104" s="321" t="n">
        <f aca="false" t="array" ref="G104:G104">IF(NymexData!$AA$12="",GasPosn!E104,SUM(IF(MONTH(NymexData!$AA$12:$AA$250)&amp;YEAR(NymexData!$AA$12:$AA$250)=MONTH(A104)&amp;YEAR(A104),NymexData!$AB$12:$AB$250)))</f>
        <v>4.139</v>
      </c>
      <c r="H104" s="76" t="n">
        <f aca="false">B104*10000*F104</f>
        <v>54063.8111005999</v>
      </c>
      <c r="I104" s="82" t="n">
        <f aca="false">(((G104-Q104)*P104+(G104-S104)*R104+(G104-U104)*T104+(G104-W104)*V104+(G104-Y104)*X104+(G104-AA104)*Z104+(G104-AC104)*AB104+(G104-AE104)*AD104+(G104-AG104)*AF104+(G104-AI104)*AH104+(G104-AK104)*AJ104+(G104-AM104)*AL104+(G104-AO104)*AN104+(G104-AQ104)*AP104+(G104-AS104)*AR104+(G104-AU104)*AT104+(G104-AW104)*AV104+(G104-AY104)*AX104+(G104-BA104)*AZ104+(G104-BC104)*BB104)*BJ104*BI104)*10000</f>
        <v>0</v>
      </c>
      <c r="J104" s="82" t="n">
        <f aca="false">H104+I104</f>
        <v>54063.8111005999</v>
      </c>
      <c r="L104" s="329"/>
      <c r="O104" s="95" t="n">
        <f aca="false">A104</f>
        <v>39995</v>
      </c>
      <c r="BD104" s="100" t="n">
        <f aca="false">(P104+R104+T104+V104+X104+Z104+AB104+AD104+AF104+AH104+AJ104+AL104+AN104+AP104+AR104+AT104+AV104+AX104+AZ104+BB104)</f>
        <v>0</v>
      </c>
      <c r="BE104" s="322" t="n">
        <f aca="false">IF(AND(BD104=0,BH104=0),0,(ABS(P104)*Q104+ABS(R104)*S104+ABS(T104)*U104+ABS(V104)*W104+ABS(X104)*Y104+ABS(Z104)*AA104+ABS(AB104)*AC104+ABS(AD104)*AE104+ABS(AF104)*AG104+ABS(AH104)*AI104+ABS(AJ104)*AK104+ABS(AL104)*AM104+ABS(AN104)*AO104+ABS(AP104)*AQ104+ABS(AR104)*AS104+ABS(AT104)*AU104+ABS(AV104)*AW104+ABS(AX104)*AY104+ABS(AZ104)*BA104+ABS(BB104)*BC104)/BH104)</f>
        <v>0</v>
      </c>
      <c r="BG104" s="103" t="n">
        <f aca="false">O104</f>
        <v>39995</v>
      </c>
      <c r="BH104" s="323" t="n">
        <f aca="false">(ABS(P104)+ABS(R104)+ABS(T104)+ABS(V104)+ABS(X104)+ABS(Z104)+ABS(AB104)+ABS(AD104)+ABS(AF104)+ABS(AH104)+ABS(AJ104)+ABS(AL104)+ABS(AN104)+ABS(AP104)+ABS(AR104)+ABS(AT104)+ABS(AV104)+ABS(AX104)+ABS(AZ104)+ABS(BB104))</f>
        <v>0</v>
      </c>
      <c r="BI104" s="104" t="n">
        <f aca="false">VLOOKUP(GasPosn!A104,'Pricing Summary'!$AB$12:$AD$250,3)</f>
        <v>31</v>
      </c>
      <c r="BJ104" s="102" t="n">
        <f aca="false">VLOOKUP(A104,Interest!$AF$8:$AK$367,6)</f>
        <v>0.67451511099681</v>
      </c>
      <c r="BL104" s="0" t="n">
        <f aca="false">J104*VLOOKUP(A104,NymexData!$J$12:$K$244,2)</f>
        <v>85628.0186630677</v>
      </c>
      <c r="BO104" s="0" t="n">
        <f aca="false">Interest!AK100</f>
        <v>0.67451511099681</v>
      </c>
      <c r="BP104" s="0" t="n">
        <f aca="false">G104*Interest!AK100</f>
        <v>2.7918180444158</v>
      </c>
      <c r="BQ104" s="0" t="n">
        <f aca="false">IF(AND(A104&gt;=$B$3,A104&lt;=$B$4),1,0)</f>
        <v>1</v>
      </c>
      <c r="BR104" s="0" t="n">
        <f aca="false">BO104*BQ104</f>
        <v>0.67451511099681</v>
      </c>
      <c r="BS104" s="0" t="n">
        <f aca="false">BP104*BQ104</f>
        <v>2.7918180444158</v>
      </c>
    </row>
    <row r="105" customFormat="false" ht="18" hidden="false" customHeight="false" outlineLevel="0" collapsed="false">
      <c r="A105" s="112" t="n">
        <f aca="false">[2]EnergyCurve!$D127</f>
        <v>40026</v>
      </c>
      <c r="B105" s="324" t="n">
        <f aca="false" t="array" ref="B105:B105">SUM(IF(MONTH(NymexData!$AI$12:$AI$250)&amp;YEAR(NymexData!$AI$12:$AI$250)=MONTH(A105)&amp;YEAR(A105),NymexData!$AJ$12:$AJ$250))</f>
        <v>-145.2774743</v>
      </c>
      <c r="C105" s="325" t="n">
        <f aca="false">BD105*BJ105*BI105</f>
        <v>0</v>
      </c>
      <c r="D105" s="326" t="n">
        <f aca="false">C105+B105</f>
        <v>-145.2774743</v>
      </c>
      <c r="E105" s="327" t="n">
        <f aca="false" t="array" ref="E105:E105">SUM(IF(MONTH(NymexData!$S$12:$S$250)&amp;YEAR(NymexData!$S$12:$S$250)=MONTH(A105)&amp;YEAR(A105),NymexData!$T$12:$T$250))</f>
        <v>4.214</v>
      </c>
      <c r="F105" s="327" t="n">
        <f aca="false">G105-E105</f>
        <v>-0.0369999999999999</v>
      </c>
      <c r="G105" s="328" t="n">
        <f aca="false" t="array" ref="G105:G105">IF(NymexData!$AA$12="",GasPosn!E105,SUM(IF(MONTH(NymexData!$AA$12:$AA$250)&amp;YEAR(NymexData!$AA$12:$AA$250)=MONTH(A105)&amp;YEAR(A105),NymexData!$AB$12:$AB$250)))</f>
        <v>4.177</v>
      </c>
      <c r="H105" s="115" t="n">
        <f aca="false">B105*10000*F105</f>
        <v>53752.6654909999</v>
      </c>
      <c r="I105" s="119" t="n">
        <f aca="false">(((G105-Q105)*P105+(G105-S105)*R105+(G105-U105)*T105+(G105-W105)*V105+(G105-Y105)*X105+(G105-AA105)*Z105+(G105-AC105)*AB105+(G105-AE105)*AD105+(G105-AG105)*AF105+(G105-AI105)*AH105+(G105-AK105)*AJ105+(G105-AM105)*AL105+(G105-AO105)*AN105+(G105-AQ105)*AP105+(G105-AS105)*AR105+(G105-AU105)*AT105+(G105-AW105)*AV105+(G105-AY105)*AX105+(G105-BA105)*AZ105+(G105-BC105)*BB105)*BJ105*BI105)*10000</f>
        <v>0</v>
      </c>
      <c r="J105" s="119" t="n">
        <f aca="false">H105+I105</f>
        <v>53752.6654909999</v>
      </c>
      <c r="L105" s="329"/>
      <c r="O105" s="95" t="n">
        <f aca="false">A105</f>
        <v>40026</v>
      </c>
      <c r="BD105" s="100" t="n">
        <f aca="false">(P105+R105+T105+V105+X105+Z105+AB105+AD105+AF105+AH105+AJ105+AL105+AN105+AP105+AR105+AT105+AV105+AX105+AZ105+BB105)</f>
        <v>0</v>
      </c>
      <c r="BE105" s="322" t="n">
        <f aca="false">IF(AND(BD105=0,BH105=0),0,(ABS(P105)*Q105+ABS(R105)*S105+ABS(T105)*U105+ABS(V105)*W105+ABS(X105)*Y105+ABS(Z105)*AA105+ABS(AB105)*AC105+ABS(AD105)*AE105+ABS(AF105)*AG105+ABS(AH105)*AI105+ABS(AJ105)*AK105+ABS(AL105)*AM105+ABS(AN105)*AO105+ABS(AP105)*AQ105+ABS(AR105)*AS105+ABS(AT105)*AU105+ABS(AV105)*AW105+ABS(AX105)*AY105+ABS(AZ105)*BA105+ABS(BB105)*BC105)/BH105)</f>
        <v>0</v>
      </c>
      <c r="BG105" s="103" t="n">
        <f aca="false">O105</f>
        <v>40026</v>
      </c>
      <c r="BH105" s="323" t="n">
        <f aca="false">(ABS(P105)+ABS(R105)+ABS(T105)+ABS(V105)+ABS(X105)+ABS(Z105)+ABS(AB105)+ABS(AD105)+ABS(AF105)+ABS(AH105)+ABS(AJ105)+ABS(AL105)+ABS(AN105)+ABS(AP105)+ABS(AR105)+ABS(AT105)+ABS(AV105)+ABS(AX105)+ABS(AZ105)+ABS(BB105))</f>
        <v>0</v>
      </c>
      <c r="BI105" s="104" t="n">
        <f aca="false">VLOOKUP(GasPosn!A105,'Pricing Summary'!$AB$12:$AD$250,3)</f>
        <v>31</v>
      </c>
      <c r="BJ105" s="102" t="n">
        <f aca="false">VLOOKUP(A105,Interest!$AF$8:$AK$367,6)</f>
        <v>0.671065214312622</v>
      </c>
      <c r="BL105" s="0" t="n">
        <f aca="false">J105*VLOOKUP(A105,NymexData!$J$12:$K$244,2)</f>
        <v>85187.0051207645</v>
      </c>
      <c r="BO105" s="0" t="n">
        <f aca="false">Interest!AK101</f>
        <v>0.671065214312622</v>
      </c>
      <c r="BP105" s="0" t="n">
        <f aca="false">G105*Interest!AK101</f>
        <v>2.80303940018382</v>
      </c>
      <c r="BQ105" s="0" t="n">
        <f aca="false">IF(AND(A105&gt;=$B$3,A105&lt;=$B$4),1,0)</f>
        <v>1</v>
      </c>
      <c r="BR105" s="0" t="n">
        <f aca="false">BO105*BQ105</f>
        <v>0.671065214312622</v>
      </c>
      <c r="BS105" s="0" t="n">
        <f aca="false">BP105*BQ105</f>
        <v>2.80303940018382</v>
      </c>
    </row>
    <row r="106" customFormat="false" ht="18" hidden="false" customHeight="false" outlineLevel="0" collapsed="false">
      <c r="A106" s="75" t="n">
        <f aca="false">[2]EnergyCurve!$D128</f>
        <v>40057</v>
      </c>
      <c r="B106" s="317" t="n">
        <f aca="false" t="array" ref="B106:B106">SUM(IF(MONTH(NymexData!$AI$12:$AI$250)&amp;YEAR(NymexData!$AI$12:$AI$250)=MONTH(A106)&amp;YEAR(A106),NymexData!$AJ$12:$AJ$250))</f>
        <v>-139.77771066</v>
      </c>
      <c r="C106" s="317" t="n">
        <f aca="false">BD106*BJ106*BI106</f>
        <v>0</v>
      </c>
      <c r="D106" s="319" t="n">
        <f aca="false">C106+B106</f>
        <v>-139.77771066</v>
      </c>
      <c r="E106" s="320" t="n">
        <f aca="false" t="array" ref="E106:E106">SUM(IF(MONTH(NymexData!$S$12:$S$250)&amp;YEAR(NymexData!$S$12:$S$250)=MONTH(A106)&amp;YEAR(A106),NymexData!$T$12:$T$250))</f>
        <v>4.208</v>
      </c>
      <c r="F106" s="320" t="n">
        <f aca="false">G106-E106</f>
        <v>-0.0369999999999999</v>
      </c>
      <c r="G106" s="321" t="n">
        <f aca="false" t="array" ref="G106:G106">IF(NymexData!$AA$12="",GasPosn!E106,SUM(IF(MONTH(NymexData!$AA$12:$AA$250)&amp;YEAR(NymexData!$AA$12:$AA$250)=MONTH(A106)&amp;YEAR(A106),NymexData!$AB$12:$AB$250)))</f>
        <v>4.171</v>
      </c>
      <c r="H106" s="76" t="n">
        <f aca="false">B106*10000*F106</f>
        <v>51717.7529441999</v>
      </c>
      <c r="I106" s="82" t="n">
        <f aca="false">(((G106-Q106)*P106+(G106-S106)*R106+(G106-U106)*T106+(G106-W106)*V106+(G106-Y106)*X106+(G106-AA106)*Z106+(G106-AC106)*AB106+(G106-AE106)*AD106+(G106-AG106)*AF106+(G106-AI106)*AH106+(G106-AK106)*AJ106+(G106-AM106)*AL106+(G106-AO106)*AN106+(G106-AQ106)*AP106+(G106-AS106)*AR106+(G106-AU106)*AT106+(G106-AW106)*AV106+(G106-AY106)*AX106+(G106-BA106)*AZ106+(G106-BC106)*BB106)*BJ106*BI106)*10000</f>
        <v>0</v>
      </c>
      <c r="J106" s="82" t="n">
        <f aca="false">H106+I106</f>
        <v>51717.7529441999</v>
      </c>
      <c r="L106" s="329"/>
      <c r="O106" s="95" t="n">
        <f aca="false">A106</f>
        <v>40057</v>
      </c>
      <c r="BD106" s="100" t="n">
        <f aca="false">(P106+R106+T106+V106+X106+Z106+AB106+AD106+AF106+AH106+AJ106+AL106+AN106+AP106+AR106+AT106+AV106+AX106+AZ106+BB106)</f>
        <v>0</v>
      </c>
      <c r="BE106" s="322" t="n">
        <f aca="false">IF(AND(BD106=0,BH106=0),0,(ABS(P106)*Q106+ABS(R106)*S106+ABS(T106)*U106+ABS(V106)*W106+ABS(X106)*Y106+ABS(Z106)*AA106+ABS(AB106)*AC106+ABS(AD106)*AE106+ABS(AF106)*AG106+ABS(AH106)*AI106+ABS(AJ106)*AK106+ABS(AL106)*AM106+ABS(AN106)*AO106+ABS(AP106)*AQ106+ABS(AR106)*AS106+ABS(AT106)*AU106+ABS(AV106)*AW106+ABS(AX106)*AY106+ABS(AZ106)*BA106+ABS(BB106)*BC106)/BH106)</f>
        <v>0</v>
      </c>
      <c r="BG106" s="103" t="n">
        <f aca="false">O106</f>
        <v>40057</v>
      </c>
      <c r="BH106" s="323" t="n">
        <f aca="false">(ABS(P106)+ABS(R106)+ABS(T106)+ABS(V106)+ABS(X106)+ABS(Z106)+ABS(AB106)+ABS(AD106)+ABS(AF106)+ABS(AH106)+ABS(AJ106)+ABS(AL106)+ABS(AN106)+ABS(AP106)+ABS(AR106)+ABS(AT106)+ABS(AV106)+ABS(AX106)+ABS(AZ106)+ABS(BB106))</f>
        <v>0</v>
      </c>
      <c r="BI106" s="104" t="n">
        <f aca="false">VLOOKUP(GasPosn!A106,'Pricing Summary'!$AB$12:$AD$250,3)</f>
        <v>30</v>
      </c>
      <c r="BJ106" s="102" t="n">
        <f aca="false">VLOOKUP(A106,Interest!$AF$8:$AK$367,6)</f>
        <v>0.667713937714318</v>
      </c>
      <c r="BL106" s="0" t="n">
        <f aca="false">J106*VLOOKUP(A106,NymexData!$J$12:$K$244,2)</f>
        <v>82012.8905515911</v>
      </c>
      <c r="BO106" s="0" t="n">
        <f aca="false">Interest!AK102</f>
        <v>0.667713937714318</v>
      </c>
      <c r="BP106" s="0" t="n">
        <f aca="false">G106*Interest!AK102</f>
        <v>2.78503483420642</v>
      </c>
      <c r="BQ106" s="0" t="n">
        <f aca="false">IF(AND(A106&gt;=$B$3,A106&lt;=$B$4),1,0)</f>
        <v>1</v>
      </c>
      <c r="BR106" s="0" t="n">
        <f aca="false">BO106*BQ106</f>
        <v>0.667713937714318</v>
      </c>
      <c r="BS106" s="0" t="n">
        <f aca="false">BP106*BQ106</f>
        <v>2.78503483420642</v>
      </c>
    </row>
    <row r="107" customFormat="false" ht="18" hidden="false" customHeight="false" outlineLevel="0" collapsed="false">
      <c r="A107" s="112" t="n">
        <f aca="false">[2]EnergyCurve!$D129</f>
        <v>40087</v>
      </c>
      <c r="B107" s="324" t="n">
        <f aca="false" t="array" ref="B107:B107">SUM(IF(MONTH(NymexData!$AI$12:$AI$250)&amp;YEAR(NymexData!$AI$12:$AI$250)=MONTH(A107)&amp;YEAR(A107),NymexData!$AJ$12:$AJ$250))</f>
        <v>-143.62402754</v>
      </c>
      <c r="C107" s="325" t="n">
        <f aca="false">BD107*BJ107*BI107</f>
        <v>0</v>
      </c>
      <c r="D107" s="326" t="n">
        <f aca="false">C107+B107</f>
        <v>-143.62402754</v>
      </c>
      <c r="E107" s="327" t="n">
        <f aca="false" t="array" ref="E107:E107">SUM(IF(MONTH(NymexData!$S$12:$S$250)&amp;YEAR(NymexData!$S$12:$S$250)=MONTH(A107)&amp;YEAR(A107),NymexData!$T$12:$T$250))</f>
        <v>4.208</v>
      </c>
      <c r="F107" s="327" t="n">
        <f aca="false">G107-E107</f>
        <v>-0.0369999999999999</v>
      </c>
      <c r="G107" s="328" t="n">
        <f aca="false" t="array" ref="G107:G107">IF(NymexData!$AA$12="",GasPosn!E107,SUM(IF(MONTH(NymexData!$AA$12:$AA$250)&amp;YEAR(NymexData!$AA$12:$AA$250)=MONTH(A107)&amp;YEAR(A107),NymexData!$AB$12:$AB$250)))</f>
        <v>4.171</v>
      </c>
      <c r="H107" s="115" t="n">
        <f aca="false">B107*10000*F107</f>
        <v>53140.8901897999</v>
      </c>
      <c r="I107" s="119" t="n">
        <f aca="false">(((G107-Q107)*P107+(G107-S107)*R107+(G107-U107)*T107+(G107-W107)*V107+(G107-Y107)*X107+(G107-AA107)*Z107+(G107-AC107)*AB107+(G107-AE107)*AD107+(G107-AG107)*AF107+(G107-AI107)*AH107+(G107-AK107)*AJ107+(G107-AM107)*AL107+(G107-AO107)*AN107+(G107-AQ107)*AP107+(G107-AS107)*AR107+(G107-AU107)*AT107+(G107-AW107)*AV107+(G107-AY107)*AX107+(G107-BA107)*AZ107+(G107-BC107)*BB107)*BJ107*BI107)*10000</f>
        <v>0</v>
      </c>
      <c r="J107" s="119" t="n">
        <f aca="false">H107+I107</f>
        <v>53140.8901897999</v>
      </c>
      <c r="L107" s="329"/>
      <c r="O107" s="95" t="n">
        <f aca="false">A107</f>
        <v>40087</v>
      </c>
      <c r="BD107" s="100" t="n">
        <f aca="false">(P107+R107+T107+V107+X107+Z107+AB107+AD107+AF107+AH107+AJ107+AL107+AN107+AP107+AR107+AT107+AV107+AX107+AZ107+BB107)</f>
        <v>0</v>
      </c>
      <c r="BE107" s="322" t="n">
        <f aca="false">IF(AND(BD107=0,BH107=0),0,(ABS(P107)*Q107+ABS(R107)*S107+ABS(T107)*U107+ABS(V107)*W107+ABS(X107)*Y107+ABS(Z107)*AA107+ABS(AB107)*AC107+ABS(AD107)*AE107+ABS(AF107)*AG107+ABS(AH107)*AI107+ABS(AJ107)*AK107+ABS(AL107)*AM107+ABS(AN107)*AO107+ABS(AP107)*AQ107+ABS(AR107)*AS107+ABS(AT107)*AU107+ABS(AV107)*AW107+ABS(AX107)*AY107+ABS(AZ107)*BA107+ABS(BB107)*BC107)/BH107)</f>
        <v>0</v>
      </c>
      <c r="BG107" s="103" t="n">
        <f aca="false">O107</f>
        <v>40087</v>
      </c>
      <c r="BH107" s="323" t="n">
        <f aca="false">(ABS(P107)+ABS(R107)+ABS(T107)+ABS(V107)+ABS(X107)+ABS(Z107)+ABS(AB107)+ABS(AD107)+ABS(AF107)+ABS(AH107)+ABS(AJ107)+ABS(AL107)+ABS(AN107)+ABS(AP107)+ABS(AR107)+ABS(AT107)+ABS(AV107)+ABS(AX107)+ABS(AZ107)+ABS(BB107))</f>
        <v>0</v>
      </c>
      <c r="BI107" s="104" t="n">
        <f aca="false">VLOOKUP(GasPosn!A107,'Pricing Summary'!$AB$12:$AD$250,3)</f>
        <v>31</v>
      </c>
      <c r="BJ107" s="102" t="n">
        <f aca="false">VLOOKUP(A107,Interest!$AF$8:$AK$367,6)</f>
        <v>0.664293426573601</v>
      </c>
      <c r="BL107" s="0" t="n">
        <f aca="false">J107*VLOOKUP(A107,NymexData!$J$12:$K$244,2)</f>
        <v>84321.1497769939</v>
      </c>
      <c r="BO107" s="0" t="n">
        <f aca="false">Interest!AK103</f>
        <v>0.664293426573601</v>
      </c>
      <c r="BP107" s="0" t="n">
        <f aca="false">G107*Interest!AK103</f>
        <v>2.77076788223849</v>
      </c>
      <c r="BQ107" s="0" t="n">
        <f aca="false">IF(AND(A107&gt;=$B$3,A107&lt;=$B$4),1,0)</f>
        <v>1</v>
      </c>
      <c r="BR107" s="0" t="n">
        <f aca="false">BO107*BQ107</f>
        <v>0.664293426573601</v>
      </c>
      <c r="BS107" s="0" t="n">
        <f aca="false">BP107*BQ107</f>
        <v>2.77076788223849</v>
      </c>
    </row>
    <row r="108" customFormat="false" ht="18" hidden="false" customHeight="false" outlineLevel="0" collapsed="false">
      <c r="A108" s="75" t="n">
        <f aca="false">[2]EnergyCurve!$D130</f>
        <v>40118</v>
      </c>
      <c r="B108" s="317" t="n">
        <f aca="false" t="array" ref="B108:B108">SUM(IF(MONTH(NymexData!$AI$12:$AI$250)&amp;YEAR(NymexData!$AI$12:$AI$250)=MONTH(A108)&amp;YEAR(A108),NymexData!$AJ$12:$AJ$250))</f>
        <v>-138.17855394</v>
      </c>
      <c r="C108" s="317" t="n">
        <f aca="false">BD108*BJ108*BI108</f>
        <v>0</v>
      </c>
      <c r="D108" s="319" t="n">
        <f aca="false">C108+B108</f>
        <v>-138.17855394</v>
      </c>
      <c r="E108" s="320" t="n">
        <f aca="false" t="array" ref="E108:E108">SUM(IF(MONTH(NymexData!$S$12:$S$250)&amp;YEAR(NymexData!$S$12:$S$250)=MONTH(A108)&amp;YEAR(A108),NymexData!$T$12:$T$250))</f>
        <v>4.356</v>
      </c>
      <c r="F108" s="320" t="n">
        <f aca="false">G108-E108</f>
        <v>-0.0359999999999996</v>
      </c>
      <c r="G108" s="321" t="n">
        <f aca="false" t="array" ref="G108:G108">IF(NymexData!$AA$12="",GasPosn!E108,SUM(IF(MONTH(NymexData!$AA$12:$AA$250)&amp;YEAR(NymexData!$AA$12:$AA$250)=MONTH(A108)&amp;YEAR(A108),NymexData!$AB$12:$AB$250)))</f>
        <v>4.32</v>
      </c>
      <c r="H108" s="76" t="n">
        <f aca="false">B108*10000*F108</f>
        <v>49744.2794183994</v>
      </c>
      <c r="I108" s="82" t="n">
        <f aca="false">(((G108-Q108)*P108+(G108-S108)*R108+(G108-U108)*T108+(G108-W108)*V108+(G108-Y108)*X108+(G108-AA108)*Z108+(G108-AC108)*AB108+(G108-AE108)*AD108+(G108-AG108)*AF108+(G108-AI108)*AH108+(G108-AK108)*AJ108+(G108-AM108)*AL108+(G108-AO108)*AN108+(G108-AQ108)*AP108+(G108-AS108)*AR108+(G108-AU108)*AT108+(G108-AW108)*AV108+(G108-AY108)*AX108+(G108-BA108)*AZ108+(G108-BC108)*BB108)*BJ108*BI108)*10000</f>
        <v>0</v>
      </c>
      <c r="J108" s="82" t="n">
        <f aca="false">H108+I108</f>
        <v>49744.2794183994</v>
      </c>
      <c r="L108" s="329"/>
      <c r="O108" s="95" t="n">
        <f aca="false">A108</f>
        <v>40118</v>
      </c>
      <c r="BD108" s="100" t="n">
        <f aca="false">(P108+R108+T108+V108+X108+Z108+AB108+AD108+AF108+AH108+AJ108+AL108+AN108+AP108+AR108+AT108+AV108+AX108+AZ108+BB108)</f>
        <v>0</v>
      </c>
      <c r="BE108" s="322" t="n">
        <f aca="false">IF(AND(BD108=0,BH108=0),0,(ABS(P108)*Q108+ABS(R108)*S108+ABS(T108)*U108+ABS(V108)*W108+ABS(X108)*Y108+ABS(Z108)*AA108+ABS(AB108)*AC108+ABS(AD108)*AE108+ABS(AF108)*AG108+ABS(AH108)*AI108+ABS(AJ108)*AK108+ABS(AL108)*AM108+ABS(AN108)*AO108+ABS(AP108)*AQ108+ABS(AR108)*AS108+ABS(AT108)*AU108+ABS(AV108)*AW108+ABS(AX108)*AY108+ABS(AZ108)*BA108+ABS(BB108)*BC108)/BH108)</f>
        <v>0</v>
      </c>
      <c r="BG108" s="103" t="n">
        <f aca="false">O108</f>
        <v>40118</v>
      </c>
      <c r="BH108" s="323" t="n">
        <f aca="false">(ABS(P108)+ABS(R108)+ABS(T108)+ABS(V108)+ABS(X108)+ABS(Z108)+ABS(AB108)+ABS(AD108)+ABS(AF108)+ABS(AH108)+ABS(AJ108)+ABS(AL108)+ABS(AN108)+ABS(AP108)+ABS(AR108)+ABS(AT108)+ABS(AV108)+ABS(AX108)+ABS(AZ108)+ABS(BB108))</f>
        <v>0</v>
      </c>
      <c r="BI108" s="104" t="n">
        <f aca="false">VLOOKUP(GasPosn!A108,'Pricing Summary'!$AB$12:$AD$250,3)</f>
        <v>30</v>
      </c>
      <c r="BJ108" s="102" t="n">
        <f aca="false">VLOOKUP(A108,Interest!$AF$8:$AK$367,6)</f>
        <v>0.660953067879895</v>
      </c>
      <c r="BL108" s="0" t="n">
        <f aca="false">J108*VLOOKUP(A108,NymexData!$J$12:$K$244,2)</f>
        <v>78982.3113032181</v>
      </c>
      <c r="BO108" s="0" t="n">
        <f aca="false">Interest!AK104</f>
        <v>0.660953067879895</v>
      </c>
      <c r="BP108" s="0" t="n">
        <f aca="false">G108*Interest!AK104</f>
        <v>2.85531725324115</v>
      </c>
      <c r="BQ108" s="0" t="n">
        <f aca="false">IF(AND(A108&gt;=$B$3,A108&lt;=$B$4),1,0)</f>
        <v>1</v>
      </c>
      <c r="BR108" s="0" t="n">
        <f aca="false">BO108*BQ108</f>
        <v>0.660953067879895</v>
      </c>
      <c r="BS108" s="0" t="n">
        <f aca="false">BP108*BQ108</f>
        <v>2.85531725324115</v>
      </c>
    </row>
    <row r="109" customFormat="false" ht="18" hidden="false" customHeight="false" outlineLevel="0" collapsed="false">
      <c r="A109" s="112" t="n">
        <f aca="false">[2]EnergyCurve!$D131</f>
        <v>40148</v>
      </c>
      <c r="B109" s="324" t="n">
        <f aca="false" t="array" ref="B109:B109">SUM(IF(MONTH(NymexData!$AI$12:$AI$250)&amp;YEAR(NymexData!$AI$12:$AI$250)=MONTH(A109)&amp;YEAR(A109),NymexData!$AJ$12:$AJ$250))</f>
        <v>-141.97260994</v>
      </c>
      <c r="C109" s="325" t="n">
        <f aca="false">BD109*BJ109*BI109</f>
        <v>0</v>
      </c>
      <c r="D109" s="326" t="n">
        <f aca="false">C109+B109</f>
        <v>-141.97260994</v>
      </c>
      <c r="E109" s="327" t="n">
        <f aca="false" t="array" ref="E109:E109">SUM(IF(MONTH(NymexData!$S$12:$S$250)&amp;YEAR(NymexData!$S$12:$S$250)=MONTH(A109)&amp;YEAR(A109),NymexData!$T$12:$T$250))</f>
        <v>4.508</v>
      </c>
      <c r="F109" s="327" t="n">
        <f aca="false">G109-E109</f>
        <v>-0.0359999999999996</v>
      </c>
      <c r="G109" s="328" t="n">
        <f aca="false" t="array" ref="G109:G109">IF(NymexData!$AA$12="",GasPosn!E109,SUM(IF(MONTH(NymexData!$AA$12:$AA$250)&amp;YEAR(NymexData!$AA$12:$AA$250)=MONTH(A109)&amp;YEAR(A109),NymexData!$AB$12:$AB$250)))</f>
        <v>4.472</v>
      </c>
      <c r="H109" s="115" t="n">
        <f aca="false">B109*10000*F109</f>
        <v>51110.1395783994</v>
      </c>
      <c r="I109" s="119" t="n">
        <f aca="false">(((G109-Q109)*P109+(G109-S109)*R109+(G109-U109)*T109+(G109-W109)*V109+(G109-Y109)*X109+(G109-AA109)*Z109+(G109-AC109)*AB109+(G109-AE109)*AD109+(G109-AG109)*AF109+(G109-AI109)*AH109+(G109-AK109)*AJ109+(G109-AM109)*AL109+(G109-AO109)*AN109+(G109-AQ109)*AP109+(G109-AS109)*AR109+(G109-AU109)*AT109+(G109-AW109)*AV109+(G109-AY109)*AX109+(G109-BA109)*AZ109+(G109-BC109)*BB109)*BJ109*BI109)*10000</f>
        <v>0</v>
      </c>
      <c r="J109" s="119" t="n">
        <f aca="false">H109+I109</f>
        <v>51110.1395783994</v>
      </c>
      <c r="L109" s="329"/>
      <c r="O109" s="95" t="n">
        <f aca="false">A109</f>
        <v>40148</v>
      </c>
      <c r="BD109" s="100" t="n">
        <f aca="false">(P109+R109+T109+V109+X109+Z109+AB109+AD109+AF109+AH109+AJ109+AL109+AN109+AP109+AR109+AT109+AV109+AX109+AZ109+BB109)</f>
        <v>0</v>
      </c>
      <c r="BE109" s="322" t="n">
        <f aca="false">IF(AND(BD109=0,BH109=0),0,(ABS(P109)*Q109+ABS(R109)*S109+ABS(T109)*U109+ABS(V109)*W109+ABS(X109)*Y109+ABS(Z109)*AA109+ABS(AB109)*AC109+ABS(AD109)*AE109+ABS(AF109)*AG109+ABS(AH109)*AI109+ABS(AJ109)*AK109+ABS(AL109)*AM109+ABS(AN109)*AO109+ABS(AP109)*AQ109+ABS(AR109)*AS109+ABS(AT109)*AU109+ABS(AV109)*AW109+ABS(AX109)*AY109+ABS(AZ109)*BA109+ABS(BB109)*BC109)/BH109)</f>
        <v>0</v>
      </c>
      <c r="BG109" s="103" t="n">
        <f aca="false">O109</f>
        <v>40148</v>
      </c>
      <c r="BH109" s="323" t="n">
        <f aca="false">(ABS(P109)+ABS(R109)+ABS(T109)+ABS(V109)+ABS(X109)+ABS(Z109)+ABS(AB109)+ABS(AD109)+ABS(AF109)+ABS(AH109)+ABS(AJ109)+ABS(AL109)+ABS(AN109)+ABS(AP109)+ABS(AR109)+ABS(AT109)+ABS(AV109)+ABS(AX109)+ABS(AZ109)+ABS(BB109))</f>
        <v>0</v>
      </c>
      <c r="BI109" s="104" t="n">
        <f aca="false">VLOOKUP(GasPosn!A109,'Pricing Summary'!$AB$12:$AD$250,3)</f>
        <v>31</v>
      </c>
      <c r="BJ109" s="102" t="n">
        <f aca="false">VLOOKUP(A109,Interest!$AF$8:$AK$367,6)</f>
        <v>0.657544408611758</v>
      </c>
      <c r="BL109" s="0" t="n">
        <f aca="false">J109*VLOOKUP(A109,NymexData!$J$12:$K$244,2)</f>
        <v>81202.3386391186</v>
      </c>
      <c r="BO109" s="0" t="n">
        <f aca="false">Interest!AK105</f>
        <v>0.657544408611758</v>
      </c>
      <c r="BP109" s="0" t="n">
        <f aca="false">G109*Interest!AK105</f>
        <v>2.94053859531178</v>
      </c>
      <c r="BQ109" s="0" t="n">
        <f aca="false">IF(AND(A109&gt;=$B$3,A109&lt;=$B$4),1,0)</f>
        <v>1</v>
      </c>
      <c r="BR109" s="0" t="n">
        <f aca="false">BO109*BQ109</f>
        <v>0.657544408611758</v>
      </c>
      <c r="BS109" s="0" t="n">
        <f aca="false">BP109*BQ109</f>
        <v>2.94053859531178</v>
      </c>
    </row>
    <row r="110" customFormat="false" ht="18" hidden="false" customHeight="false" outlineLevel="0" collapsed="false">
      <c r="A110" s="75" t="n">
        <f aca="false">[2]EnergyCurve!$D132</f>
        <v>40179</v>
      </c>
      <c r="B110" s="317" t="n">
        <f aca="false" t="array" ref="B110:B110">SUM(IF(MONTH(NymexData!$AI$12:$AI$250)&amp;YEAR(NymexData!$AI$12:$AI$250)=MONTH(A110)&amp;YEAR(A110),NymexData!$AJ$12:$AJ$250))</f>
        <v>-141.13426124</v>
      </c>
      <c r="C110" s="317" t="n">
        <f aca="false">BD110*BJ110*BI110</f>
        <v>0</v>
      </c>
      <c r="D110" s="319" t="n">
        <f aca="false">C110+B110</f>
        <v>-141.13426124</v>
      </c>
      <c r="E110" s="320" t="n">
        <f aca="false" t="array" ref="E110:E110">SUM(IF(MONTH(NymexData!$S$12:$S$250)&amp;YEAR(NymexData!$S$12:$S$250)=MONTH(A110)&amp;YEAR(A110),NymexData!$T$12:$T$250))</f>
        <v>4.5755</v>
      </c>
      <c r="F110" s="320" t="n">
        <f aca="false">G110-E110</f>
        <v>-0.0309999999999997</v>
      </c>
      <c r="G110" s="321" t="n">
        <f aca="false" t="array" ref="G110:G110">IF(NymexData!$AA$12="",GasPosn!E110,SUM(IF(MONTH(NymexData!$AA$12:$AA$250)&amp;YEAR(NymexData!$AA$12:$AA$250)=MONTH(A110)&amp;YEAR(A110),NymexData!$AB$12:$AB$250)))</f>
        <v>4.5445</v>
      </c>
      <c r="H110" s="76" t="n">
        <f aca="false">B110*10000*F110</f>
        <v>43751.6209843996</v>
      </c>
      <c r="I110" s="82" t="n">
        <f aca="false">(((G110-Q110)*P110+(G110-S110)*R110+(G110-U110)*T110+(G110-W110)*V110+(G110-Y110)*X110+(G110-AA110)*Z110+(G110-AC110)*AB110+(G110-AE110)*AD110+(G110-AG110)*AF110+(G110-AI110)*AH110+(G110-AK110)*AJ110+(G110-AM110)*AL110+(G110-AO110)*AN110+(G110-AQ110)*AP110+(G110-AS110)*AR110+(G110-AU110)*AT110+(G110-AW110)*AV110+(G110-AY110)*AX110+(G110-BA110)*AZ110+(G110-BC110)*BB110)*BJ110*BI110)*10000</f>
        <v>0</v>
      </c>
      <c r="J110" s="82" t="n">
        <f aca="false">H110+I110</f>
        <v>43751.6209843996</v>
      </c>
      <c r="L110" s="329"/>
      <c r="O110" s="95" t="n">
        <f aca="false">A110</f>
        <v>40179</v>
      </c>
      <c r="BD110" s="100" t="n">
        <f aca="false">(P110+R110+T110+V110+X110+Z110+AB110+AD110+AF110+AH110+AJ110+AL110+AN110+AP110+AR110+AT110+AV110+AX110+AZ110+BB110)</f>
        <v>0</v>
      </c>
      <c r="BE110" s="322" t="n">
        <f aca="false">IF(AND(BD110=0,BH110=0),0,(ABS(P110)*Q110+ABS(R110)*S110+ABS(T110)*U110+ABS(V110)*W110+ABS(X110)*Y110+ABS(Z110)*AA110+ABS(AB110)*AC110+ABS(AD110)*AE110+ABS(AF110)*AG110+ABS(AH110)*AI110+ABS(AJ110)*AK110+ABS(AL110)*AM110+ABS(AN110)*AO110+ABS(AP110)*AQ110+ABS(AR110)*AS110+ABS(AT110)*AU110+ABS(AV110)*AW110+ABS(AX110)*AY110+ABS(AZ110)*BA110+ABS(BB110)*BC110)/BH110)</f>
        <v>0</v>
      </c>
      <c r="BG110" s="103" t="n">
        <f aca="false">O110</f>
        <v>40179</v>
      </c>
      <c r="BH110" s="323" t="n">
        <f aca="false">(ABS(P110)+ABS(R110)+ABS(T110)+ABS(V110)+ABS(X110)+ABS(Z110)+ABS(AB110)+ABS(AD110)+ABS(AF110)+ABS(AH110)+ABS(AJ110)+ABS(AL110)+ABS(AN110)+ABS(AP110)+ABS(AR110)+ABS(AT110)+ABS(AV110)+ABS(AX110)+ABS(AZ110)+ABS(BB110))</f>
        <v>0</v>
      </c>
      <c r="BI110" s="104" t="n">
        <f aca="false">VLOOKUP(GasPosn!A110,'Pricing Summary'!$AB$12:$AD$250,3)</f>
        <v>31</v>
      </c>
      <c r="BJ110" s="102" t="n">
        <f aca="false">VLOOKUP(A110,Interest!$AF$8:$AK$367,6)</f>
        <v>0.65412353264284</v>
      </c>
      <c r="BL110" s="0" t="n">
        <f aca="false">J110*VLOOKUP(A110,NymexData!$J$12:$K$244,2)</f>
        <v>69557.5837606476</v>
      </c>
      <c r="BO110" s="0" t="n">
        <f aca="false">Interest!AK106</f>
        <v>0.65412353264284</v>
      </c>
      <c r="BP110" s="0" t="n">
        <f aca="false">G110*Interest!AK106</f>
        <v>2.97266439409539</v>
      </c>
      <c r="BQ110" s="0" t="n">
        <f aca="false">IF(AND(A110&gt;=$B$3,A110&lt;=$B$4),1,0)</f>
        <v>1</v>
      </c>
      <c r="BR110" s="0" t="n">
        <f aca="false">BO110*BQ110</f>
        <v>0.65412353264284</v>
      </c>
      <c r="BS110" s="0" t="n">
        <f aca="false">BP110*BQ110</f>
        <v>2.97266439409539</v>
      </c>
    </row>
    <row r="111" customFormat="false" ht="18" hidden="false" customHeight="false" outlineLevel="0" collapsed="false">
      <c r="A111" s="112" t="n">
        <f aca="false">[2]EnergyCurve!$D133</f>
        <v>40210</v>
      </c>
      <c r="B111" s="324" t="n">
        <f aca="false" t="array" ref="B111:B111">SUM(IF(MONTH(NymexData!$AI$12:$AI$250)&amp;YEAR(NymexData!$AI$12:$AI$250)=MONTH(A111)&amp;YEAR(A111),NymexData!$AJ$12:$AJ$250))</f>
        <v>-126.7194915</v>
      </c>
      <c r="C111" s="325" t="n">
        <f aca="false">BD111*BJ111*BI111</f>
        <v>0</v>
      </c>
      <c r="D111" s="326" t="n">
        <f aca="false">C111+B111</f>
        <v>-126.7194915</v>
      </c>
      <c r="E111" s="327" t="n">
        <f aca="false" t="array" ref="E111:E111">SUM(IF(MONTH(NymexData!$S$12:$S$250)&amp;YEAR(NymexData!$S$12:$S$250)=MONTH(A111)&amp;YEAR(A111),NymexData!$T$12:$T$250))</f>
        <v>4.4885</v>
      </c>
      <c r="F111" s="327" t="n">
        <f aca="false">G111-E111</f>
        <v>-0.032</v>
      </c>
      <c r="G111" s="328" t="n">
        <f aca="false" t="array" ref="G111:G111">IF(NymexData!$AA$12="",GasPosn!E111,SUM(IF(MONTH(NymexData!$AA$12:$AA$250)&amp;YEAR(NymexData!$AA$12:$AA$250)=MONTH(A111)&amp;YEAR(A111),NymexData!$AB$12:$AB$250)))</f>
        <v>4.4565</v>
      </c>
      <c r="H111" s="115" t="n">
        <f aca="false">B111*10000*F111</f>
        <v>40550.23728</v>
      </c>
      <c r="I111" s="119" t="n">
        <f aca="false">(((G111-Q111)*P111+(G111-S111)*R111+(G111-U111)*T111+(G111-W111)*V111+(G111-Y111)*X111+(G111-AA111)*Z111+(G111-AC111)*AB111+(G111-AE111)*AD111+(G111-AG111)*AF111+(G111-AI111)*AH111+(G111-AK111)*AJ111+(G111-AM111)*AL111+(G111-AO111)*AN111+(G111-AQ111)*AP111+(G111-AS111)*AR111+(G111-AU111)*AT111+(G111-AW111)*AV111+(G111-AY111)*AX111+(G111-BA111)*AZ111+(G111-BC111)*BB111)*BJ111*BI111)*10000</f>
        <v>0</v>
      </c>
      <c r="J111" s="119" t="n">
        <f aca="false">H111+I111</f>
        <v>40550.23728</v>
      </c>
      <c r="L111" s="329"/>
      <c r="O111" s="95" t="n">
        <f aca="false">A111</f>
        <v>40210</v>
      </c>
      <c r="BD111" s="100" t="n">
        <f aca="false">(P111+R111+T111+V111+X111+Z111+AB111+AD111+AF111+AH111+AJ111+AL111+AN111+AP111+AR111+AT111+AV111+AX111+AZ111+BB111)</f>
        <v>0</v>
      </c>
      <c r="BE111" s="322" t="n">
        <f aca="false">IF(AND(BD111=0,BH111=0),0,(ABS(P111)*Q111+ABS(R111)*S111+ABS(T111)*U111+ABS(V111)*W111+ABS(X111)*Y111+ABS(Z111)*AA111+ABS(AB111)*AC111+ABS(AD111)*AE111+ABS(AF111)*AG111+ABS(AH111)*AI111+ABS(AJ111)*AK111+ABS(AL111)*AM111+ABS(AN111)*AO111+ABS(AP111)*AQ111+ABS(AR111)*AS111+ABS(AT111)*AU111+ABS(AV111)*AW111+ABS(AX111)*AY111+ABS(AZ111)*BA111+ABS(BB111)*BC111)/BH111)</f>
        <v>0</v>
      </c>
      <c r="BG111" s="103" t="n">
        <f aca="false">O111</f>
        <v>40210</v>
      </c>
      <c r="BH111" s="323" t="n">
        <f aca="false">(ABS(P111)+ABS(R111)+ABS(T111)+ABS(V111)+ABS(X111)+ABS(Z111)+ABS(AB111)+ABS(AD111)+ABS(AF111)+ABS(AH111)+ABS(AJ111)+ABS(AL111)+ABS(AN111)+ABS(AP111)+ABS(AR111)+ABS(AT111)+ABS(AV111)+ABS(AX111)+ABS(AZ111)+ABS(BB111))</f>
        <v>0</v>
      </c>
      <c r="BI111" s="104" t="n">
        <f aca="false">VLOOKUP(GasPosn!A111,'Pricing Summary'!$AB$12:$AD$250,3)</f>
        <v>28</v>
      </c>
      <c r="BJ111" s="102" t="n">
        <f aca="false">VLOOKUP(A111,Interest!$AF$8:$AK$367,6)</f>
        <v>0.650983350641565</v>
      </c>
      <c r="BL111" s="0" t="n">
        <f aca="false">J111*VLOOKUP(A111,NymexData!$J$12:$K$244,2)</f>
        <v>64511.5716039795</v>
      </c>
      <c r="BO111" s="0" t="n">
        <f aca="false">Interest!AK107</f>
        <v>0.650983350641565</v>
      </c>
      <c r="BP111" s="0" t="n">
        <f aca="false">G111*Interest!AK107</f>
        <v>2.90110730213414</v>
      </c>
      <c r="BQ111" s="0" t="n">
        <f aca="false">IF(AND(A111&gt;=$B$3,A111&lt;=$B$4),1,0)</f>
        <v>1</v>
      </c>
      <c r="BR111" s="0" t="n">
        <f aca="false">BO111*BQ111</f>
        <v>0.650983350641565</v>
      </c>
      <c r="BS111" s="0" t="n">
        <f aca="false">BP111*BQ111</f>
        <v>2.90110730213414</v>
      </c>
    </row>
    <row r="112" customFormat="false" ht="18" hidden="false" customHeight="false" outlineLevel="0" collapsed="false">
      <c r="A112" s="75" t="n">
        <f aca="false">[2]EnergyCurve!$D134</f>
        <v>40238</v>
      </c>
      <c r="B112" s="317" t="n">
        <f aca="false" t="array" ref="B112:B112">SUM(IF(MONTH(NymexData!$AI$12:$AI$250)&amp;YEAR(NymexData!$AI$12:$AI$250)=MONTH(A112)&amp;YEAR(A112),NymexData!$AJ$12:$AJ$250))</f>
        <v>-139.54057782</v>
      </c>
      <c r="C112" s="317" t="n">
        <f aca="false">BD112*BJ112*BI112</f>
        <v>0</v>
      </c>
      <c r="D112" s="319" t="n">
        <f aca="false">C112+B112</f>
        <v>-139.54057782</v>
      </c>
      <c r="E112" s="320" t="n">
        <f aca="false" t="array" ref="E112:E112">SUM(IF(MONTH(NymexData!$S$12:$S$250)&amp;YEAR(NymexData!$S$12:$S$250)=MONTH(A112)&amp;YEAR(A112),NymexData!$T$12:$T$250))</f>
        <v>4.3495</v>
      </c>
      <c r="F112" s="320" t="n">
        <f aca="false">G112-E112</f>
        <v>-0.032</v>
      </c>
      <c r="G112" s="321" t="n">
        <f aca="false" t="array" ref="G112:G112">IF(NymexData!$AA$12="",GasPosn!E112,SUM(IF(MONTH(NymexData!$AA$12:$AA$250)&amp;YEAR(NymexData!$AA$12:$AA$250)=MONTH(A112)&amp;YEAR(A112),NymexData!$AB$12:$AB$250)))</f>
        <v>4.3175</v>
      </c>
      <c r="H112" s="76" t="n">
        <f aca="false">B112*10000*F112</f>
        <v>44652.9849024</v>
      </c>
      <c r="I112" s="82" t="n">
        <f aca="false">(((G112-Q112)*P112+(G112-S112)*R112+(G112-U112)*T112+(G112-W112)*V112+(G112-Y112)*X112+(G112-AA112)*Z112+(G112-AC112)*AB112+(G112-AE112)*AD112+(G112-AG112)*AF112+(G112-AI112)*AH112+(G112-AK112)*AJ112+(G112-AM112)*AL112+(G112-AO112)*AN112+(G112-AQ112)*AP112+(G112-AS112)*AR112+(G112-AU112)*AT112+(G112-AW112)*AV112+(G112-AY112)*AX112+(G112-BA112)*AZ112+(G112-BC112)*BB112)*BJ112*BI112)*10000</f>
        <v>0</v>
      </c>
      <c r="J112" s="82" t="n">
        <f aca="false">H112+I112</f>
        <v>44652.9849024</v>
      </c>
      <c r="L112" s="329"/>
      <c r="O112" s="95" t="n">
        <f aca="false">A112</f>
        <v>40238</v>
      </c>
      <c r="BD112" s="100" t="n">
        <f aca="false">(P112+R112+T112+V112+X112+Z112+AB112+AD112+AF112+AH112+AJ112+AL112+AN112+AP112+AR112+AT112+AV112+AX112+AZ112+BB112)</f>
        <v>0</v>
      </c>
      <c r="BE112" s="322" t="n">
        <f aca="false">IF(AND(BD112=0,BH112=0),0,(ABS(P112)*Q112+ABS(R112)*S112+ABS(T112)*U112+ABS(V112)*W112+ABS(X112)*Y112+ABS(Z112)*AA112+ABS(AB112)*AC112+ABS(AD112)*AE112+ABS(AF112)*AG112+ABS(AH112)*AI112+ABS(AJ112)*AK112+ABS(AL112)*AM112+ABS(AN112)*AO112+ABS(AP112)*AQ112+ABS(AR112)*AS112+ABS(AT112)*AU112+ABS(AV112)*AW112+ABS(AX112)*AY112+ABS(AZ112)*BA112+ABS(BB112)*BC112)/BH112)</f>
        <v>0</v>
      </c>
      <c r="BG112" s="103" t="n">
        <f aca="false">O112</f>
        <v>40238</v>
      </c>
      <c r="BH112" s="323" t="n">
        <f aca="false">(ABS(P112)+ABS(R112)+ABS(T112)+ABS(V112)+ABS(X112)+ABS(Z112)+ABS(AB112)+ABS(AD112)+ABS(AF112)+ABS(AH112)+ABS(AJ112)+ABS(AL112)+ABS(AN112)+ABS(AP112)+ABS(AR112)+ABS(AT112)+ABS(AV112)+ABS(AX112)+ABS(AZ112)+ABS(BB112))</f>
        <v>0</v>
      </c>
      <c r="BI112" s="104" t="n">
        <f aca="false">VLOOKUP(GasPosn!A112,'Pricing Summary'!$AB$12:$AD$250,3)</f>
        <v>31</v>
      </c>
      <c r="BJ112" s="102" t="n">
        <f aca="false">VLOOKUP(A112,Interest!$AF$8:$AK$367,6)</f>
        <v>0.647629912467334</v>
      </c>
      <c r="BL112" s="0" t="n">
        <f aca="false">J112*VLOOKUP(A112,NymexData!$J$12:$K$244,2)</f>
        <v>71082.7905800016</v>
      </c>
      <c r="BO112" s="0" t="n">
        <f aca="false">Interest!AK108</f>
        <v>0.647629912467334</v>
      </c>
      <c r="BP112" s="0" t="n">
        <f aca="false">G112*Interest!AK108</f>
        <v>2.79614214707771</v>
      </c>
      <c r="BQ112" s="0" t="n">
        <f aca="false">IF(AND(A112&gt;=$B$3,A112&lt;=$B$4),1,0)</f>
        <v>1</v>
      </c>
      <c r="BR112" s="0" t="n">
        <f aca="false">BO112*BQ112</f>
        <v>0.647629912467334</v>
      </c>
      <c r="BS112" s="0" t="n">
        <f aca="false">BP112*BQ112</f>
        <v>2.79614214707771</v>
      </c>
    </row>
    <row r="113" customFormat="false" ht="18" hidden="false" customHeight="false" outlineLevel="0" collapsed="false">
      <c r="A113" s="112" t="n">
        <f aca="false">[2]EnergyCurve!$D135</f>
        <v>40269</v>
      </c>
      <c r="B113" s="324" t="n">
        <f aca="false" t="array" ref="B113:B113">SUM(IF(MONTH(NymexData!$AI$12:$AI$250)&amp;YEAR(NymexData!$AI$12:$AI$250)=MONTH(A113)&amp;YEAR(A113),NymexData!$AJ$12:$AJ$250))</f>
        <v>-134.2299658</v>
      </c>
      <c r="C113" s="325" t="n">
        <f aca="false">BD113*BJ113*BI113</f>
        <v>0</v>
      </c>
      <c r="D113" s="326" t="n">
        <f aca="false">C113+B113</f>
        <v>-134.2299658</v>
      </c>
      <c r="E113" s="327" t="n">
        <f aca="false" t="array" ref="E113:E113">SUM(IF(MONTH(NymexData!$S$12:$S$250)&amp;YEAR(NymexData!$S$12:$S$250)=MONTH(A113)&amp;YEAR(A113),NymexData!$T$12:$T$250))</f>
        <v>4.1955</v>
      </c>
      <c r="F113" s="327" t="n">
        <f aca="false">G113-E113</f>
        <v>-0.032</v>
      </c>
      <c r="G113" s="328" t="n">
        <f aca="false" t="array" ref="G113:G113">IF(NymexData!$AA$12="",GasPosn!E113,SUM(IF(MONTH(NymexData!$AA$12:$AA$250)&amp;YEAR(NymexData!$AA$12:$AA$250)=MONTH(A113)&amp;YEAR(A113),NymexData!$AB$12:$AB$250)))</f>
        <v>4.1635</v>
      </c>
      <c r="H113" s="115" t="n">
        <f aca="false">B113*10000*F113</f>
        <v>42953.589056</v>
      </c>
      <c r="I113" s="119" t="n">
        <f aca="false">(((G113-Q113)*P113+(G113-S113)*R113+(G113-U113)*T113+(G113-W113)*V113+(G113-Y113)*X113+(G113-AA113)*Z113+(G113-AC113)*AB113+(G113-AE113)*AD113+(G113-AG113)*AF113+(G113-AI113)*AH113+(G113-AK113)*AJ113+(G113-AM113)*AL113+(G113-AO113)*AN113+(G113-AQ113)*AP113+(G113-AS113)*AR113+(G113-AU113)*AT113+(G113-AW113)*AV113+(G113-AY113)*AX113+(G113-BA113)*AZ113+(G113-BC113)*BB113)*BJ113*BI113)*10000</f>
        <v>0</v>
      </c>
      <c r="J113" s="119" t="n">
        <f aca="false">H113+I113</f>
        <v>42953.589056</v>
      </c>
      <c r="L113" s="329"/>
      <c r="O113" s="95" t="n">
        <f aca="false">A113</f>
        <v>40269</v>
      </c>
      <c r="BD113" s="100" t="n">
        <f aca="false">(P113+R113+T113+V113+X113+Z113+AB113+AD113+AF113+AH113+AJ113+AL113+AN113+AP113+AR113+AT113+AV113+AX113+AZ113+BB113)</f>
        <v>0</v>
      </c>
      <c r="BE113" s="322" t="n">
        <f aca="false">IF(AND(BD113=0,BH113=0),0,(ABS(P113)*Q113+ABS(R113)*S113+ABS(T113)*U113+ABS(V113)*W113+ABS(X113)*Y113+ABS(Z113)*AA113+ABS(AB113)*AC113+ABS(AD113)*AE113+ABS(AF113)*AG113+ABS(AH113)*AI113+ABS(AJ113)*AK113+ABS(AL113)*AM113+ABS(AN113)*AO113+ABS(AP113)*AQ113+ABS(AR113)*AS113+ABS(AT113)*AU113+ABS(AV113)*AW113+ABS(AX113)*AY113+ABS(AZ113)*BA113+ABS(BB113)*BC113)/BH113)</f>
        <v>0</v>
      </c>
      <c r="BG113" s="103" t="n">
        <f aca="false">O113</f>
        <v>40269</v>
      </c>
      <c r="BH113" s="323" t="n">
        <f aca="false">(ABS(P113)+ABS(R113)+ABS(T113)+ABS(V113)+ABS(X113)+ABS(Z113)+ABS(AB113)+ABS(AD113)+ABS(AF113)+ABS(AH113)+ABS(AJ113)+ABS(AL113)+ABS(AN113)+ABS(AP113)+ABS(AR113)+ABS(AT113)+ABS(AV113)+ABS(AX113)+ABS(AZ113)+ABS(BB113))</f>
        <v>0</v>
      </c>
      <c r="BI113" s="104" t="n">
        <f aca="false">VLOOKUP(GasPosn!A113,'Pricing Summary'!$AB$12:$AD$250,3)</f>
        <v>30</v>
      </c>
      <c r="BJ113" s="102" t="n">
        <f aca="false">VLOOKUP(A113,Interest!$AF$8:$AK$367,6)</f>
        <v>0.644318098260801</v>
      </c>
      <c r="BL113" s="0" t="n">
        <f aca="false">J113*VLOOKUP(A113,NymexData!$J$12:$K$244,2)</f>
        <v>68425.3227200001</v>
      </c>
      <c r="BO113" s="0" t="n">
        <f aca="false">Interest!AK109</f>
        <v>0.644318098260801</v>
      </c>
      <c r="BP113" s="0" t="n">
        <f aca="false">G113*Interest!AK109</f>
        <v>2.68261840210884</v>
      </c>
      <c r="BQ113" s="0" t="n">
        <f aca="false">IF(AND(A113&gt;=$B$3,A113&lt;=$B$4),1,0)</f>
        <v>1</v>
      </c>
      <c r="BR113" s="0" t="n">
        <f aca="false">BO113*BQ113</f>
        <v>0.644318098260801</v>
      </c>
      <c r="BS113" s="0" t="n">
        <f aca="false">BP113*BQ113</f>
        <v>2.68261840210884</v>
      </c>
    </row>
    <row r="114" customFormat="false" ht="18" hidden="false" customHeight="false" outlineLevel="0" collapsed="false">
      <c r="A114" s="75" t="n">
        <f aca="false">[2]EnergyCurve!$D136</f>
        <v>40299</v>
      </c>
      <c r="B114" s="317" t="n">
        <f aca="false" t="array" ref="B114:B114">SUM(IF(MONTH(NymexData!$AI$12:$AI$250)&amp;YEAR(NymexData!$AI$12:$AI$250)=MONTH(A114)&amp;YEAR(A114),NymexData!$AJ$12:$AJ$250))</f>
        <v>-137.8957608</v>
      </c>
      <c r="C114" s="317" t="n">
        <f aca="false">BD114*BJ114*BI114</f>
        <v>0</v>
      </c>
      <c r="D114" s="319" t="n">
        <f aca="false">C114+B114</f>
        <v>-137.8957608</v>
      </c>
      <c r="E114" s="320" t="n">
        <f aca="false" t="array" ref="E114:E114">SUM(IF(MONTH(NymexData!$S$12:$S$250)&amp;YEAR(NymexData!$S$12:$S$250)=MONTH(A114)&amp;YEAR(A114),NymexData!$T$12:$T$250))</f>
        <v>4.2005</v>
      </c>
      <c r="F114" s="320" t="n">
        <f aca="false">G114-E114</f>
        <v>-0.032</v>
      </c>
      <c r="G114" s="321" t="n">
        <f aca="false" t="array" ref="G114:G114">IF(NymexData!$AA$12="",GasPosn!E114,SUM(IF(MONTH(NymexData!$AA$12:$AA$250)&amp;YEAR(NymexData!$AA$12:$AA$250)=MONTH(A114)&amp;YEAR(A114),NymexData!$AB$12:$AB$250)))</f>
        <v>4.1685</v>
      </c>
      <c r="H114" s="76" t="n">
        <f aca="false">B114*10000*F114</f>
        <v>44126.643456</v>
      </c>
      <c r="I114" s="82" t="n">
        <f aca="false">(((G114-Q114)*P114+(G114-S114)*R114+(G114-U114)*T114+(G114-W114)*V114+(G114-Y114)*X114+(G114-AA114)*Z114+(G114-AC114)*AB114+(G114-AE114)*AD114+(G114-AG114)*AF114+(G114-AI114)*AH114+(G114-AK114)*AJ114+(G114-AM114)*AL114+(G114-AO114)*AN114+(G114-AQ114)*AP114+(G114-AS114)*AR114+(G114-AU114)*AT114+(G114-AW114)*AV114+(G114-AY114)*AX114+(G114-BA114)*AZ114+(G114-BC114)*BB114)*BJ114*BI114)*10000</f>
        <v>0</v>
      </c>
      <c r="J114" s="82" t="n">
        <f aca="false">H114+I114</f>
        <v>44126.643456</v>
      </c>
      <c r="L114" s="329"/>
      <c r="O114" s="95" t="n">
        <f aca="false">A114</f>
        <v>40299</v>
      </c>
      <c r="BD114" s="100" t="n">
        <f aca="false">(P114+R114+T114+V114+X114+Z114+AB114+AD114+AF114+AH114+AJ114+AL114+AN114+AP114+AR114+AT114+AV114+AX114+AZ114+BB114)</f>
        <v>0</v>
      </c>
      <c r="BE114" s="322" t="n">
        <f aca="false">IF(AND(BD114=0,BH114=0),0,(ABS(P114)*Q114+ABS(R114)*S114+ABS(T114)*U114+ABS(V114)*W114+ABS(X114)*Y114+ABS(Z114)*AA114+ABS(AB114)*AC114+ABS(AD114)*AE114+ABS(AF114)*AG114+ABS(AH114)*AI114+ABS(AJ114)*AK114+ABS(AL114)*AM114+ABS(AN114)*AO114+ABS(AP114)*AQ114+ABS(AR114)*AS114+ABS(AT114)*AU114+ABS(AV114)*AW114+ABS(AX114)*AY114+ABS(AZ114)*BA114+ABS(BB114)*BC114)/BH114)</f>
        <v>0</v>
      </c>
      <c r="BG114" s="103" t="n">
        <f aca="false">O114</f>
        <v>40299</v>
      </c>
      <c r="BH114" s="323" t="n">
        <f aca="false">(ABS(P114)+ABS(R114)+ABS(T114)+ABS(V114)+ABS(X114)+ABS(Z114)+ABS(AB114)+ABS(AD114)+ABS(AF114)+ABS(AH114)+ABS(AJ114)+ABS(AL114)+ABS(AN114)+ABS(AP114)+ABS(AR114)+ABS(AT114)+ABS(AV114)+ABS(AX114)+ABS(AZ114)+ABS(BB114))</f>
        <v>0</v>
      </c>
      <c r="BI114" s="104" t="n">
        <f aca="false">VLOOKUP(GasPosn!A114,'Pricing Summary'!$AB$12:$AD$250,3)</f>
        <v>31</v>
      </c>
      <c r="BJ114" s="102" t="n">
        <f aca="false">VLOOKUP(A114,Interest!$AF$8:$AK$367,6)</f>
        <v>0.6409402709243</v>
      </c>
      <c r="BL114" s="0" t="n">
        <f aca="false">J114*VLOOKUP(A114,NymexData!$J$12:$K$244,2)</f>
        <v>70342.3213238053</v>
      </c>
      <c r="BO114" s="0" t="n">
        <f aca="false">Interest!AK110</f>
        <v>0.6409402709243</v>
      </c>
      <c r="BP114" s="0" t="n">
        <f aca="false">G114*Interest!AK110</f>
        <v>2.67175951934795</v>
      </c>
      <c r="BQ114" s="0" t="n">
        <f aca="false">IF(AND(A114&gt;=$B$3,A114&lt;=$B$4),1,0)</f>
        <v>1</v>
      </c>
      <c r="BR114" s="0" t="n">
        <f aca="false">BO114*BQ114</f>
        <v>0.6409402709243</v>
      </c>
      <c r="BS114" s="0" t="n">
        <f aca="false">BP114*BQ114</f>
        <v>2.67175951934795</v>
      </c>
    </row>
    <row r="115" customFormat="false" ht="18" hidden="false" customHeight="false" outlineLevel="0" collapsed="false">
      <c r="A115" s="112" t="n">
        <f aca="false">[2]EnergyCurve!$D137</f>
        <v>40330</v>
      </c>
      <c r="B115" s="324" t="n">
        <f aca="false" t="array" ref="B115:B115">SUM(IF(MONTH(NymexData!$AI$12:$AI$250)&amp;YEAR(NymexData!$AI$12:$AI$250)=MONTH(A115)&amp;YEAR(A115),NymexData!$AJ$12:$AJ$250))</f>
        <v>-132.6397828</v>
      </c>
      <c r="C115" s="325" t="n">
        <f aca="false">BD115*BJ115*BI115</f>
        <v>0</v>
      </c>
      <c r="D115" s="326" t="n">
        <f aca="false">C115+B115</f>
        <v>-132.6397828</v>
      </c>
      <c r="E115" s="327" t="n">
        <f aca="false" t="array" ref="E115:E115">SUM(IF(MONTH(NymexData!$S$12:$S$250)&amp;YEAR(NymexData!$S$12:$S$250)=MONTH(A115)&amp;YEAR(A115),NymexData!$T$12:$T$250))</f>
        <v>4.2385</v>
      </c>
      <c r="F115" s="327" t="n">
        <f aca="false">G115-E115</f>
        <v>-0.032</v>
      </c>
      <c r="G115" s="328" t="n">
        <f aca="false" t="array" ref="G115:G115">IF(NymexData!$AA$12="",GasPosn!E115,SUM(IF(MONTH(NymexData!$AA$12:$AA$250)&amp;YEAR(NymexData!$AA$12:$AA$250)=MONTH(A115)&amp;YEAR(A115),NymexData!$AB$12:$AB$250)))</f>
        <v>4.2065</v>
      </c>
      <c r="H115" s="115" t="n">
        <f aca="false">B115*10000*F115</f>
        <v>42444.730496</v>
      </c>
      <c r="I115" s="119" t="n">
        <f aca="false">(((G115-Q115)*P115+(G115-S115)*R115+(G115-U115)*T115+(G115-W115)*V115+(G115-Y115)*X115+(G115-AA115)*Z115+(G115-AC115)*AB115+(G115-AE115)*AD115+(G115-AG115)*AF115+(G115-AI115)*AH115+(G115-AK115)*AJ115+(G115-AM115)*AL115+(G115-AO115)*AN115+(G115-AQ115)*AP115+(G115-AS115)*AR115+(G115-AU115)*AT115+(G115-AW115)*AV115+(G115-AY115)*AX115+(G115-BA115)*AZ115+(G115-BC115)*BB115)*BJ115*BI115)*10000</f>
        <v>0</v>
      </c>
      <c r="J115" s="119" t="n">
        <f aca="false">H115+I115</f>
        <v>42444.730496</v>
      </c>
      <c r="L115" s="329"/>
      <c r="O115" s="95" t="n">
        <f aca="false">A115</f>
        <v>40330</v>
      </c>
      <c r="BD115" s="100" t="n">
        <f aca="false">(P115+R115+T115+V115+X115+Z115+AB115+AD115+AF115+AH115+AJ115+AL115+AN115+AP115+AR115+AT115+AV115+AX115+AZ115+BB115)</f>
        <v>0</v>
      </c>
      <c r="BE115" s="322" t="n">
        <f aca="false">IF(AND(BD115=0,BH115=0),0,(ABS(P115)*Q115+ABS(R115)*S115+ABS(T115)*U115+ABS(V115)*W115+ABS(X115)*Y115+ABS(Z115)*AA115+ABS(AB115)*AC115+ABS(AD115)*AE115+ABS(AF115)*AG115+ABS(AH115)*AI115+ABS(AJ115)*AK115+ABS(AL115)*AM115+ABS(AN115)*AO115+ABS(AP115)*AQ115+ABS(AR115)*AS115+ABS(AT115)*AU115+ABS(AV115)*AW115+ABS(AX115)*AY115+ABS(AZ115)*BA115+ABS(BB115)*BC115)/BH115)</f>
        <v>0</v>
      </c>
      <c r="BG115" s="103" t="n">
        <f aca="false">O115</f>
        <v>40330</v>
      </c>
      <c r="BH115" s="323" t="n">
        <f aca="false">(ABS(P115)+ABS(R115)+ABS(T115)+ABS(V115)+ABS(X115)+ABS(Z115)+ABS(AB115)+ABS(AD115)+ABS(AF115)+ABS(AH115)+ABS(AJ115)+ABS(AL115)+ABS(AN115)+ABS(AP115)+ABS(AR115)+ABS(AT115)+ABS(AV115)+ABS(AX115)+ABS(AZ115)+ABS(BB115))</f>
        <v>0</v>
      </c>
      <c r="BI115" s="104" t="n">
        <f aca="false">VLOOKUP(GasPosn!A115,'Pricing Summary'!$AB$12:$AD$250,3)</f>
        <v>30</v>
      </c>
      <c r="BJ115" s="102" t="n">
        <f aca="false">VLOOKUP(A115,Interest!$AF$8:$AK$367,6)</f>
        <v>0.637640585398444</v>
      </c>
      <c r="BL115" s="0" t="n">
        <f aca="false">J115*VLOOKUP(A115,NymexData!$J$12:$K$244,2)</f>
        <v>67710.0079433453</v>
      </c>
      <c r="BO115" s="0" t="n">
        <f aca="false">Interest!AK111</f>
        <v>0.637640585398444</v>
      </c>
      <c r="BP115" s="0" t="n">
        <f aca="false">G115*Interest!AK111</f>
        <v>2.68223512247856</v>
      </c>
      <c r="BQ115" s="0" t="n">
        <f aca="false">IF(AND(A115&gt;=$B$3,A115&lt;=$B$4),1,0)</f>
        <v>1</v>
      </c>
      <c r="BR115" s="0" t="n">
        <f aca="false">BO115*BQ115</f>
        <v>0.637640585398444</v>
      </c>
      <c r="BS115" s="0" t="n">
        <f aca="false">BP115*BQ115</f>
        <v>2.68223512247856</v>
      </c>
    </row>
    <row r="116" customFormat="false" ht="18" hidden="false" customHeight="false" outlineLevel="0" collapsed="false">
      <c r="A116" s="75" t="n">
        <f aca="false">[2]EnergyCurve!$D138</f>
        <v>40360</v>
      </c>
      <c r="B116" s="317" t="n">
        <f aca="false" t="array" ref="B116:B116">SUM(IF(MONTH(NymexData!$AI$12:$AI$250)&amp;YEAR(NymexData!$AI$12:$AI$250)=MONTH(A116)&amp;YEAR(A116),NymexData!$AJ$12:$AJ$250))</f>
        <v>-136.25423378</v>
      </c>
      <c r="C116" s="317" t="n">
        <f aca="false">BD116*BJ116*BI116</f>
        <v>0</v>
      </c>
      <c r="D116" s="319" t="n">
        <f aca="false">C116+B116</f>
        <v>-136.25423378</v>
      </c>
      <c r="E116" s="320" t="n">
        <f aca="false" t="array" ref="E116:E116">SUM(IF(MONTH(NymexData!$S$12:$S$250)&amp;YEAR(NymexData!$S$12:$S$250)=MONTH(A116)&amp;YEAR(A116),NymexData!$T$12:$T$250))</f>
        <v>4.2835</v>
      </c>
      <c r="F116" s="320" t="n">
        <f aca="false">G116-E116</f>
        <v>-0.032</v>
      </c>
      <c r="G116" s="321" t="n">
        <f aca="false" t="array" ref="G116:G116">IF(NymexData!$AA$12="",GasPosn!E116,SUM(IF(MONTH(NymexData!$AA$12:$AA$250)&amp;YEAR(NymexData!$AA$12:$AA$250)=MONTH(A116)&amp;YEAR(A116),NymexData!$AB$12:$AB$250)))</f>
        <v>4.2515</v>
      </c>
      <c r="H116" s="76" t="n">
        <f aca="false">B116*10000*F116</f>
        <v>43601.3548096</v>
      </c>
      <c r="I116" s="82" t="n">
        <f aca="false">(((G116-Q116)*P116+(G116-S116)*R116+(G116-U116)*T116+(G116-W116)*V116+(G116-Y116)*X116+(G116-AA116)*Z116+(G116-AC116)*AB116+(G116-AE116)*AD116+(G116-AG116)*AF116+(G116-AI116)*AH116+(G116-AK116)*AJ116+(G116-AM116)*AL116+(G116-AO116)*AN116+(G116-AQ116)*AP116+(G116-AS116)*AR116+(G116-AU116)*AT116+(G116-AW116)*AV116+(G116-AY116)*AX116+(G116-BA116)*AZ116+(G116-BC116)*BB116)*BJ116*BI116)*10000</f>
        <v>0</v>
      </c>
      <c r="J116" s="82" t="n">
        <f aca="false">H116+I116</f>
        <v>43601.3548096</v>
      </c>
      <c r="L116" s="329"/>
      <c r="O116" s="95" t="n">
        <f aca="false">A116</f>
        <v>40360</v>
      </c>
      <c r="BD116" s="100" t="n">
        <f aca="false">(P116+R116+T116+V116+X116+Z116+AB116+AD116+AF116+AH116+AJ116+AL116+AN116+AP116+AR116+AT116+AV116+AX116+AZ116+BB116)</f>
        <v>0</v>
      </c>
      <c r="BE116" s="322" t="n">
        <f aca="false">IF(AND(BD116=0,BH116=0),0,(ABS(P116)*Q116+ABS(R116)*S116+ABS(T116)*U116+ABS(V116)*W116+ABS(X116)*Y116+ABS(Z116)*AA116+ABS(AB116)*AC116+ABS(AD116)*AE116+ABS(AF116)*AG116+ABS(AH116)*AI116+ABS(AJ116)*AK116+ABS(AL116)*AM116+ABS(AN116)*AO116+ABS(AP116)*AQ116+ABS(AR116)*AS116+ABS(AT116)*AU116+ABS(AV116)*AW116+ABS(AX116)*AY116+ABS(AZ116)*BA116+ABS(BB116)*BC116)/BH116)</f>
        <v>0</v>
      </c>
      <c r="BG116" s="103" t="n">
        <f aca="false">O116</f>
        <v>40360</v>
      </c>
      <c r="BH116" s="323" t="n">
        <f aca="false">(ABS(P116)+ABS(R116)+ABS(T116)+ABS(V116)+ABS(X116)+ABS(Z116)+ABS(AB116)+ABS(AD116)+ABS(AF116)+ABS(AH116)+ABS(AJ116)+ABS(AL116)+ABS(AN116)+ABS(AP116)+ABS(AR116)+ABS(AT116)+ABS(AV116)+ABS(AX116)+ABS(AZ116)+ABS(BB116))</f>
        <v>0</v>
      </c>
      <c r="BI116" s="104" t="n">
        <f aca="false">VLOOKUP(GasPosn!A116,'Pricing Summary'!$AB$12:$AD$250,3)</f>
        <v>31</v>
      </c>
      <c r="BJ116" s="102" t="n">
        <f aca="false">VLOOKUP(A116,Interest!$AF$8:$AK$367,6)</f>
        <v>0.6342758006695</v>
      </c>
      <c r="BL116" s="0" t="n">
        <f aca="false">J116*VLOOKUP(A116,NymexData!$J$12:$K$244,2)</f>
        <v>69604.4511982323</v>
      </c>
      <c r="BO116" s="0" t="n">
        <f aca="false">Interest!AK112</f>
        <v>0.6342758006695</v>
      </c>
      <c r="BP116" s="0" t="n">
        <f aca="false">G116*Interest!AK112</f>
        <v>2.69662356654638</v>
      </c>
      <c r="BQ116" s="0" t="n">
        <f aca="false">IF(AND(A116&gt;=$B$3,A116&lt;=$B$4),1,0)</f>
        <v>1</v>
      </c>
      <c r="BR116" s="0" t="n">
        <f aca="false">BO116*BQ116</f>
        <v>0.6342758006695</v>
      </c>
      <c r="BS116" s="0" t="n">
        <f aca="false">BP116*BQ116</f>
        <v>2.69662356654638</v>
      </c>
    </row>
    <row r="117" customFormat="false" ht="18" hidden="false" customHeight="false" outlineLevel="0" collapsed="false">
      <c r="A117" s="112" t="n">
        <f aca="false">[2]EnergyCurve!$D139</f>
        <v>40391</v>
      </c>
      <c r="B117" s="324" t="n">
        <f aca="false" t="array" ref="B117:B117">SUM(IF(MONTH(NymexData!$AI$12:$AI$250)&amp;YEAR(NymexData!$AI$12:$AI$250)=MONTH(A117)&amp;YEAR(A117),NymexData!$AJ$12:$AJ$250))</f>
        <v>-135.42138848</v>
      </c>
      <c r="C117" s="325" t="n">
        <f aca="false">BD117*BJ117*BI117</f>
        <v>0</v>
      </c>
      <c r="D117" s="326" t="n">
        <f aca="false">C117+B117</f>
        <v>-135.42138848</v>
      </c>
      <c r="E117" s="327" t="n">
        <f aca="false" t="array" ref="E117:E117">SUM(IF(MONTH(NymexData!$S$12:$S$250)&amp;YEAR(NymexData!$S$12:$S$250)=MONTH(A117)&amp;YEAR(A117),NymexData!$T$12:$T$250))</f>
        <v>4.3215</v>
      </c>
      <c r="F117" s="327" t="n">
        <f aca="false">G117-E117</f>
        <v>-0.032</v>
      </c>
      <c r="G117" s="328" t="n">
        <f aca="false" t="array" ref="G117:G117">IF(NymexData!$AA$12="",GasPosn!E117,SUM(IF(MONTH(NymexData!$AA$12:$AA$250)&amp;YEAR(NymexData!$AA$12:$AA$250)=MONTH(A117)&amp;YEAR(A117),NymexData!$AB$12:$AB$250)))</f>
        <v>4.2895</v>
      </c>
      <c r="H117" s="115" t="n">
        <f aca="false">B117*10000*F117</f>
        <v>43334.8443136</v>
      </c>
      <c r="I117" s="119" t="n">
        <f aca="false">(((G117-Q117)*P117+(G117-S117)*R117+(G117-U117)*T117+(G117-W117)*V117+(G117-Y117)*X117+(G117-AA117)*Z117+(G117-AC117)*AB117+(G117-AE117)*AD117+(G117-AG117)*AF117+(G117-AI117)*AH117+(G117-AK117)*AJ117+(G117-AM117)*AL117+(G117-AO117)*AN117+(G117-AQ117)*AP117+(G117-AS117)*AR117+(G117-AU117)*AT117+(G117-AW117)*AV117+(G117-AY117)*AX117+(G117-BA117)*AZ117+(G117-BC117)*BB117)*BJ117*BI117)*10000</f>
        <v>0</v>
      </c>
      <c r="J117" s="119" t="n">
        <f aca="false">H117+I117</f>
        <v>43334.8443136</v>
      </c>
      <c r="L117" s="329"/>
      <c r="O117" s="95" t="n">
        <f aca="false">A117</f>
        <v>40391</v>
      </c>
      <c r="BD117" s="100" t="n">
        <f aca="false">(P117+R117+T117+V117+X117+Z117+AB117+AD117+AF117+AH117+AJ117+AL117+AN117+AP117+AR117+AT117+AV117+AX117+AZ117+BB117)</f>
        <v>0</v>
      </c>
      <c r="BE117" s="322" t="n">
        <f aca="false">IF(AND(BD117=0,BH117=0),0,(ABS(P117)*Q117+ABS(R117)*S117+ABS(T117)*U117+ABS(V117)*W117+ABS(X117)*Y117+ABS(Z117)*AA117+ABS(AB117)*AC117+ABS(AD117)*AE117+ABS(AF117)*AG117+ABS(AH117)*AI117+ABS(AJ117)*AK117+ABS(AL117)*AM117+ABS(AN117)*AO117+ABS(AP117)*AQ117+ABS(AR117)*AS117+ABS(AT117)*AU117+ABS(AV117)*AW117+ABS(AX117)*AY117+ABS(AZ117)*BA117+ABS(BB117)*BC117)/BH117)</f>
        <v>0</v>
      </c>
      <c r="BG117" s="103" t="n">
        <f aca="false">O117</f>
        <v>40391</v>
      </c>
      <c r="BH117" s="323" t="n">
        <f aca="false">(ABS(P117)+ABS(R117)+ABS(T117)+ABS(V117)+ABS(X117)+ABS(Z117)+ABS(AB117)+ABS(AD117)+ABS(AF117)+ABS(AH117)+ABS(AJ117)+ABS(AL117)+ABS(AN117)+ABS(AP117)+ABS(AR117)+ABS(AT117)+ABS(AV117)+ABS(AX117)+ABS(AZ117)+ABS(BB117))</f>
        <v>0</v>
      </c>
      <c r="BI117" s="104" t="n">
        <f aca="false">VLOOKUP(GasPosn!A117,'Pricing Summary'!$AB$12:$AD$250,3)</f>
        <v>31</v>
      </c>
      <c r="BJ117" s="102" t="n">
        <f aca="false">VLOOKUP(A117,Interest!$AF$8:$AK$367,6)</f>
        <v>0.630898798157219</v>
      </c>
      <c r="BL117" s="0" t="n">
        <f aca="false">J117*VLOOKUP(A117,NymexData!$J$12:$K$244,2)</f>
        <v>69230.4902322295</v>
      </c>
      <c r="BO117" s="0" t="n">
        <f aca="false">Interest!AK113</f>
        <v>0.630898798157219</v>
      </c>
      <c r="BP117" s="0" t="n">
        <f aca="false">G117*Interest!AK113</f>
        <v>2.70624039469539</v>
      </c>
      <c r="BQ117" s="0" t="n">
        <f aca="false">IF(AND(A117&gt;=$B$3,A117&lt;=$B$4),1,0)</f>
        <v>1</v>
      </c>
      <c r="BR117" s="0" t="n">
        <f aca="false">BO117*BQ117</f>
        <v>0.630898798157219</v>
      </c>
      <c r="BS117" s="0" t="n">
        <f aca="false">BP117*BQ117</f>
        <v>2.70624039469539</v>
      </c>
    </row>
    <row r="118" customFormat="false" ht="18" hidden="false" customHeight="false" outlineLevel="0" collapsed="false">
      <c r="A118" s="75" t="n">
        <f aca="false">[2]EnergyCurve!$D140</f>
        <v>40422</v>
      </c>
      <c r="B118" s="317" t="n">
        <f aca="false" t="array" ref="B118:B118">SUM(IF(MONTH(NymexData!$AI$12:$AI$250)&amp;YEAR(NymexData!$AI$12:$AI$250)=MONTH(A118)&amp;YEAR(A118),NymexData!$AJ$12:$AJ$250))</f>
        <v>-130.24793124</v>
      </c>
      <c r="C118" s="317" t="n">
        <f aca="false">BD118*BJ118*BI118</f>
        <v>0</v>
      </c>
      <c r="D118" s="319" t="n">
        <f aca="false">C118+B118</f>
        <v>-130.24793124</v>
      </c>
      <c r="E118" s="320" t="n">
        <f aca="false" t="array" ref="E118:E118">SUM(IF(MONTH(NymexData!$S$12:$S$250)&amp;YEAR(NymexData!$S$12:$S$250)=MONTH(A118)&amp;YEAR(A118),NymexData!$T$12:$T$250))</f>
        <v>4.3155</v>
      </c>
      <c r="F118" s="320" t="n">
        <f aca="false">G118-E118</f>
        <v>-0.032</v>
      </c>
      <c r="G118" s="321" t="n">
        <f aca="false" t="array" ref="G118:G118">IF(NymexData!$AA$12="",GasPosn!E118,SUM(IF(MONTH(NymexData!$AA$12:$AA$250)&amp;YEAR(NymexData!$AA$12:$AA$250)=MONTH(A118)&amp;YEAR(A118),NymexData!$AB$12:$AB$250)))</f>
        <v>4.2835</v>
      </c>
      <c r="H118" s="76" t="n">
        <f aca="false">B118*10000*F118</f>
        <v>41679.3379968</v>
      </c>
      <c r="I118" s="82" t="n">
        <f aca="false">(((G118-Q118)*P118+(G118-S118)*R118+(G118-U118)*T118+(G118-W118)*V118+(G118-Y118)*X118+(G118-AA118)*Z118+(G118-AC118)*AB118+(G118-AE118)*AD118+(G118-AG118)*AF118+(G118-AI118)*AH118+(G118-AK118)*AJ118+(G118-AM118)*AL118+(G118-AO118)*AN118+(G118-AQ118)*AP118+(G118-AS118)*AR118+(G118-AU118)*AT118+(G118-AW118)*AV118+(G118-AY118)*AX118+(G118-BA118)*AZ118+(G118-BC118)*BB118)*BJ118*BI118)*10000</f>
        <v>0</v>
      </c>
      <c r="J118" s="82" t="n">
        <f aca="false">H118+I118</f>
        <v>41679.3379968</v>
      </c>
      <c r="L118" s="329"/>
      <c r="O118" s="95" t="n">
        <f aca="false">A118</f>
        <v>40422</v>
      </c>
      <c r="BD118" s="100" t="n">
        <f aca="false">(P118+R118+T118+V118+X118+Z118+AB118+AD118+AF118+AH118+AJ118+AL118+AN118+AP118+AR118+AT118+AV118+AX118+AZ118+BB118)</f>
        <v>0</v>
      </c>
      <c r="BE118" s="322" t="n">
        <f aca="false">IF(AND(BD118=0,BH118=0),0,(ABS(P118)*Q118+ABS(R118)*S118+ABS(T118)*U118+ABS(V118)*W118+ABS(X118)*Y118+ABS(Z118)*AA118+ABS(AB118)*AC118+ABS(AD118)*AE118+ABS(AF118)*AG118+ABS(AH118)*AI118+ABS(AJ118)*AK118+ABS(AL118)*AM118+ABS(AN118)*AO118+ABS(AP118)*AQ118+ABS(AR118)*AS118+ABS(AT118)*AU118+ABS(AV118)*AW118+ABS(AX118)*AY118+ABS(AZ118)*BA118+ABS(BB118)*BC118)/BH118)</f>
        <v>0</v>
      </c>
      <c r="BG118" s="103" t="n">
        <f aca="false">O118</f>
        <v>40422</v>
      </c>
      <c r="BH118" s="323" t="n">
        <f aca="false">(ABS(P118)+ABS(R118)+ABS(T118)+ABS(V118)+ABS(X118)+ABS(Z118)+ABS(AB118)+ABS(AD118)+ABS(AF118)+ABS(AH118)+ABS(AJ118)+ABS(AL118)+ABS(AN118)+ABS(AP118)+ABS(AR118)+ABS(AT118)+ABS(AV118)+ABS(AX118)+ABS(AZ118)+ABS(BB118))</f>
        <v>0</v>
      </c>
      <c r="BI118" s="104" t="n">
        <f aca="false">VLOOKUP(GasPosn!A118,'Pricing Summary'!$AB$12:$AD$250,3)</f>
        <v>30</v>
      </c>
      <c r="BJ118" s="102" t="n">
        <f aca="false">VLOOKUP(A118,Interest!$AF$8:$AK$367,6)</f>
        <v>0.627618036030869</v>
      </c>
      <c r="BL118" s="0" t="n">
        <f aca="false">J118*VLOOKUP(A118,NymexData!$J$12:$K$244,2)</f>
        <v>66636.0310964127</v>
      </c>
      <c r="BO118" s="0" t="n">
        <f aca="false">Interest!AK114</f>
        <v>0.627618036030869</v>
      </c>
      <c r="BP118" s="0" t="n">
        <f aca="false">G118*Interest!AK114</f>
        <v>2.68840185733823</v>
      </c>
      <c r="BQ118" s="0" t="n">
        <f aca="false">IF(AND(A118&gt;=$B$3,A118&lt;=$B$4),1,0)</f>
        <v>1</v>
      </c>
      <c r="BR118" s="0" t="n">
        <f aca="false">BO118*BQ118</f>
        <v>0.627618036030869</v>
      </c>
      <c r="BS118" s="0" t="n">
        <f aca="false">BP118*BQ118</f>
        <v>2.68840185733823</v>
      </c>
    </row>
    <row r="119" customFormat="false" ht="18" hidden="false" customHeight="false" outlineLevel="0" collapsed="false">
      <c r="A119" s="112" t="n">
        <f aca="false">[2]EnergyCurve!$D141</f>
        <v>40452</v>
      </c>
      <c r="B119" s="324" t="n">
        <f aca="false" t="array" ref="B119:B119">SUM(IF(MONTH(NymexData!$AI$12:$AI$250)&amp;YEAR(NymexData!$AI$12:$AI$250)=MONTH(A119)&amp;YEAR(A119),NymexData!$AJ$12:$AJ$250))</f>
        <v>-133.78548456</v>
      </c>
      <c r="C119" s="325" t="n">
        <f aca="false">BD119*BJ119*BI119</f>
        <v>0</v>
      </c>
      <c r="D119" s="326" t="n">
        <f aca="false">C119+B119</f>
        <v>-133.78548456</v>
      </c>
      <c r="E119" s="327" t="n">
        <f aca="false" t="array" ref="E119:E119">SUM(IF(MONTH(NymexData!$S$12:$S$250)&amp;YEAR(NymexData!$S$12:$S$250)=MONTH(A119)&amp;YEAR(A119),NymexData!$T$12:$T$250))</f>
        <v>4.3155</v>
      </c>
      <c r="F119" s="327" t="n">
        <f aca="false">G119-E119</f>
        <v>-0.032</v>
      </c>
      <c r="G119" s="328" t="n">
        <f aca="false" t="array" ref="G119:G119">IF(NymexData!$AA$12="",GasPosn!E119,SUM(IF(MONTH(NymexData!$AA$12:$AA$250)&amp;YEAR(NymexData!$AA$12:$AA$250)=MONTH(A119)&amp;YEAR(A119),NymexData!$AB$12:$AB$250)))</f>
        <v>4.2835</v>
      </c>
      <c r="H119" s="115" t="n">
        <f aca="false">B119*10000*F119</f>
        <v>42811.3550592</v>
      </c>
      <c r="I119" s="119" t="n">
        <f aca="false">(((G119-Q119)*P119+(G119-S119)*R119+(G119-U119)*T119+(G119-W119)*V119+(G119-Y119)*X119+(G119-AA119)*Z119+(G119-AC119)*AB119+(G119-AE119)*AD119+(G119-AG119)*AF119+(G119-AI119)*AH119+(G119-AK119)*AJ119+(G119-AM119)*AL119+(G119-AO119)*AN119+(G119-AQ119)*AP119+(G119-AS119)*AR119+(G119-AU119)*AT119+(G119-AW119)*AV119+(G119-AY119)*AX119+(G119-BA119)*AZ119+(G119-BC119)*BB119)*BJ119*BI119)*10000</f>
        <v>0</v>
      </c>
      <c r="J119" s="119" t="n">
        <f aca="false">H119+I119</f>
        <v>42811.3550592</v>
      </c>
      <c r="L119" s="329"/>
      <c r="O119" s="95" t="n">
        <f aca="false">A119</f>
        <v>40452</v>
      </c>
      <c r="BD119" s="100" t="n">
        <f aca="false">(P119+R119+T119+V119+X119+Z119+AB119+AD119+AF119+AH119+AJ119+AL119+AN119+AP119+AR119+AT119+AV119+AX119+AZ119+BB119)</f>
        <v>0</v>
      </c>
      <c r="BE119" s="322" t="n">
        <f aca="false">IF(AND(BD119=0,BH119=0),0,(ABS(P119)*Q119+ABS(R119)*S119+ABS(T119)*U119+ABS(V119)*W119+ABS(X119)*Y119+ABS(Z119)*AA119+ABS(AB119)*AC119+ABS(AD119)*AE119+ABS(AF119)*AG119+ABS(AH119)*AI119+ABS(AJ119)*AK119+ABS(AL119)*AM119+ABS(AN119)*AO119+ABS(AP119)*AQ119+ABS(AR119)*AS119+ABS(AT119)*AU119+ABS(AV119)*AW119+ABS(AX119)*AY119+ABS(AZ119)*BA119+ABS(BB119)*BC119)/BH119)</f>
        <v>0</v>
      </c>
      <c r="BG119" s="103" t="n">
        <f aca="false">O119</f>
        <v>40452</v>
      </c>
      <c r="BH119" s="323" t="n">
        <f aca="false">(ABS(P119)+ABS(R119)+ABS(T119)+ABS(V119)+ABS(X119)+ABS(Z119)+ABS(AB119)+ABS(AD119)+ABS(AF119)+ABS(AH119)+ABS(AJ119)+ABS(AL119)+ABS(AN119)+ABS(AP119)+ABS(AR119)+ABS(AT119)+ABS(AV119)+ABS(AX119)+ABS(AZ119)+ABS(BB119))</f>
        <v>0</v>
      </c>
      <c r="BI119" s="104" t="n">
        <f aca="false">VLOOKUP(GasPosn!A119,'Pricing Summary'!$AB$12:$AD$250,3)</f>
        <v>31</v>
      </c>
      <c r="BJ119" s="102" t="n">
        <f aca="false">VLOOKUP(A119,Interest!$AF$8:$AK$367,6)</f>
        <v>0.624273541768362</v>
      </c>
      <c r="BL119" s="0" t="n">
        <f aca="false">J119*VLOOKUP(A119,NymexData!$J$12:$K$244,2)</f>
        <v>68496.6936413773</v>
      </c>
      <c r="BO119" s="0" t="n">
        <f aca="false">Interest!AK115</f>
        <v>0.624273541768362</v>
      </c>
      <c r="BP119" s="0" t="n">
        <f aca="false">G119*Interest!AK115</f>
        <v>2.67407571616478</v>
      </c>
      <c r="BQ119" s="0" t="n">
        <f aca="false">IF(AND(A119&gt;=$B$3,A119&lt;=$B$4),1,0)</f>
        <v>1</v>
      </c>
      <c r="BR119" s="0" t="n">
        <f aca="false">BO119*BQ119</f>
        <v>0.624273541768362</v>
      </c>
      <c r="BS119" s="0" t="n">
        <f aca="false">BP119*BQ119</f>
        <v>2.67407571616478</v>
      </c>
    </row>
    <row r="120" customFormat="false" ht="18" hidden="false" customHeight="false" outlineLevel="0" collapsed="false">
      <c r="A120" s="75" t="n">
        <f aca="false">[2]EnergyCurve!$D142</f>
        <v>40483</v>
      </c>
      <c r="B120" s="317" t="n">
        <f aca="false" t="array" ref="B120:B120">SUM(IF(MONTH(NymexData!$AI$12:$AI$250)&amp;YEAR(NymexData!$AI$12:$AI$250)=MONTH(A120)&amp;YEAR(A120),NymexData!$AJ$12:$AJ$250))</f>
        <v>-128.6668026</v>
      </c>
      <c r="C120" s="317" t="n">
        <f aca="false">BD120*BJ120*BI120</f>
        <v>0</v>
      </c>
      <c r="D120" s="319" t="n">
        <f aca="false">C120+B120</f>
        <v>-128.6668026</v>
      </c>
      <c r="E120" s="320" t="n">
        <f aca="false" t="array" ref="E120:E120">SUM(IF(MONTH(NymexData!$S$12:$S$250)&amp;YEAR(NymexData!$S$12:$S$250)=MONTH(A120)&amp;YEAR(A120),NymexData!$T$12:$T$250))</f>
        <v>4.4635</v>
      </c>
      <c r="F120" s="320" t="n">
        <f aca="false">G120-E120</f>
        <v>-0.0309999999999997</v>
      </c>
      <c r="G120" s="321" t="n">
        <f aca="false" t="array" ref="G120:G120">IF(NymexData!$AA$12="",GasPosn!E120,SUM(IF(MONTH(NymexData!$AA$12:$AA$250)&amp;YEAR(NymexData!$AA$12:$AA$250)=MONTH(A120)&amp;YEAR(A120),NymexData!$AB$12:$AB$250)))</f>
        <v>4.4325</v>
      </c>
      <c r="H120" s="76" t="n">
        <f aca="false">B120*10000*F120</f>
        <v>39886.7088059996</v>
      </c>
      <c r="I120" s="82" t="n">
        <f aca="false">(((G120-Q120)*P120+(G120-S120)*R120+(G120-U120)*T120+(G120-W120)*V120+(G120-Y120)*X120+(G120-AA120)*Z120+(G120-AC120)*AB120+(G120-AE120)*AD120+(G120-AG120)*AF120+(G120-AI120)*AH120+(G120-AK120)*AJ120+(G120-AM120)*AL120+(G120-AO120)*AN120+(G120-AQ120)*AP120+(G120-AS120)*AR120+(G120-AU120)*AT120+(G120-AW120)*AV120+(G120-AY120)*AX120+(G120-BA120)*AZ120+(G120-BC120)*BB120)*BJ120*BI120)*10000</f>
        <v>0</v>
      </c>
      <c r="J120" s="82" t="n">
        <f aca="false">H120+I120</f>
        <v>39886.7088059996</v>
      </c>
      <c r="L120" s="329"/>
      <c r="O120" s="95" t="n">
        <f aca="false">A120</f>
        <v>40483</v>
      </c>
      <c r="BD120" s="100" t="n">
        <f aca="false">(P120+R120+T120+V120+X120+Z120+AB120+AD120+AF120+AH120+AJ120+AL120+AN120+AP120+AR120+AT120+AV120+AX120+AZ120+BB120)</f>
        <v>0</v>
      </c>
      <c r="BE120" s="322" t="n">
        <f aca="false">IF(AND(BD120=0,BH120=0),0,(ABS(P120)*Q120+ABS(R120)*S120+ABS(T120)*U120+ABS(V120)*W120+ABS(X120)*Y120+ABS(Z120)*AA120+ABS(AB120)*AC120+ABS(AD120)*AE120+ABS(AF120)*AG120+ABS(AH120)*AI120+ABS(AJ120)*AK120+ABS(AL120)*AM120+ABS(AN120)*AO120+ABS(AP120)*AQ120+ABS(AR120)*AS120+ABS(AT120)*AU120+ABS(AV120)*AW120+ABS(AX120)*AY120+ABS(AZ120)*BA120+ABS(BB120)*BC120)/BH120)</f>
        <v>0</v>
      </c>
      <c r="BG120" s="103" t="n">
        <f aca="false">O120</f>
        <v>40483</v>
      </c>
      <c r="BH120" s="323" t="n">
        <f aca="false">(ABS(P120)+ABS(R120)+ABS(T120)+ABS(V120)+ABS(X120)+ABS(Z120)+ABS(AB120)+ABS(AD120)+ABS(AF120)+ABS(AH120)+ABS(AJ120)+ABS(AL120)+ABS(AN120)+ABS(AP120)+ABS(AR120)+ABS(AT120)+ABS(AV120)+ABS(AX120)+ABS(AZ120)+ABS(BB120))</f>
        <v>0</v>
      </c>
      <c r="BI120" s="104" t="n">
        <f aca="false">VLOOKUP(GasPosn!A120,'Pricing Summary'!$AB$12:$AD$250,3)</f>
        <v>30</v>
      </c>
      <c r="BJ120" s="102" t="n">
        <f aca="false">VLOOKUP(A120,Interest!$AF$8:$AK$367,6)</f>
        <v>0.62100573594076</v>
      </c>
      <c r="BL120" s="0" t="n">
        <f aca="false">J120*VLOOKUP(A120,NymexData!$J$12:$K$244,2)</f>
        <v>63867.0459480649</v>
      </c>
      <c r="BO120" s="0" t="n">
        <f aca="false">Interest!AK116</f>
        <v>0.62100573594076</v>
      </c>
      <c r="BP120" s="0" t="n">
        <f aca="false">G120*Interest!AK116</f>
        <v>2.75260792455742</v>
      </c>
      <c r="BQ120" s="0" t="n">
        <f aca="false">IF(AND(A120&gt;=$B$3,A120&lt;=$B$4),1,0)</f>
        <v>1</v>
      </c>
      <c r="BR120" s="0" t="n">
        <f aca="false">BO120*BQ120</f>
        <v>0.62100573594076</v>
      </c>
      <c r="BS120" s="0" t="n">
        <f aca="false">BP120*BQ120</f>
        <v>2.75260792455742</v>
      </c>
    </row>
    <row r="121" customFormat="false" ht="18" hidden="false" customHeight="false" outlineLevel="0" collapsed="false">
      <c r="A121" s="112" t="n">
        <f aca="false">[2]EnergyCurve!$D143</f>
        <v>40513</v>
      </c>
      <c r="B121" s="324" t="n">
        <f aca="false" t="array" ref="B121:B121">SUM(IF(MONTH(NymexData!$AI$12:$AI$250)&amp;YEAR(NymexData!$AI$12:$AI$250)=MONTH(A121)&amp;YEAR(A121),NymexData!$AJ$12:$AJ$250))</f>
        <v>-132.15373934</v>
      </c>
      <c r="C121" s="325" t="n">
        <f aca="false">BD121*BJ121*BI121</f>
        <v>0</v>
      </c>
      <c r="D121" s="326" t="n">
        <f aca="false">C121+B121</f>
        <v>-132.15373934</v>
      </c>
      <c r="E121" s="327" t="n">
        <f aca="false" t="array" ref="E121:E121">SUM(IF(MONTH(NymexData!$S$12:$S$250)&amp;YEAR(NymexData!$S$12:$S$250)=MONTH(A121)&amp;YEAR(A121),NymexData!$T$12:$T$250))</f>
        <v>4.6155</v>
      </c>
      <c r="F121" s="327" t="n">
        <f aca="false">G121-E121</f>
        <v>-0.0309999999999997</v>
      </c>
      <c r="G121" s="328" t="n">
        <f aca="false" t="array" ref="G121:G121">IF(NymexData!$AA$12="",GasPosn!E121,SUM(IF(MONTH(NymexData!$AA$12:$AA$250)&amp;YEAR(NymexData!$AA$12:$AA$250)=MONTH(A121)&amp;YEAR(A121),NymexData!$AB$12:$AB$250)))</f>
        <v>4.5845</v>
      </c>
      <c r="H121" s="115" t="n">
        <f aca="false">B121*10000*F121</f>
        <v>40967.6591953996</v>
      </c>
      <c r="I121" s="119" t="n">
        <f aca="false">(((G121-Q121)*P121+(G121-S121)*R121+(G121-U121)*T121+(G121-W121)*V121+(G121-Y121)*X121+(G121-AA121)*Z121+(G121-AC121)*AB121+(G121-AE121)*AD121+(G121-AG121)*AF121+(G121-AI121)*AH121+(G121-AK121)*AJ121+(G121-AM121)*AL121+(G121-AO121)*AN121+(G121-AQ121)*AP121+(G121-AS121)*AR121+(G121-AU121)*AT121+(G121-AW121)*AV121+(G121-AY121)*AX121+(G121-BA121)*AZ121+(G121-BC121)*BB121)*BJ121*BI121)*10000</f>
        <v>0</v>
      </c>
      <c r="J121" s="119" t="n">
        <f aca="false">H121+I121</f>
        <v>40967.6591953996</v>
      </c>
      <c r="L121" s="329"/>
      <c r="O121" s="95" t="n">
        <f aca="false">A121</f>
        <v>40513</v>
      </c>
      <c r="BD121" s="100" t="n">
        <f aca="false">(P121+R121+T121+V121+X121+Z121+AB121+AD121+AF121+AH121+AJ121+AL121+AN121+AP121+AR121+AT121+AV121+AX121+AZ121+BB121)</f>
        <v>0</v>
      </c>
      <c r="BE121" s="322" t="n">
        <f aca="false">IF(AND(BD121=0,BH121=0),0,(ABS(P121)*Q121+ABS(R121)*S121+ABS(T121)*U121+ABS(V121)*W121+ABS(X121)*Y121+ABS(Z121)*AA121+ABS(AB121)*AC121+ABS(AD121)*AE121+ABS(AF121)*AG121+ABS(AH121)*AI121+ABS(AJ121)*AK121+ABS(AL121)*AM121+ABS(AN121)*AO121+ABS(AP121)*AQ121+ABS(AR121)*AS121+ABS(AT121)*AU121+ABS(AV121)*AW121+ABS(AX121)*AY121+ABS(AZ121)*BA121+ABS(BB121)*BC121)/BH121)</f>
        <v>0</v>
      </c>
      <c r="BG121" s="103" t="n">
        <f aca="false">O121</f>
        <v>40513</v>
      </c>
      <c r="BH121" s="323" t="n">
        <f aca="false">(ABS(P121)+ABS(R121)+ABS(T121)+ABS(V121)+ABS(X121)+ABS(Z121)+ABS(AB121)+ABS(AD121)+ABS(AF121)+ABS(AH121)+ABS(AJ121)+ABS(AL121)+ABS(AN121)+ABS(AP121)+ABS(AR121)+ABS(AT121)+ABS(AV121)+ABS(AX121)+ABS(AZ121)+ABS(BB121))</f>
        <v>0</v>
      </c>
      <c r="BI121" s="104" t="n">
        <f aca="false">VLOOKUP(GasPosn!A121,'Pricing Summary'!$AB$12:$AD$250,3)</f>
        <v>31</v>
      </c>
      <c r="BJ121" s="102" t="n">
        <f aca="false">VLOOKUP(A121,Interest!$AF$8:$AK$367,6)</f>
        <v>0.617675096775954</v>
      </c>
      <c r="BL121" s="0" t="n">
        <f aca="false">J121*VLOOKUP(A121,NymexData!$J$12:$K$244,2)</f>
        <v>65648.0197024269</v>
      </c>
      <c r="BO121" s="0" t="n">
        <f aca="false">Interest!AK117</f>
        <v>0.617675096775954</v>
      </c>
      <c r="BP121" s="0" t="n">
        <f aca="false">G121*Interest!AK117</f>
        <v>2.83173148116936</v>
      </c>
      <c r="BQ121" s="0" t="n">
        <f aca="false">IF(AND(A121&gt;=$B$3,A121&lt;=$B$4),1,0)</f>
        <v>1</v>
      </c>
      <c r="BR121" s="0" t="n">
        <f aca="false">BO121*BQ121</f>
        <v>0.617675096775954</v>
      </c>
      <c r="BS121" s="0" t="n">
        <f aca="false">BP121*BQ121</f>
        <v>2.83173148116936</v>
      </c>
    </row>
    <row r="122" customFormat="false" ht="18" hidden="false" customHeight="false" outlineLevel="0" collapsed="false">
      <c r="A122" s="75" t="n">
        <f aca="false">[2]EnergyCurve!$D144</f>
        <v>40544</v>
      </c>
      <c r="B122" s="317" t="n">
        <f aca="false" t="array" ref="B122:B122">SUM(IF(MONTH(NymexData!$AI$12:$AI$250)&amp;YEAR(NymexData!$AI$12:$AI$250)=MONTH(A122)&amp;YEAR(A122),NymexData!$AJ$12:$AJ$250))</f>
        <v>-44.08807926</v>
      </c>
      <c r="C122" s="317" t="n">
        <f aca="false">BD122*BJ122*BI122</f>
        <v>0</v>
      </c>
      <c r="D122" s="319" t="n">
        <f aca="false">C122+B122</f>
        <v>-44.08807926</v>
      </c>
      <c r="E122" s="320" t="n">
        <f aca="false" t="array" ref="E122:E122">SUM(IF(MONTH(NymexData!$S$12:$S$250)&amp;YEAR(NymexData!$S$12:$S$250)=MONTH(A122)&amp;YEAR(A122),NymexData!$T$12:$T$250))</f>
        <v>4.6855</v>
      </c>
      <c r="F122" s="320" t="n">
        <f aca="false">G122-E122</f>
        <v>-0.0259999999999998</v>
      </c>
      <c r="G122" s="321" t="n">
        <f aca="false" t="array" ref="G122:G122">IF(NymexData!$AA$12="",GasPosn!E122,SUM(IF(MONTH(NymexData!$AA$12:$AA$250)&amp;YEAR(NymexData!$AA$12:$AA$250)=MONTH(A122)&amp;YEAR(A122),NymexData!$AB$12:$AB$250)))</f>
        <v>4.6595</v>
      </c>
      <c r="H122" s="76" t="n">
        <f aca="false">B122*10000*F122</f>
        <v>11462.9006075999</v>
      </c>
      <c r="I122" s="82" t="n">
        <f aca="false">(((G122-Q122)*P122+(G122-S122)*R122+(G122-U122)*T122+(G122-W122)*V122+(G122-Y122)*X122+(G122-AA122)*Z122+(G122-AC122)*AB122+(G122-AE122)*AD122+(G122-AG122)*AF122+(G122-AI122)*AH122+(G122-AK122)*AJ122+(G122-AM122)*AL122+(G122-AO122)*AN122+(G122-AQ122)*AP122+(G122-AS122)*AR122+(G122-AU122)*AT122+(G122-AW122)*AV122+(G122-AY122)*AX122+(G122-BA122)*AZ122+(G122-BC122)*BB122)*BJ122*BI122)*10000</f>
        <v>0</v>
      </c>
      <c r="J122" s="82" t="n">
        <f aca="false">H122+I122</f>
        <v>11462.9006075999</v>
      </c>
      <c r="L122" s="329"/>
      <c r="O122" s="95" t="n">
        <f aca="false">A122</f>
        <v>40544</v>
      </c>
      <c r="BD122" s="100" t="n">
        <f aca="false">(P122+R122+T122+V122+X122+Z122+AB122+AD122+AF122+AH122+AJ122+AL122+AN122+AP122+AR122+AT122+AV122+AX122+AZ122+BB122)</f>
        <v>0</v>
      </c>
      <c r="BE122" s="322" t="n">
        <f aca="false">IF(AND(BD122=0,BH122=0),0,(ABS(P122)*Q122+ABS(R122)*S122+ABS(T122)*U122+ABS(V122)*W122+ABS(X122)*Y122+ABS(Z122)*AA122+ABS(AB122)*AC122+ABS(AD122)*AE122+ABS(AF122)*AG122+ABS(AH122)*AI122+ABS(AJ122)*AK122+ABS(AL122)*AM122+ABS(AN122)*AO122+ABS(AP122)*AQ122+ABS(AR122)*AS122+ABS(AT122)*AU122+ABS(AV122)*AW122+ABS(AX122)*AY122+ABS(AZ122)*BA122+ABS(BB122)*BC122)/BH122)</f>
        <v>0</v>
      </c>
      <c r="BG122" s="103" t="n">
        <f aca="false">O122</f>
        <v>40544</v>
      </c>
      <c r="BH122" s="323" t="n">
        <f aca="false">(ABS(P122)+ABS(R122)+ABS(T122)+ABS(V122)+ABS(X122)+ABS(Z122)+ABS(AB122)+ABS(AD122)+ABS(AF122)+ABS(AH122)+ABS(AJ122)+ABS(AL122)+ABS(AN122)+ABS(AP122)+ABS(AR122)+ABS(AT122)+ABS(AV122)+ABS(AX122)+ABS(AZ122)+ABS(BB122))</f>
        <v>0</v>
      </c>
      <c r="BI122" s="104" t="n">
        <f aca="false">VLOOKUP(GasPosn!A122,'Pricing Summary'!$AB$12:$AD$250,3)</f>
        <v>31</v>
      </c>
      <c r="BJ122" s="102" t="n">
        <f aca="false">VLOOKUP(A122,Interest!$AF$8:$AK$367,6)</f>
        <v>0.614332266576554</v>
      </c>
      <c r="BL122" s="0" t="n">
        <f aca="false">J122*VLOOKUP(A122,NymexData!$J$12:$K$244,2)</f>
        <v>18383.2732980146</v>
      </c>
      <c r="BO122" s="0" t="n">
        <f aca="false">Interest!AK118</f>
        <v>0.614332266576554</v>
      </c>
      <c r="BP122" s="0" t="n">
        <f aca="false">G122*Interest!AK118</f>
        <v>2.86248119611345</v>
      </c>
      <c r="BQ122" s="0" t="n">
        <f aca="false">IF(AND(A122&gt;=$B$3,A122&lt;=$B$4),1,0)</f>
        <v>0</v>
      </c>
      <c r="BR122" s="0" t="n">
        <f aca="false">BO122*BQ122</f>
        <v>0</v>
      </c>
      <c r="BS122" s="0" t="n">
        <f aca="false">BP122*BQ122</f>
        <v>0</v>
      </c>
    </row>
    <row r="123" customFormat="false" ht="18" hidden="false" customHeight="false" outlineLevel="0" collapsed="false">
      <c r="A123" s="112" t="n">
        <f aca="false">[2]EnergyCurve!$D145</f>
        <v>40575</v>
      </c>
      <c r="B123" s="324" t="n">
        <f aca="false" t="array" ref="B123:B123">SUM(IF(MONTH(NymexData!$AI$12:$AI$250)&amp;YEAR(NymexData!$AI$12:$AI$250)=MONTH(A123)&amp;YEAR(A123),NymexData!$AJ$12:$AJ$250))</f>
        <v>-39.57092292</v>
      </c>
      <c r="C123" s="325" t="n">
        <f aca="false">BD123*BJ123*BI123</f>
        <v>0</v>
      </c>
      <c r="D123" s="326" t="n">
        <f aca="false">C123+B123</f>
        <v>-39.57092292</v>
      </c>
      <c r="E123" s="327" t="n">
        <f aca="false" t="array" ref="E123:E123">SUM(IF(MONTH(NymexData!$S$12:$S$250)&amp;YEAR(NymexData!$S$12:$S$250)=MONTH(A123)&amp;YEAR(A123),NymexData!$T$12:$T$250))</f>
        <v>4.5985</v>
      </c>
      <c r="F123" s="327" t="n">
        <f aca="false">G123-E123</f>
        <v>-0.0270000000000001</v>
      </c>
      <c r="G123" s="328" t="n">
        <f aca="false" t="array" ref="G123:G123">IF(NymexData!$AA$12="",GasPosn!E123,SUM(IF(MONTH(NymexData!$AA$12:$AA$250)&amp;YEAR(NymexData!$AA$12:$AA$250)=MONTH(A123)&amp;YEAR(A123),NymexData!$AB$12:$AB$250)))</f>
        <v>4.5715</v>
      </c>
      <c r="H123" s="115" t="n">
        <f aca="false">B123*10000*F123</f>
        <v>10684.1491884001</v>
      </c>
      <c r="I123" s="119" t="n">
        <f aca="false">(((G123-Q123)*P123+(G123-S123)*R123+(G123-U123)*T123+(G123-W123)*V123+(G123-Y123)*X123+(G123-AA123)*Z123+(G123-AC123)*AB123+(G123-AE123)*AD123+(G123-AG123)*AF123+(G123-AI123)*AH123+(G123-AK123)*AJ123+(G123-AM123)*AL123+(G123-AO123)*AN123+(G123-AQ123)*AP123+(G123-AS123)*AR123+(G123-AU123)*AT123+(G123-AW123)*AV123+(G123-AY123)*AX123+(G123-BA123)*AZ123+(G123-BC123)*BB123)*BJ123*BI123)*10000</f>
        <v>0</v>
      </c>
      <c r="J123" s="119" t="n">
        <f aca="false">H123+I123</f>
        <v>10684.1491884001</v>
      </c>
      <c r="L123" s="329"/>
      <c r="O123" s="95" t="n">
        <f aca="false">A123</f>
        <v>40575</v>
      </c>
      <c r="BD123" s="100" t="n">
        <f aca="false">(P123+R123+T123+V123+X123+Z123+AB123+AD123+AF123+AH123+AJ123+AL123+AN123+AP123+AR123+AT123+AV123+AX123+AZ123+BB123)</f>
        <v>0</v>
      </c>
      <c r="BE123" s="322" t="n">
        <f aca="false">IF(AND(BD123=0,BH123=0),0,(ABS(P123)*Q123+ABS(R123)*S123+ABS(T123)*U123+ABS(V123)*W123+ABS(X123)*Y123+ABS(Z123)*AA123+ABS(AB123)*AC123+ABS(AD123)*AE123+ABS(AF123)*AG123+ABS(AH123)*AI123+ABS(AJ123)*AK123+ABS(AL123)*AM123+ABS(AN123)*AO123+ABS(AP123)*AQ123+ABS(AR123)*AS123+ABS(AT123)*AU123+ABS(AV123)*AW123+ABS(AX123)*AY123+ABS(AZ123)*BA123+ABS(BB123)*BC123)/BH123)</f>
        <v>0</v>
      </c>
      <c r="BG123" s="103" t="n">
        <f aca="false">O123</f>
        <v>40575</v>
      </c>
      <c r="BH123" s="323" t="n">
        <f aca="false">(ABS(P123)+ABS(R123)+ABS(T123)+ABS(V123)+ABS(X123)+ABS(Z123)+ABS(AB123)+ABS(AD123)+ABS(AF123)+ABS(AH123)+ABS(AJ123)+ABS(AL123)+ABS(AN123)+ABS(AP123)+ABS(AR123)+ABS(AT123)+ABS(AV123)+ABS(AX123)+ABS(AZ123)+ABS(BB123))</f>
        <v>0</v>
      </c>
      <c r="BI123" s="104" t="n">
        <f aca="false">VLOOKUP(GasPosn!A123,'Pricing Summary'!$AB$12:$AD$250,3)</f>
        <v>28</v>
      </c>
      <c r="BJ123" s="102" t="n">
        <f aca="false">VLOOKUP(A123,Interest!$AF$8:$AK$367,6)</f>
        <v>0.611260634826932</v>
      </c>
      <c r="BL123" s="0" t="n">
        <f aca="false">J123*VLOOKUP(A123,NymexData!$J$12:$K$244,2)</f>
        <v>17148.3010486199</v>
      </c>
      <c r="BO123" s="0" t="n">
        <f aca="false">Interest!AK119</f>
        <v>0.611260634826932</v>
      </c>
      <c r="BP123" s="0" t="n">
        <f aca="false">G123*Interest!AK119</f>
        <v>2.79437799211132</v>
      </c>
      <c r="BQ123" s="0" t="n">
        <f aca="false">IF(AND(A123&gt;=$B$3,A123&lt;=$B$4),1,0)</f>
        <v>0</v>
      </c>
      <c r="BR123" s="0" t="n">
        <f aca="false">BO123*BQ123</f>
        <v>0</v>
      </c>
      <c r="BS123" s="0" t="n">
        <f aca="false">BP123*BQ123</f>
        <v>0</v>
      </c>
    </row>
    <row r="124" customFormat="false" ht="18" hidden="false" customHeight="false" outlineLevel="0" collapsed="false">
      <c r="A124" s="75" t="n">
        <f aca="false">[2]EnergyCurve!$D146</f>
        <v>40603</v>
      </c>
      <c r="B124" s="317" t="n">
        <f aca="false" t="array" ref="B124:B124">SUM(IF(MONTH(NymexData!$AI$12:$AI$250)&amp;YEAR(NymexData!$AI$12:$AI$250)=MONTH(A124)&amp;YEAR(A124),NymexData!$AJ$12:$AJ$250))</f>
        <v>-43.56045626</v>
      </c>
      <c r="C124" s="317" t="n">
        <f aca="false">BD124*BJ124*BI124</f>
        <v>0</v>
      </c>
      <c r="D124" s="319" t="n">
        <f aca="false">C124+B124</f>
        <v>-43.56045626</v>
      </c>
      <c r="E124" s="320" t="n">
        <f aca="false" t="array" ref="E124:E124">SUM(IF(MONTH(NymexData!$S$12:$S$250)&amp;YEAR(NymexData!$S$12:$S$250)=MONTH(A124)&amp;YEAR(A124),NymexData!$T$12:$T$250))</f>
        <v>4.4595</v>
      </c>
      <c r="F124" s="320" t="n">
        <f aca="false">G124-E124</f>
        <v>-0.0270000000000001</v>
      </c>
      <c r="G124" s="321" t="n">
        <f aca="false" t="array" ref="G124:G124">IF(NymexData!$AA$12="",GasPosn!E124,SUM(IF(MONTH(NymexData!$AA$12:$AA$250)&amp;YEAR(NymexData!$AA$12:$AA$250)=MONTH(A124)&amp;YEAR(A124),NymexData!$AB$12:$AB$250)))</f>
        <v>4.4325</v>
      </c>
      <c r="H124" s="76" t="n">
        <f aca="false">B124*10000*F124</f>
        <v>11761.3231902001</v>
      </c>
      <c r="I124" s="82" t="n">
        <f aca="false">(((G124-Q124)*P124+(G124-S124)*R124+(G124-U124)*T124+(G124-W124)*V124+(G124-Y124)*X124+(G124-AA124)*Z124+(G124-AC124)*AB124+(G124-AE124)*AD124+(G124-AG124)*AF124+(G124-AI124)*AH124+(G124-AK124)*AJ124+(G124-AM124)*AL124+(G124-AO124)*AN124+(G124-AQ124)*AP124+(G124-AS124)*AR124+(G124-AU124)*AT124+(G124-AW124)*AV124+(G124-AY124)*AX124+(G124-BA124)*AZ124+(G124-BC124)*BB124)*BJ124*BI124)*10000</f>
        <v>0</v>
      </c>
      <c r="J124" s="82" t="n">
        <f aca="false">H124+I124</f>
        <v>11761.3231902001</v>
      </c>
      <c r="L124" s="329"/>
      <c r="O124" s="95" t="n">
        <f aca="false">A124</f>
        <v>40603</v>
      </c>
      <c r="BD124" s="100" t="n">
        <f aca="false">(P124+R124+T124+V124+X124+Z124+AB124+AD124+AF124+AH124+AJ124+AL124+AN124+AP124+AR124+AT124+AV124+AX124+AZ124+BB124)</f>
        <v>0</v>
      </c>
      <c r="BE124" s="322" t="n">
        <f aca="false">IF(AND(BD124=0,BH124=0),0,(ABS(P124)*Q124+ABS(R124)*S124+ABS(T124)*U124+ABS(V124)*W124+ABS(X124)*Y124+ABS(Z124)*AA124+ABS(AB124)*AC124+ABS(AD124)*AE124+ABS(AF124)*AG124+ABS(AH124)*AI124+ABS(AJ124)*AK124+ABS(AL124)*AM124+ABS(AN124)*AO124+ABS(AP124)*AQ124+ABS(AR124)*AS124+ABS(AT124)*AU124+ABS(AV124)*AW124+ABS(AX124)*AY124+ABS(AZ124)*BA124+ABS(BB124)*BC124)/BH124)</f>
        <v>0</v>
      </c>
      <c r="BG124" s="103" t="n">
        <f aca="false">O124</f>
        <v>40603</v>
      </c>
      <c r="BH124" s="323" t="n">
        <f aca="false">(ABS(P124)+ABS(R124)+ABS(T124)+ABS(V124)+ABS(X124)+ABS(Z124)+ABS(AB124)+ABS(AD124)+ABS(AF124)+ABS(AH124)+ABS(AJ124)+ABS(AL124)+ABS(AN124)+ABS(AP124)+ABS(AR124)+ABS(AT124)+ABS(AV124)+ABS(AX124)+ABS(AZ124)+ABS(BB124))</f>
        <v>0</v>
      </c>
      <c r="BI124" s="104" t="n">
        <f aca="false">VLOOKUP(GasPosn!A124,'Pricing Summary'!$AB$12:$AD$250,3)</f>
        <v>31</v>
      </c>
      <c r="BJ124" s="102" t="n">
        <f aca="false">VLOOKUP(A124,Interest!$AF$8:$AK$367,6)</f>
        <v>0.607989980718296</v>
      </c>
      <c r="BL124" s="0" t="n">
        <f aca="false">J124*VLOOKUP(A124,NymexData!$J$12:$K$244,2)</f>
        <v>18891.2341301214</v>
      </c>
      <c r="BO124" s="0" t="n">
        <f aca="false">Interest!AK120</f>
        <v>0.607989980718296</v>
      </c>
      <c r="BP124" s="0" t="n">
        <f aca="false">G124*Interest!AK120</f>
        <v>2.69491558953385</v>
      </c>
      <c r="BQ124" s="0" t="n">
        <f aca="false">IF(AND(A124&gt;=$B$3,A124&lt;=$B$4),1,0)</f>
        <v>0</v>
      </c>
      <c r="BR124" s="0" t="n">
        <f aca="false">BO124*BQ124</f>
        <v>0</v>
      </c>
      <c r="BS124" s="0" t="n">
        <f aca="false">BP124*BQ124</f>
        <v>0</v>
      </c>
    </row>
    <row r="125" customFormat="false" ht="18" hidden="false" customHeight="false" outlineLevel="0" collapsed="false">
      <c r="A125" s="112" t="n">
        <f aca="false">[2]EnergyCurve!$D147</f>
        <v>40634</v>
      </c>
      <c r="B125" s="324" t="n">
        <f aca="false" t="array" ref="B125:B125">SUM(IF(MONTH(NymexData!$AI$12:$AI$250)&amp;YEAR(NymexData!$AI$12:$AI$250)=MONTH(A125)&amp;YEAR(A125),NymexData!$AJ$12:$AJ$250))</f>
        <v>-41.88759795</v>
      </c>
      <c r="C125" s="325" t="n">
        <f aca="false">BD125*BJ125*BI125</f>
        <v>0</v>
      </c>
      <c r="D125" s="326" t="n">
        <f aca="false">C125+B125</f>
        <v>-41.88759795</v>
      </c>
      <c r="E125" s="327" t="n">
        <f aca="false" t="array" ref="E125:E125">SUM(IF(MONTH(NymexData!$S$12:$S$250)&amp;YEAR(NymexData!$S$12:$S$250)=MONTH(A125)&amp;YEAR(A125),NymexData!$T$12:$T$250))</f>
        <v>4.3055</v>
      </c>
      <c r="F125" s="327" t="n">
        <f aca="false">G125-E125</f>
        <v>-0.0270000000000001</v>
      </c>
      <c r="G125" s="328" t="n">
        <f aca="false" t="array" ref="G125:G125">IF(NymexData!$AA$12="",GasPosn!E125,SUM(IF(MONTH(NymexData!$AA$12:$AA$250)&amp;YEAR(NymexData!$AA$12:$AA$250)=MONTH(A125)&amp;YEAR(A125),NymexData!$AB$12:$AB$250)))</f>
        <v>4.2785</v>
      </c>
      <c r="H125" s="115" t="n">
        <f aca="false">B125*10000*F125</f>
        <v>11309.6514465001</v>
      </c>
      <c r="I125" s="119" t="n">
        <f aca="false">(((G125-Q125)*P125+(G125-S125)*R125+(G125-U125)*T125+(G125-W125)*V125+(G125-Y125)*X125+(G125-AA125)*Z125+(G125-AC125)*AB125+(G125-AE125)*AD125+(G125-AG125)*AF125+(G125-AI125)*AH125+(G125-AK125)*AJ125+(G125-AM125)*AL125+(G125-AO125)*AN125+(G125-AQ125)*AP125+(G125-AS125)*AR125+(G125-AU125)*AT125+(G125-AW125)*AV125+(G125-AY125)*AX125+(G125-BA125)*AZ125+(G125-BC125)*BB125)*BJ125*BI125)*10000</f>
        <v>0</v>
      </c>
      <c r="J125" s="119" t="n">
        <f aca="false">H125+I125</f>
        <v>11309.6514465001</v>
      </c>
      <c r="L125" s="329"/>
      <c r="O125" s="95" t="n">
        <f aca="false">A125</f>
        <v>40634</v>
      </c>
      <c r="BD125" s="100" t="n">
        <f aca="false">(P125+R125+T125+V125+X125+Z125+AB125+AD125+AF125+AH125+AJ125+AL125+AN125+AP125+AR125+AT125+AV125+AX125+AZ125+BB125)</f>
        <v>0</v>
      </c>
      <c r="BE125" s="322" t="n">
        <f aca="false">IF(AND(BD125=0,BH125=0),0,(ABS(P125)*Q125+ABS(R125)*S125+ABS(T125)*U125+ABS(V125)*W125+ABS(X125)*Y125+ABS(Z125)*AA125+ABS(AB125)*AC125+ABS(AD125)*AE125+ABS(AF125)*AG125+ABS(AH125)*AI125+ABS(AJ125)*AK125+ABS(AL125)*AM125+ABS(AN125)*AO125+ABS(AP125)*AQ125+ABS(AR125)*AS125+ABS(AT125)*AU125+ABS(AV125)*AW125+ABS(AX125)*AY125+ABS(AZ125)*BA125+ABS(BB125)*BC125)/BH125)</f>
        <v>0</v>
      </c>
      <c r="BG125" s="103" t="n">
        <f aca="false">O125</f>
        <v>40634</v>
      </c>
      <c r="BH125" s="323" t="n">
        <f aca="false">(ABS(P125)+ABS(R125)+ABS(T125)+ABS(V125)+ABS(X125)+ABS(Z125)+ABS(AB125)+ABS(AD125)+ABS(AF125)+ABS(AH125)+ABS(AJ125)+ABS(AL125)+ABS(AN125)+ABS(AP125)+ABS(AR125)+ABS(AT125)+ABS(AV125)+ABS(AX125)+ABS(AZ125)+ABS(BB125))</f>
        <v>0</v>
      </c>
      <c r="BI125" s="104" t="n">
        <f aca="false">VLOOKUP(GasPosn!A125,'Pricing Summary'!$AB$12:$AD$250,3)</f>
        <v>30</v>
      </c>
      <c r="BJ125" s="102" t="n">
        <f aca="false">VLOOKUP(A125,Interest!$AF$8:$AK$367,6)</f>
        <v>0.604755606241807</v>
      </c>
      <c r="BL125" s="0" t="n">
        <f aca="false">J125*VLOOKUP(A125,NymexData!$J$12:$K$244,2)</f>
        <v>18180.9143749013</v>
      </c>
      <c r="BO125" s="0" t="n">
        <f aca="false">Interest!AK121</f>
        <v>0.604755606241807</v>
      </c>
      <c r="BP125" s="0" t="n">
        <f aca="false">G125*Interest!AK121</f>
        <v>2.58744686130557</v>
      </c>
      <c r="BQ125" s="0" t="n">
        <f aca="false">IF(AND(A125&gt;=$B$3,A125&lt;=$B$4),1,0)</f>
        <v>0</v>
      </c>
      <c r="BR125" s="0" t="n">
        <f aca="false">BO125*BQ125</f>
        <v>0</v>
      </c>
      <c r="BS125" s="0" t="n">
        <f aca="false">BP125*BQ125</f>
        <v>0</v>
      </c>
    </row>
    <row r="126" customFormat="false" ht="18" hidden="false" customHeight="false" outlineLevel="0" collapsed="false">
      <c r="A126" s="75" t="n">
        <f aca="false">[2]EnergyCurve!$D148</f>
        <v>40664</v>
      </c>
      <c r="B126" s="317" t="n">
        <f aca="false" t="array" ref="B126:B126">SUM(IF(MONTH(NymexData!$AI$12:$AI$250)&amp;YEAR(NymexData!$AI$12:$AI$250)=MONTH(A126)&amp;YEAR(A126),NymexData!$AJ$12:$AJ$250))</f>
        <v>-43.01659352</v>
      </c>
      <c r="C126" s="317" t="n">
        <f aca="false">BD126*BJ126*BI126</f>
        <v>0</v>
      </c>
      <c r="D126" s="319" t="n">
        <f aca="false">C126+B126</f>
        <v>-43.01659352</v>
      </c>
      <c r="E126" s="320" t="n">
        <f aca="false" t="array" ref="E126:E126">SUM(IF(MONTH(NymexData!$S$12:$S$250)&amp;YEAR(NymexData!$S$12:$S$250)=MONTH(A126)&amp;YEAR(A126),NymexData!$T$12:$T$250))</f>
        <v>4.3105</v>
      </c>
      <c r="F126" s="320" t="n">
        <f aca="false">G126-E126</f>
        <v>-0.0270000000000001</v>
      </c>
      <c r="G126" s="321" t="n">
        <f aca="false" t="array" ref="G126:G126">IF(NymexData!$AA$12="",GasPosn!E126,SUM(IF(MONTH(NymexData!$AA$12:$AA$250)&amp;YEAR(NymexData!$AA$12:$AA$250)=MONTH(A126)&amp;YEAR(A126),NymexData!$AB$12:$AB$250)))</f>
        <v>4.2835</v>
      </c>
      <c r="H126" s="76" t="n">
        <f aca="false">B126*10000*F126</f>
        <v>11614.4802504001</v>
      </c>
      <c r="I126" s="82" t="n">
        <f aca="false">(((G126-Q126)*P126+(G126-S126)*R126+(G126-U126)*T126+(G126-W126)*V126+(G126-Y126)*X126+(G126-AA126)*Z126+(G126-AC126)*AB126+(G126-AE126)*AD126+(G126-AG126)*AF126+(G126-AI126)*AH126+(G126-AK126)*AJ126+(G126-AM126)*AL126+(G126-AO126)*AN126+(G126-AQ126)*AP126+(G126-AS126)*AR126+(G126-AU126)*AT126+(G126-AW126)*AV126+(G126-AY126)*AX126+(G126-BA126)*AZ126+(G126-BC126)*BB126)*BJ126*BI126)*10000</f>
        <v>0</v>
      </c>
      <c r="J126" s="82" t="n">
        <f aca="false">H126+I126</f>
        <v>11614.4802504001</v>
      </c>
      <c r="L126" s="329"/>
      <c r="O126" s="95" t="n">
        <f aca="false">A126</f>
        <v>40664</v>
      </c>
      <c r="BD126" s="100" t="n">
        <f aca="false">(P126+R126+T126+V126+X126+Z126+AB126+AD126+AF126+AH126+AJ126+AL126+AN126+AP126+AR126+AT126+AV126+AX126+AZ126+BB126)</f>
        <v>0</v>
      </c>
      <c r="BE126" s="322" t="n">
        <f aca="false">IF(AND(BD126=0,BH126=0),0,(ABS(P126)*Q126+ABS(R126)*S126+ABS(T126)*U126+ABS(V126)*W126+ABS(X126)*Y126+ABS(Z126)*AA126+ABS(AB126)*AC126+ABS(AD126)*AE126+ABS(AF126)*AG126+ABS(AH126)*AI126+ABS(AJ126)*AK126+ABS(AL126)*AM126+ABS(AN126)*AO126+ABS(AP126)*AQ126+ABS(AR126)*AS126+ABS(AT126)*AU126+ABS(AV126)*AW126+ABS(AX126)*AY126+ABS(AZ126)*BA126+ABS(BB126)*BC126)/BH126)</f>
        <v>0</v>
      </c>
      <c r="BG126" s="103" t="n">
        <f aca="false">O126</f>
        <v>40664</v>
      </c>
      <c r="BH126" s="323" t="n">
        <f aca="false">(ABS(P126)+ABS(R126)+ABS(T126)+ABS(V126)+ABS(X126)+ABS(Z126)+ABS(AB126)+ABS(AD126)+ABS(AF126)+ABS(AH126)+ABS(AJ126)+ABS(AL126)+ABS(AN126)+ABS(AP126)+ABS(AR126)+ABS(AT126)+ABS(AV126)+ABS(AX126)+ABS(AZ126)+ABS(BB126))</f>
        <v>0</v>
      </c>
      <c r="BI126" s="104" t="n">
        <f aca="false">VLOOKUP(GasPosn!A126,'Pricing Summary'!$AB$12:$AD$250,3)</f>
        <v>31</v>
      </c>
      <c r="BJ126" s="102" t="n">
        <f aca="false">VLOOKUP(A126,Interest!$AF$8:$AK$367,6)</f>
        <v>0.601460596591941</v>
      </c>
      <c r="BL126" s="0" t="n">
        <f aca="false">J126*VLOOKUP(A126,NymexData!$J$12:$K$244,2)</f>
        <v>18686.2306663339</v>
      </c>
      <c r="BO126" s="0" t="n">
        <f aca="false">Interest!AK122</f>
        <v>0.601460596591941</v>
      </c>
      <c r="BP126" s="0" t="n">
        <f aca="false">G126*Interest!AK122</f>
        <v>2.57635646550158</v>
      </c>
      <c r="BQ126" s="0" t="n">
        <f aca="false">IF(AND(A126&gt;=$B$3,A126&lt;=$B$4),1,0)</f>
        <v>0</v>
      </c>
      <c r="BR126" s="0" t="n">
        <f aca="false">BO126*BQ126</f>
        <v>0</v>
      </c>
      <c r="BS126" s="0" t="n">
        <f aca="false">BP126*BQ126</f>
        <v>0</v>
      </c>
    </row>
    <row r="127" customFormat="false" ht="18" hidden="false" customHeight="false" outlineLevel="0" collapsed="false">
      <c r="A127" s="112" t="n">
        <f aca="false">[2]EnergyCurve!$D149</f>
        <v>40695</v>
      </c>
      <c r="B127" s="324" t="n">
        <f aca="false" t="array" ref="B127:B127">SUM(IF(MONTH(NymexData!$AI$12:$AI$250)&amp;YEAR(NymexData!$AI$12:$AI$250)=MONTH(A127)&amp;YEAR(A127),NymexData!$AJ$12:$AJ$250))</f>
        <v>-41.36214163</v>
      </c>
      <c r="C127" s="325" t="n">
        <f aca="false">BD127*BJ127*BI127</f>
        <v>0</v>
      </c>
      <c r="D127" s="326" t="n">
        <f aca="false">C127+B127</f>
        <v>-41.36214163</v>
      </c>
      <c r="E127" s="327" t="n">
        <f aca="false" t="array" ref="E127:E127">SUM(IF(MONTH(NymexData!$S$12:$S$250)&amp;YEAR(NymexData!$S$12:$S$250)=MONTH(A127)&amp;YEAR(A127),NymexData!$T$12:$T$250))</f>
        <v>4.3485</v>
      </c>
      <c r="F127" s="327" t="n">
        <f aca="false">G127-E127</f>
        <v>-0.0270000000000001</v>
      </c>
      <c r="G127" s="328" t="n">
        <f aca="false" t="array" ref="G127:G127">IF(NymexData!$AA$12="",GasPosn!E127,SUM(IF(MONTH(NymexData!$AA$12:$AA$250)&amp;YEAR(NymexData!$AA$12:$AA$250)=MONTH(A127)&amp;YEAR(A127),NymexData!$AB$12:$AB$250)))</f>
        <v>4.3215</v>
      </c>
      <c r="H127" s="115" t="n">
        <f aca="false">B127*10000*F127</f>
        <v>11167.7782401001</v>
      </c>
      <c r="I127" s="119" t="n">
        <f aca="false">(((G127-Q127)*P127+(G127-S127)*R127+(G127-U127)*T127+(G127-W127)*V127+(G127-Y127)*X127+(G127-AA127)*Z127+(G127-AC127)*AB127+(G127-AE127)*AD127+(G127-AG127)*AF127+(G127-AI127)*AH127+(G127-AK127)*AJ127+(G127-AM127)*AL127+(G127-AO127)*AN127+(G127-AQ127)*AP127+(G127-AS127)*AR127+(G127-AU127)*AT127+(G127-AW127)*AV127+(G127-AY127)*AX127+(G127-BA127)*AZ127+(G127-BC127)*BB127)*BJ127*BI127)*10000</f>
        <v>0</v>
      </c>
      <c r="J127" s="119" t="n">
        <f aca="false">H127+I127</f>
        <v>11167.7782401001</v>
      </c>
      <c r="O127" s="95" t="n">
        <f aca="false">A127</f>
        <v>40695</v>
      </c>
      <c r="BD127" s="100" t="n">
        <f aca="false">(P127+R127+T127+V127+X127+Z127+AB127+AD127+AF127+AH127+AJ127+AL127+AN127+AP127+AR127+AT127+AV127+AX127+AZ127+BB127)</f>
        <v>0</v>
      </c>
      <c r="BE127" s="322" t="n">
        <f aca="false">IF(AND(BD127=0,BH127=0),0,(ABS(P127)*Q127+ABS(R127)*S127+ABS(T127)*U127+ABS(V127)*W127+ABS(X127)*Y127+ABS(Z127)*AA127+ABS(AB127)*AC127+ABS(AD127)*AE127+ABS(AF127)*AG127+ABS(AH127)*AI127+ABS(AJ127)*AK127+ABS(AL127)*AM127+ABS(AN127)*AO127+ABS(AP127)*AQ127+ABS(AR127)*AS127+ABS(AT127)*AU127+ABS(AV127)*AW127+ABS(AX127)*AY127+ABS(AZ127)*BA127+ABS(BB127)*BC127)/BH127)</f>
        <v>0</v>
      </c>
      <c r="BG127" s="103" t="n">
        <f aca="false">O127</f>
        <v>40695</v>
      </c>
      <c r="BH127" s="323" t="n">
        <f aca="false">(ABS(P127)+ABS(R127)+ABS(T127)+ABS(V127)+ABS(X127)+ABS(Z127)+ABS(AB127)+ABS(AD127)+ABS(AF127)+ABS(AH127)+ABS(AJ127)+ABS(AL127)+ABS(AN127)+ABS(AP127)+ABS(AR127)+ABS(AT127)+ABS(AV127)+ABS(AX127)+ABS(AZ127)+ABS(BB127))</f>
        <v>0</v>
      </c>
      <c r="BI127" s="104" t="n">
        <f aca="false">VLOOKUP(GasPosn!A127,'Pricing Summary'!$AB$12:$AD$250,3)</f>
        <v>30</v>
      </c>
      <c r="BJ127" s="102" t="n">
        <f aca="false">VLOOKUP(A127,Interest!$AF$8:$AK$367,6)</f>
        <v>0.598240260334776</v>
      </c>
      <c r="BL127" s="0" t="n">
        <f aca="false">J127*VLOOKUP(A127,NymexData!$J$12:$K$244,2)</f>
        <v>17982.9483257749</v>
      </c>
      <c r="BO127" s="0" t="n">
        <f aca="false">Interest!AK123</f>
        <v>0.598240260334776</v>
      </c>
      <c r="BP127" s="0" t="n">
        <f aca="false">G127*Interest!AK123</f>
        <v>2.58529528503674</v>
      </c>
      <c r="BQ127" s="0" t="n">
        <f aca="false">IF(AND(A127&gt;=$B$3,A127&lt;=$B$4),1,0)</f>
        <v>0</v>
      </c>
      <c r="BR127" s="0" t="n">
        <f aca="false">BO127*BQ127</f>
        <v>0</v>
      </c>
      <c r="BS127" s="0" t="n">
        <f aca="false">BP127*BQ127</f>
        <v>0</v>
      </c>
    </row>
    <row r="128" customFormat="false" ht="18.75" hidden="false" customHeight="false" outlineLevel="0" collapsed="false">
      <c r="A128" s="302" t="n">
        <f aca="false">[2]EnergyCurve!$D150</f>
        <v>40725</v>
      </c>
      <c r="B128" s="330" t="n">
        <f aca="false" t="array" ref="B128:B128">SUM(IF(MONTH(NymexData!$AI$12:$AI$250)&amp;YEAR(NymexData!$AI$12:$AI$250)=MONTH(A128)&amp;YEAR(A128),NymexData!$AJ$12:$AJ$250))</f>
        <v>-42.47451072</v>
      </c>
      <c r="C128" s="330" t="n">
        <f aca="false">BD128*BJ128*BI128</f>
        <v>0</v>
      </c>
      <c r="D128" s="331" t="n">
        <f aca="false">C128+B128</f>
        <v>-42.47451072</v>
      </c>
      <c r="E128" s="332" t="n">
        <f aca="false" t="array" ref="E128:E128">SUM(IF(MONTH(NymexData!$S$12:$S$250)&amp;YEAR(NymexData!$S$12:$S$250)=MONTH(A128)&amp;YEAR(A128),NymexData!$T$12:$T$250))</f>
        <v>4.3935</v>
      </c>
      <c r="F128" s="332" t="n">
        <f aca="false">G128-E128</f>
        <v>-0.0270000000000001</v>
      </c>
      <c r="G128" s="333" t="n">
        <f aca="false" t="array" ref="G128:G128">IF(NymexData!$AA$12="",GasPosn!E128,SUM(IF(MONTH(NymexData!$AA$12:$AA$250)&amp;YEAR(NymexData!$AA$12:$AA$250)=MONTH(A128)&amp;YEAR(A128),NymexData!$AB$12:$AB$250)))</f>
        <v>4.3665</v>
      </c>
      <c r="H128" s="334" t="n">
        <f aca="false">B128*10000*F128</f>
        <v>11468.1178944001</v>
      </c>
      <c r="I128" s="335" t="n">
        <f aca="false">(((G128-Q128)*P128+(G128-S128)*R128+(G128-U128)*T128+(G128-W128)*V128+(G128-Y128)*X128+(G128-AA128)*Z128+(G128-AC128)*AB128+(G128-AE128)*AD128+(G128-AG128)*AF128+(G128-AI128)*AH128+(G128-AK128)*AJ128+(G128-AM128)*AL128+(G128-AO128)*AN128+(G128-AQ128)*AP128+(G128-AS128)*AR128+(G128-AU128)*AT128+(G128-AW128)*AV128+(G128-AY128)*AX128+(G128-BA128)*AZ128+(G128-BC128)*BB128)*BJ128*BI128)*10000</f>
        <v>0</v>
      </c>
      <c r="J128" s="335" t="n">
        <f aca="false">H128+I128</f>
        <v>11468.1178944001</v>
      </c>
      <c r="O128" s="95" t="n">
        <f aca="false">A128</f>
        <v>40725</v>
      </c>
      <c r="BD128" s="100" t="n">
        <f aca="false">(P128+R128+T128+V128+X128+Z128+AB128+AD128+AF128+AH128+AJ128+AL128+AN128+AP128+AR128+AT128+AV128+AX128+AZ128+BB128)</f>
        <v>0</v>
      </c>
      <c r="BE128" s="322" t="n">
        <f aca="false">IF(AND(BD128=0,BH128=0),0,(ABS(P128)*Q128+ABS(R128)*S128+ABS(T128)*U128+ABS(V128)*W128+ABS(X128)*Y128+ABS(Z128)*AA128+ABS(AB128)*AC128+ABS(AD128)*AE128+ABS(AF128)*AG128+ABS(AH128)*AI128+ABS(AJ128)*AK128+ABS(AL128)*AM128+ABS(AN128)*AO128+ABS(AP128)*AQ128+ABS(AR128)*AS128+ABS(AT128)*AU128+ABS(AV128)*AW128+ABS(AX128)*AY128+ABS(AZ128)*BA128+ABS(BB128)*BC128)/BH128)</f>
        <v>0</v>
      </c>
      <c r="BG128" s="103" t="n">
        <f aca="false">O128</f>
        <v>40725</v>
      </c>
      <c r="BH128" s="323" t="n">
        <f aca="false">(ABS(P128)+ABS(R128)+ABS(T128)+ABS(V128)+ABS(X128)+ABS(Z128)+ABS(AB128)+ABS(AD128)+ABS(AF128)+ABS(AH128)+ABS(AJ128)+ABS(AL128)+ABS(AN128)+ABS(AP128)+ABS(AR128)+ABS(AT128)+ABS(AV128)+ABS(AX128)+ABS(AZ128)+ABS(BB128))</f>
        <v>0</v>
      </c>
      <c r="BI128" s="104" t="n">
        <f aca="false">VLOOKUP(GasPosn!A128,'Pricing Summary'!$AB$12:$AD$250,3)</f>
        <v>31</v>
      </c>
      <c r="BJ128" s="102" t="n">
        <f aca="false">VLOOKUP(A128,Interest!$AF$8:$AK$367,6)</f>
        <v>0.594960165906545</v>
      </c>
      <c r="BL128" s="0" t="n">
        <f aca="false">J128*VLOOKUP(A128,NymexData!$J$12:$K$244,2)</f>
        <v>18482.0952403793</v>
      </c>
      <c r="BO128" s="0" t="n">
        <f aca="false">Interest!AK124</f>
        <v>0.594960165906545</v>
      </c>
      <c r="BP128" s="0" t="n">
        <f aca="false">G128*Interest!AK124</f>
        <v>2.59789356443093</v>
      </c>
      <c r="BQ128" s="0" t="n">
        <f aca="false">IF(AND(A128&gt;=$B$3,A128&lt;=$B$4),1,0)</f>
        <v>0</v>
      </c>
      <c r="BR128" s="0" t="n">
        <f aca="false">BO128*BQ128</f>
        <v>0</v>
      </c>
      <c r="BS128" s="0" t="n">
        <f aca="false">BP128*BQ128</f>
        <v>0</v>
      </c>
    </row>
    <row r="129" customFormat="false" ht="18" hidden="false" customHeight="false" outlineLevel="0" collapsed="false">
      <c r="A129" s="112" t="n">
        <f aca="false">[2]EnergyCurve!$D151</f>
        <v>40756</v>
      </c>
      <c r="B129" s="324" t="n">
        <f aca="false" t="array" ref="B129:B129">SUM(IF(MONTH(NymexData!$AI$12:$AI$250)&amp;YEAR(NymexData!$AI$12:$AI$250)=MONTH(A129)&amp;YEAR(A129),NymexData!$AJ$12:$AJ$250))</f>
        <v>-42.19974217</v>
      </c>
      <c r="C129" s="325" t="n">
        <f aca="false">BD129*BJ129*BI129</f>
        <v>0</v>
      </c>
      <c r="D129" s="326" t="n">
        <f aca="false">C129+B129</f>
        <v>-42.19974217</v>
      </c>
      <c r="E129" s="327" t="n">
        <f aca="false" t="array" ref="E129:E129">SUM(IF(MONTH(NymexData!$S$12:$S$250)&amp;YEAR(NymexData!$S$12:$S$250)=MONTH(A129)&amp;YEAR(A129),NymexData!$T$12:$T$250))</f>
        <v>4.4315</v>
      </c>
      <c r="F129" s="327" t="n">
        <f aca="false">G129-E129</f>
        <v>-0.0269999999999992</v>
      </c>
      <c r="G129" s="328" t="n">
        <f aca="false" t="array" ref="G129:G129">IF(NymexData!$AA$12="",GasPosn!E129,SUM(IF(MONTH(NymexData!$AA$12:$AA$250)&amp;YEAR(NymexData!$AA$12:$AA$250)=MONTH(A129)&amp;YEAR(A129),NymexData!$AB$12:$AB$250)))</f>
        <v>4.4045</v>
      </c>
      <c r="H129" s="115" t="n">
        <f aca="false">B129*10000*F129</f>
        <v>11393.9303858997</v>
      </c>
      <c r="I129" s="119" t="n">
        <f aca="false">(((G129-Q129)*P129+(G129-S129)*R129+(G129-U129)*T129+(G129-W129)*V129+(G129-Y129)*X129+(G129-AA129)*Z129+(G129-AC129)*AB129+(G129-AE129)*AD129+(G129-AG129)*AF129+(G129-AI129)*AH129+(G129-AK129)*AJ129+(G129-AM129)*AL129+(G129-AO129)*AN129+(G129-AQ129)*AP129+(G129-AS129)*AR129+(G129-AU129)*AT129+(G129-AW129)*AV129+(G129-AY129)*AX129+(G129-BA129)*AZ129+(G129-BC129)*BB129)*BJ129*BI129)*10000</f>
        <v>0</v>
      </c>
      <c r="J129" s="119" t="n">
        <f aca="false">H129+I129</f>
        <v>11393.9303858997</v>
      </c>
      <c r="O129" s="95" t="n">
        <f aca="false">A129</f>
        <v>40756</v>
      </c>
      <c r="BD129" s="100" t="n">
        <f aca="false">(P129+R129+T129+V129+X129+Z129+AB129+AD129+AF129+AH129+AJ129+AL129+AN129+AP129+AR129+AT129+AV129+AX129+AZ129+BB129)</f>
        <v>0</v>
      </c>
      <c r="BE129" s="322" t="n">
        <f aca="false">IF(AND(BD129=0,BH129=0),0,(ABS(P129)*Q129+ABS(R129)*S129+ABS(T129)*U129+ABS(V129)*W129+ABS(X129)*Y129+ABS(Z129)*AA129+ABS(AB129)*AC129+ABS(AD129)*AE129+ABS(AF129)*AG129+ABS(AH129)*AI129+ABS(AJ129)*AK129+ABS(AL129)*AM129+ABS(AN129)*AO129+ABS(AP129)*AQ129+ABS(AR129)*AS129+ABS(AT129)*AU129+ABS(AV129)*AW129+ABS(AX129)*AY129+ABS(AZ129)*BA129+ABS(BB129)*BC129)/BH129)</f>
        <v>0</v>
      </c>
      <c r="BG129" s="103" t="n">
        <f aca="false">O129</f>
        <v>40756</v>
      </c>
      <c r="BH129" s="323" t="n">
        <f aca="false">(ABS(P129)+ABS(R129)+ABS(T129)+ABS(V129)+ABS(X129)+ABS(Z129)+ABS(AB129)+ABS(AD129)+ABS(AF129)+ABS(AH129)+ABS(AJ129)+ABS(AL129)+ABS(AN129)+ABS(AP129)+ABS(AR129)+ABS(AT129)+ABS(AV129)+ABS(AX129)+ABS(AZ129)+ABS(BB129))</f>
        <v>0</v>
      </c>
      <c r="BI129" s="104" t="n">
        <f aca="false">VLOOKUP(GasPosn!A129,'Pricing Summary'!$AB$12:$AD$250,3)</f>
        <v>31</v>
      </c>
      <c r="BJ129" s="102" t="n">
        <f aca="false">VLOOKUP(A129,Interest!$AF$8:$AK$367,6)</f>
        <v>0.591667953101075</v>
      </c>
      <c r="BL129" s="0" t="n">
        <f aca="false">J129*VLOOKUP(A129,NymexData!$J$12:$K$244,2)</f>
        <v>18378.6935451817</v>
      </c>
      <c r="BO129" s="0" t="n">
        <f aca="false">Interest!AK125</f>
        <v>0.591667953101075</v>
      </c>
      <c r="BP129" s="0" t="n">
        <f aca="false">G129*Interest!AK125</f>
        <v>2.60600149943368</v>
      </c>
      <c r="BQ129" s="0" t="n">
        <f aca="false">IF(AND(A129&gt;=$B$3,A129&lt;=$B$4),1,0)</f>
        <v>0</v>
      </c>
      <c r="BR129" s="0" t="n">
        <f aca="false">BO129*BQ129</f>
        <v>0</v>
      </c>
      <c r="BS129" s="0" t="n">
        <f aca="false">BP129*BQ129</f>
        <v>0</v>
      </c>
    </row>
    <row r="130" customFormat="false" ht="18" hidden="false" customHeight="false" outlineLevel="0" collapsed="false">
      <c r="A130" s="75" t="n">
        <f aca="false">[2]EnergyCurve!$D152</f>
        <v>40787</v>
      </c>
      <c r="B130" s="317" t="n">
        <f aca="false" t="array" ref="B130:B130">SUM(IF(MONTH(NymexData!$AI$12:$AI$250)&amp;YEAR(NymexData!$AI$12:$AI$250)=MONTH(A130)&amp;YEAR(A130),NymexData!$AJ$12:$AJ$250))</f>
        <v>-40.57303978</v>
      </c>
      <c r="C130" s="317" t="n">
        <f aca="false">BD130*BJ130*BI130</f>
        <v>0</v>
      </c>
      <c r="D130" s="319" t="n">
        <f aca="false">C130+B130</f>
        <v>-40.57303978</v>
      </c>
      <c r="E130" s="320" t="n">
        <f aca="false" t="array" ref="E130:E130">SUM(IF(MONTH(NymexData!$S$12:$S$250)&amp;YEAR(NymexData!$S$12:$S$250)=MONTH(A130)&amp;YEAR(A130),NymexData!$T$12:$T$250))</f>
        <v>4.4255</v>
      </c>
      <c r="F130" s="320" t="n">
        <f aca="false">G130-E130</f>
        <v>-0.0270000000000001</v>
      </c>
      <c r="G130" s="321" t="n">
        <f aca="false" t="array" ref="G130:G130">IF(NymexData!$AA$12="",GasPosn!E130,SUM(IF(MONTH(NymexData!$AA$12:$AA$250)&amp;YEAR(NymexData!$AA$12:$AA$250)=MONTH(A130)&amp;YEAR(A130),NymexData!$AB$12:$AB$250)))</f>
        <v>4.3985</v>
      </c>
      <c r="H130" s="76" t="n">
        <f aca="false">B130*10000*F130</f>
        <v>10954.7207406001</v>
      </c>
      <c r="I130" s="82" t="n">
        <f aca="false">(((G130-Q130)*P130+(G130-S130)*R130+(G130-U130)*T130+(G130-W130)*V130+(G130-Y130)*X130+(G130-AA130)*Z130+(G130-AC130)*AB130+(G130-AE130)*AD130+(G130-AG130)*AF130+(G130-AI130)*AH130+(G130-AK130)*AJ130+(G130-AM130)*AL130+(G130-AO130)*AN130+(G130-AQ130)*AP130+(G130-AS130)*AR130+(G130-AU130)*AT130+(G130-AW130)*AV130+(G130-AY130)*AX130+(G130-BA130)*AZ130+(G130-BC130)*BB130)*BJ130*BI130)*10000</f>
        <v>0</v>
      </c>
      <c r="J130" s="82" t="n">
        <f aca="false">H130+I130</f>
        <v>10954.7207406001</v>
      </c>
      <c r="O130" s="95" t="n">
        <f aca="false">A130</f>
        <v>40787</v>
      </c>
      <c r="BD130" s="100" t="n">
        <f aca="false">(P130+R130+T130+V130+X130+Z130+AB130+AD130+AF130+AH130+AJ130+AL130+AN130+AP130+AR130+AT130+AV130+AX130+AZ130+BB130)</f>
        <v>0</v>
      </c>
      <c r="BE130" s="322" t="n">
        <f aca="false">IF(AND(BD130=0,BH130=0),0,(ABS(P130)*Q130+ABS(R130)*S130+ABS(T130)*U130+ABS(V130)*W130+ABS(X130)*Y130+ABS(Z130)*AA130+ABS(AB130)*AC130+ABS(AD130)*AE130+ABS(AF130)*AG130+ABS(AH130)*AI130+ABS(AJ130)*AK130+ABS(AL130)*AM130+ABS(AN130)*AO130+ABS(AP130)*AQ130+ABS(AR130)*AS130+ABS(AT130)*AU130+ABS(AV130)*AW130+ABS(AX130)*AY130+ABS(AZ130)*BA130+ABS(BB130)*BC130)/BH130)</f>
        <v>0</v>
      </c>
      <c r="BG130" s="103" t="n">
        <f aca="false">O130</f>
        <v>40787</v>
      </c>
      <c r="BH130" s="323" t="n">
        <f aca="false">(ABS(P130)+ABS(R130)+ABS(T130)+ABS(V130)+ABS(X130)+ABS(Z130)+ABS(AB130)+ABS(AD130)+ABS(AF130)+ABS(AH130)+ABS(AJ130)+ABS(AL130)+ABS(AN130)+ABS(AP130)+ABS(AR130)+ABS(AT130)+ABS(AV130)+ABS(AX130)+ABS(AZ130)+ABS(BB130))</f>
        <v>0</v>
      </c>
      <c r="BI130" s="104" t="n">
        <f aca="false">VLOOKUP(GasPosn!A130,'Pricing Summary'!$AB$12:$AD$250,3)</f>
        <v>30</v>
      </c>
      <c r="BJ130" s="102" t="n">
        <f aca="false">VLOOKUP(A130,Interest!$AF$8:$AK$367,6)</f>
        <v>0.588469349452076</v>
      </c>
      <c r="BL130" s="0" t="n">
        <f aca="false">J130*VLOOKUP(A130,NymexData!$J$12:$K$244,2)</f>
        <v>17685.9909814271</v>
      </c>
      <c r="BO130" s="0" t="n">
        <f aca="false">Interest!AK126</f>
        <v>0.588469349452076</v>
      </c>
      <c r="BP130" s="0" t="n">
        <f aca="false">G130*Interest!AK126</f>
        <v>2.58838243356496</v>
      </c>
      <c r="BQ130" s="0" t="n">
        <f aca="false">IF(AND(A130&gt;=$B$3,A130&lt;=$B$4),1,0)</f>
        <v>0</v>
      </c>
      <c r="BR130" s="0" t="n">
        <f aca="false">BO130*BQ130</f>
        <v>0</v>
      </c>
      <c r="BS130" s="0" t="n">
        <f aca="false">BP130*BQ130</f>
        <v>0</v>
      </c>
    </row>
    <row r="131" customFormat="false" ht="18" hidden="false" customHeight="false" outlineLevel="0" collapsed="false">
      <c r="A131" s="112" t="n">
        <f aca="false">[2]EnergyCurve!$D153</f>
        <v>40817</v>
      </c>
      <c r="B131" s="324" t="n">
        <f aca="false" t="array" ref="B131:B131">SUM(IF(MONTH(NymexData!$AI$12:$AI$250)&amp;YEAR(NymexData!$AI$12:$AI$250)=MONTH(A131)&amp;YEAR(A131),NymexData!$AJ$12:$AJ$250))</f>
        <v>-41.66054366</v>
      </c>
      <c r="C131" s="325" t="n">
        <f aca="false">BD131*BJ131*BI131</f>
        <v>0</v>
      </c>
      <c r="D131" s="326" t="n">
        <f aca="false">C131+B131</f>
        <v>-41.66054366</v>
      </c>
      <c r="E131" s="327" t="n">
        <f aca="false" t="array" ref="E131:E131">SUM(IF(MONTH(NymexData!$S$12:$S$250)&amp;YEAR(NymexData!$S$12:$S$250)=MONTH(A131)&amp;YEAR(A131),NymexData!$T$12:$T$250))</f>
        <v>4.4255</v>
      </c>
      <c r="F131" s="327" t="n">
        <f aca="false">G131-E131</f>
        <v>-0.0270000000000001</v>
      </c>
      <c r="G131" s="328" t="n">
        <f aca="false" t="array" ref="G131:G131">IF(NymexData!$AA$12="",GasPosn!E131,SUM(IF(MONTH(NymexData!$AA$12:$AA$250)&amp;YEAR(NymexData!$AA$12:$AA$250)=MONTH(A131)&amp;YEAR(A131),NymexData!$AB$12:$AB$250)))</f>
        <v>4.3985</v>
      </c>
      <c r="H131" s="115" t="n">
        <f aca="false">B131*10000*F131</f>
        <v>11248.3467882001</v>
      </c>
      <c r="I131" s="119" t="n">
        <f aca="false">(((G131-Q131)*P131+(G131-S131)*R131+(G131-U131)*T131+(G131-W131)*V131+(G131-Y131)*X131+(G131-AA131)*Z131+(G131-AC131)*AB131+(G131-AE131)*AD131+(G131-AG131)*AF131+(G131-AI131)*AH131+(G131-AK131)*AJ131+(G131-AM131)*AL131+(G131-AO131)*AN131+(G131-AQ131)*AP131+(G131-AS131)*AR131+(G131-AU131)*AT131+(G131-AW131)*AV131+(G131-AY131)*AX131+(G131-BA131)*AZ131+(G131-BC131)*BB131)*BJ131*BI131)*10000</f>
        <v>0</v>
      </c>
      <c r="J131" s="119" t="n">
        <f aca="false">H131+I131</f>
        <v>11248.3467882001</v>
      </c>
      <c r="O131" s="95" t="n">
        <f aca="false">A131</f>
        <v>40817</v>
      </c>
      <c r="BD131" s="100" t="n">
        <f aca="false">(P131+R131+T131+V131+X131+Z131+AB131+AD131+AF131+AH131+AJ131+AL131+AN131+AP131+AR131+AT131+AV131+AX131+AZ131+BB131)</f>
        <v>0</v>
      </c>
      <c r="BE131" s="322" t="n">
        <f aca="false">IF(AND(BD131=0,BH131=0),0,(ABS(P131)*Q131+ABS(R131)*S131+ABS(T131)*U131+ABS(V131)*W131+ABS(X131)*Y131+ABS(Z131)*AA131+ABS(AB131)*AC131+ABS(AD131)*AE131+ABS(AF131)*AG131+ABS(AH131)*AI131+ABS(AJ131)*AK131+ABS(AL131)*AM131+ABS(AN131)*AO131+ABS(AP131)*AQ131+ABS(AR131)*AS131+ABS(AT131)*AU131+ABS(AV131)*AW131+ABS(AX131)*AY131+ABS(AZ131)*BA131+ABS(BB131)*BC131)/BH131)</f>
        <v>0</v>
      </c>
      <c r="BG131" s="103" t="n">
        <f aca="false">O131</f>
        <v>40817</v>
      </c>
      <c r="BH131" s="323" t="n">
        <f aca="false">(ABS(P131)+ABS(R131)+ABS(T131)+ABS(V131)+ABS(X131)+ABS(Z131)+ABS(AB131)+ABS(AD131)+ABS(AF131)+ABS(AH131)+ABS(AJ131)+ABS(AL131)+ABS(AN131)+ABS(AP131)+ABS(AR131)+ABS(AT131)+ABS(AV131)+ABS(AX131)+ABS(AZ131)+ABS(BB131))</f>
        <v>0</v>
      </c>
      <c r="BI131" s="104" t="n">
        <f aca="false">VLOOKUP(GasPosn!A131,'Pricing Summary'!$AB$12:$AD$250,3)</f>
        <v>31</v>
      </c>
      <c r="BJ131" s="102" t="n">
        <f aca="false">VLOOKUP(A131,Interest!$AF$8:$AK$367,6)</f>
        <v>0.585212298124833</v>
      </c>
      <c r="BL131" s="0" t="n">
        <f aca="false">J131*VLOOKUP(A131,NymexData!$J$12:$K$244,2)</f>
        <v>18175.906049413</v>
      </c>
      <c r="BO131" s="0" t="n">
        <f aca="false">Interest!AK127</f>
        <v>0.585212298124833</v>
      </c>
      <c r="BP131" s="0" t="n">
        <f aca="false">G131*Interest!AK127</f>
        <v>2.57405629330208</v>
      </c>
      <c r="BQ131" s="0" t="n">
        <f aca="false">IF(AND(A131&gt;=$B$3,A131&lt;=$B$4),1,0)</f>
        <v>0</v>
      </c>
      <c r="BR131" s="0" t="n">
        <f aca="false">BO131*BQ131</f>
        <v>0</v>
      </c>
      <c r="BS131" s="0" t="n">
        <f aca="false">BP131*BQ131</f>
        <v>0</v>
      </c>
    </row>
    <row r="132" customFormat="false" ht="18" hidden="false" customHeight="false" outlineLevel="0" collapsed="false">
      <c r="A132" s="75" t="n">
        <f aca="false">[2]EnergyCurve!$D154</f>
        <v>40848</v>
      </c>
      <c r="B132" s="317" t="n">
        <f aca="false" t="array" ref="B132:B132">SUM(IF(MONTH(NymexData!$AI$12:$AI$250)&amp;YEAR(NymexData!$AI$12:$AI$250)=MONTH(A132)&amp;YEAR(A132),NymexData!$AJ$12:$AJ$250))</f>
        <v>-40.06326746</v>
      </c>
      <c r="C132" s="317" t="n">
        <f aca="false">BD132*BJ132*BI132</f>
        <v>0</v>
      </c>
      <c r="D132" s="319" t="n">
        <f aca="false">C132+B132</f>
        <v>-40.06326746</v>
      </c>
      <c r="E132" s="320" t="n">
        <f aca="false" t="array" ref="E132:E132">SUM(IF(MONTH(NymexData!$S$12:$S$250)&amp;YEAR(NymexData!$S$12:$S$250)=MONTH(A132)&amp;YEAR(A132),NymexData!$T$12:$T$250))</f>
        <v>4.5735</v>
      </c>
      <c r="F132" s="320" t="n">
        <f aca="false">G132-E132</f>
        <v>-0.0259999999999998</v>
      </c>
      <c r="G132" s="321" t="n">
        <f aca="false" t="array" ref="G132:G132">IF(NymexData!$AA$12="",GasPosn!E132,SUM(IF(MONTH(NymexData!$AA$12:$AA$250)&amp;YEAR(NymexData!$AA$12:$AA$250)=MONTH(A132)&amp;YEAR(A132),NymexData!$AB$12:$AB$250)))</f>
        <v>4.5475</v>
      </c>
      <c r="H132" s="76" t="n">
        <f aca="false">B132*10000*F132</f>
        <v>10416.4495395999</v>
      </c>
      <c r="I132" s="82" t="n">
        <f aca="false">(((G132-Q132)*P132+(G132-S132)*R132+(G132-U132)*T132+(G132-W132)*V132+(G132-Y132)*X132+(G132-AA132)*Z132+(G132-AC132)*AB132+(G132-AE132)*AD132+(G132-AG132)*AF132+(G132-AI132)*AH132+(G132-AK132)*AJ132+(G132-AM132)*AL132+(G132-AO132)*AN132+(G132-AQ132)*AP132+(G132-AS132)*AR132+(G132-AU132)*AT132+(G132-AW132)*AV132+(G132-AY132)*AX132+(G132-BA132)*AZ132+(G132-BC132)*BB132)*BJ132*BI132)*10000</f>
        <v>0</v>
      </c>
      <c r="J132" s="82" t="n">
        <f aca="false">H132+I132</f>
        <v>10416.4495395999</v>
      </c>
      <c r="O132" s="95" t="n">
        <f aca="false">A132</f>
        <v>40848</v>
      </c>
      <c r="BD132" s="100" t="n">
        <f aca="false">(P132+R132+T132+V132+X132+Z132+AB132+AD132+AF132+AH132+AJ132+AL132+AN132+AP132+AR132+AT132+AV132+AX132+AZ132+BB132)</f>
        <v>0</v>
      </c>
      <c r="BE132" s="322" t="n">
        <f aca="false">IF(AND(BD132=0,BH132=0),0,(ABS(P132)*Q132+ABS(R132)*S132+ABS(T132)*U132+ABS(V132)*W132+ABS(X132)*Y132+ABS(Z132)*AA132+ABS(AB132)*AC132+ABS(AD132)*AE132+ABS(AF132)*AG132+ABS(AH132)*AI132+ABS(AJ132)*AK132+ABS(AL132)*AM132+ABS(AN132)*AO132+ABS(AP132)*AQ132+ABS(AR132)*AS132+ABS(AT132)*AU132+ABS(AV132)*AW132+ABS(AX132)*AY132+ABS(AZ132)*BA132+ABS(BB132)*BC132)/BH132)</f>
        <v>0</v>
      </c>
      <c r="BG132" s="103" t="n">
        <f aca="false">O132</f>
        <v>40848</v>
      </c>
      <c r="BH132" s="323" t="n">
        <f aca="false">(ABS(P132)+ABS(R132)+ABS(T132)+ABS(V132)+ABS(X132)+ABS(Z132)+ABS(AB132)+ABS(AD132)+ABS(AF132)+ABS(AH132)+ABS(AJ132)+ABS(AL132)+ABS(AN132)+ABS(AP132)+ABS(AR132)+ABS(AT132)+ABS(AV132)+ABS(AX132)+ABS(AZ132)+ABS(BB132))</f>
        <v>0</v>
      </c>
      <c r="BI132" s="104" t="n">
        <f aca="false">VLOOKUP(GasPosn!A132,'Pricing Summary'!$AB$12:$AD$250,3)</f>
        <v>30</v>
      </c>
      <c r="BJ132" s="102" t="n">
        <f aca="false">VLOOKUP(A132,Interest!$AF$8:$AK$367,6)</f>
        <v>0.582084336386709</v>
      </c>
      <c r="BL132" s="0" t="n">
        <f aca="false">J132*VLOOKUP(A132,NymexData!$J$12:$K$244,2)</f>
        <v>16843.6786671333</v>
      </c>
      <c r="BO132" s="0" t="n">
        <f aca="false">Interest!AK128</f>
        <v>0.582084336386709</v>
      </c>
      <c r="BP132" s="0" t="n">
        <f aca="false">G132*Interest!AK128</f>
        <v>2.64702851971856</v>
      </c>
      <c r="BQ132" s="0" t="n">
        <f aca="false">IF(AND(A132&gt;=$B$3,A132&lt;=$B$4),1,0)</f>
        <v>0</v>
      </c>
      <c r="BR132" s="0" t="n">
        <f aca="false">BO132*BQ132</f>
        <v>0</v>
      </c>
      <c r="BS132" s="0" t="n">
        <f aca="false">BP132*BQ132</f>
        <v>0</v>
      </c>
    </row>
    <row r="133" customFormat="false" ht="18" hidden="false" customHeight="false" outlineLevel="0" collapsed="false">
      <c r="A133" s="112" t="n">
        <f aca="false">[2]EnergyCurve!$D155</f>
        <v>40878</v>
      </c>
      <c r="B133" s="324" t="n">
        <f aca="false" t="array" ref="B133:B133">SUM(IF(MONTH(NymexData!$AI$12:$AI$250)&amp;YEAR(NymexData!$AI$12:$AI$250)=MONTH(A133)&amp;YEAR(A133),NymexData!$AJ$12:$AJ$250))</f>
        <v>-41.17769993</v>
      </c>
      <c r="C133" s="325" t="n">
        <f aca="false">BD133*BJ133*BI133</f>
        <v>0</v>
      </c>
      <c r="D133" s="326" t="n">
        <f aca="false">C133+B133</f>
        <v>-41.17769993</v>
      </c>
      <c r="E133" s="327" t="n">
        <f aca="false" t="array" ref="E133:E133">SUM(IF(MONTH(NymexData!$S$12:$S$250)&amp;YEAR(NymexData!$S$12:$S$250)=MONTH(A133)&amp;YEAR(A133),NymexData!$T$12:$T$250))</f>
        <v>4.7255</v>
      </c>
      <c r="F133" s="327" t="n">
        <f aca="false">G133-E133</f>
        <v>-0.0259999999999998</v>
      </c>
      <c r="G133" s="328" t="n">
        <f aca="false" t="array" ref="G133:G133">IF(NymexData!$AA$12="",GasPosn!E133,SUM(IF(MONTH(NymexData!$AA$12:$AA$250)&amp;YEAR(NymexData!$AA$12:$AA$250)=MONTH(A133)&amp;YEAR(A133),NymexData!$AB$12:$AB$250)))</f>
        <v>4.6995</v>
      </c>
      <c r="H133" s="115" t="n">
        <f aca="false">B133*10000*F133</f>
        <v>10706.2019817999</v>
      </c>
      <c r="I133" s="119" t="n">
        <f aca="false">(((G133-Q133)*P133+(G133-S133)*R133+(G133-U133)*T133+(G133-W133)*V133+(G133-Y133)*X133+(G133-AA133)*Z133+(G133-AC133)*AB133+(G133-AE133)*AD133+(G133-AG133)*AF133+(G133-AI133)*AH133+(G133-AK133)*AJ133+(G133-AM133)*AL133+(G133-AO133)*AN133+(G133-AQ133)*AP133+(G133-AS133)*AR133+(G133-AU133)*AT133+(G133-AW133)*AV133+(G133-AY133)*AX133+(G133-BA133)*AZ133+(G133-BC133)*BB133)*BJ133*BI133)*10000</f>
        <v>0</v>
      </c>
      <c r="J133" s="119" t="n">
        <f aca="false">H133+I133</f>
        <v>10706.2019817999</v>
      </c>
      <c r="O133" s="95" t="n">
        <f aca="false">A133</f>
        <v>40878</v>
      </c>
      <c r="BD133" s="100" t="n">
        <f aca="false">(P133+R133+T133+V133+X133+Z133+AB133+AD133+AF133+AH133+AJ133+AL133+AN133+AP133+AR133+AT133+AV133+AX133+AZ133+BB133)</f>
        <v>0</v>
      </c>
      <c r="BE133" s="322" t="n">
        <f aca="false">IF(AND(BD133=0,BH133=0),0,(ABS(P133)*Q133+ABS(R133)*S133+ABS(T133)*U133+ABS(V133)*W133+ABS(X133)*Y133+ABS(Z133)*AA133+ABS(AB133)*AC133+ABS(AD133)*AE133+ABS(AF133)*AG133+ABS(AH133)*AI133+ABS(AJ133)*AK133+ABS(AL133)*AM133+ABS(AN133)*AO133+ABS(AP133)*AQ133+ABS(AR133)*AS133+ABS(AT133)*AU133+ABS(AV133)*AW133+ABS(AX133)*AY133+ABS(AZ133)*BA133+ABS(BB133)*BC133)/BH133)</f>
        <v>0</v>
      </c>
      <c r="BG133" s="103" t="n">
        <f aca="false">O133</f>
        <v>40878</v>
      </c>
      <c r="BH133" s="323" t="n">
        <f aca="false">(ABS(P133)+ABS(R133)+ABS(T133)+ABS(V133)+ABS(X133)+ABS(Z133)+ABS(AB133)+ABS(AD133)+ABS(AF133)+ABS(AH133)+ABS(AJ133)+ABS(AL133)+ABS(AN133)+ABS(AP133)+ABS(AR133)+ABS(AT133)+ABS(AV133)+ABS(AX133)+ABS(AZ133)+ABS(BB133))</f>
        <v>0</v>
      </c>
      <c r="BI133" s="104" t="n">
        <f aca="false">VLOOKUP(GasPosn!A133,'Pricing Summary'!$AB$12:$AD$250,3)</f>
        <v>31</v>
      </c>
      <c r="BJ133" s="102" t="n">
        <f aca="false">VLOOKUP(A133,Interest!$AF$8:$AK$367,6)</f>
        <v>0.579123267585198</v>
      </c>
      <c r="BL133" s="0" t="n">
        <f aca="false">J133*VLOOKUP(A133,NymexData!$J$12:$K$244,2)</f>
        <v>17320.0876850659</v>
      </c>
      <c r="BO133" s="0" t="n">
        <f aca="false">Interest!AK129</f>
        <v>0.579123267585198</v>
      </c>
      <c r="BP133" s="0" t="n">
        <f aca="false">G133*Interest!AK129</f>
        <v>2.72158979601664</v>
      </c>
      <c r="BQ133" s="0" t="n">
        <f aca="false">IF(AND(A133&gt;=$B$3,A133&lt;=$B$4),1,0)</f>
        <v>0</v>
      </c>
      <c r="BR133" s="0" t="n">
        <f aca="false">BO133*BQ133</f>
        <v>0</v>
      </c>
      <c r="BS133" s="0" t="n">
        <f aca="false">BP133*BQ133</f>
        <v>0</v>
      </c>
    </row>
    <row r="134" customFormat="false" ht="18" hidden="false" customHeight="false" outlineLevel="0" collapsed="false">
      <c r="A134" s="75" t="n">
        <f aca="false">[2]EnergyCurve!$D156</f>
        <v>40909</v>
      </c>
      <c r="B134" s="317" t="n">
        <f aca="false" t="array" ref="B134:B134">SUM(IF(MONTH(NymexData!$AI$12:$AI$250)&amp;YEAR(NymexData!$AI$12:$AI$250)=MONTH(A134)&amp;YEAR(A134),NymexData!$AJ$12:$AJ$250))</f>
        <v>-40.95005972</v>
      </c>
      <c r="C134" s="317" t="n">
        <f aca="false">BD134*BJ134*BI134</f>
        <v>0</v>
      </c>
      <c r="D134" s="319" t="n">
        <f aca="false">C134+B134</f>
        <v>-40.95005972</v>
      </c>
      <c r="E134" s="320" t="n">
        <f aca="false" t="array" ref="E134:E134">SUM(IF(MONTH(NymexData!$S$12:$S$250)&amp;YEAR(NymexData!$S$12:$S$250)=MONTH(A134)&amp;YEAR(A134),NymexData!$T$12:$T$250))</f>
        <v>4.798</v>
      </c>
      <c r="F134" s="320" t="n">
        <f aca="false">G134-E134</f>
        <v>-0.0209999999999999</v>
      </c>
      <c r="G134" s="321" t="n">
        <f aca="false" t="array" ref="G134:G134">IF(NymexData!$AA$12="",GasPosn!E134,SUM(IF(MONTH(NymexData!$AA$12:$AA$250)&amp;YEAR(NymexData!$AA$12:$AA$250)=MONTH(A134)&amp;YEAR(A134),NymexData!$AB$12:$AB$250)))</f>
        <v>4.777</v>
      </c>
      <c r="H134" s="76" t="n">
        <f aca="false">B134*10000*F134</f>
        <v>8599.51254119996</v>
      </c>
      <c r="I134" s="82" t="n">
        <f aca="false">(((G134-Q134)*P134+(G134-S134)*R134+(G134-U134)*T134+(G134-W134)*V134+(G134-Y134)*X134+(G134-AA134)*Z134+(G134-AC134)*AB134+(G134-AE134)*AD134+(G134-AG134)*AF134+(G134-AI134)*AH134+(G134-AK134)*AJ134+(G134-AM134)*AL134+(G134-AO134)*AN134+(G134-AQ134)*AP134+(G134-AS134)*AR134+(G134-AU134)*AT134+(G134-AW134)*AV134+(G134-AY134)*AX134+(G134-BA134)*AZ134+(G134-BC134)*BB134)*BJ134*BI134)*10000</f>
        <v>0</v>
      </c>
      <c r="J134" s="82" t="n">
        <f aca="false">H134+I134</f>
        <v>8599.51254119996</v>
      </c>
      <c r="O134" s="95" t="n">
        <f aca="false">A134</f>
        <v>40909</v>
      </c>
      <c r="BD134" s="100" t="n">
        <f aca="false">(P134+R134+T134+V134+X134+Z134+AB134+AD134+AF134+AH134+AJ134+AL134+AN134+AP134+AR134+AT134+AV134+AX134+AZ134+BB134)</f>
        <v>0</v>
      </c>
      <c r="BE134" s="322" t="n">
        <f aca="false">IF(AND(BD134=0,BH134=0),0,(ABS(P134)*Q134+ABS(R134)*S134+ABS(T134)*U134+ABS(V134)*W134+ABS(X134)*Y134+ABS(Z134)*AA134+ABS(AB134)*AC134+ABS(AD134)*AE134+ABS(AF134)*AG134+ABS(AH134)*AI134+ABS(AJ134)*AK134+ABS(AL134)*AM134+ABS(AN134)*AO134+ABS(AP134)*AQ134+ABS(AR134)*AS134+ABS(AT134)*AU134+ABS(AV134)*AW134+ABS(AX134)*AY134+ABS(AZ134)*BA134+ABS(BB134)*BC134)/BH134)</f>
        <v>0</v>
      </c>
      <c r="BG134" s="103" t="n">
        <f aca="false">O134</f>
        <v>40909</v>
      </c>
      <c r="BH134" s="323" t="n">
        <f aca="false">(ABS(P134)+ABS(R134)+ABS(T134)+ABS(V134)+ABS(X134)+ABS(Z134)+ABS(AB134)+ABS(AD134)+ABS(AF134)+ABS(AH134)+ABS(AJ134)+ABS(AL134)+ABS(AN134)+ABS(AP134)+ABS(AR134)+ABS(AT134)+ABS(AV134)+ABS(AX134)+ABS(AZ134)+ABS(BB134))</f>
        <v>0</v>
      </c>
      <c r="BI134" s="104" t="n">
        <f aca="false">VLOOKUP(GasPosn!A134,'Pricing Summary'!$AB$12:$AD$250,3)</f>
        <v>31</v>
      </c>
      <c r="BJ134" s="102" t="n">
        <f aca="false">VLOOKUP(A134,Interest!$AF$8:$AK$367,6)</f>
        <v>0.576161126280458</v>
      </c>
      <c r="BL134" s="0" t="n">
        <f aca="false">J134*VLOOKUP(A134,NymexData!$J$12:$K$244,2)</f>
        <v>13918.5558439278</v>
      </c>
      <c r="BO134" s="0" t="n">
        <f aca="false">Interest!AK130</f>
        <v>0.576161126280458</v>
      </c>
      <c r="BP134" s="0" t="n">
        <f aca="false">G134*Interest!AK130</f>
        <v>2.75232170024175</v>
      </c>
      <c r="BQ134" s="0" t="n">
        <f aca="false">IF(AND(A134&gt;=$B$3,A134&lt;=$B$4),1,0)</f>
        <v>0</v>
      </c>
      <c r="BR134" s="0" t="n">
        <f aca="false">BO134*BQ134</f>
        <v>0</v>
      </c>
      <c r="BS134" s="0" t="n">
        <f aca="false">BP134*BQ134</f>
        <v>0</v>
      </c>
    </row>
    <row r="135" customFormat="false" ht="18" hidden="false" customHeight="false" outlineLevel="0" collapsed="false">
      <c r="A135" s="112" t="n">
        <f aca="false">[2]EnergyCurve!$D157</f>
        <v>40940</v>
      </c>
      <c r="B135" s="324" t="n">
        <f aca="false" t="array" ref="B135:B135">SUM(IF(MONTH(NymexData!$AI$12:$AI$250)&amp;YEAR(NymexData!$AI$12:$AI$250)=MONTH(A135)&amp;YEAR(A135),NymexData!$AJ$12:$AJ$250))</f>
        <v>-38.09586844</v>
      </c>
      <c r="C135" s="325" t="n">
        <f aca="false">BD135*BJ135*BI135</f>
        <v>0</v>
      </c>
      <c r="D135" s="326" t="n">
        <f aca="false">C135+B135</f>
        <v>-38.09586844</v>
      </c>
      <c r="E135" s="327" t="n">
        <f aca="false" t="array" ref="E135:E135">SUM(IF(MONTH(NymexData!$S$12:$S$250)&amp;YEAR(NymexData!$S$12:$S$250)=MONTH(A135)&amp;YEAR(A135),NymexData!$T$12:$T$250))</f>
        <v>4.711</v>
      </c>
      <c r="F135" s="327" t="n">
        <f aca="false">G135-E135</f>
        <v>-0.0220000000000002</v>
      </c>
      <c r="G135" s="328" t="n">
        <f aca="false" t="array" ref="G135:G135">IF(NymexData!$AA$12="",GasPosn!E135,SUM(IF(MONTH(NymexData!$AA$12:$AA$250)&amp;YEAR(NymexData!$AA$12:$AA$250)=MONTH(A135)&amp;YEAR(A135),NymexData!$AB$12:$AB$250)))</f>
        <v>4.689</v>
      </c>
      <c r="H135" s="115" t="n">
        <f aca="false">B135*10000*F135</f>
        <v>8381.09105680009</v>
      </c>
      <c r="I135" s="119" t="n">
        <f aca="false">(((G135-Q135)*P135+(G135-S135)*R135+(G135-U135)*T135+(G135-W135)*V135+(G135-Y135)*X135+(G135-AA135)*Z135+(G135-AC135)*AB135+(G135-AE135)*AD135+(G135-AG135)*AF135+(G135-AI135)*AH135+(G135-AK135)*AJ135+(G135-AM135)*AL135+(G135-AO135)*AN135+(G135-AQ135)*AP135+(G135-AS135)*AR135+(G135-AU135)*AT135+(G135-AW135)*AV135+(G135-AY135)*AX135+(G135-BA135)*AZ135+(G135-BC135)*BB135)*BJ135*BI135)*10000</f>
        <v>0</v>
      </c>
      <c r="J135" s="119" t="n">
        <f aca="false">H135+I135</f>
        <v>8381.09105680009</v>
      </c>
      <c r="O135" s="95" t="n">
        <f aca="false">A135</f>
        <v>40940</v>
      </c>
      <c r="BD135" s="100" t="n">
        <f aca="false">(P135+R135+T135+V135+X135+Z135+AB135+AD135+AF135+AH135+AJ135+AL135+AN135+AP135+AR135+AT135+AV135+AX135+AZ135+BB135)</f>
        <v>0</v>
      </c>
      <c r="BE135" s="322" t="n">
        <f aca="false">IF(AND(BD135=0,BH135=0),0,(ABS(P135)*Q135+ABS(R135)*S135+ABS(T135)*U135+ABS(V135)*W135+ABS(X135)*Y135+ABS(Z135)*AA135+ABS(AB135)*AC135+ABS(AD135)*AE135+ABS(AF135)*AG135+ABS(AH135)*AI135+ABS(AJ135)*AK135+ABS(AL135)*AM135+ABS(AN135)*AO135+ABS(AP135)*AQ135+ABS(AR135)*AS135+ABS(AT135)*AU135+ABS(AV135)*AW135+ABS(AX135)*AY135+ABS(AZ135)*BA135+ABS(BB135)*BC135)/BH135)</f>
        <v>0</v>
      </c>
      <c r="BG135" s="103" t="n">
        <f aca="false">O135</f>
        <v>40940</v>
      </c>
      <c r="BH135" s="323" t="n">
        <f aca="false">(ABS(P135)+ABS(R135)+ABS(T135)+ABS(V135)+ABS(X135)+ABS(Z135)+ABS(AB135)+ABS(AD135)+ABS(AF135)+ABS(AH135)+ABS(AJ135)+ABS(AL135)+ABS(AN135)+ABS(AP135)+ABS(AR135)+ABS(AT135)+ABS(AV135)+ABS(AX135)+ABS(AZ135)+ABS(BB135))</f>
        <v>0</v>
      </c>
      <c r="BI135" s="104" t="n">
        <f aca="false">VLOOKUP(GasPosn!A135,'Pricing Summary'!$AB$12:$AD$250,3)</f>
        <v>29</v>
      </c>
      <c r="BJ135" s="102" t="n">
        <f aca="false">VLOOKUP(A135,Interest!$AF$8:$AK$367,6)</f>
        <v>0.573377184691598</v>
      </c>
      <c r="BL135" s="0" t="n">
        <f aca="false">J135*VLOOKUP(A135,NymexData!$J$12:$K$244,2)</f>
        <v>13571.5141462033</v>
      </c>
      <c r="BO135" s="0" t="n">
        <f aca="false">Interest!AK131</f>
        <v>0.573377184691598</v>
      </c>
      <c r="BP135" s="0" t="n">
        <f aca="false">G135*Interest!AK131</f>
        <v>2.6885656190189</v>
      </c>
      <c r="BQ135" s="0" t="n">
        <f aca="false">IF(AND(A135&gt;=$B$3,A135&lt;=$B$4),1,0)</f>
        <v>0</v>
      </c>
      <c r="BR135" s="0" t="n">
        <f aca="false">BO135*BQ135</f>
        <v>0</v>
      </c>
      <c r="BS135" s="0" t="n">
        <f aca="false">BP135*BQ135</f>
        <v>0</v>
      </c>
    </row>
    <row r="136" customFormat="false" ht="18" hidden="false" customHeight="false" outlineLevel="0" collapsed="false">
      <c r="A136" s="75" t="n">
        <f aca="false">[2]EnergyCurve!$D158</f>
        <v>40969</v>
      </c>
      <c r="B136" s="317" t="n">
        <f aca="false" t="array" ref="B136:B136">SUM(IF(MONTH(NymexData!$AI$12:$AI$250)&amp;YEAR(NymexData!$AI$12:$AI$250)=MONTH(A136)&amp;YEAR(A136),NymexData!$AJ$12:$AJ$250))</f>
        <v>-40.51159829</v>
      </c>
      <c r="C136" s="317" t="n">
        <f aca="false">BD136*BJ136*BI136</f>
        <v>0</v>
      </c>
      <c r="D136" s="319" t="n">
        <f aca="false">C136+B136</f>
        <v>-40.51159829</v>
      </c>
      <c r="E136" s="320" t="n">
        <f aca="false" t="array" ref="E136:E136">SUM(IF(MONTH(NymexData!$S$12:$S$250)&amp;YEAR(NymexData!$S$12:$S$250)=MONTH(A136)&amp;YEAR(A136),NymexData!$T$12:$T$250))</f>
        <v>4.572</v>
      </c>
      <c r="F136" s="320" t="n">
        <f aca="false">G136-E136</f>
        <v>-0.0220000000000002</v>
      </c>
      <c r="G136" s="321" t="n">
        <f aca="false" t="array" ref="G136:G136">IF(NymexData!$AA$12="",GasPosn!E136,SUM(IF(MONTH(NymexData!$AA$12:$AA$250)&amp;YEAR(NymexData!$AA$12:$AA$250)=MONTH(A136)&amp;YEAR(A136),NymexData!$AB$12:$AB$250)))</f>
        <v>4.55</v>
      </c>
      <c r="H136" s="76" t="n">
        <f aca="false">B136*10000*F136</f>
        <v>8912.5516238001</v>
      </c>
      <c r="I136" s="82" t="n">
        <f aca="false">(((G136-Q136)*P136+(G136-S136)*R136+(G136-U136)*T136+(G136-W136)*V136+(G136-Y136)*X136+(G136-AA136)*Z136+(G136-AC136)*AB136+(G136-AE136)*AD136+(G136-AG136)*AF136+(G136-AI136)*AH136+(G136-AK136)*AJ136+(G136-AM136)*AL136+(G136-AO136)*AN136+(G136-AQ136)*AP136+(G136-AS136)*AR136+(G136-AU136)*AT136+(G136-AW136)*AV136+(G136-AY136)*AX136+(G136-BA136)*AZ136+(G136-BC136)*BB136)*BJ136*BI136)*10000</f>
        <v>0</v>
      </c>
      <c r="J136" s="82" t="n">
        <f aca="false">H136+I136</f>
        <v>8912.5516238001</v>
      </c>
      <c r="O136" s="95" t="n">
        <f aca="false">A136</f>
        <v>40969</v>
      </c>
      <c r="BD136" s="100" t="n">
        <f aca="false">(P136+R136+T136+V136+X136+Z136+AB136+AD136+AF136+AH136+AJ136+AL136+AN136+AP136+AR136+AT136+AV136+AX136+AZ136+BB136)</f>
        <v>0</v>
      </c>
      <c r="BE136" s="322" t="n">
        <f aca="false">IF(AND(BD136=0,BH136=0),0,(ABS(P136)*Q136+ABS(R136)*S136+ABS(T136)*U136+ABS(V136)*W136+ABS(X136)*Y136+ABS(Z136)*AA136+ABS(AB136)*AC136+ABS(AD136)*AE136+ABS(AF136)*AG136+ABS(AH136)*AI136+ABS(AJ136)*AK136+ABS(AL136)*AM136+ABS(AN136)*AO136+ABS(AP136)*AQ136+ABS(AR136)*AS136+ABS(AT136)*AU136+ABS(AV136)*AW136+ABS(AX136)*AY136+ABS(AZ136)*BA136+ABS(BB136)*BC136)/BH136)</f>
        <v>0</v>
      </c>
      <c r="BG136" s="103" t="n">
        <f aca="false">O136</f>
        <v>40969</v>
      </c>
      <c r="BH136" s="323" t="n">
        <f aca="false">(ABS(P136)+ABS(R136)+ABS(T136)+ABS(V136)+ABS(X136)+ABS(Z136)+ABS(AB136)+ABS(AD136)+ABS(AF136)+ABS(AH136)+ABS(AJ136)+ABS(AL136)+ABS(AN136)+ABS(AP136)+ABS(AR136)+ABS(AT136)+ABS(AV136)+ABS(AX136)+ABS(AZ136)+ABS(BB136))</f>
        <v>0</v>
      </c>
      <c r="BI136" s="104" t="n">
        <f aca="false">VLOOKUP(GasPosn!A136,'Pricing Summary'!$AB$12:$AD$250,3)</f>
        <v>31</v>
      </c>
      <c r="BJ136" s="102" t="n">
        <f aca="false">VLOOKUP(A136,Interest!$AF$8:$AK$367,6)</f>
        <v>0.570455405444545</v>
      </c>
      <c r="BL136" s="0" t="n">
        <f aca="false">J136*VLOOKUP(A136,NymexData!$J$12:$K$244,2)</f>
        <v>14438.6096937409</v>
      </c>
      <c r="BO136" s="0" t="n">
        <f aca="false">Interest!AK132</f>
        <v>0.570455405444545</v>
      </c>
      <c r="BP136" s="0" t="n">
        <f aca="false">G136*Interest!AK132</f>
        <v>2.59557209477268</v>
      </c>
      <c r="BQ136" s="0" t="n">
        <f aca="false">IF(AND(A136&gt;=$B$3,A136&lt;=$B$4),1,0)</f>
        <v>0</v>
      </c>
      <c r="BR136" s="0" t="n">
        <f aca="false">BO136*BQ136</f>
        <v>0</v>
      </c>
      <c r="BS136" s="0" t="n">
        <f aca="false">BP136*BQ136</f>
        <v>0</v>
      </c>
    </row>
    <row r="137" customFormat="false" ht="18" hidden="false" customHeight="false" outlineLevel="0" collapsed="false">
      <c r="A137" s="112" t="n">
        <f aca="false">[2]EnergyCurve!$D159</f>
        <v>41000</v>
      </c>
      <c r="B137" s="324" t="n">
        <f aca="false" t="array" ref="B137:B137">SUM(IF(MONTH(NymexData!$AI$12:$AI$250)&amp;YEAR(NymexData!$AI$12:$AI$250)=MONTH(A137)&amp;YEAR(A137),NymexData!$AJ$12:$AJ$250))</f>
        <v>-38.98661087</v>
      </c>
      <c r="C137" s="325" t="n">
        <f aca="false">BD137*BJ137*BI137</f>
        <v>0</v>
      </c>
      <c r="D137" s="326" t="n">
        <f aca="false">C137+B137</f>
        <v>-38.98661087</v>
      </c>
      <c r="E137" s="327" t="n">
        <f aca="false" t="array" ref="E137:E137">SUM(IF(MONTH(NymexData!$S$12:$S$250)&amp;YEAR(NymexData!$S$12:$S$250)=MONTH(A137)&amp;YEAR(A137),NymexData!$T$12:$T$250))</f>
        <v>4.418</v>
      </c>
      <c r="F137" s="327" t="n">
        <f aca="false">G137-E137</f>
        <v>-0.0220000000000002</v>
      </c>
      <c r="G137" s="328" t="n">
        <f aca="false" t="array" ref="G137:G137">IF(NymexData!$AA$12="",GasPosn!E137,SUM(IF(MONTH(NymexData!$AA$12:$AA$250)&amp;YEAR(NymexData!$AA$12:$AA$250)=MONTH(A137)&amp;YEAR(A137),NymexData!$AB$12:$AB$250)))</f>
        <v>4.396</v>
      </c>
      <c r="H137" s="115" t="n">
        <f aca="false">B137*10000*F137</f>
        <v>8577.05439140009</v>
      </c>
      <c r="I137" s="119" t="n">
        <f aca="false">(((G137-Q137)*P137+(G137-S137)*R137+(G137-U137)*T137+(G137-W137)*V137+(G137-Y137)*X137+(G137-AA137)*Z137+(G137-AC137)*AB137+(G137-AE137)*AD137+(G137-AG137)*AF137+(G137-AI137)*AH137+(G137-AK137)*AJ137+(G137-AM137)*AL137+(G137-AO137)*AN137+(G137-AQ137)*AP137+(G137-AS137)*AR137+(G137-AU137)*AT137+(G137-AW137)*AV137+(G137-AY137)*AX137+(G137-BA137)*AZ137+(G137-BC137)*BB137)*BJ137*BI137)*10000</f>
        <v>0</v>
      </c>
      <c r="J137" s="119" t="n">
        <f aca="false">H137+I137</f>
        <v>8577.05439140009</v>
      </c>
      <c r="O137" s="95" t="n">
        <f aca="false">A137</f>
        <v>41000</v>
      </c>
      <c r="BD137" s="100" t="n">
        <f aca="false">(P137+R137+T137+V137+X137+Z137+AB137+AD137+AF137+AH137+AJ137+AL137+AN137+AP137+AR137+AT137+AV137+AX137+AZ137+BB137)</f>
        <v>0</v>
      </c>
      <c r="BE137" s="322" t="n">
        <f aca="false">IF(AND(BD137=0,BH137=0),0,(ABS(P137)*Q137+ABS(R137)*S137+ABS(T137)*U137+ABS(V137)*W137+ABS(X137)*Y137+ABS(Z137)*AA137+ABS(AB137)*AC137+ABS(AD137)*AE137+ABS(AF137)*AG137+ABS(AH137)*AI137+ABS(AJ137)*AK137+ABS(AL137)*AM137+ABS(AN137)*AO137+ABS(AP137)*AQ137+ABS(AR137)*AS137+ABS(AT137)*AU137+ABS(AV137)*AW137+ABS(AX137)*AY137+ABS(AZ137)*BA137+ABS(BB137)*BC137)/BH137)</f>
        <v>0</v>
      </c>
      <c r="BG137" s="103" t="n">
        <f aca="false">O137</f>
        <v>41000</v>
      </c>
      <c r="BH137" s="323" t="n">
        <f aca="false">(ABS(P137)+ABS(R137)+ABS(T137)+ABS(V137)+ABS(X137)+ABS(Z137)+ABS(AB137)+ABS(AD137)+ABS(AF137)+ABS(AH137)+ABS(AJ137)+ABS(AL137)+ABS(AN137)+ABS(AP137)+ABS(AR137)+ABS(AT137)+ABS(AV137)+ABS(AX137)+ABS(AZ137)+ABS(BB137))</f>
        <v>0</v>
      </c>
      <c r="BI137" s="104" t="n">
        <f aca="false">VLOOKUP(GasPosn!A137,'Pricing Summary'!$AB$12:$AD$250,3)</f>
        <v>30</v>
      </c>
      <c r="BJ137" s="102" t="n">
        <f aca="false">VLOOKUP(A137,Interest!$AF$8:$AK$367,6)</f>
        <v>0.56760524489935</v>
      </c>
      <c r="BL137" s="0" t="n">
        <f aca="false">J137*VLOOKUP(A137,NymexData!$J$12:$K$244,2)</f>
        <v>13901.8373373292</v>
      </c>
      <c r="BO137" s="0" t="n">
        <f aca="false">Interest!AK133</f>
        <v>0.56760524489935</v>
      </c>
      <c r="BP137" s="0" t="n">
        <f aca="false">G137*Interest!AK133</f>
        <v>2.49519265657754</v>
      </c>
      <c r="BQ137" s="0" t="n">
        <f aca="false">IF(AND(A137&gt;=$B$3,A137&lt;=$B$4),1,0)</f>
        <v>0</v>
      </c>
      <c r="BR137" s="0" t="n">
        <f aca="false">BO137*BQ137</f>
        <v>0</v>
      </c>
      <c r="BS137" s="0" t="n">
        <f aca="false">BP137*BQ137</f>
        <v>0</v>
      </c>
    </row>
    <row r="138" customFormat="false" ht="18" hidden="false" customHeight="false" outlineLevel="0" collapsed="false">
      <c r="A138" s="75" t="n">
        <f aca="false">[2]EnergyCurve!$D160</f>
        <v>41030</v>
      </c>
      <c r="B138" s="317" t="n">
        <f aca="false" t="array" ref="B138:B138">SUM(IF(MONTH(NymexData!$AI$12:$AI$250)&amp;YEAR(NymexData!$AI$12:$AI$250)=MONTH(A138)&amp;YEAR(A138),NymexData!$AJ$12:$AJ$250))</f>
        <v>-40.06872132</v>
      </c>
      <c r="C138" s="318" t="n">
        <f aca="false">BD138*BJ138*BI138</f>
        <v>0</v>
      </c>
      <c r="D138" s="319" t="n">
        <f aca="false">C138+B138</f>
        <v>-40.06872132</v>
      </c>
      <c r="E138" s="320" t="n">
        <f aca="false" t="array" ref="E138:E138">SUM(IF(MONTH(NymexData!$S$12:$S$250)&amp;YEAR(NymexData!$S$12:$S$250)=MONTH(A138)&amp;YEAR(A138),NymexData!$T$12:$T$250))</f>
        <v>4.423</v>
      </c>
      <c r="F138" s="320" t="n">
        <f aca="false">G138-E138</f>
        <v>-0.0220000000000002</v>
      </c>
      <c r="G138" s="321" t="n">
        <f aca="false" t="array" ref="G138:G138">IF(NymexData!$AA$12="",GasPosn!E138,SUM(IF(MONTH(NymexData!$AA$12:$AA$250)&amp;YEAR(NymexData!$AA$12:$AA$250)=MONTH(A138)&amp;YEAR(A138),NymexData!$AB$12:$AB$250)))</f>
        <v>4.401</v>
      </c>
      <c r="H138" s="76" t="n">
        <f aca="false">B138*10000*F138</f>
        <v>8815.1186904001</v>
      </c>
      <c r="I138" s="82" t="n">
        <f aca="false">(((G138-Q138)*P138+(G138-S138)*R138+(G138-U138)*T138+(G138-W138)*V138+(G138-Y138)*X138+(G138-AA138)*Z138+(G138-AC138)*AB138+(G138-AE138)*AD138+(G138-AG138)*AF138+(G138-AI138)*AH138+(G138-AK138)*AJ138+(G138-AM138)*AL138+(G138-AO138)*AN138+(G138-AQ138)*AP138+(G138-AS138)*AR138+(G138-AU138)*AT138+(G138-AW138)*AV138+(G138-AY138)*AX138+(G138-BA138)*AZ138+(G138-BC138)*BB138)*BJ138*BI138)*10000</f>
        <v>0</v>
      </c>
      <c r="J138" s="82" t="n">
        <f aca="false">H138+I138</f>
        <v>8815.1186904001</v>
      </c>
      <c r="O138" s="95" t="n">
        <f aca="false">A138</f>
        <v>41030</v>
      </c>
      <c r="BD138" s="100" t="n">
        <f aca="false">(P138+R138+T138+V138+X138+Z138+AB138+AD138+AF138+AH138+AJ138+AL138+AN138+AP138+AR138+AT138+AV138+AX138+AZ138+BB138)</f>
        <v>0</v>
      </c>
      <c r="BE138" s="322" t="n">
        <f aca="false">IF(AND(BD138=0,BH138=0),0,(ABS(P138)*Q138+ABS(R138)*S138+ABS(T138)*U138+ABS(V138)*W138+ABS(X138)*Y138+ABS(Z138)*AA138+ABS(AB138)*AC138+ABS(AD138)*AE138+ABS(AF138)*AG138+ABS(AH138)*AI138+ABS(AJ138)*AK138+ABS(AL138)*AM138+ABS(AN138)*AO138+ABS(AP138)*AQ138+ABS(AR138)*AS138+ABS(AT138)*AU138+ABS(AV138)*AW138+ABS(AX138)*AY138+ABS(AZ138)*BA138+ABS(BB138)*BC138)/BH138)</f>
        <v>0</v>
      </c>
      <c r="BG138" s="103" t="n">
        <f aca="false">O138</f>
        <v>41030</v>
      </c>
      <c r="BH138" s="323" t="n">
        <f aca="false">(ABS(P138)+ABS(R138)+ABS(T138)+ABS(V138)+ABS(X138)+ABS(Z138)+ABS(AB138)+ABS(AD138)+ABS(AF138)+ABS(AH138)+ABS(AJ138)+ABS(AL138)+ABS(AN138)+ABS(AP138)+ABS(AR138)+ABS(AT138)+ABS(AV138)+ABS(AX138)+ABS(AZ138)+ABS(BB138))</f>
        <v>0</v>
      </c>
      <c r="BI138" s="104" t="n">
        <f aca="false">VLOOKUP(GasPosn!A138,'Pricing Summary'!$AB$12:$AD$250,3)</f>
        <v>31</v>
      </c>
      <c r="BJ138" s="102" t="n">
        <f aca="false">VLOOKUP(A138,Interest!$AF$8:$AK$367,6)</f>
        <v>0.564691748196241</v>
      </c>
      <c r="BL138" s="0" t="n">
        <f aca="false">J138*VLOOKUP(A138,NymexData!$J$12:$K$244,2)</f>
        <v>14294.4601160877</v>
      </c>
      <c r="BO138" s="0" t="n">
        <f aca="false">Interest!AK134</f>
        <v>0.564691748196241</v>
      </c>
      <c r="BP138" s="0" t="n">
        <f aca="false">G138*Interest!AK134</f>
        <v>2.48520838381166</v>
      </c>
      <c r="BQ138" s="0" t="n">
        <f aca="false">IF(AND(A138&gt;=$B$3,A138&lt;=$B$4),1,0)</f>
        <v>0</v>
      </c>
      <c r="BR138" s="0" t="n">
        <f aca="false">BO138*BQ138</f>
        <v>0</v>
      </c>
      <c r="BS138" s="0" t="n">
        <f aca="false">BP138*BQ138</f>
        <v>0</v>
      </c>
    </row>
    <row r="139" customFormat="false" ht="18" hidden="false" customHeight="false" outlineLevel="0" collapsed="false">
      <c r="A139" s="112" t="n">
        <f aca="false">[2]EnergyCurve!$D161</f>
        <v>41061</v>
      </c>
      <c r="B139" s="324" t="n">
        <f aca="false" t="array" ref="B139:B139">SUM(IF(MONTH(NymexData!$AI$12:$AI$250)&amp;YEAR(NymexData!$AI$12:$AI$250)=MONTH(A139)&amp;YEAR(A139),NymexData!$AJ$12:$AJ$250))</f>
        <v>-38.55945839</v>
      </c>
      <c r="C139" s="325" t="n">
        <f aca="false">BD139*BJ139*BI139</f>
        <v>0</v>
      </c>
      <c r="D139" s="326" t="n">
        <f aca="false">C139+B139</f>
        <v>-38.55945839</v>
      </c>
      <c r="E139" s="327" t="n">
        <f aca="false" t="array" ref="E139:E139">SUM(IF(MONTH(NymexData!$S$12:$S$250)&amp;YEAR(NymexData!$S$12:$S$250)=MONTH(A139)&amp;YEAR(A139),NymexData!$T$12:$T$250))</f>
        <v>4.461</v>
      </c>
      <c r="F139" s="327" t="n">
        <f aca="false">G139-E139</f>
        <v>-0.0220000000000002</v>
      </c>
      <c r="G139" s="328" t="n">
        <f aca="false" t="array" ref="G139:G139">IF(NymexData!$AA$12="",GasPosn!E139,SUM(IF(MONTH(NymexData!$AA$12:$AA$250)&amp;YEAR(NymexData!$AA$12:$AA$250)=MONTH(A139)&amp;YEAR(A139),NymexData!$AB$12:$AB$250)))</f>
        <v>4.439</v>
      </c>
      <c r="H139" s="115" t="n">
        <f aca="false">B139*10000*F139</f>
        <v>8483.08084580009</v>
      </c>
      <c r="I139" s="119" t="n">
        <f aca="false">(((G139-Q139)*P139+(G139-S139)*R139+(G139-U139)*T139+(G139-W139)*V139+(G139-Y139)*X139+(G139-AA139)*Z139+(G139-AC139)*AB139+(G139-AE139)*AD139+(G139-AG139)*AF139+(G139-AI139)*AH139+(G139-AK139)*AJ139+(G139-AM139)*AL139+(G139-AO139)*AN139+(G139-AQ139)*AP139+(G139-AS139)*AR139+(G139-AU139)*AT139+(G139-AW139)*AV139+(G139-AY139)*AX139+(G139-BA139)*AZ139+(G139-BC139)*BB139)*BJ139*BI139)*10000</f>
        <v>0</v>
      </c>
      <c r="J139" s="119" t="n">
        <f aca="false">H139+I139</f>
        <v>8483.08084580009</v>
      </c>
      <c r="O139" s="95" t="n">
        <f aca="false">A139</f>
        <v>41061</v>
      </c>
      <c r="BD139" s="100" t="n">
        <f aca="false">(P139+R139+T139+V139+X139+Z139+AB139+AD139+AF139+AH139+AJ139+AL139+AN139+AP139+AR139+AT139+AV139+AX139+AZ139+BB139)</f>
        <v>0</v>
      </c>
      <c r="BE139" s="322" t="n">
        <f aca="false">IF(AND(BD139=0,BH139=0),0,(ABS(P139)*Q139+ABS(R139)*S139+ABS(T139)*U139+ABS(V139)*W139+ABS(X139)*Y139+ABS(Z139)*AA139+ABS(AB139)*AC139+ABS(AD139)*AE139+ABS(AF139)*AG139+ABS(AH139)*AI139+ABS(AJ139)*AK139+ABS(AL139)*AM139+ABS(AN139)*AO139+ABS(AP139)*AQ139+ABS(AR139)*AS139+ABS(AT139)*AU139+ABS(AV139)*AW139+ABS(AX139)*AY139+ABS(AZ139)*BA139+ABS(BB139)*BC139)/BH139)</f>
        <v>0</v>
      </c>
      <c r="BG139" s="103" t="n">
        <f aca="false">O139</f>
        <v>41061</v>
      </c>
      <c r="BH139" s="323" t="n">
        <f aca="false">(ABS(P139)+ABS(R139)+ABS(T139)+ABS(V139)+ABS(X139)+ABS(Z139)+ABS(AB139)+ABS(AD139)+ABS(AF139)+ABS(AH139)+ABS(AJ139)+ABS(AL139)+ABS(AN139)+ABS(AP139)+ABS(AR139)+ABS(AT139)+ABS(AV139)+ABS(AX139)+ABS(AZ139)+ABS(BB139))</f>
        <v>0</v>
      </c>
      <c r="BI139" s="104" t="n">
        <f aca="false">VLOOKUP(GasPosn!A139,'Pricing Summary'!$AB$12:$AD$250,3)</f>
        <v>30</v>
      </c>
      <c r="BJ139" s="102" t="n">
        <f aca="false">VLOOKUP(A139,Interest!$AF$8:$AK$367,6)</f>
        <v>0.561859971271698</v>
      </c>
      <c r="BL139" s="0" t="n">
        <f aca="false">J139*VLOOKUP(A139,NymexData!$J$12:$K$244,2)</f>
        <v>13762.8156134495</v>
      </c>
      <c r="BO139" s="0" t="n">
        <f aca="false">Interest!AK135</f>
        <v>0.561859971271698</v>
      </c>
      <c r="BP139" s="0" t="n">
        <f aca="false">G139*Interest!AK135</f>
        <v>2.49409641247507</v>
      </c>
      <c r="BQ139" s="0" t="n">
        <f aca="false">IF(AND(A139&gt;=$B$3,A139&lt;=$B$4),1,0)</f>
        <v>0</v>
      </c>
      <c r="BR139" s="0" t="n">
        <f aca="false">BO139*BQ139</f>
        <v>0</v>
      </c>
      <c r="BS139" s="0" t="n">
        <f aca="false">BP139*BQ139</f>
        <v>0</v>
      </c>
    </row>
    <row r="140" customFormat="false" ht="18" hidden="false" customHeight="false" outlineLevel="0" collapsed="false">
      <c r="A140" s="75" t="n">
        <f aca="false">[2]EnergyCurve!$D162</f>
        <v>41091</v>
      </c>
      <c r="B140" s="317" t="n">
        <f aca="false" t="array" ref="B140:B140">SUM(IF(MONTH(NymexData!$AI$12:$AI$250)&amp;YEAR(NymexData!$AI$12:$AI$250)=MONTH(A140)&amp;YEAR(A140),NymexData!$AJ$12:$AJ$250))</f>
        <v>-39.62877121</v>
      </c>
      <c r="C140" s="317" t="n">
        <f aca="false">BD140*BJ140*BI140</f>
        <v>0</v>
      </c>
      <c r="D140" s="319" t="n">
        <f aca="false">C140+B140</f>
        <v>-39.62877121</v>
      </c>
      <c r="E140" s="320" t="n">
        <f aca="false" t="array" ref="E140:E140">SUM(IF(MONTH(NymexData!$S$12:$S$250)&amp;YEAR(NymexData!$S$12:$S$250)=MONTH(A140)&amp;YEAR(A140),NymexData!$T$12:$T$250))</f>
        <v>4.506</v>
      </c>
      <c r="F140" s="320" t="n">
        <f aca="false">G140-E140</f>
        <v>-0.0220000000000002</v>
      </c>
      <c r="G140" s="321" t="n">
        <f aca="false" t="array" ref="G140:G140">IF(NymexData!$AA$12="",GasPosn!E140,SUM(IF(MONTH(NymexData!$AA$12:$AA$250)&amp;YEAR(NymexData!$AA$12:$AA$250)=MONTH(A140)&amp;YEAR(A140),NymexData!$AB$12:$AB$250)))</f>
        <v>4.484</v>
      </c>
      <c r="H140" s="76" t="n">
        <f aca="false">B140*10000*F140</f>
        <v>8718.32966620009</v>
      </c>
      <c r="I140" s="82" t="n">
        <f aca="false">(((G140-Q140)*P140+(G140-S140)*R140+(G140-U140)*T140+(G140-W140)*V140+(G140-Y140)*X140+(G140-AA140)*Z140+(G140-AC140)*AB140+(G140-AE140)*AD140+(G140-AG140)*AF140+(G140-AI140)*AH140+(G140-AK140)*AJ140+(G140-AM140)*AL140+(G140-AO140)*AN140+(G140-AQ140)*AP140+(G140-AS140)*AR140+(G140-AU140)*AT140+(G140-AW140)*AV140+(G140-AY140)*AX140+(G140-BA140)*AZ140+(G140-BC140)*BB140)*BJ140*BI140)*10000</f>
        <v>0</v>
      </c>
      <c r="J140" s="82" t="n">
        <f aca="false">H140+I140</f>
        <v>8718.32966620009</v>
      </c>
      <c r="O140" s="95" t="n">
        <f aca="false">A140</f>
        <v>41091</v>
      </c>
      <c r="BD140" s="100" t="n">
        <f aca="false">(P140+R140+T140+V140+X140+Z140+AB140+AD140+AF140+AH140+AJ140+AL140+AN140+AP140+AR140+AT140+AV140+AX140+AZ140+BB140)</f>
        <v>0</v>
      </c>
      <c r="BE140" s="322" t="n">
        <f aca="false">IF(AND(BD140=0,BH140=0),0,(ABS(P140)*Q140+ABS(R140)*S140+ABS(T140)*U140+ABS(V140)*W140+ABS(X140)*Y140+ABS(Z140)*AA140+ABS(AB140)*AC140+ABS(AD140)*AE140+ABS(AF140)*AG140+ABS(AH140)*AI140+ABS(AJ140)*AK140+ABS(AL140)*AM140+ABS(AN140)*AO140+ABS(AP140)*AQ140+ABS(AR140)*AS140+ABS(AT140)*AU140+ABS(AV140)*AW140+ABS(AX140)*AY140+ABS(AZ140)*BA140+ABS(BB140)*BC140)/BH140)</f>
        <v>0</v>
      </c>
      <c r="BG140" s="103" t="n">
        <f aca="false">O140</f>
        <v>41091</v>
      </c>
      <c r="BH140" s="323" t="n">
        <f aca="false">(ABS(P140)+ABS(R140)+ABS(T140)+ABS(V140)+ABS(X140)+ABS(Z140)+ABS(AB140)+ABS(AD140)+ABS(AF140)+ABS(AH140)+ABS(AJ140)+ABS(AL140)+ABS(AN140)+ABS(AP140)+ABS(AR140)+ABS(AT140)+ABS(AV140)+ABS(AX140)+ABS(AZ140)+ABS(BB140))</f>
        <v>0</v>
      </c>
      <c r="BI140" s="104" t="n">
        <f aca="false">VLOOKUP(GasPosn!A140,'Pricing Summary'!$AB$12:$AD$250,3)</f>
        <v>31</v>
      </c>
      <c r="BJ140" s="102" t="n">
        <f aca="false">VLOOKUP(A140,Interest!$AF$8:$AK$367,6)</f>
        <v>0.558965605037761</v>
      </c>
      <c r="BL140" s="0" t="n">
        <f aca="false">J140*VLOOKUP(A140,NymexData!$J$12:$K$244,2)</f>
        <v>14151.2821565146</v>
      </c>
      <c r="BO140" s="0" t="n">
        <f aca="false">Interest!AK136</f>
        <v>0.558965605037761</v>
      </c>
      <c r="BP140" s="0" t="n">
        <f aca="false">G140*Interest!AK136</f>
        <v>2.50640177298932</v>
      </c>
      <c r="BQ140" s="0" t="n">
        <f aca="false">IF(AND(A140&gt;=$B$3,A140&lt;=$B$4),1,0)</f>
        <v>0</v>
      </c>
      <c r="BR140" s="0" t="n">
        <f aca="false">BO140*BQ140</f>
        <v>0</v>
      </c>
      <c r="BS140" s="0" t="n">
        <f aca="false">BP140*BQ140</f>
        <v>0</v>
      </c>
    </row>
    <row r="141" customFormat="false" ht="18" hidden="false" customHeight="false" outlineLevel="0" collapsed="false">
      <c r="A141" s="112" t="n">
        <f aca="false">[2]EnergyCurve!$D163</f>
        <v>41122</v>
      </c>
      <c r="B141" s="324" t="n">
        <f aca="false" t="array" ref="B141:B141">SUM(IF(MONTH(NymexData!$AI$12:$AI$250)&amp;YEAR(NymexData!$AI$12:$AI$250)=MONTH(A141)&amp;YEAR(A141),NymexData!$AJ$12:$AJ$250))</f>
        <v>-39.40631502</v>
      </c>
      <c r="C141" s="325" t="n">
        <f aca="false">BD141*BJ141*BI141</f>
        <v>0</v>
      </c>
      <c r="D141" s="326" t="n">
        <f aca="false">C141+B141</f>
        <v>-39.40631502</v>
      </c>
      <c r="E141" s="327" t="n">
        <f aca="false" t="array" ref="E141:E141">SUM(IF(MONTH(NymexData!$S$12:$S$250)&amp;YEAR(NymexData!$S$12:$S$250)=MONTH(A141)&amp;YEAR(A141),NymexData!$T$12:$T$250))</f>
        <v>4.544</v>
      </c>
      <c r="F141" s="327" t="n">
        <f aca="false">G141-E141</f>
        <v>-0.0220000000000002</v>
      </c>
      <c r="G141" s="328" t="n">
        <f aca="false" t="array" ref="G141:G141">IF(NymexData!$AA$12="",GasPosn!E141,SUM(IF(MONTH(NymexData!$AA$12:$AA$250)&amp;YEAR(NymexData!$AA$12:$AA$250)=MONTH(A141)&amp;YEAR(A141),NymexData!$AB$12:$AB$250)))</f>
        <v>4.522</v>
      </c>
      <c r="H141" s="115" t="n">
        <f aca="false">B141*10000*F141</f>
        <v>8669.3893044001</v>
      </c>
      <c r="I141" s="119" t="n">
        <f aca="false">(((G141-Q141)*P141+(G141-S141)*R141+(G141-U141)*T141+(G141-W141)*V141+(G141-Y141)*X141+(G141-AA141)*Z141+(G141-AC141)*AB141+(G141-AE141)*AD141+(G141-AG141)*AF141+(G141-AI141)*AH141+(G141-AK141)*AJ141+(G141-AM141)*AL141+(G141-AO141)*AN141+(G141-AQ141)*AP141+(G141-AS141)*AR141+(G141-AU141)*AT141+(G141-AW141)*AV141+(G141-AY141)*AX141+(G141-BA141)*AZ141+(G141-BC141)*BB141)*BJ141*BI141)*10000</f>
        <v>0</v>
      </c>
      <c r="J141" s="119" t="n">
        <f aca="false">H141+I141</f>
        <v>8669.3893044001</v>
      </c>
      <c r="O141" s="95" t="n">
        <f aca="false">A141</f>
        <v>41122</v>
      </c>
      <c r="BD141" s="100" t="n">
        <f aca="false">(P141+R141+T141+V141+X141+Z141+AB141+AD141+AF141+AH141+AJ141+AL141+AN141+AP141+AR141+AT141+AV141+AX141+AZ141+BB141)</f>
        <v>0</v>
      </c>
      <c r="BE141" s="322" t="n">
        <f aca="false">IF(AND(BD141=0,BH141=0),0,(ABS(P141)*Q141+ABS(R141)*S141+ABS(T141)*U141+ABS(V141)*W141+ABS(X141)*Y141+ABS(Z141)*AA141+ABS(AB141)*AC141+ABS(AD141)*AE141+ABS(AF141)*AG141+ABS(AH141)*AI141+ABS(AJ141)*AK141+ABS(AL141)*AM141+ABS(AN141)*AO141+ABS(AP141)*AQ141+ABS(AR141)*AS141+ABS(AT141)*AU141+ABS(AV141)*AW141+ABS(AX141)*AY141+ABS(AZ141)*BA141+ABS(BB141)*BC141)/BH141)</f>
        <v>0</v>
      </c>
      <c r="BG141" s="103" t="n">
        <f aca="false">O141</f>
        <v>41122</v>
      </c>
      <c r="BH141" s="323" t="n">
        <f aca="false">(ABS(P141)+ABS(R141)+ABS(T141)+ABS(V141)+ABS(X141)+ABS(Z141)+ABS(AB141)+ABS(AD141)+ABS(AF141)+ABS(AH141)+ABS(AJ141)+ABS(AL141)+ABS(AN141)+ABS(AP141)+ABS(AR141)+ABS(AT141)+ABS(AV141)+ABS(AX141)+ABS(AZ141)+ABS(BB141))</f>
        <v>0</v>
      </c>
      <c r="BI141" s="104" t="n">
        <f aca="false">VLOOKUP(GasPosn!A141,'Pricing Summary'!$AB$12:$AD$250,3)</f>
        <v>31</v>
      </c>
      <c r="BJ141" s="102" t="n">
        <f aca="false">VLOOKUP(A141,Interest!$AF$8:$AK$367,6)</f>
        <v>0.556069988563726</v>
      </c>
      <c r="BL141" s="0" t="n">
        <f aca="false">J141*VLOOKUP(A141,NymexData!$J$12:$K$244,2)</f>
        <v>14078.8918570585</v>
      </c>
      <c r="BO141" s="0" t="n">
        <f aca="false">Interest!AK137</f>
        <v>0.556069988563726</v>
      </c>
      <c r="BP141" s="0" t="n">
        <f aca="false">G141*Interest!AK137</f>
        <v>2.51454848828517</v>
      </c>
      <c r="BQ141" s="0" t="n">
        <f aca="false">IF(AND(A141&gt;=$B$3,A141&lt;=$B$4),1,0)</f>
        <v>0</v>
      </c>
      <c r="BR141" s="0" t="n">
        <f aca="false">BO141*BQ141</f>
        <v>0</v>
      </c>
      <c r="BS141" s="0" t="n">
        <f aca="false">BP141*BQ141</f>
        <v>0</v>
      </c>
    </row>
    <row r="142" customFormat="false" ht="18" hidden="false" customHeight="false" outlineLevel="0" collapsed="false">
      <c r="A142" s="75" t="n">
        <f aca="false">[2]EnergyCurve!$D164</f>
        <v>41153</v>
      </c>
      <c r="B142" s="317" t="n">
        <f aca="false" t="array" ref="B142:B142">SUM(IF(MONTH(NymexData!$AI$12:$AI$250)&amp;YEAR(NymexData!$AI$12:$AI$250)=MONTH(A142)&amp;YEAR(A142),NymexData!$AJ$12:$AJ$250))</f>
        <v>-37.92059876</v>
      </c>
      <c r="C142" s="317" t="n">
        <f aca="false">BD142*BJ142*BI142</f>
        <v>0</v>
      </c>
      <c r="D142" s="319" t="n">
        <f aca="false">C142+B142</f>
        <v>-37.92059876</v>
      </c>
      <c r="E142" s="320" t="n">
        <f aca="false" t="array" ref="E142:E142">SUM(IF(MONTH(NymexData!$S$12:$S$250)&amp;YEAR(NymexData!$S$12:$S$250)=MONTH(A142)&amp;YEAR(A142),NymexData!$T$12:$T$250))</f>
        <v>4.538</v>
      </c>
      <c r="F142" s="320" t="n">
        <f aca="false">G142-E142</f>
        <v>-0.0220000000000002</v>
      </c>
      <c r="G142" s="321" t="n">
        <f aca="false" t="array" ref="G142:G142">IF(NymexData!$AA$12="",GasPosn!E142,SUM(IF(MONTH(NymexData!$AA$12:$AA$250)&amp;YEAR(NymexData!$AA$12:$AA$250)=MONTH(A142)&amp;YEAR(A142),NymexData!$AB$12:$AB$250)))</f>
        <v>4.516</v>
      </c>
      <c r="H142" s="76" t="n">
        <f aca="false">B142*10000*F142</f>
        <v>8342.53172720009</v>
      </c>
      <c r="I142" s="82" t="n">
        <f aca="false">(((G142-Q142)*P142+(G142-S142)*R142+(G142-U142)*T142+(G142-W142)*V142+(G142-Y142)*X142+(G142-AA142)*Z142+(G142-AC142)*AB142+(G142-AE142)*AD142+(G142-AG142)*AF142+(G142-AI142)*AH142+(G142-AK142)*AJ142+(G142-AM142)*AL142+(G142-AO142)*AN142+(G142-AQ142)*AP142+(G142-AS142)*AR142+(G142-AU142)*AT142+(G142-AW142)*AV142+(G142-AY142)*AX142+(G142-BA142)*AZ142+(G142-BC142)*BB142)*BJ142*BI142)*10000</f>
        <v>0</v>
      </c>
      <c r="J142" s="82" t="n">
        <f aca="false">H142+I142</f>
        <v>8342.53172720009</v>
      </c>
      <c r="O142" s="95" t="n">
        <f aca="false">A142</f>
        <v>41153</v>
      </c>
      <c r="BD142" s="100" t="n">
        <f aca="false">(P142+R142+T142+V142+X142+Z142+AB142+AD142+AF142+AH142+AJ142+AL142+AN142+AP142+AR142+AT142+AV142+AX142+AZ142+BB142)</f>
        <v>0</v>
      </c>
      <c r="BE142" s="322" t="n">
        <f aca="false">IF(AND(BD142=0,BH142=0),0,(ABS(P142)*Q142+ABS(R142)*S142+ABS(T142)*U142+ABS(V142)*W142+ABS(X142)*Y142+ABS(Z142)*AA142+ABS(AB142)*AC142+ABS(AD142)*AE142+ABS(AF142)*AG142+ABS(AH142)*AI142+ABS(AJ142)*AK142+ABS(AL142)*AM142+ABS(AN142)*AO142+ABS(AP142)*AQ142+ABS(AR142)*AS142+ABS(AT142)*AU142+ABS(AV142)*AW142+ABS(AX142)*AY142+ABS(AZ142)*BA142+ABS(BB142)*BC142)/BH142)</f>
        <v>0</v>
      </c>
      <c r="BG142" s="103" t="n">
        <f aca="false">O142</f>
        <v>41153</v>
      </c>
      <c r="BH142" s="323" t="n">
        <f aca="false">(ABS(P142)+ABS(R142)+ABS(T142)+ABS(V142)+ABS(X142)+ABS(Z142)+ABS(AB142)+ABS(AD142)+ABS(AF142)+ABS(AH142)+ABS(AJ142)+ABS(AL142)+ABS(AN142)+ABS(AP142)+ABS(AR142)+ABS(AT142)+ABS(AV142)+ABS(AX142)+ABS(AZ142)+ABS(BB142))</f>
        <v>0</v>
      </c>
      <c r="BI142" s="104" t="n">
        <f aca="false">VLOOKUP(GasPosn!A142,'Pricing Summary'!$AB$12:$AD$250,3)</f>
        <v>30</v>
      </c>
      <c r="BJ142" s="102" t="n">
        <f aca="false">VLOOKUP(A142,Interest!$AF$8:$AK$367,6)</f>
        <v>0.553265983935656</v>
      </c>
      <c r="BL142" s="0" t="n">
        <f aca="false">J142*VLOOKUP(A142,NymexData!$J$12:$K$244,2)</f>
        <v>13554.921650047</v>
      </c>
      <c r="BO142" s="0" t="n">
        <f aca="false">Interest!AK138</f>
        <v>0.553265983935656</v>
      </c>
      <c r="BP142" s="0" t="n">
        <f aca="false">G142*Interest!AK138</f>
        <v>2.49854918345342</v>
      </c>
      <c r="BQ142" s="0" t="n">
        <f aca="false">IF(AND(A142&gt;=$B$3,A142&lt;=$B$4),1,0)</f>
        <v>0</v>
      </c>
      <c r="BR142" s="0" t="n">
        <f aca="false">BO142*BQ142</f>
        <v>0</v>
      </c>
      <c r="BS142" s="0" t="n">
        <f aca="false">BP142*BQ142</f>
        <v>0</v>
      </c>
    </row>
    <row r="143" customFormat="false" ht="18" hidden="false" customHeight="false" outlineLevel="0" collapsed="false">
      <c r="A143" s="112" t="n">
        <f aca="false">[2]EnergyCurve!$D165</f>
        <v>41183</v>
      </c>
      <c r="B143" s="324" t="n">
        <f aca="false" t="array" ref="B143:B143">SUM(IF(MONTH(NymexData!$AI$12:$AI$250)&amp;YEAR(NymexData!$AI$12:$AI$250)=MONTH(A143)&amp;YEAR(A143),NymexData!$AJ$12:$AJ$250))</f>
        <v>-38.97079863</v>
      </c>
      <c r="C143" s="325" t="n">
        <f aca="false">BD143*BJ143*BI143</f>
        <v>0</v>
      </c>
      <c r="D143" s="326" t="n">
        <f aca="false">C143+B143</f>
        <v>-38.97079863</v>
      </c>
      <c r="E143" s="327" t="n">
        <f aca="false" t="array" ref="E143:E143">SUM(IF(MONTH(NymexData!$S$12:$S$250)&amp;YEAR(NymexData!$S$12:$S$250)=MONTH(A143)&amp;YEAR(A143),NymexData!$T$12:$T$250))</f>
        <v>4.538</v>
      </c>
      <c r="F143" s="327" t="n">
        <f aca="false">G143-E143</f>
        <v>-0.0220000000000002</v>
      </c>
      <c r="G143" s="328" t="n">
        <f aca="false" t="array" ref="G143:G143">IF(NymexData!$AA$12="",GasPosn!E143,SUM(IF(MONTH(NymexData!$AA$12:$AA$250)&amp;YEAR(NymexData!$AA$12:$AA$250)=MONTH(A143)&amp;YEAR(A143),NymexData!$AB$12:$AB$250)))</f>
        <v>4.516</v>
      </c>
      <c r="H143" s="115" t="n">
        <f aca="false">B143*10000*F143</f>
        <v>8573.57569860009</v>
      </c>
      <c r="I143" s="119" t="n">
        <f aca="false">(((G143-Q143)*P143+(G143-S143)*R143+(G143-U143)*T143+(G143-W143)*V143+(G143-Y143)*X143+(G143-AA143)*Z143+(G143-AC143)*AB143+(G143-AE143)*AD143+(G143-AG143)*AF143+(G143-AI143)*AH143+(G143-AK143)*AJ143+(G143-AM143)*AL143+(G143-AO143)*AN143+(G143-AQ143)*AP143+(G143-AS143)*AR143+(G143-AU143)*AT143+(G143-AW143)*AV143+(G143-AY143)*AX143+(G143-BA143)*AZ143+(G143-BC143)*BB143)*BJ143*BI143)*10000</f>
        <v>0</v>
      </c>
      <c r="J143" s="119" t="n">
        <f aca="false">H143+I143</f>
        <v>8573.57569860009</v>
      </c>
      <c r="O143" s="95" t="n">
        <f aca="false">A143</f>
        <v>41183</v>
      </c>
      <c r="BD143" s="100" t="n">
        <f aca="false">(P143+R143+T143+V143+X143+Z143+AB143+AD143+AF143+AH143+AJ143+AL143+AN143+AP143+AR143+AT143+AV143+AX143+AZ143+BB143)</f>
        <v>0</v>
      </c>
      <c r="BE143" s="322" t="n">
        <f aca="false">IF(AND(BD143=0,BH143=0),0,(ABS(P143)*Q143+ABS(R143)*S143+ABS(T143)*U143+ABS(V143)*W143+ABS(X143)*Y143+ABS(Z143)*AA143+ABS(AB143)*AC143+ABS(AD143)*AE143+ABS(AF143)*AG143+ABS(AH143)*AI143+ABS(AJ143)*AK143+ABS(AL143)*AM143+ABS(AN143)*AO143+ABS(AP143)*AQ143+ABS(AR143)*AS143+ABS(AT143)*AU143+ABS(AV143)*AW143+ABS(AX143)*AY143+ABS(AZ143)*BA143+ABS(BB143)*BC143)/BH143)</f>
        <v>0</v>
      </c>
      <c r="BG143" s="103" t="n">
        <f aca="false">O143</f>
        <v>41183</v>
      </c>
      <c r="BH143" s="323" t="n">
        <f aca="false">(ABS(P143)+ABS(R143)+ABS(T143)+ABS(V143)+ABS(X143)+ABS(Z143)+ABS(AB143)+ABS(AD143)+ABS(AF143)+ABS(AH143)+ABS(AJ143)+ABS(AL143)+ABS(AN143)+ABS(AP143)+ABS(AR143)+ABS(AT143)+ABS(AV143)+ABS(AX143)+ABS(AZ143)+ABS(BB143))</f>
        <v>0</v>
      </c>
      <c r="BI143" s="104" t="n">
        <f aca="false">VLOOKUP(GasPosn!A143,'Pricing Summary'!$AB$12:$AD$250,3)</f>
        <v>31</v>
      </c>
      <c r="BJ143" s="102" t="n">
        <f aca="false">VLOOKUP(A143,Interest!$AF$8:$AK$367,6)</f>
        <v>0.550400505095534</v>
      </c>
      <c r="BL143" s="0" t="n">
        <f aca="false">J143*VLOOKUP(A143,NymexData!$J$12:$K$244,2)</f>
        <v>13937.17872805</v>
      </c>
      <c r="BO143" s="0" t="n">
        <f aca="false">Interest!AK139</f>
        <v>0.550400505095534</v>
      </c>
      <c r="BP143" s="0" t="n">
        <f aca="false">G143*Interest!AK139</f>
        <v>2.48560868101143</v>
      </c>
      <c r="BQ143" s="0" t="n">
        <f aca="false">IF(AND(A143&gt;=$B$3,A143&lt;=$B$4),1,0)</f>
        <v>0</v>
      </c>
      <c r="BR143" s="0" t="n">
        <f aca="false">BO143*BQ143</f>
        <v>0</v>
      </c>
      <c r="BS143" s="0" t="n">
        <f aca="false">BP143*BQ143</f>
        <v>0</v>
      </c>
    </row>
    <row r="144" customFormat="false" ht="18" hidden="false" customHeight="false" outlineLevel="0" collapsed="false">
      <c r="A144" s="75" t="n">
        <f aca="false">[2]EnergyCurve!$D166</f>
        <v>41214</v>
      </c>
      <c r="B144" s="317" t="n">
        <f aca="false" t="array" ref="B144:B144">SUM(IF(MONTH(NymexData!$AI$12:$AI$250)&amp;YEAR(NymexData!$AI$12:$AI$250)=MONTH(A144)&amp;YEAR(A144),NymexData!$AJ$12:$AJ$250))</f>
        <v>-37.50058186</v>
      </c>
      <c r="C144" s="317" t="n">
        <f aca="false">BD144*BJ144*BI144</f>
        <v>0</v>
      </c>
      <c r="D144" s="319" t="n">
        <f aca="false">C144+B144</f>
        <v>-37.50058186</v>
      </c>
      <c r="E144" s="320" t="n">
        <f aca="false" t="array" ref="E144:E144">SUM(IF(MONTH(NymexData!$S$12:$S$250)&amp;YEAR(NymexData!$S$12:$S$250)=MONTH(A144)&amp;YEAR(A144),NymexData!$T$12:$T$250))</f>
        <v>4.686</v>
      </c>
      <c r="F144" s="320" t="n">
        <f aca="false">G144-E144</f>
        <v>-0.0209999999999999</v>
      </c>
      <c r="G144" s="321" t="n">
        <f aca="false" t="array" ref="G144:G144">IF(NymexData!$AA$12="",GasPosn!E144,SUM(IF(MONTH(NymexData!$AA$12:$AA$250)&amp;YEAR(NymexData!$AA$12:$AA$250)=MONTH(A144)&amp;YEAR(A144),NymexData!$AB$12:$AB$250)))</f>
        <v>4.665</v>
      </c>
      <c r="H144" s="76" t="n">
        <f aca="false">B144*10000*F144</f>
        <v>7875.12219059996</v>
      </c>
      <c r="I144" s="82" t="n">
        <f aca="false">(((G144-Q144)*P144+(G144-S144)*R144+(G144-U144)*T144+(G144-W144)*V144+(G144-Y144)*X144+(G144-AA144)*Z144+(G144-AC144)*AB144+(G144-AE144)*AD144+(G144-AG144)*AF144+(G144-AI144)*AH144+(G144-AK144)*AJ144+(G144-AM144)*AL144+(G144-AO144)*AN144+(G144-AQ144)*AP144+(G144-AS144)*AR144+(G144-AU144)*AT144+(G144-AW144)*AV144+(G144-AY144)*AX144+(G144-BA144)*AZ144+(G144-BC144)*BB144)*BJ144*BI144)*10000</f>
        <v>0</v>
      </c>
      <c r="J144" s="82" t="n">
        <f aca="false">H144+I144</f>
        <v>7875.12219059996</v>
      </c>
      <c r="O144" s="95" t="n">
        <f aca="false">A144</f>
        <v>41214</v>
      </c>
      <c r="BD144" s="100" t="n">
        <f aca="false">(P144+R144+T144+V144+X144+Z144+AB144+AD144+AF144+AH144+AJ144+AL144+AN144+AP144+AR144+AT144+AV144+AX144+AZ144+BB144)</f>
        <v>0</v>
      </c>
      <c r="BE144" s="322" t="n">
        <f aca="false">IF(AND(BD144=0,BH144=0),0,(ABS(P144)*Q144+ABS(R144)*S144+ABS(T144)*U144+ABS(V144)*W144+ABS(X144)*Y144+ABS(Z144)*AA144+ABS(AB144)*AC144+ABS(AD144)*AE144+ABS(AF144)*AG144+ABS(AH144)*AI144+ABS(AJ144)*AK144+ABS(AL144)*AM144+ABS(AN144)*AO144+ABS(AP144)*AQ144+ABS(AR144)*AS144+ABS(AT144)*AU144+ABS(AV144)*AW144+ABS(AX144)*AY144+ABS(AZ144)*BA144+ABS(BB144)*BC144)/BH144)</f>
        <v>0</v>
      </c>
      <c r="BG144" s="103" t="n">
        <f aca="false">O144</f>
        <v>41214</v>
      </c>
      <c r="BH144" s="323" t="n">
        <f aca="false">(ABS(P144)+ABS(R144)+ABS(T144)+ABS(V144)+ABS(X144)+ABS(Z144)+ABS(AB144)+ABS(AD144)+ABS(AF144)+ABS(AH144)+ABS(AJ144)+ABS(AL144)+ABS(AN144)+ABS(AP144)+ABS(AR144)+ABS(AT144)+ABS(AV144)+ABS(AX144)+ABS(AZ144)+ABS(BB144))</f>
        <v>0</v>
      </c>
      <c r="BI144" s="104" t="n">
        <f aca="false">VLOOKUP(GasPosn!A144,'Pricing Summary'!$AB$12:$AD$250,3)</f>
        <v>30</v>
      </c>
      <c r="BJ144" s="102" t="n">
        <f aca="false">VLOOKUP(A144,Interest!$AF$8:$AK$367,6)</f>
        <v>0.54761494192026</v>
      </c>
      <c r="BL144" s="0" t="n">
        <f aca="false">J144*VLOOKUP(A144,NymexData!$J$12:$K$244,2)</f>
        <v>12808.3365808075</v>
      </c>
      <c r="BO144" s="0" t="n">
        <f aca="false">Interest!AK140</f>
        <v>0.54761494192026</v>
      </c>
      <c r="BP144" s="0" t="n">
        <f aca="false">G144*Interest!AK140</f>
        <v>2.55462370405801</v>
      </c>
      <c r="BQ144" s="0" t="n">
        <f aca="false">IF(AND(A144&gt;=$B$3,A144&lt;=$B$4),1,0)</f>
        <v>0</v>
      </c>
      <c r="BR144" s="0" t="n">
        <f aca="false">BO144*BQ144</f>
        <v>0</v>
      </c>
      <c r="BS144" s="0" t="n">
        <f aca="false">BP144*BQ144</f>
        <v>0</v>
      </c>
    </row>
    <row r="145" customFormat="false" ht="18" hidden="false" customHeight="false" outlineLevel="0" collapsed="false">
      <c r="A145" s="112" t="n">
        <f aca="false">[2]EnergyCurve!$D167</f>
        <v>41244</v>
      </c>
      <c r="B145" s="324" t="n">
        <f aca="false" t="array" ref="B145:B145">SUM(IF(MONTH(NymexData!$AI$12:$AI$250)&amp;YEAR(NymexData!$AI$12:$AI$250)=MONTH(A145)&amp;YEAR(A145),NymexData!$AJ$12:$AJ$250))</f>
        <v>-38.53823405</v>
      </c>
      <c r="C145" s="325" t="n">
        <f aca="false">BD145*BJ145*BI145</f>
        <v>0</v>
      </c>
      <c r="D145" s="326" t="n">
        <f aca="false">C145+B145</f>
        <v>-38.53823405</v>
      </c>
      <c r="E145" s="327" t="n">
        <f aca="false" t="array" ref="E145:E145">SUM(IF(MONTH(NymexData!$S$12:$S$250)&amp;YEAR(NymexData!$S$12:$S$250)=MONTH(A145)&amp;YEAR(A145),NymexData!$T$12:$T$250))</f>
        <v>4.838</v>
      </c>
      <c r="F145" s="327" t="n">
        <f aca="false">G145-E145</f>
        <v>-0.0209999999999999</v>
      </c>
      <c r="G145" s="328" t="n">
        <f aca="false" t="array" ref="G145:G145">IF(NymexData!$AA$12="",GasPosn!E145,SUM(IF(MONTH(NymexData!$AA$12:$AA$250)&amp;YEAR(NymexData!$AA$12:$AA$250)=MONTH(A145)&amp;YEAR(A145),NymexData!$AB$12:$AB$250)))</f>
        <v>4.817</v>
      </c>
      <c r="H145" s="115" t="n">
        <f aca="false">B145*10000*F145</f>
        <v>8093.02915049996</v>
      </c>
      <c r="I145" s="119" t="n">
        <f aca="false">(((G145-Q145)*P145+(G145-S145)*R145+(G145-U145)*T145+(G145-W145)*V145+(G145-Y145)*X145+(G145-AA145)*Z145+(G145-AC145)*AB145+(G145-AE145)*AD145+(G145-AG145)*AF145+(G145-AI145)*AH145+(G145-AK145)*AJ145+(G145-AM145)*AL145+(G145-AO145)*AN145+(G145-AQ145)*AP145+(G145-AS145)*AR145+(G145-AU145)*AT145+(G145-AW145)*AV145+(G145-AY145)*AX145+(G145-BA145)*AZ145+(G145-BC145)*BB145)*BJ145*BI145)*10000</f>
        <v>0</v>
      </c>
      <c r="J145" s="119" t="n">
        <f aca="false">H145+I145</f>
        <v>8093.02915049996</v>
      </c>
      <c r="O145" s="95" t="n">
        <f aca="false">A145</f>
        <v>41244</v>
      </c>
      <c r="BD145" s="100" t="n">
        <f aca="false">(P145+R145+T145+V145+X145+Z145+AB145+AD145+AF145+AH145+AJ145+AL145+AN145+AP145+AR145+AT145+AV145+AX145+AZ145+BB145)</f>
        <v>0</v>
      </c>
      <c r="BE145" s="322" t="n">
        <f aca="false">IF(AND(BD145=0,BH145=0),0,(ABS(P145)*Q145+ABS(R145)*S145+ABS(T145)*U145+ABS(V145)*W145+ABS(X145)*Y145+ABS(Z145)*AA145+ABS(AB145)*AC145+ABS(AD145)*AE145+ABS(AF145)*AG145+ABS(AH145)*AI145+ABS(AJ145)*AK145+ABS(AL145)*AM145+ABS(AN145)*AO145+ABS(AP145)*AQ145+ABS(AR145)*AS145+ABS(AT145)*AU145+ABS(AV145)*AW145+ABS(AX145)*AY145+ABS(AZ145)*BA145+ABS(BB145)*BC145)/BH145)</f>
        <v>0</v>
      </c>
      <c r="BG145" s="103" t="n">
        <f aca="false">O145</f>
        <v>41244</v>
      </c>
      <c r="BH145" s="323" t="n">
        <f aca="false">(ABS(P145)+ABS(R145)+ABS(T145)+ABS(V145)+ABS(X145)+ABS(Z145)+ABS(AB145)+ABS(AD145)+ABS(AF145)+ABS(AH145)+ABS(AJ145)+ABS(AL145)+ABS(AN145)+ABS(AP145)+ABS(AR145)+ABS(AT145)+ABS(AV145)+ABS(AX145)+ABS(AZ145)+ABS(BB145))</f>
        <v>0</v>
      </c>
      <c r="BI145" s="104" t="n">
        <f aca="false">VLOOKUP(GasPosn!A145,'Pricing Summary'!$AB$12:$AD$250,3)</f>
        <v>31</v>
      </c>
      <c r="BJ145" s="102" t="n">
        <f aca="false">VLOOKUP(A145,Interest!$AF$8:$AK$367,6)</f>
        <v>0.544768636408614</v>
      </c>
      <c r="BL145" s="0" t="n">
        <f aca="false">J145*VLOOKUP(A145,NymexData!$J$12:$K$244,2)</f>
        <v>13169.3255830303</v>
      </c>
      <c r="BO145" s="0" t="n">
        <f aca="false">Interest!AK141</f>
        <v>0.544768636408614</v>
      </c>
      <c r="BP145" s="0" t="n">
        <f aca="false">G145*Interest!AK141</f>
        <v>2.62415052158029</v>
      </c>
      <c r="BQ145" s="0" t="n">
        <f aca="false">IF(AND(A145&gt;=$B$3,A145&lt;=$B$4),1,0)</f>
        <v>0</v>
      </c>
      <c r="BR145" s="0" t="n">
        <f aca="false">BO145*BQ145</f>
        <v>0</v>
      </c>
      <c r="BS145" s="0" t="n">
        <f aca="false">BP145*BQ145</f>
        <v>0</v>
      </c>
    </row>
    <row r="146" customFormat="false" ht="18" hidden="false" customHeight="false" outlineLevel="0" collapsed="false">
      <c r="A146" s="75" t="n">
        <f aca="false">[2]EnergyCurve!$D168</f>
        <v>41275</v>
      </c>
      <c r="B146" s="317" t="n">
        <f aca="false" t="array" ref="B146:B146">SUM(IF(MONTH(NymexData!$AI$12:$AI$250)&amp;YEAR(NymexData!$AI$12:$AI$250)=MONTH(A146)&amp;YEAR(A146),NymexData!$AJ$12:$AJ$250))</f>
        <v>-38.31954026</v>
      </c>
      <c r="C146" s="317" t="n">
        <f aca="false">BD146*BJ146*BI146</f>
        <v>0</v>
      </c>
      <c r="D146" s="319" t="n">
        <f aca="false">C146+B146</f>
        <v>-38.31954026</v>
      </c>
      <c r="E146" s="320" t="n">
        <f aca="false" t="array" ref="E146:E146">SUM(IF(MONTH(NymexData!$S$12:$S$250)&amp;YEAR(NymexData!$S$12:$S$250)=MONTH(A146)&amp;YEAR(A146),NymexData!$T$12:$T$250))</f>
        <v>4.9105</v>
      </c>
      <c r="F146" s="320" t="n">
        <f aca="false">G146-E146</f>
        <v>-0.016</v>
      </c>
      <c r="G146" s="321" t="n">
        <f aca="false" t="array" ref="G146:G146">IF(NymexData!$AA$12="",GasPosn!E146,SUM(IF(MONTH(NymexData!$AA$12:$AA$250)&amp;YEAR(NymexData!$AA$12:$AA$250)=MONTH(A146)&amp;YEAR(A146),NymexData!$AB$12:$AB$250)))</f>
        <v>4.8945</v>
      </c>
      <c r="H146" s="76" t="n">
        <f aca="false">B146*10000*F146</f>
        <v>6131.12644160001</v>
      </c>
      <c r="I146" s="82" t="n">
        <f aca="false">(((G146-Q146)*P146+(G146-S146)*R146+(G146-U146)*T146+(G146-W146)*V146+(G146-Y146)*X146+(G146-AA146)*Z146+(G146-AC146)*AB146+(G146-AE146)*AD146+(G146-AG146)*AF146+(G146-AI146)*AH146+(G146-AK146)*AJ146+(G146-AM146)*AL146+(G146-AO146)*AN146+(G146-AQ146)*AP146+(G146-AS146)*AR146+(G146-AU146)*AT146+(G146-AW146)*AV146+(G146-AY146)*AX146+(G146-BA146)*AZ146+(G146-BC146)*BB146)*BJ146*BI146)*10000</f>
        <v>0</v>
      </c>
      <c r="J146" s="82" t="n">
        <f aca="false">H146+I146</f>
        <v>6131.12644160001</v>
      </c>
      <c r="O146" s="95" t="n">
        <f aca="false">A146</f>
        <v>41275</v>
      </c>
      <c r="BD146" s="100" t="n">
        <f aca="false">(P146+R146+T146+V146+X146+Z146+AB146+AD146+AF146+AH146+AJ146+AL146+AN146+AP146+AR146+AT146+AV146+AX146+AZ146+BB146)</f>
        <v>0</v>
      </c>
      <c r="BE146" s="322" t="n">
        <f aca="false">IF(AND(BD146=0,BH146=0),0,(ABS(P146)*Q146+ABS(R146)*S146+ABS(T146)*U146+ABS(V146)*W146+ABS(X146)*Y146+ABS(Z146)*AA146+ABS(AB146)*AC146+ABS(AD146)*AE146+ABS(AF146)*AG146+ABS(AH146)*AI146+ABS(AJ146)*AK146+ABS(AL146)*AM146+ABS(AN146)*AO146+ABS(AP146)*AQ146+ABS(AR146)*AS146+ABS(AT146)*AU146+ABS(AV146)*AW146+ABS(AX146)*AY146+ABS(AZ146)*BA146+ABS(BB146)*BC146)/BH146)</f>
        <v>0</v>
      </c>
      <c r="BG146" s="103" t="n">
        <f aca="false">O146</f>
        <v>41275</v>
      </c>
      <c r="BH146" s="323" t="n">
        <f aca="false">(ABS(P146)+ABS(R146)+ABS(T146)+ABS(V146)+ABS(X146)+ABS(Z146)+ABS(AB146)+ABS(AD146)+ABS(AF146)+ABS(AH146)+ABS(AJ146)+ABS(AL146)+ABS(AN146)+ABS(AP146)+ABS(AR146)+ABS(AT146)+ABS(AV146)+ABS(AX146)+ABS(AZ146)+ABS(BB146))</f>
        <v>0</v>
      </c>
      <c r="BI146" s="104" t="n">
        <f aca="false">VLOOKUP(GasPosn!A146,'Pricing Summary'!$AB$12:$AD$250,3)</f>
        <v>31</v>
      </c>
      <c r="BJ146" s="102" t="n">
        <f aca="false">VLOOKUP(A146,Interest!$AF$8:$AK$367,6)</f>
        <v>0.541920964783682</v>
      </c>
      <c r="BL146" s="0" t="n">
        <f aca="false">J146*VLOOKUP(A146,NymexData!$J$12:$K$244,2)</f>
        <v>9982.02424766086</v>
      </c>
      <c r="BO146" s="0" t="n">
        <f aca="false">Interest!AK142</f>
        <v>0.541920964783682</v>
      </c>
      <c r="BP146" s="0" t="n">
        <f aca="false">G146*Interest!AK142</f>
        <v>2.65243216213373</v>
      </c>
      <c r="BQ146" s="0" t="n">
        <f aca="false">IF(AND(A146&gt;=$B$3,A146&lt;=$B$4),1,0)</f>
        <v>0</v>
      </c>
      <c r="BR146" s="0" t="n">
        <f aca="false">BO146*BQ146</f>
        <v>0</v>
      </c>
      <c r="BS146" s="0" t="n">
        <f aca="false">BP146*BQ146</f>
        <v>0</v>
      </c>
    </row>
    <row r="147" customFormat="false" ht="18" hidden="false" customHeight="false" outlineLevel="0" collapsed="false">
      <c r="A147" s="112" t="n">
        <f aca="false">[2]EnergyCurve!$D169</f>
        <v>41306</v>
      </c>
      <c r="B147" s="324" t="n">
        <f aca="false" t="array" ref="B147:B147">SUM(IF(MONTH(NymexData!$AI$12:$AI$250)&amp;YEAR(NymexData!$AI$12:$AI$250)=MONTH(A147)&amp;YEAR(A147),NymexData!$AJ$12:$AJ$250))</f>
        <v>-34.41435948</v>
      </c>
      <c r="C147" s="325" t="n">
        <f aca="false">BD147*BJ147*BI147</f>
        <v>0</v>
      </c>
      <c r="D147" s="326" t="n">
        <f aca="false">C147+B147</f>
        <v>-34.41435948</v>
      </c>
      <c r="E147" s="327" t="n">
        <f aca="false" t="array" ref="E147:E147">SUM(IF(MONTH(NymexData!$S$12:$S$250)&amp;YEAR(NymexData!$S$12:$S$250)=MONTH(A147)&amp;YEAR(A147),NymexData!$T$12:$T$250))</f>
        <v>4.8235</v>
      </c>
      <c r="F147" s="327" t="n">
        <f aca="false">G147-E147</f>
        <v>-0.0169999999999995</v>
      </c>
      <c r="G147" s="328" t="n">
        <f aca="false" t="array" ref="G147:G147">IF(NymexData!$AA$12="",GasPosn!E147,SUM(IF(MONTH(NymexData!$AA$12:$AA$250)&amp;YEAR(NymexData!$AA$12:$AA$250)=MONTH(A147)&amp;YEAR(A147),NymexData!$AB$12:$AB$250)))</f>
        <v>4.8065</v>
      </c>
      <c r="H147" s="115" t="n">
        <f aca="false">B147*10000*F147</f>
        <v>5850.44111159982</v>
      </c>
      <c r="I147" s="119" t="n">
        <f aca="false">(((G147-Q147)*P147+(G147-S147)*R147+(G147-U147)*T147+(G147-W147)*V147+(G147-Y147)*X147+(G147-AA147)*Z147+(G147-AC147)*AB147+(G147-AE147)*AD147+(G147-AG147)*AF147+(G147-AI147)*AH147+(G147-AK147)*AJ147+(G147-AM147)*AL147+(G147-AO147)*AN147+(G147-AQ147)*AP147+(G147-AS147)*AR147+(G147-AU147)*AT147+(G147-AW147)*AV147+(G147-AY147)*AX147+(G147-BA147)*AZ147+(G147-BC147)*BB147)*BJ147*BI147)*10000</f>
        <v>0</v>
      </c>
      <c r="J147" s="119" t="n">
        <f aca="false">H147+I147</f>
        <v>5850.44111159982</v>
      </c>
      <c r="O147" s="95" t="n">
        <f aca="false">A147</f>
        <v>41306</v>
      </c>
      <c r="BD147" s="100" t="n">
        <f aca="false">(P147+R147+T147+V147+X147+Z147+AB147+AD147+AF147+AH147+AJ147+AL147+AN147+AP147+AR147+AT147+AV147+AX147+AZ147+BB147)</f>
        <v>0</v>
      </c>
      <c r="BE147" s="322" t="n">
        <f aca="false">IF(AND(BD147=0,BH147=0),0,(ABS(P147)*Q147+ABS(R147)*S147+ABS(T147)*U147+ABS(V147)*W147+ABS(X147)*Y147+ABS(Z147)*AA147+ABS(AB147)*AC147+ABS(AD147)*AE147+ABS(AF147)*AG147+ABS(AH147)*AI147+ABS(AJ147)*AK147+ABS(AL147)*AM147+ABS(AN147)*AO147+ABS(AP147)*AQ147+ABS(AR147)*AS147+ABS(AT147)*AU147+ABS(AV147)*AW147+ABS(AX147)*AY147+ABS(AZ147)*BA147+ABS(BB147)*BC147)/BH147)</f>
        <v>0</v>
      </c>
      <c r="BG147" s="103" t="n">
        <f aca="false">O147</f>
        <v>41306</v>
      </c>
      <c r="BH147" s="323" t="n">
        <f aca="false">(ABS(P147)+ABS(R147)+ABS(T147)+ABS(V147)+ABS(X147)+ABS(Z147)+ABS(AB147)+ABS(AD147)+ABS(AF147)+ABS(AH147)+ABS(AJ147)+ABS(AL147)+ABS(AN147)+ABS(AP147)+ABS(AR147)+ABS(AT147)+ABS(AV147)+ABS(AX147)+ABS(AZ147)+ABS(BB147))</f>
        <v>0</v>
      </c>
      <c r="BI147" s="104" t="n">
        <f aca="false">VLOOKUP(GasPosn!A147,'Pricing Summary'!$AB$12:$AD$250,3)</f>
        <v>28</v>
      </c>
      <c r="BJ147" s="102" t="n">
        <f aca="false">VLOOKUP(A147,Interest!$AF$8:$AK$367,6)</f>
        <v>0.539323746724873</v>
      </c>
      <c r="BL147" s="0" t="n">
        <f aca="false">J147*VLOOKUP(A147,NymexData!$J$12:$K$244,2)</f>
        <v>9530.03707516639</v>
      </c>
      <c r="BO147" s="0" t="n">
        <f aca="false">Interest!AK143</f>
        <v>0.539323746724873</v>
      </c>
      <c r="BP147" s="0" t="n">
        <f aca="false">G147*Interest!AK143</f>
        <v>2.5922595886331</v>
      </c>
      <c r="BQ147" s="0" t="n">
        <f aca="false">IF(AND(A147&gt;=$B$3,A147&lt;=$B$4),1,0)</f>
        <v>0</v>
      </c>
      <c r="BR147" s="0" t="n">
        <f aca="false">BO147*BQ147</f>
        <v>0</v>
      </c>
      <c r="BS147" s="0" t="n">
        <f aca="false">BP147*BQ147</f>
        <v>0</v>
      </c>
    </row>
    <row r="148" customFormat="false" ht="18" hidden="false" customHeight="false" outlineLevel="0" collapsed="false">
      <c r="A148" s="75" t="n">
        <f aca="false">[2]EnergyCurve!$D170</f>
        <v>41334</v>
      </c>
      <c r="B148" s="317" t="n">
        <f aca="false" t="array" ref="B148:B148">SUM(IF(MONTH(NymexData!$AI$12:$AI$250)&amp;YEAR(NymexData!$AI$12:$AI$250)=MONTH(A148)&amp;YEAR(A148),NymexData!$AJ$12:$AJ$250))</f>
        <v>-37.90543324</v>
      </c>
      <c r="C148" s="317" t="n">
        <f aca="false">BD148*BJ148*BI148</f>
        <v>0</v>
      </c>
      <c r="D148" s="319" t="n">
        <f aca="false">C148+B148</f>
        <v>-37.90543324</v>
      </c>
      <c r="E148" s="320" t="n">
        <f aca="false" t="array" ref="E148:E148">SUM(IF(MONTH(NymexData!$S$12:$S$250)&amp;YEAR(NymexData!$S$12:$S$250)=MONTH(A148)&amp;YEAR(A148),NymexData!$T$12:$T$250))</f>
        <v>4.6845</v>
      </c>
      <c r="F148" s="320" t="n">
        <f aca="false">G148-E148</f>
        <v>-0.0169999999999995</v>
      </c>
      <c r="G148" s="321" t="n">
        <f aca="false" t="array" ref="G148:G148">IF(NymexData!$AA$12="",GasPosn!E148,SUM(IF(MONTH(NymexData!$AA$12:$AA$250)&amp;YEAR(NymexData!$AA$12:$AA$250)=MONTH(A148)&amp;YEAR(A148),NymexData!$AB$12:$AB$250)))</f>
        <v>4.6675</v>
      </c>
      <c r="H148" s="76" t="n">
        <f aca="false">B148*10000*F148</f>
        <v>6443.9236507998</v>
      </c>
      <c r="I148" s="82" t="n">
        <f aca="false">(((G148-Q148)*P148+(G148-S148)*R148+(G148-U148)*T148+(G148-W148)*V148+(G148-Y148)*X148+(G148-AA148)*Z148+(G148-AC148)*AB148+(G148-AE148)*AD148+(G148-AG148)*AF148+(G148-AI148)*AH148+(G148-AK148)*AJ148+(G148-AM148)*AL148+(G148-AO148)*AN148+(G148-AQ148)*AP148+(G148-AS148)*AR148+(G148-AU148)*AT148+(G148-AW148)*AV148+(G148-AY148)*AX148+(G148-BA148)*AZ148+(G148-BC148)*BB148)*BJ148*BI148)*10000</f>
        <v>0</v>
      </c>
      <c r="J148" s="82" t="n">
        <f aca="false">H148+I148</f>
        <v>6443.9236507998</v>
      </c>
      <c r="O148" s="95" t="n">
        <f aca="false">A148</f>
        <v>41334</v>
      </c>
      <c r="BD148" s="100" t="n">
        <f aca="false">(P148+R148+T148+V148+X148+Z148+AB148+AD148+AF148+AH148+AJ148+AL148+AN148+AP148+AR148+AT148+AV148+AX148+AZ148+BB148)</f>
        <v>0</v>
      </c>
      <c r="BE148" s="322" t="n">
        <f aca="false">IF(AND(BD148=0,BH148=0),0,(ABS(P148)*Q148+ABS(R148)*S148+ABS(T148)*U148+ABS(V148)*W148+ABS(X148)*Y148+ABS(Z148)*AA148+ABS(AB148)*AC148+ABS(AD148)*AE148+ABS(AF148)*AG148+ABS(AH148)*AI148+ABS(AJ148)*AK148+ABS(AL148)*AM148+ABS(AN148)*AO148+ABS(AP148)*AQ148+ABS(AR148)*AS148+ABS(AT148)*AU148+ABS(AV148)*AW148+ABS(AX148)*AY148+ABS(AZ148)*BA148+ABS(BB148)*BC148)/BH148)</f>
        <v>0</v>
      </c>
      <c r="BG148" s="103" t="n">
        <f aca="false">O148</f>
        <v>41334</v>
      </c>
      <c r="BH148" s="323" t="n">
        <f aca="false">(ABS(P148)+ABS(R148)+ABS(T148)+ABS(V148)+ABS(X148)+ABS(Z148)+ABS(AB148)+ABS(AD148)+ABS(AF148)+ABS(AH148)+ABS(AJ148)+ABS(AL148)+ABS(AN148)+ABS(AP148)+ABS(AR148)+ABS(AT148)+ABS(AV148)+ABS(AX148)+ABS(AZ148)+ABS(BB148))</f>
        <v>0</v>
      </c>
      <c r="BI148" s="104" t="n">
        <f aca="false">VLOOKUP(GasPosn!A148,'Pricing Summary'!$AB$12:$AD$250,3)</f>
        <v>31</v>
      </c>
      <c r="BJ148" s="102" t="n">
        <f aca="false">VLOOKUP(A148,Interest!$AF$8:$AK$367,6)</f>
        <v>0.536528077814848</v>
      </c>
      <c r="BL148" s="0" t="n">
        <f aca="false">J148*VLOOKUP(A148,NymexData!$J$12:$K$244,2)</f>
        <v>10501.7925985806</v>
      </c>
      <c r="BO148" s="0" t="n">
        <f aca="false">Interest!AK144</f>
        <v>0.536528077814848</v>
      </c>
      <c r="BP148" s="0" t="n">
        <f aca="false">G148*Interest!AK144</f>
        <v>2.50424480320081</v>
      </c>
      <c r="BQ148" s="0" t="n">
        <f aca="false">IF(AND(A148&gt;=$B$3,A148&lt;=$B$4),1,0)</f>
        <v>0</v>
      </c>
      <c r="BR148" s="0" t="n">
        <f aca="false">BO148*BQ148</f>
        <v>0</v>
      </c>
      <c r="BS148" s="0" t="n">
        <f aca="false">BP148*BQ148</f>
        <v>0</v>
      </c>
    </row>
    <row r="149" customFormat="false" ht="18" hidden="false" customHeight="false" outlineLevel="0" collapsed="false">
      <c r="A149" s="112" t="n">
        <f aca="false">[2]EnergyCurve!$D171</f>
        <v>41365</v>
      </c>
      <c r="B149" s="324" t="n">
        <f aca="false" t="array" ref="B149:B149">SUM(IF(MONTH(NymexData!$AI$12:$AI$250)&amp;YEAR(NymexData!$AI$12:$AI$250)=MONTH(A149)&amp;YEAR(A149),NymexData!$AJ$12:$AJ$250))</f>
        <v>-36.47319264</v>
      </c>
      <c r="C149" s="325" t="n">
        <f aca="false">BD149*BJ149*BI149</f>
        <v>0</v>
      </c>
      <c r="D149" s="326" t="n">
        <f aca="false">C149+B149</f>
        <v>-36.47319264</v>
      </c>
      <c r="E149" s="327" t="n">
        <f aca="false" t="array" ref="E149:E149">SUM(IF(MONTH(NymexData!$S$12:$S$250)&amp;YEAR(NymexData!$S$12:$S$250)=MONTH(A149)&amp;YEAR(A149),NymexData!$T$12:$T$250))</f>
        <v>4.5305</v>
      </c>
      <c r="F149" s="327" t="n">
        <f aca="false">G149-E149</f>
        <v>-0.0169999999999995</v>
      </c>
      <c r="G149" s="328" t="n">
        <f aca="false" t="array" ref="G149:G149">IF(NymexData!$AA$12="",GasPosn!E149,SUM(IF(MONTH(NymexData!$AA$12:$AA$250)&amp;YEAR(NymexData!$AA$12:$AA$250)=MONTH(A149)&amp;YEAR(A149),NymexData!$AB$12:$AB$250)))</f>
        <v>4.5135</v>
      </c>
      <c r="H149" s="115" t="n">
        <f aca="false">B149*10000*F149</f>
        <v>6200.4427487998</v>
      </c>
      <c r="I149" s="119" t="n">
        <f aca="false">(((G149-Q149)*P149+(G149-S149)*R149+(G149-U149)*T149+(G149-W149)*V149+(G149-Y149)*X149+(G149-AA149)*Z149+(G149-AC149)*AB149+(G149-AE149)*AD149+(G149-AG149)*AF149+(G149-AI149)*AH149+(G149-AK149)*AJ149+(G149-AM149)*AL149+(G149-AO149)*AN149+(G149-AQ149)*AP149+(G149-AS149)*AR149+(G149-AU149)*AT149+(G149-AW149)*AV149+(G149-AY149)*AX149+(G149-BA149)*AZ149+(G149-BC149)*BB149)*BJ149*BI149)*10000</f>
        <v>0</v>
      </c>
      <c r="J149" s="119" t="n">
        <f aca="false">H149+I149</f>
        <v>6200.4427487998</v>
      </c>
      <c r="O149" s="95" t="n">
        <f aca="false">A149</f>
        <v>41365</v>
      </c>
      <c r="BD149" s="100" t="n">
        <f aca="false">(P149+R149+T149+V149+X149+Z149+AB149+AD149+AF149+AH149+AJ149+AL149+AN149+AP149+AR149+AT149+AV149+AX149+AZ149+BB149)</f>
        <v>0</v>
      </c>
      <c r="BE149" s="322" t="n">
        <f aca="false">IF(AND(BD149=0,BH149=0),0,(ABS(P149)*Q149+ABS(R149)*S149+ABS(T149)*U149+ABS(V149)*W149+ABS(X149)*Y149+ABS(Z149)*AA149+ABS(AB149)*AC149+ABS(AD149)*AE149+ABS(AF149)*AG149+ABS(AH149)*AI149+ABS(AJ149)*AK149+ABS(AL149)*AM149+ABS(AN149)*AO149+ABS(AP149)*AQ149+ABS(AR149)*AS149+ABS(AT149)*AU149+ABS(AV149)*AW149+ABS(AX149)*AY149+ABS(AZ149)*BA149+ABS(BB149)*BC149)/BH149)</f>
        <v>0</v>
      </c>
      <c r="BG149" s="103" t="n">
        <f aca="false">O149</f>
        <v>41365</v>
      </c>
      <c r="BH149" s="323" t="n">
        <f aca="false">(ABS(P149)+ABS(R149)+ABS(T149)+ABS(V149)+ABS(X149)+ABS(Z149)+ABS(AB149)+ABS(AD149)+ABS(AF149)+ABS(AH149)+ABS(AJ149)+ABS(AL149)+ABS(AN149)+ABS(AP149)+ABS(AR149)+ABS(AT149)+ABS(AV149)+ABS(AX149)+ABS(AZ149)+ABS(BB149))</f>
        <v>0</v>
      </c>
      <c r="BI149" s="104" t="n">
        <f aca="false">VLOOKUP(GasPosn!A149,'Pricing Summary'!$AB$12:$AD$250,3)</f>
        <v>30</v>
      </c>
      <c r="BJ149" s="102" t="n">
        <f aca="false">VLOOKUP(A149,Interest!$AF$8:$AK$367,6)</f>
        <v>0.533788241757078</v>
      </c>
      <c r="BL149" s="0" t="n">
        <f aca="false">J149*VLOOKUP(A149,NymexData!$J$12:$K$244,2)</f>
        <v>10110.3605007299</v>
      </c>
      <c r="BO149" s="0" t="n">
        <f aca="false">Interest!AK145</f>
        <v>0.533788241757078</v>
      </c>
      <c r="BP149" s="0" t="n">
        <f aca="false">G149*Interest!AK145</f>
        <v>2.40925322917057</v>
      </c>
      <c r="BQ149" s="0" t="n">
        <f aca="false">IF(AND(A149&gt;=$B$3,A149&lt;=$B$4),1,0)</f>
        <v>0</v>
      </c>
      <c r="BR149" s="0" t="n">
        <f aca="false">BO149*BQ149</f>
        <v>0</v>
      </c>
      <c r="BS149" s="0" t="n">
        <f aca="false">BP149*BQ149</f>
        <v>0</v>
      </c>
    </row>
    <row r="150" customFormat="false" ht="18" hidden="false" customHeight="false" outlineLevel="0" collapsed="false">
      <c r="A150" s="75" t="n">
        <f aca="false">[2]EnergyCurve!$D172</f>
        <v>41395</v>
      </c>
      <c r="B150" s="317" t="n">
        <f aca="false" t="array" ref="B150:B150">SUM(IF(MONTH(NymexData!$AI$12:$AI$250)&amp;YEAR(NymexData!$AI$12:$AI$250)=MONTH(A150)&amp;YEAR(A150),NymexData!$AJ$12:$AJ$250))</f>
        <v>-37.48021309</v>
      </c>
      <c r="C150" s="317" t="n">
        <f aca="false">BD150*BJ150*BI150</f>
        <v>0</v>
      </c>
      <c r="D150" s="319" t="n">
        <f aca="false">C150+B150</f>
        <v>-37.48021309</v>
      </c>
      <c r="E150" s="320" t="n">
        <f aca="false" t="array" ref="E150:E150">SUM(IF(MONTH(NymexData!$S$12:$S$250)&amp;YEAR(NymexData!$S$12:$S$250)=MONTH(A150)&amp;YEAR(A150),NymexData!$T$12:$T$250))</f>
        <v>4.5355</v>
      </c>
      <c r="F150" s="320" t="n">
        <f aca="false">G150-E150</f>
        <v>-0.0169999999999995</v>
      </c>
      <c r="G150" s="321" t="n">
        <f aca="false" t="array" ref="G150:G150">IF(NymexData!$AA$12="",GasPosn!E150,SUM(IF(MONTH(NymexData!$AA$12:$AA$250)&amp;YEAR(NymexData!$AA$12:$AA$250)=MONTH(A150)&amp;YEAR(A150),NymexData!$AB$12:$AB$250)))</f>
        <v>4.5185</v>
      </c>
      <c r="H150" s="76" t="n">
        <f aca="false">B150*10000*F150</f>
        <v>6371.6362252998</v>
      </c>
      <c r="I150" s="82" t="n">
        <f aca="false">(((G150-Q150)*P150+(G150-S150)*R150+(G150-U150)*T150+(G150-W150)*V150+(G150-Y150)*X150+(G150-AA150)*Z150+(G150-AC150)*AB150+(G150-AE150)*AD150+(G150-AG150)*AF150+(G150-AI150)*AH150+(G150-AK150)*AJ150+(G150-AM150)*AL150+(G150-AO150)*AN150+(G150-AQ150)*AP150+(G150-AS150)*AR150+(G150-AU150)*AT150+(G150-AW150)*AV150+(G150-AY150)*AX150+(G150-BA150)*AZ150+(G150-BC150)*BB150)*BJ150*BI150)*10000</f>
        <v>0</v>
      </c>
      <c r="J150" s="82" t="n">
        <f aca="false">H150+I150</f>
        <v>6371.6362252998</v>
      </c>
      <c r="O150" s="95" t="n">
        <f aca="false">A150</f>
        <v>41395</v>
      </c>
      <c r="BD150" s="100" t="n">
        <f aca="false">(P150+R150+T150+V150+X150+Z150+AB150+AD150+AF150+AH150+AJ150+AL150+AN150+AP150+AR150+AT150+AV150+AX150+AZ150+BB150)</f>
        <v>0</v>
      </c>
      <c r="BE150" s="322" t="n">
        <f aca="false">IF(AND(BD150=0,BH150=0),0,(ABS(P150)*Q150+ABS(R150)*S150+ABS(T150)*U150+ABS(V150)*W150+ABS(X150)*Y150+ABS(Z150)*AA150+ABS(AB150)*AC150+ABS(AD150)*AE150+ABS(AF150)*AG150+ABS(AH150)*AI150+ABS(AJ150)*AK150+ABS(AL150)*AM150+ABS(AN150)*AO150+ABS(AP150)*AQ150+ABS(AR150)*AS150+ABS(AT150)*AU150+ABS(AV150)*AW150+ABS(AX150)*AY150+ABS(AZ150)*BA150+ABS(BB150)*BC150)/BH150)</f>
        <v>0</v>
      </c>
      <c r="BG150" s="103" t="n">
        <f aca="false">O150</f>
        <v>41395</v>
      </c>
      <c r="BH150" s="323" t="n">
        <f aca="false">(ABS(P150)+ABS(R150)+ABS(T150)+ABS(V150)+ABS(X150)+ABS(Z150)+ABS(AB150)+ABS(AD150)+ABS(AF150)+ABS(AH150)+ABS(AJ150)+ABS(AL150)+ABS(AN150)+ABS(AP150)+ABS(AR150)+ABS(AT150)+ABS(AV150)+ABS(AX150)+ABS(AZ150)+ABS(BB150))</f>
        <v>0</v>
      </c>
      <c r="BI150" s="104" t="n">
        <f aca="false">VLOOKUP(GasPosn!A150,'Pricing Summary'!$AB$12:$AD$250,3)</f>
        <v>31</v>
      </c>
      <c r="BJ150" s="102" t="n">
        <f aca="false">VLOOKUP(A150,Interest!$AF$8:$AK$367,6)</f>
        <v>0.530989449438108</v>
      </c>
      <c r="BL150" s="0" t="n">
        <f aca="false">J150*VLOOKUP(A150,NymexData!$J$12:$K$244,2)</f>
        <v>10394.8920269639</v>
      </c>
      <c r="BO150" s="0" t="n">
        <f aca="false">Interest!AK146</f>
        <v>0.530989449438108</v>
      </c>
      <c r="BP150" s="0" t="n">
        <f aca="false">G150*Interest!AK146</f>
        <v>2.39927582728609</v>
      </c>
      <c r="BQ150" s="0" t="n">
        <f aca="false">IF(AND(A150&gt;=$B$3,A150&lt;=$B$4),1,0)</f>
        <v>0</v>
      </c>
      <c r="BR150" s="0" t="n">
        <f aca="false">BO150*BQ150</f>
        <v>0</v>
      </c>
      <c r="BS150" s="0" t="n">
        <f aca="false">BP150*BQ150</f>
        <v>0</v>
      </c>
    </row>
    <row r="151" customFormat="false" ht="18" hidden="false" customHeight="false" outlineLevel="0" collapsed="false">
      <c r="A151" s="112" t="n">
        <f aca="false">[2]EnergyCurve!$D173</f>
        <v>41426</v>
      </c>
      <c r="B151" s="324" t="n">
        <f aca="false" t="array" ref="B151:B151">SUM(IF(MONTH(NymexData!$AI$12:$AI$250)&amp;YEAR(NymexData!$AI$12:$AI$250)=MONTH(A151)&amp;YEAR(A151),NymexData!$AJ$12:$AJ$250))</f>
        <v>-36.06315436</v>
      </c>
      <c r="C151" s="325" t="n">
        <f aca="false">BD151*BJ151*BI151</f>
        <v>0</v>
      </c>
      <c r="D151" s="326" t="n">
        <f aca="false">C151+B151</f>
        <v>-36.06315436</v>
      </c>
      <c r="E151" s="327" t="n">
        <f aca="false" t="array" ref="E151:E151">SUM(IF(MONTH(NymexData!$S$12:$S$250)&amp;YEAR(NymexData!$S$12:$S$250)=MONTH(A151)&amp;YEAR(A151),NymexData!$T$12:$T$250))</f>
        <v>4.5735</v>
      </c>
      <c r="F151" s="327" t="n">
        <f aca="false">G151-E151</f>
        <v>-0.0169999999999995</v>
      </c>
      <c r="G151" s="328" t="n">
        <f aca="false" t="array" ref="G151:G151">IF(NymexData!$AA$12="",GasPosn!E151,SUM(IF(MONTH(NymexData!$AA$12:$AA$250)&amp;YEAR(NymexData!$AA$12:$AA$250)=MONTH(A151)&amp;YEAR(A151),NymexData!$AB$12:$AB$250)))</f>
        <v>4.5565</v>
      </c>
      <c r="H151" s="115" t="n">
        <f aca="false">B151*10000*F151</f>
        <v>6130.73624119981</v>
      </c>
      <c r="I151" s="119" t="n">
        <f aca="false">(((G151-Q151)*P151+(G151-S151)*R151+(G151-U151)*T151+(G151-W151)*V151+(G151-Y151)*X151+(G151-AA151)*Z151+(G151-AC151)*AB151+(G151-AE151)*AD151+(G151-AG151)*AF151+(G151-AI151)*AH151+(G151-AK151)*AJ151+(G151-AM151)*AL151+(G151-AO151)*AN151+(G151-AQ151)*AP151+(G151-AS151)*AR151+(G151-AU151)*AT151+(G151-AW151)*AV151+(G151-AY151)*AX151+(G151-BA151)*AZ151+(G151-BC151)*BB151)*BJ151*BI151)*10000</f>
        <v>0</v>
      </c>
      <c r="J151" s="119" t="n">
        <f aca="false">H151+I151</f>
        <v>6130.73624119981</v>
      </c>
      <c r="O151" s="95" t="n">
        <f aca="false">A151</f>
        <v>41426</v>
      </c>
      <c r="BD151" s="100" t="n">
        <f aca="false">(P151+R151+T151+V151+X151+Z151+AB151+AD151+AF151+AH151+AJ151+AL151+AN151+AP151+AR151+AT151+AV151+AX151+AZ151+BB151)</f>
        <v>0</v>
      </c>
      <c r="BE151" s="322" t="n">
        <f aca="false">IF(AND(BD151=0,BH151=0),0,(ABS(P151)*Q151+ABS(R151)*S151+ABS(T151)*U151+ABS(V151)*W151+ABS(X151)*Y151+ABS(Z151)*AA151+ABS(AB151)*AC151+ABS(AD151)*AE151+ABS(AF151)*AG151+ABS(AH151)*AI151+ABS(AJ151)*AK151+ABS(AL151)*AM151+ABS(AN151)*AO151+ABS(AP151)*AQ151+ABS(AR151)*AS151+ABS(AT151)*AU151+ABS(AV151)*AW151+ABS(AX151)*AY151+ABS(AZ151)*BA151+ABS(BB151)*BC151)/BH151)</f>
        <v>0</v>
      </c>
      <c r="BG151" s="103" t="n">
        <f aca="false">O151</f>
        <v>41426</v>
      </c>
      <c r="BH151" s="323" t="n">
        <f aca="false">(ABS(P151)+ABS(R151)+ABS(T151)+ABS(V151)+ABS(X151)+ABS(Z151)+ABS(AB151)+ABS(AD151)+ABS(AF151)+ABS(AH151)+ABS(AJ151)+ABS(AL151)+ABS(AN151)+ABS(AP151)+ABS(AR151)+ABS(AT151)+ABS(AV151)+ABS(AX151)+ABS(AZ151)+ABS(BB151))</f>
        <v>0</v>
      </c>
      <c r="BI151" s="104" t="n">
        <f aca="false">VLOOKUP(GasPosn!A151,'Pricing Summary'!$AB$12:$AD$250,3)</f>
        <v>30</v>
      </c>
      <c r="BJ151" s="102" t="n">
        <f aca="false">VLOOKUP(A151,Interest!$AF$8:$AK$367,6)</f>
        <v>0.528268111157513</v>
      </c>
      <c r="BL151" s="0" t="n">
        <f aca="false">J151*VLOOKUP(A151,NymexData!$J$12:$K$244,2)</f>
        <v>10007.2764852244</v>
      </c>
      <c r="BO151" s="0" t="n">
        <f aca="false">Interest!AK147</f>
        <v>0.528268111157513</v>
      </c>
      <c r="BP151" s="0" t="n">
        <f aca="false">G151*Interest!AK147</f>
        <v>2.40705364848921</v>
      </c>
      <c r="BQ151" s="0" t="n">
        <f aca="false">IF(AND(A151&gt;=$B$3,A151&lt;=$B$4),1,0)</f>
        <v>0</v>
      </c>
      <c r="BR151" s="0" t="n">
        <f aca="false">BO151*BQ151</f>
        <v>0</v>
      </c>
      <c r="BS151" s="0" t="n">
        <f aca="false">BP151*BQ151</f>
        <v>0</v>
      </c>
    </row>
    <row r="152" customFormat="false" ht="18" hidden="false" customHeight="false" outlineLevel="0" collapsed="false">
      <c r="A152" s="75" t="n">
        <f aca="false">[2]EnergyCurve!$D174</f>
        <v>41456</v>
      </c>
      <c r="B152" s="317" t="n">
        <f aca="false" t="array" ref="B152:B152">SUM(IF(MONTH(NymexData!$AI$12:$AI$250)&amp;YEAR(NymexData!$AI$12:$AI$250)=MONTH(A152)&amp;YEAR(A152),NymexData!$AJ$12:$AJ$250))</f>
        <v>-37.05797375</v>
      </c>
      <c r="C152" s="317" t="n">
        <f aca="false">BD152*BJ152*BI152</f>
        <v>0</v>
      </c>
      <c r="D152" s="319" t="n">
        <f aca="false">C152+B152</f>
        <v>-37.05797375</v>
      </c>
      <c r="E152" s="320" t="n">
        <f aca="false" t="array" ref="E152:E152">SUM(IF(MONTH(NymexData!$S$12:$S$250)&amp;YEAR(NymexData!$S$12:$S$250)=MONTH(A152)&amp;YEAR(A152),NymexData!$T$12:$T$250))</f>
        <v>4.6185</v>
      </c>
      <c r="F152" s="320" t="n">
        <f aca="false">G152-E152</f>
        <v>-0.0169999999999995</v>
      </c>
      <c r="G152" s="321" t="n">
        <f aca="false" t="array" ref="G152:G152">IF(NymexData!$AA$12="",GasPosn!E152,SUM(IF(MONTH(NymexData!$AA$12:$AA$250)&amp;YEAR(NymexData!$AA$12:$AA$250)=MONTH(A152)&amp;YEAR(A152),NymexData!$AB$12:$AB$250)))</f>
        <v>4.6015</v>
      </c>
      <c r="H152" s="76" t="n">
        <f aca="false">B152*10000*F152</f>
        <v>6299.8555374998</v>
      </c>
      <c r="I152" s="82" t="n">
        <f aca="false">(((G152-Q152)*P152+(G152-S152)*R152+(G152-U152)*T152+(G152-W152)*V152+(G152-Y152)*X152+(G152-AA152)*Z152+(G152-AC152)*AB152+(G152-AE152)*AD152+(G152-AG152)*AF152+(G152-AI152)*AH152+(G152-AK152)*AJ152+(G152-AM152)*AL152+(G152-AO152)*AN152+(G152-AQ152)*AP152+(G152-AS152)*AR152+(G152-AU152)*AT152+(G152-AW152)*AV152+(G152-AY152)*AX152+(G152-BA152)*AZ152+(G152-BC152)*BB152)*BJ152*BI152)*10000</f>
        <v>0</v>
      </c>
      <c r="J152" s="82" t="n">
        <f aca="false">H152+I152</f>
        <v>6299.8555374998</v>
      </c>
      <c r="O152" s="95" t="n">
        <f aca="false">A152</f>
        <v>41456</v>
      </c>
      <c r="BD152" s="100" t="n">
        <f aca="false">(P152+R152+T152+V152+X152+Z152+AB152+AD152+AF152+AH152+AJ152+AL152+AN152+AP152+AR152+AT152+AV152+AX152+AZ152+BB152)</f>
        <v>0</v>
      </c>
      <c r="BE152" s="322" t="n">
        <f aca="false">IF(AND(BD152=0,BH152=0),0,(ABS(P152)*Q152+ABS(R152)*S152+ABS(T152)*U152+ABS(V152)*W152+ABS(X152)*Y152+ABS(Z152)*AA152+ABS(AB152)*AC152+ABS(AD152)*AE152+ABS(AF152)*AG152+ABS(AH152)*AI152+ABS(AJ152)*AK152+ABS(AL152)*AM152+ABS(AN152)*AO152+ABS(AP152)*AQ152+ABS(AR152)*AS152+ABS(AT152)*AU152+ABS(AV152)*AW152+ABS(AX152)*AY152+ABS(AZ152)*BA152+ABS(BB152)*BC152)/BH152)</f>
        <v>0</v>
      </c>
      <c r="BG152" s="103" t="n">
        <f aca="false">O152</f>
        <v>41456</v>
      </c>
      <c r="BH152" s="323" t="n">
        <f aca="false">(ABS(P152)+ABS(R152)+ABS(T152)+ABS(V152)+ABS(X152)+ABS(Z152)+ABS(AB152)+ABS(AD152)+ABS(AF152)+ABS(AH152)+ABS(AJ152)+ABS(AL152)+ABS(AN152)+ABS(AP152)+ABS(AR152)+ABS(AT152)+ABS(AV152)+ABS(AX152)+ABS(AZ152)+ABS(BB152))</f>
        <v>0</v>
      </c>
      <c r="BI152" s="104" t="n">
        <f aca="false">VLOOKUP(GasPosn!A152,'Pricing Summary'!$AB$12:$AD$250,3)</f>
        <v>31</v>
      </c>
      <c r="BJ152" s="102" t="n">
        <f aca="false">VLOOKUP(A152,Interest!$AF$8:$AK$367,6)</f>
        <v>0.525488527813888</v>
      </c>
      <c r="BL152" s="0" t="n">
        <f aca="false">J152*VLOOKUP(A152,NymexData!$J$12:$K$244,2)</f>
        <v>10288.7398691268</v>
      </c>
      <c r="BO152" s="0" t="n">
        <f aca="false">Interest!AK148</f>
        <v>0.525488527813888</v>
      </c>
      <c r="BP152" s="0" t="n">
        <f aca="false">G152*Interest!AK148</f>
        <v>2.41803546073561</v>
      </c>
      <c r="BQ152" s="0" t="n">
        <f aca="false">IF(AND(A152&gt;=$B$3,A152&lt;=$B$4),1,0)</f>
        <v>0</v>
      </c>
      <c r="BR152" s="0" t="n">
        <f aca="false">BO152*BQ152</f>
        <v>0</v>
      </c>
      <c r="BS152" s="0" t="n">
        <f aca="false">BP152*BQ152</f>
        <v>0</v>
      </c>
    </row>
    <row r="153" customFormat="false" ht="18" hidden="false" customHeight="false" outlineLevel="0" collapsed="false">
      <c r="A153" s="112" t="n">
        <f aca="false">[2]EnergyCurve!$D175</f>
        <v>41487</v>
      </c>
      <c r="B153" s="324" t="n">
        <f aca="false" t="array" ref="B153:B153">SUM(IF(MONTH(NymexData!$AI$12:$AI$250)&amp;YEAR(NymexData!$AI$12:$AI$250)=MONTH(A153)&amp;YEAR(A153),NymexData!$AJ$12:$AJ$250))</f>
        <v>-36.84453772</v>
      </c>
      <c r="C153" s="325" t="n">
        <f aca="false">BD153*BJ153*BI153</f>
        <v>0</v>
      </c>
      <c r="D153" s="326" t="n">
        <f aca="false">C153+B153</f>
        <v>-36.84453772</v>
      </c>
      <c r="E153" s="327" t="n">
        <f aca="false" t="array" ref="E153:E153">SUM(IF(MONTH(NymexData!$S$12:$S$250)&amp;YEAR(NymexData!$S$12:$S$250)=MONTH(A153)&amp;YEAR(A153),NymexData!$T$12:$T$250))</f>
        <v>4.6565</v>
      </c>
      <c r="F153" s="327" t="n">
        <f aca="false">G153-E153</f>
        <v>-0.0170000000000003</v>
      </c>
      <c r="G153" s="328" t="n">
        <f aca="false" t="array" ref="G153:G153">IF(NymexData!$AA$12="",GasPosn!E153,SUM(IF(MONTH(NymexData!$AA$12:$AA$250)&amp;YEAR(NymexData!$AA$12:$AA$250)=MONTH(A153)&amp;YEAR(A153),NymexData!$AB$12:$AB$250)))</f>
        <v>4.6395</v>
      </c>
      <c r="H153" s="115" t="n">
        <f aca="false">B153*10000*F153</f>
        <v>6263.57141240013</v>
      </c>
      <c r="I153" s="119" t="n">
        <f aca="false">(((G153-Q153)*P153+(G153-S153)*R153+(G153-U153)*T153+(G153-W153)*V153+(G153-Y153)*X153+(G153-AA153)*Z153+(G153-AC153)*AB153+(G153-AE153)*AD153+(G153-AG153)*AF153+(G153-AI153)*AH153+(G153-AK153)*AJ153+(G153-AM153)*AL153+(G153-AO153)*AN153+(G153-AQ153)*AP153+(G153-AS153)*AR153+(G153-AU153)*AT153+(G153-AW153)*AV153+(G153-AY153)*AX153+(G153-BA153)*AZ153+(G153-BC153)*BB153)*BJ153*BI153)*10000</f>
        <v>0</v>
      </c>
      <c r="J153" s="119" t="n">
        <f aca="false">H153+I153</f>
        <v>6263.57141240013</v>
      </c>
      <c r="O153" s="95" t="n">
        <f aca="false">A153</f>
        <v>41487</v>
      </c>
      <c r="BD153" s="100" t="n">
        <f aca="false">(P153+R153+T153+V153+X153+Z153+AB153+AD153+AF153+AH153+AJ153+AL153+AN153+AP153+AR153+AT153+AV153+AX153+AZ153+BB153)</f>
        <v>0</v>
      </c>
      <c r="BE153" s="322" t="n">
        <f aca="false">IF(AND(BD153=0,BH153=0),0,(ABS(P153)*Q153+ABS(R153)*S153+ABS(T153)*U153+ABS(V153)*W153+ABS(X153)*Y153+ABS(Z153)*AA153+ABS(AB153)*AC153+ABS(AD153)*AE153+ABS(AF153)*AG153+ABS(AH153)*AI153+ABS(AJ153)*AK153+ABS(AL153)*AM153+ABS(AN153)*AO153+ABS(AP153)*AQ153+ABS(AR153)*AS153+ABS(AT153)*AU153+ABS(AV153)*AW153+ABS(AX153)*AY153+ABS(AZ153)*BA153+ABS(BB153)*BC153)/BH153)</f>
        <v>0</v>
      </c>
      <c r="BG153" s="103" t="n">
        <f aca="false">O153</f>
        <v>41487</v>
      </c>
      <c r="BH153" s="323" t="n">
        <f aca="false">(ABS(P153)+ABS(R153)+ABS(T153)+ABS(V153)+ABS(X153)+ABS(Z153)+ABS(AB153)+ABS(AD153)+ABS(AF153)+ABS(AH153)+ABS(AJ153)+ABS(AL153)+ABS(AN153)+ABS(AP153)+ABS(AR153)+ABS(AT153)+ABS(AV153)+ABS(AX153)+ABS(AZ153)+ABS(BB153))</f>
        <v>0</v>
      </c>
      <c r="BI153" s="104" t="n">
        <f aca="false">VLOOKUP(GasPosn!A153,'Pricing Summary'!$AB$12:$AD$250,3)</f>
        <v>31</v>
      </c>
      <c r="BJ153" s="102" t="n">
        <f aca="false">VLOOKUP(A153,Interest!$AF$8:$AK$367,6)</f>
        <v>0.522707433296917</v>
      </c>
      <c r="BL153" s="0" t="n">
        <f aca="false">J153*VLOOKUP(A153,NymexData!$J$12:$K$244,2)</f>
        <v>10235.0802925569</v>
      </c>
      <c r="BO153" s="0" t="n">
        <f aca="false">Interest!AK149</f>
        <v>0.522707433296917</v>
      </c>
      <c r="BP153" s="0" t="n">
        <f aca="false">G153*Interest!AK149</f>
        <v>2.42510113678104</v>
      </c>
      <c r="BQ153" s="0" t="n">
        <f aca="false">IF(AND(A153&gt;=$B$3,A153&lt;=$B$4),1,0)</f>
        <v>0</v>
      </c>
      <c r="BR153" s="0" t="n">
        <f aca="false">BO153*BQ153</f>
        <v>0</v>
      </c>
      <c r="BS153" s="0" t="n">
        <f aca="false">BP153*BQ153</f>
        <v>0</v>
      </c>
    </row>
    <row r="154" customFormat="false" ht="18" hidden="false" customHeight="false" outlineLevel="0" collapsed="false">
      <c r="A154" s="75" t="n">
        <f aca="false">[2]EnergyCurve!$D176</f>
        <v>41518</v>
      </c>
      <c r="B154" s="317" t="n">
        <f aca="false" t="array" ref="B154:B154">SUM(IF(MONTH(NymexData!$AI$12:$AI$250)&amp;YEAR(NymexData!$AI$12:$AI$250)=MONTH(A154)&amp;YEAR(A154),NymexData!$AJ$12:$AJ$250))</f>
        <v>-35.45020089</v>
      </c>
      <c r="C154" s="317" t="n">
        <f aca="false">BD154*BJ154*BI154</f>
        <v>0</v>
      </c>
      <c r="D154" s="319" t="n">
        <f aca="false">C154+B154</f>
        <v>-35.45020089</v>
      </c>
      <c r="E154" s="320" t="n">
        <f aca="false" t="array" ref="E154:E154">SUM(IF(MONTH(NymexData!$S$12:$S$250)&amp;YEAR(NymexData!$S$12:$S$250)=MONTH(A154)&amp;YEAR(A154),NymexData!$T$12:$T$250))</f>
        <v>4.6505</v>
      </c>
      <c r="F154" s="320" t="n">
        <f aca="false">G154-E154</f>
        <v>-0.0169999999999995</v>
      </c>
      <c r="G154" s="321" t="n">
        <f aca="false" t="array" ref="G154:G154">IF(NymexData!$AA$12="",GasPosn!E154,SUM(IF(MONTH(NymexData!$AA$12:$AA$250)&amp;YEAR(NymexData!$AA$12:$AA$250)=MONTH(A154)&amp;YEAR(A154),NymexData!$AB$12:$AB$250)))</f>
        <v>4.6335</v>
      </c>
      <c r="H154" s="76" t="n">
        <f aca="false">B154*10000*F154</f>
        <v>6026.53415129981</v>
      </c>
      <c r="I154" s="82" t="n">
        <f aca="false">(((G154-Q154)*P154+(G154-S154)*R154+(G154-U154)*T154+(G154-W154)*V154+(G154-Y154)*X154+(G154-AA154)*Z154+(G154-AC154)*AB154+(G154-AE154)*AD154+(G154-AG154)*AF154+(G154-AI154)*AH154+(G154-AK154)*AJ154+(G154-AM154)*AL154+(G154-AO154)*AN154+(G154-AQ154)*AP154+(G154-AS154)*AR154+(G154-AU154)*AT154+(G154-AW154)*AV154+(G154-AY154)*AX154+(G154-BA154)*AZ154+(G154-BC154)*BB154)*BJ154*BI154)*10000</f>
        <v>0</v>
      </c>
      <c r="J154" s="82" t="n">
        <f aca="false">H154+I154</f>
        <v>6026.53415129981</v>
      </c>
      <c r="O154" s="95" t="n">
        <f aca="false">A154</f>
        <v>41518</v>
      </c>
      <c r="BD154" s="100" t="n">
        <f aca="false">(P154+R154+T154+V154+X154+Z154+AB154+AD154+AF154+AH154+AJ154+AL154+AN154+AP154+AR154+AT154+AV154+AX154+AZ154+BB154)</f>
        <v>0</v>
      </c>
      <c r="BE154" s="322" t="n">
        <f aca="false">IF(AND(BD154=0,BH154=0),0,(ABS(P154)*Q154+ABS(R154)*S154+ABS(T154)*U154+ABS(V154)*W154+ABS(X154)*Y154+ABS(Z154)*AA154+ABS(AB154)*AC154+ABS(AD154)*AE154+ABS(AF154)*AG154+ABS(AH154)*AI154+ABS(AJ154)*AK154+ABS(AL154)*AM154+ABS(AN154)*AO154+ABS(AP154)*AQ154+ABS(AR154)*AS154+ABS(AT154)*AU154+ABS(AV154)*AW154+ABS(AX154)*AY154+ABS(AZ154)*BA154+ABS(BB154)*BC154)/BH154)</f>
        <v>0</v>
      </c>
      <c r="BG154" s="103" t="n">
        <f aca="false">O154</f>
        <v>41518</v>
      </c>
      <c r="BH154" s="323" t="n">
        <f aca="false">(ABS(P154)+ABS(R154)+ABS(T154)+ABS(V154)+ABS(X154)+ABS(Z154)+ABS(AB154)+ABS(AD154)+ABS(AF154)+ABS(AH154)+ABS(AJ154)+ABS(AL154)+ABS(AN154)+ABS(AP154)+ABS(AR154)+ABS(AT154)+ABS(AV154)+ABS(AX154)+ABS(AZ154)+ABS(BB154))</f>
        <v>0</v>
      </c>
      <c r="BI154" s="104" t="n">
        <f aca="false">VLOOKUP(GasPosn!A154,'Pricing Summary'!$AB$12:$AD$250,3)</f>
        <v>30</v>
      </c>
      <c r="BJ154" s="102" t="n">
        <f aca="false">VLOOKUP(A154,Interest!$AF$8:$AK$367,6)</f>
        <v>0.520014013768834</v>
      </c>
      <c r="BL154" s="0" t="n">
        <f aca="false">J154*VLOOKUP(A154,NymexData!$J$12:$K$244,2)</f>
        <v>9853.1745896474</v>
      </c>
      <c r="BO154" s="0" t="n">
        <f aca="false">Interest!AK150</f>
        <v>0.520014013768834</v>
      </c>
      <c r="BP154" s="0" t="n">
        <f aca="false">G154*Interest!AK150</f>
        <v>2.40948493279789</v>
      </c>
      <c r="BQ154" s="0" t="n">
        <f aca="false">IF(AND(A154&gt;=$B$3,A154&lt;=$B$4),1,0)</f>
        <v>0</v>
      </c>
      <c r="BR154" s="0" t="n">
        <f aca="false">BO154*BQ154</f>
        <v>0</v>
      </c>
      <c r="BS154" s="0" t="n">
        <f aca="false">BP154*BQ154</f>
        <v>0</v>
      </c>
    </row>
    <row r="155" customFormat="false" ht="18" hidden="false" customHeight="false" outlineLevel="0" collapsed="false">
      <c r="A155" s="112" t="n">
        <f aca="false">[2]EnergyCurve!$D177</f>
        <v>41548</v>
      </c>
      <c r="B155" s="324" t="n">
        <f aca="false" t="array" ref="B155:B155">SUM(IF(MONTH(NymexData!$AI$12:$AI$250)&amp;YEAR(NymexData!$AI$12:$AI$250)=MONTH(A155)&amp;YEAR(A155),NymexData!$AJ$12:$AJ$250))</f>
        <v>-36.42680731</v>
      </c>
      <c r="C155" s="325" t="n">
        <f aca="false">BD155*BJ155*BI155</f>
        <v>0</v>
      </c>
      <c r="D155" s="326" t="n">
        <f aca="false">C155+B155</f>
        <v>-36.42680731</v>
      </c>
      <c r="E155" s="327" t="n">
        <f aca="false" t="array" ref="E155:E155">SUM(IF(MONTH(NymexData!$S$12:$S$250)&amp;YEAR(NymexData!$S$12:$S$250)=MONTH(A155)&amp;YEAR(A155),NymexData!$T$12:$T$250))</f>
        <v>4.6505</v>
      </c>
      <c r="F155" s="327" t="n">
        <f aca="false">G155-E155</f>
        <v>-0.0169999999999995</v>
      </c>
      <c r="G155" s="328" t="n">
        <f aca="false" t="array" ref="G155:G155">IF(NymexData!$AA$12="",GasPosn!E155,SUM(IF(MONTH(NymexData!$AA$12:$AA$250)&amp;YEAR(NymexData!$AA$12:$AA$250)=MONTH(A155)&amp;YEAR(A155),NymexData!$AB$12:$AB$250)))</f>
        <v>4.6335</v>
      </c>
      <c r="H155" s="115" t="n">
        <f aca="false">B155*10000*F155</f>
        <v>6192.5572426998</v>
      </c>
      <c r="I155" s="119" t="n">
        <f aca="false">(((G155-Q155)*P155+(G155-S155)*R155+(G155-U155)*T155+(G155-W155)*V155+(G155-Y155)*X155+(G155-AA155)*Z155+(G155-AC155)*AB155+(G155-AE155)*AD155+(G155-AG155)*AF155+(G155-AI155)*AH155+(G155-AK155)*AJ155+(G155-AM155)*AL155+(G155-AO155)*AN155+(G155-AQ155)*AP155+(G155-AS155)*AR155+(G155-AU155)*AT155+(G155-AW155)*AV155+(G155-AY155)*AX155+(G155-BA155)*AZ155+(G155-BC155)*BB155)*BJ155*BI155)*10000</f>
        <v>0</v>
      </c>
      <c r="J155" s="119" t="n">
        <f aca="false">H155+I155</f>
        <v>6192.5572426998</v>
      </c>
      <c r="O155" s="95" t="n">
        <f aca="false">A155</f>
        <v>41548</v>
      </c>
      <c r="BD155" s="100" t="n">
        <f aca="false">(P155+R155+T155+V155+X155+Z155+AB155+AD155+AF155+AH155+AJ155+AL155+AN155+AP155+AR155+AT155+AV155+AX155+AZ155+BB155)</f>
        <v>0</v>
      </c>
      <c r="BE155" s="322" t="n">
        <f aca="false">IF(AND(BD155=0,BH155=0),0,(ABS(P155)*Q155+ABS(R155)*S155+ABS(T155)*U155+ABS(V155)*W155+ABS(X155)*Y155+ABS(Z155)*AA155+ABS(AB155)*AC155+ABS(AD155)*AE155+ABS(AF155)*AG155+ABS(AH155)*AI155+ABS(AJ155)*AK155+ABS(AL155)*AM155+ABS(AN155)*AO155+ABS(AP155)*AQ155+ABS(AR155)*AS155+ABS(AT155)*AU155+ABS(AV155)*AW155+ABS(AX155)*AY155+ABS(AZ155)*BA155+ABS(BB155)*BC155)/BH155)</f>
        <v>0</v>
      </c>
      <c r="BG155" s="103" t="n">
        <f aca="false">O155</f>
        <v>41548</v>
      </c>
      <c r="BH155" s="323" t="n">
        <f aca="false">(ABS(P155)+ABS(R155)+ABS(T155)+ABS(V155)+ABS(X155)+ABS(Z155)+ABS(AB155)+ABS(AD155)+ABS(AF155)+ABS(AH155)+ABS(AJ155)+ABS(AL155)+ABS(AN155)+ABS(AP155)+ABS(AR155)+ABS(AT155)+ABS(AV155)+ABS(AX155)+ABS(AZ155)+ABS(BB155))</f>
        <v>0</v>
      </c>
      <c r="BI155" s="104" t="n">
        <f aca="false">VLOOKUP(GasPosn!A155,'Pricing Summary'!$AB$12:$AD$250,3)</f>
        <v>31</v>
      </c>
      <c r="BJ155" s="102" t="n">
        <f aca="false">VLOOKUP(A155,Interest!$AF$8:$AK$367,6)</f>
        <v>0.517263410588908</v>
      </c>
      <c r="BL155" s="0" t="n">
        <f aca="false">J155*VLOOKUP(A155,NymexData!$J$12:$K$244,2)</f>
        <v>10130.0556239097</v>
      </c>
      <c r="BO155" s="0" t="n">
        <f aca="false">Interest!AK151</f>
        <v>0.517263410588908</v>
      </c>
      <c r="BP155" s="0" t="n">
        <f aca="false">G155*Interest!AK151</f>
        <v>2.39674001296371</v>
      </c>
      <c r="BQ155" s="0" t="n">
        <f aca="false">IF(AND(A155&gt;=$B$3,A155&lt;=$B$4),1,0)</f>
        <v>0</v>
      </c>
      <c r="BR155" s="0" t="n">
        <f aca="false">BO155*BQ155</f>
        <v>0</v>
      </c>
      <c r="BS155" s="0" t="n">
        <f aca="false">BP155*BQ155</f>
        <v>0</v>
      </c>
    </row>
    <row r="156" customFormat="false" ht="18" hidden="false" customHeight="false" outlineLevel="0" collapsed="false">
      <c r="A156" s="75" t="n">
        <f aca="false">[2]EnergyCurve!$D178</f>
        <v>41579</v>
      </c>
      <c r="B156" s="317" t="n">
        <f aca="false" t="array" ref="B156:B156">SUM(IF(MONTH(NymexData!$AI$12:$AI$250)&amp;YEAR(NymexData!$AI$12:$AI$250)=MONTH(A156)&amp;YEAR(A156),NymexData!$AJ$12:$AJ$250))</f>
        <v>-35.04741921</v>
      </c>
      <c r="C156" s="317" t="n">
        <f aca="false">BD156*BJ156*BI156</f>
        <v>0</v>
      </c>
      <c r="D156" s="319" t="n">
        <f aca="false">C156+B156</f>
        <v>-35.04741921</v>
      </c>
      <c r="E156" s="320" t="n">
        <f aca="false" t="array" ref="E156:E156">SUM(IF(MONTH(NymexData!$S$12:$S$250)&amp;YEAR(NymexData!$S$12:$S$250)=MONTH(A156)&amp;YEAR(A156),NymexData!$T$12:$T$250))</f>
        <v>4.7985</v>
      </c>
      <c r="F156" s="320" t="n">
        <f aca="false">G156-E156</f>
        <v>-0.0160000000000009</v>
      </c>
      <c r="G156" s="321" t="n">
        <f aca="false" t="array" ref="G156:G156">IF(NymexData!$AA$12="",GasPosn!E156,SUM(IF(MONTH(NymexData!$AA$12:$AA$250)&amp;YEAR(NymexData!$AA$12:$AA$250)=MONTH(A156)&amp;YEAR(A156),NymexData!$AB$12:$AB$250)))</f>
        <v>4.7825</v>
      </c>
      <c r="H156" s="76" t="n">
        <f aca="false">B156*10000*F156</f>
        <v>5607.58707360032</v>
      </c>
      <c r="I156" s="82" t="n">
        <f aca="false">(((G156-Q156)*P156+(G156-S156)*R156+(G156-U156)*T156+(G156-W156)*V156+(G156-Y156)*X156+(G156-AA156)*Z156+(G156-AC156)*AB156+(G156-AE156)*AD156+(G156-AG156)*AF156+(G156-AI156)*AH156+(G156-AK156)*AJ156+(G156-AM156)*AL156+(G156-AO156)*AN156+(G156-AQ156)*AP156+(G156-AS156)*AR156+(G156-AU156)*AT156+(G156-AW156)*AV156+(G156-AY156)*AX156+(G156-BA156)*AZ156+(G156-BC156)*BB156)*BJ156*BI156)*10000</f>
        <v>0</v>
      </c>
      <c r="J156" s="82" t="n">
        <f aca="false">H156+I156</f>
        <v>5607.58707360032</v>
      </c>
      <c r="O156" s="95" t="n">
        <f aca="false">A156</f>
        <v>41579</v>
      </c>
      <c r="BD156" s="100" t="n">
        <f aca="false">(P156+R156+T156+V156+X156+Z156+AB156+AD156+AF156+AH156+AJ156+AL156+AN156+AP156+AR156+AT156+AV156+AX156+AZ156+BB156)</f>
        <v>0</v>
      </c>
      <c r="BE156" s="322" t="n">
        <f aca="false">IF(AND(BD156=0,BH156=0),0,(ABS(P156)*Q156+ABS(R156)*S156+ABS(T156)*U156+ABS(V156)*W156+ABS(X156)*Y156+ABS(Z156)*AA156+ABS(AB156)*AC156+ABS(AD156)*AE156+ABS(AF156)*AG156+ABS(AH156)*AI156+ABS(AJ156)*AK156+ABS(AL156)*AM156+ABS(AN156)*AO156+ABS(AP156)*AQ156+ABS(AR156)*AS156+ABS(AT156)*AU156+ABS(AV156)*AW156+ABS(AX156)*AY156+ABS(AZ156)*BA156+ABS(BB156)*BC156)/BH156)</f>
        <v>0</v>
      </c>
      <c r="BG156" s="103" t="n">
        <f aca="false">O156</f>
        <v>41579</v>
      </c>
      <c r="BH156" s="323" t="n">
        <f aca="false">(ABS(P156)+ABS(R156)+ABS(T156)+ABS(V156)+ABS(X156)+ABS(Z156)+ABS(AB156)+ABS(AD156)+ABS(AF156)+ABS(AH156)+ABS(AJ156)+ABS(AL156)+ABS(AN156)+ABS(AP156)+ABS(AR156)+ABS(AT156)+ABS(AV156)+ABS(AX156)+ABS(AZ156)+ABS(BB156))</f>
        <v>0</v>
      </c>
      <c r="BI156" s="104" t="n">
        <f aca="false">VLOOKUP(GasPosn!A156,'Pricing Summary'!$AB$12:$AD$250,3)</f>
        <v>30</v>
      </c>
      <c r="BJ156" s="102" t="n">
        <f aca="false">VLOOKUP(A156,Interest!$AF$8:$AK$367,6)</f>
        <v>0.514588512757941</v>
      </c>
      <c r="BL156" s="0" t="n">
        <f aca="false">J156*VLOOKUP(A156,NymexData!$J$12:$K$244,2)</f>
        <v>9178.26363785896</v>
      </c>
      <c r="BO156" s="0" t="n">
        <f aca="false">Interest!AK152</f>
        <v>0.514588512757941</v>
      </c>
      <c r="BP156" s="0" t="n">
        <f aca="false">G156*Interest!AK152</f>
        <v>2.46101956226485</v>
      </c>
      <c r="BQ156" s="0" t="n">
        <f aca="false">IF(AND(A156&gt;=$B$3,A156&lt;=$B$4),1,0)</f>
        <v>0</v>
      </c>
      <c r="BR156" s="0" t="n">
        <f aca="false">BO156*BQ156</f>
        <v>0</v>
      </c>
      <c r="BS156" s="0" t="n">
        <f aca="false">BP156*BQ156</f>
        <v>0</v>
      </c>
    </row>
    <row r="157" customFormat="false" ht="18" hidden="false" customHeight="false" outlineLevel="0" collapsed="false">
      <c r="A157" s="112" t="n">
        <f aca="false">[2]EnergyCurve!$D179</f>
        <v>41609</v>
      </c>
      <c r="B157" s="324" t="n">
        <f aca="false" t="array" ref="B157:B157">SUM(IF(MONTH(NymexData!$AI$12:$AI$250)&amp;YEAR(NymexData!$AI$12:$AI$250)=MONTH(A157)&amp;YEAR(A157),NymexData!$AJ$12:$AJ$250))</f>
        <v>-36.01207461</v>
      </c>
      <c r="C157" s="325" t="n">
        <f aca="false">BD157*BJ157*BI157</f>
        <v>0</v>
      </c>
      <c r="D157" s="326" t="n">
        <f aca="false">C157+B157</f>
        <v>-36.01207461</v>
      </c>
      <c r="E157" s="327" t="n">
        <f aca="false" t="array" ref="E157:E157">SUM(IF(MONTH(NymexData!$S$12:$S$250)&amp;YEAR(NymexData!$S$12:$S$250)=MONTH(A157)&amp;YEAR(A157),NymexData!$T$12:$T$250))</f>
        <v>4.9505</v>
      </c>
      <c r="F157" s="327" t="n">
        <f aca="false">G157-E157</f>
        <v>-0.016</v>
      </c>
      <c r="G157" s="328" t="n">
        <f aca="false" t="array" ref="G157:G157">IF(NymexData!$AA$12="",GasPosn!E157,SUM(IF(MONTH(NymexData!$AA$12:$AA$250)&amp;YEAR(NymexData!$AA$12:$AA$250)=MONTH(A157)&amp;YEAR(A157),NymexData!$AB$12:$AB$250)))</f>
        <v>4.9345</v>
      </c>
      <c r="H157" s="115" t="n">
        <f aca="false">B157*10000*F157</f>
        <v>5761.93193760001</v>
      </c>
      <c r="I157" s="119" t="n">
        <f aca="false">(((G157-Q157)*P157+(G157-S157)*R157+(G157-U157)*T157+(G157-W157)*V157+(G157-Y157)*X157+(G157-AA157)*Z157+(G157-AC157)*AB157+(G157-AE157)*AD157+(G157-AG157)*AF157+(G157-AI157)*AH157+(G157-AK157)*AJ157+(G157-AM157)*AL157+(G157-AO157)*AN157+(G157-AQ157)*AP157+(G157-AS157)*AR157+(G157-AU157)*AT157+(G157-AW157)*AV157+(G157-AY157)*AX157+(G157-BA157)*AZ157+(G157-BC157)*BB157)*BJ157*BI157)*10000</f>
        <v>0</v>
      </c>
      <c r="J157" s="119" t="n">
        <f aca="false">H157+I157</f>
        <v>5761.93193760001</v>
      </c>
      <c r="O157" s="95" t="n">
        <f aca="false">A157</f>
        <v>41609</v>
      </c>
      <c r="BD157" s="100" t="n">
        <f aca="false">(P157+R157+T157+V157+X157+Z157+AB157+AD157+AF157+AH157+AJ157+AL157+AN157+AP157+AR157+AT157+AV157+AX157+AZ157+BB157)</f>
        <v>0</v>
      </c>
      <c r="BE157" s="322" t="n">
        <f aca="false">IF(AND(BD157=0,BH157=0),0,(ABS(P157)*Q157+ABS(R157)*S157+ABS(T157)*U157+ABS(V157)*W157+ABS(X157)*Y157+ABS(Z157)*AA157+ABS(AB157)*AC157+ABS(AD157)*AE157+ABS(AF157)*AG157+ABS(AH157)*AI157+ABS(AJ157)*AK157+ABS(AL157)*AM157+ABS(AN157)*AO157+ABS(AP157)*AQ157+ABS(AR157)*AS157+ABS(AT157)*AU157+ABS(AV157)*AW157+ABS(AX157)*AY157+ABS(AZ157)*BA157+ABS(BB157)*BC157)/BH157)</f>
        <v>0</v>
      </c>
      <c r="BG157" s="103" t="n">
        <f aca="false">O157</f>
        <v>41609</v>
      </c>
      <c r="BH157" s="323" t="n">
        <f aca="false">(ABS(P157)+ABS(R157)+ABS(T157)+ABS(V157)+ABS(X157)+ABS(Z157)+ABS(AB157)+ABS(AD157)+ABS(AF157)+ABS(AH157)+ABS(AJ157)+ABS(AL157)+ABS(AN157)+ABS(AP157)+ABS(AR157)+ABS(AT157)+ABS(AV157)+ABS(AX157)+ABS(AZ157)+ABS(BB157))</f>
        <v>0</v>
      </c>
      <c r="BI157" s="104" t="n">
        <f aca="false">VLOOKUP(GasPosn!A157,'Pricing Summary'!$AB$12:$AD$250,3)</f>
        <v>31</v>
      </c>
      <c r="BJ157" s="102" t="n">
        <f aca="false">VLOOKUP(A157,Interest!$AF$8:$AK$367,6)</f>
        <v>0.511857127614539</v>
      </c>
      <c r="BL157" s="0" t="n">
        <f aca="false">J157*VLOOKUP(A157,NymexData!$J$12:$K$244,2)</f>
        <v>9436.02597958713</v>
      </c>
      <c r="BO157" s="0" t="n">
        <f aca="false">Interest!AK153</f>
        <v>0.511857127614539</v>
      </c>
      <c r="BP157" s="0" t="n">
        <f aca="false">G157*Interest!AK153</f>
        <v>2.52575899621394</v>
      </c>
      <c r="BQ157" s="0" t="n">
        <f aca="false">IF(AND(A157&gt;=$B$3,A157&lt;=$B$4),1,0)</f>
        <v>0</v>
      </c>
      <c r="BR157" s="0" t="n">
        <f aca="false">BO157*BQ157</f>
        <v>0</v>
      </c>
      <c r="BS157" s="0" t="n">
        <f aca="false">BP157*BQ157</f>
        <v>0</v>
      </c>
    </row>
    <row r="158" customFormat="false" ht="18" hidden="false" customHeight="false" outlineLevel="0" collapsed="false">
      <c r="A158" s="75" t="n">
        <f aca="false">[2]EnergyCurve!$D180</f>
        <v>41640</v>
      </c>
      <c r="B158" s="317" t="n">
        <f aca="false" t="array" ref="B158:B158">SUM(IF(MONTH(NymexData!$AI$12:$AI$250)&amp;YEAR(NymexData!$AI$12:$AI$250)=MONTH(A158)&amp;YEAR(A158),NymexData!$AJ$12:$AJ$250))</f>
        <v>-35.80245955</v>
      </c>
      <c r="C158" s="317" t="n">
        <f aca="false">BD158*BJ158*BI158</f>
        <v>0</v>
      </c>
      <c r="D158" s="319" t="n">
        <f aca="false">C158+B158</f>
        <v>-35.80245955</v>
      </c>
      <c r="E158" s="320" t="n">
        <f aca="false" t="array" ref="E158:E158">SUM(IF(MONTH(NymexData!$S$12:$S$250)&amp;YEAR(NymexData!$S$12:$S$250)=MONTH(A158)&amp;YEAR(A158),NymexData!$T$12:$T$250))</f>
        <v>5.023</v>
      </c>
      <c r="F158" s="320" t="n">
        <f aca="false">G158-E158</f>
        <v>-0.0110000000000001</v>
      </c>
      <c r="G158" s="321" t="n">
        <f aca="false" t="array" ref="G158:G158">IF(NymexData!$AA$12="",GasPosn!E158,SUM(IF(MONTH(NymexData!$AA$12:$AA$250)&amp;YEAR(NymexData!$AA$12:$AA$250)=MONTH(A158)&amp;YEAR(A158),NymexData!$AB$12:$AB$250)))</f>
        <v>5.012</v>
      </c>
      <c r="H158" s="76" t="n">
        <f aca="false">B158*10000*F158</f>
        <v>3938.27055050004</v>
      </c>
      <c r="I158" s="82" t="n">
        <f aca="false">(((G158-Q158)*P158+(G158-S158)*R158+(G158-U158)*T158+(G158-W158)*V158+(G158-Y158)*X158+(G158-AA158)*Z158+(G158-AC158)*AB158+(G158-AE158)*AD158+(G158-AG158)*AF158+(G158-AI158)*AH158+(G158-AK158)*AJ158+(G158-AM158)*AL158+(G158-AO158)*AN158+(G158-AQ158)*AP158+(G158-AS158)*AR158+(G158-AU158)*AT158+(G158-AW158)*AV158+(G158-AY158)*AX158+(G158-BA158)*AZ158+(G158-BC158)*BB158)*BJ158*BI158)*10000</f>
        <v>0</v>
      </c>
      <c r="J158" s="82" t="n">
        <f aca="false">H158+I158</f>
        <v>3938.27055050004</v>
      </c>
      <c r="O158" s="95" t="n">
        <f aca="false">A158</f>
        <v>41640</v>
      </c>
      <c r="BD158" s="100" t="n">
        <f aca="false">(P158+R158+T158+V158+X158+Z158+AB158+AD158+AF158+AH158+AJ158+AL158+AN158+AP158+AR158+AT158+AV158+AX158+AZ158+BB158)</f>
        <v>0</v>
      </c>
      <c r="BE158" s="322" t="n">
        <f aca="false">IF(AND(BD158=0,BH158=0),0,(ABS(P158)*Q158+ABS(R158)*S158+ABS(T158)*U158+ABS(V158)*W158+ABS(X158)*Y158+ABS(Z158)*AA158+ABS(AB158)*AC158+ABS(AD158)*AE158+ABS(AF158)*AG158+ABS(AH158)*AI158+ABS(AJ158)*AK158+ABS(AL158)*AM158+ABS(AN158)*AO158+ABS(AP158)*AQ158+ABS(AR158)*AS158+ABS(AT158)*AU158+ABS(AV158)*AW158+ABS(AX158)*AY158+ABS(AZ158)*BA158+ABS(BB158)*BC158)/BH158)</f>
        <v>0</v>
      </c>
      <c r="BG158" s="103" t="n">
        <f aca="false">O158</f>
        <v>41640</v>
      </c>
      <c r="BH158" s="323" t="n">
        <f aca="false">(ABS(P158)+ABS(R158)+ABS(T158)+ABS(V158)+ABS(X158)+ABS(Z158)+ABS(AB158)+ABS(AD158)+ABS(AF158)+ABS(AH158)+ABS(AJ158)+ABS(AL158)+ABS(AN158)+ABS(AP158)+ABS(AR158)+ABS(AT158)+ABS(AV158)+ABS(AX158)+ABS(AZ158)+ABS(BB158))</f>
        <v>0</v>
      </c>
      <c r="BI158" s="104" t="n">
        <f aca="false">VLOOKUP(GasPosn!A158,'Pricing Summary'!$AB$12:$AD$250,3)</f>
        <v>31</v>
      </c>
      <c r="BJ158" s="102" t="n">
        <f aca="false">VLOOKUP(A158,Interest!$AF$8:$AK$367,6)</f>
        <v>0.509124137281535</v>
      </c>
      <c r="BL158" s="0" t="n">
        <f aca="false">J158*VLOOKUP(A158,NymexData!$J$12:$K$244,2)</f>
        <v>6453.16277441922</v>
      </c>
      <c r="BO158" s="0" t="n">
        <f aca="false">Interest!AK154</f>
        <v>0.509124137281535</v>
      </c>
      <c r="BP158" s="0" t="n">
        <f aca="false">G158*Interest!AK154</f>
        <v>2.55173017605505</v>
      </c>
      <c r="BQ158" s="0" t="n">
        <f aca="false">IF(AND(A158&gt;=$B$3,A158&lt;=$B$4),1,0)</f>
        <v>0</v>
      </c>
      <c r="BR158" s="0" t="n">
        <f aca="false">BO158*BQ158</f>
        <v>0</v>
      </c>
      <c r="BS158" s="0" t="n">
        <f aca="false">BP158*BQ158</f>
        <v>0</v>
      </c>
    </row>
    <row r="159" customFormat="false" ht="18" hidden="false" customHeight="false" outlineLevel="0" collapsed="false">
      <c r="A159" s="112" t="n">
        <f aca="false">[2]EnergyCurve!$D181</f>
        <v>41671</v>
      </c>
      <c r="B159" s="324" t="n">
        <f aca="false" t="array" ref="B159:B159">SUM(IF(MONTH(NymexData!$AI$12:$AI$250)&amp;YEAR(NymexData!$AI$12:$AI$250)=MONTH(A159)&amp;YEAR(A159),NymexData!$AJ$12:$AJ$250))</f>
        <v>-32.14907696</v>
      </c>
      <c r="C159" s="325" t="n">
        <f aca="false">BD159*BJ159*BI159</f>
        <v>0</v>
      </c>
      <c r="D159" s="326" t="n">
        <f aca="false">C159+B159</f>
        <v>-32.14907696</v>
      </c>
      <c r="E159" s="327" t="n">
        <f aca="false" t="array" ref="E159:E159">SUM(IF(MONTH(NymexData!$S$12:$S$250)&amp;YEAR(NymexData!$S$12:$S$250)=MONTH(A159)&amp;YEAR(A159),NymexData!$T$12:$T$250))</f>
        <v>4.936</v>
      </c>
      <c r="F159" s="327" t="n">
        <f aca="false">G159-E159</f>
        <v>-0.0119999999999996</v>
      </c>
      <c r="G159" s="328" t="n">
        <f aca="false" t="array" ref="G159:G159">IF(NymexData!$AA$12="",GasPosn!E159,SUM(IF(MONTH(NymexData!$AA$12:$AA$250)&amp;YEAR(NymexData!$AA$12:$AA$250)=MONTH(A159)&amp;YEAR(A159),NymexData!$AB$12:$AB$250)))</f>
        <v>4.924</v>
      </c>
      <c r="H159" s="115" t="n">
        <f aca="false">B159*10000*F159</f>
        <v>3857.88923519986</v>
      </c>
      <c r="I159" s="119" t="n">
        <f aca="false">(((G159-Q159)*P159+(G159-S159)*R159+(G159-U159)*T159+(G159-W159)*V159+(G159-Y159)*X159+(G159-AA159)*Z159+(G159-AC159)*AB159+(G159-AE159)*AD159+(G159-AG159)*AF159+(G159-AI159)*AH159+(G159-AK159)*AJ159+(G159-AM159)*AL159+(G159-AO159)*AN159+(G159-AQ159)*AP159+(G159-AS159)*AR159+(G159-AU159)*AT159+(G159-AW159)*AV159+(G159-AY159)*AX159+(G159-BA159)*AZ159+(G159-BC159)*BB159)*BJ159*BI159)*10000</f>
        <v>0</v>
      </c>
      <c r="J159" s="119" t="n">
        <f aca="false">H159+I159</f>
        <v>3857.88923519986</v>
      </c>
      <c r="O159" s="95" t="n">
        <f aca="false">A159</f>
        <v>41671</v>
      </c>
      <c r="BD159" s="100" t="n">
        <f aca="false">(P159+R159+T159+V159+X159+Z159+AB159+AD159+AF159+AH159+AJ159+AL159+AN159+AP159+AR159+AT159+AV159+AX159+AZ159+BB159)</f>
        <v>0</v>
      </c>
      <c r="BE159" s="322" t="n">
        <f aca="false">IF(AND(BD159=0,BH159=0),0,(ABS(P159)*Q159+ABS(R159)*S159+ABS(T159)*U159+ABS(V159)*W159+ABS(X159)*Y159+ABS(Z159)*AA159+ABS(AB159)*AC159+ABS(AD159)*AE159+ABS(AF159)*AG159+ABS(AH159)*AI159+ABS(AJ159)*AK159+ABS(AL159)*AM159+ABS(AN159)*AO159+ABS(AP159)*AQ159+ABS(AR159)*AS159+ABS(AT159)*AU159+ABS(AV159)*AW159+ABS(AX159)*AY159+ABS(AZ159)*BA159+ABS(BB159)*BC159)/BH159)</f>
        <v>0</v>
      </c>
      <c r="BG159" s="103" t="n">
        <f aca="false">O159</f>
        <v>41671</v>
      </c>
      <c r="BH159" s="323" t="n">
        <f aca="false">(ABS(P159)+ABS(R159)+ABS(T159)+ABS(V159)+ABS(X159)+ABS(Z159)+ABS(AB159)+ABS(AD159)+ABS(AF159)+ABS(AH159)+ABS(AJ159)+ABS(AL159)+ABS(AN159)+ABS(AP159)+ABS(AR159)+ABS(AT159)+ABS(AV159)+ABS(AX159)+ABS(AZ159)+ABS(BB159))</f>
        <v>0</v>
      </c>
      <c r="BI159" s="104" t="n">
        <f aca="false">VLOOKUP(GasPosn!A159,'Pricing Summary'!$AB$12:$AD$250,3)</f>
        <v>28</v>
      </c>
      <c r="BJ159" s="102" t="n">
        <f aca="false">VLOOKUP(A159,Interest!$AF$8:$AK$367,6)</f>
        <v>0.506629795175407</v>
      </c>
      <c r="BL159" s="0" t="n">
        <f aca="false">J159*VLOOKUP(A159,NymexData!$J$12:$K$244,2)</f>
        <v>6325.05934377756</v>
      </c>
      <c r="BO159" s="0" t="n">
        <f aca="false">Interest!AK155</f>
        <v>0.506629795175407</v>
      </c>
      <c r="BP159" s="0" t="n">
        <f aca="false">G159*Interest!AK155</f>
        <v>2.4946451114437</v>
      </c>
      <c r="BQ159" s="0" t="n">
        <f aca="false">IF(AND(A159&gt;=$B$3,A159&lt;=$B$4),1,0)</f>
        <v>0</v>
      </c>
      <c r="BR159" s="0" t="n">
        <f aca="false">BO159*BQ159</f>
        <v>0</v>
      </c>
      <c r="BS159" s="0" t="n">
        <f aca="false">BP159*BQ159</f>
        <v>0</v>
      </c>
    </row>
    <row r="160" customFormat="false" ht="18" hidden="false" customHeight="false" outlineLevel="0" collapsed="false">
      <c r="A160" s="75" t="n">
        <f aca="false">[2]EnergyCurve!$D182</f>
        <v>41699</v>
      </c>
      <c r="B160" s="317" t="n">
        <f aca="false" t="array" ref="B160:B160">SUM(IF(MONTH(NymexData!$AI$12:$AI$250)&amp;YEAR(NymexData!$AI$12:$AI$250)=MONTH(A160)&amp;YEAR(A160),NymexData!$AJ$12:$AJ$250))</f>
        <v>-35.40566044</v>
      </c>
      <c r="C160" s="317" t="n">
        <f aca="false">BD160*BJ160*BI160</f>
        <v>0</v>
      </c>
      <c r="D160" s="319" t="n">
        <f aca="false">C160+B160</f>
        <v>-35.40566044</v>
      </c>
      <c r="E160" s="320" t="n">
        <f aca="false" t="array" ref="E160:E160">SUM(IF(MONTH(NymexData!$S$12:$S$250)&amp;YEAR(NymexData!$S$12:$S$250)=MONTH(A160)&amp;YEAR(A160),NymexData!$T$12:$T$250))</f>
        <v>4.797</v>
      </c>
      <c r="F160" s="320" t="n">
        <f aca="false">G160-E160</f>
        <v>-0.0120000000000005</v>
      </c>
      <c r="G160" s="321" t="n">
        <f aca="false" t="array" ref="G160:G160">IF(NymexData!$AA$12="",GasPosn!E160,SUM(IF(MONTH(NymexData!$AA$12:$AA$250)&amp;YEAR(NymexData!$AA$12:$AA$250)=MONTH(A160)&amp;YEAR(A160),NymexData!$AB$12:$AB$250)))</f>
        <v>4.785</v>
      </c>
      <c r="H160" s="76" t="n">
        <f aca="false">B160*10000*F160</f>
        <v>4248.67925280016</v>
      </c>
      <c r="I160" s="82" t="n">
        <f aca="false">(((G160-Q160)*P160+(G160-S160)*R160+(G160-U160)*T160+(G160-W160)*V160+(G160-Y160)*X160+(G160-AA160)*Z160+(G160-AC160)*AB160+(G160-AE160)*AD160+(G160-AG160)*AF160+(G160-AI160)*AH160+(G160-AK160)*AJ160+(G160-AM160)*AL160+(G160-AO160)*AN160+(G160-AQ160)*AP160+(G160-AS160)*AR160+(G160-AU160)*AT160+(G160-AW160)*AV160+(G160-AY160)*AX160+(G160-BA160)*AZ160+(G160-BC160)*BB160)*BJ160*BI160)*10000</f>
        <v>0</v>
      </c>
      <c r="J160" s="82" t="n">
        <f aca="false">H160+I160</f>
        <v>4248.67925280016</v>
      </c>
      <c r="O160" s="95" t="n">
        <f aca="false">A160</f>
        <v>41699</v>
      </c>
      <c r="BD160" s="100" t="n">
        <f aca="false">(P160+R160+T160+V160+X160+Z160+AB160+AD160+AF160+AH160+AJ160+AL160+AN160+AP160+AR160+AT160+AV160+AX160+AZ160+BB160)</f>
        <v>0</v>
      </c>
      <c r="BE160" s="322" t="n">
        <f aca="false">IF(AND(BD160=0,BH160=0),0,(ABS(P160)*Q160+ABS(R160)*S160+ABS(T160)*U160+ABS(V160)*W160+ABS(X160)*Y160+ABS(Z160)*AA160+ABS(AB160)*AC160+ABS(AD160)*AE160+ABS(AF160)*AG160+ABS(AH160)*AI160+ABS(AJ160)*AK160+ABS(AL160)*AM160+ABS(AN160)*AO160+ABS(AP160)*AQ160+ABS(AR160)*AS160+ABS(AT160)*AU160+ABS(AV160)*AW160+ABS(AX160)*AY160+ABS(AZ160)*BA160+ABS(BB160)*BC160)/BH160)</f>
        <v>0</v>
      </c>
      <c r="BG160" s="103" t="n">
        <f aca="false">O160</f>
        <v>41699</v>
      </c>
      <c r="BH160" s="323" t="n">
        <f aca="false">(ABS(P160)+ABS(R160)+ABS(T160)+ABS(V160)+ABS(X160)+ABS(Z160)+ABS(AB160)+ABS(AD160)+ABS(AF160)+ABS(AH160)+ABS(AJ160)+ABS(AL160)+ABS(AN160)+ABS(AP160)+ABS(AR160)+ABS(AT160)+ABS(AV160)+ABS(AX160)+ABS(AZ160)+ABS(BB160))</f>
        <v>0</v>
      </c>
      <c r="BI160" s="104" t="n">
        <f aca="false">VLOOKUP(GasPosn!A160,'Pricing Summary'!$AB$12:$AD$250,3)</f>
        <v>31</v>
      </c>
      <c r="BJ160" s="102" t="n">
        <f aca="false">VLOOKUP(A160,Interest!$AF$8:$AK$367,6)</f>
        <v>0.503949572504846</v>
      </c>
      <c r="BL160" s="0" t="n">
        <f aca="false">J160*VLOOKUP(A160,NymexData!$J$12:$K$244,2)</f>
        <v>6969.37873233927</v>
      </c>
      <c r="BO160" s="0" t="n">
        <f aca="false">Interest!AK156</f>
        <v>0.503949572504846</v>
      </c>
      <c r="BP160" s="0" t="n">
        <f aca="false">G160*Interest!AK156</f>
        <v>2.41139870443569</v>
      </c>
      <c r="BQ160" s="0" t="n">
        <f aca="false">IF(AND(A160&gt;=$B$3,A160&lt;=$B$4),1,0)</f>
        <v>0</v>
      </c>
      <c r="BR160" s="0" t="n">
        <f aca="false">BO160*BQ160</f>
        <v>0</v>
      </c>
      <c r="BS160" s="0" t="n">
        <f aca="false">BP160*BQ160</f>
        <v>0</v>
      </c>
    </row>
    <row r="161" customFormat="false" ht="18" hidden="false" customHeight="false" outlineLevel="0" collapsed="false">
      <c r="A161" s="112" t="n">
        <f aca="false">[2]EnergyCurve!$D183</f>
        <v>41730</v>
      </c>
      <c r="B161" s="324" t="n">
        <f aca="false" t="array" ref="B161:B161">SUM(IF(MONTH(NymexData!$AI$12:$AI$250)&amp;YEAR(NymexData!$AI$12:$AI$250)=MONTH(A161)&amp;YEAR(A161),NymexData!$AJ$12:$AJ$250))</f>
        <v>-34.06287236</v>
      </c>
      <c r="C161" s="325" t="n">
        <f aca="false">BD161*BJ161*BI161</f>
        <v>0</v>
      </c>
      <c r="D161" s="326" t="n">
        <f aca="false">C161+B161</f>
        <v>-34.06287236</v>
      </c>
      <c r="E161" s="327" t="n">
        <f aca="false" t="array" ref="E161:E161">SUM(IF(MONTH(NymexData!$S$12:$S$250)&amp;YEAR(NymexData!$S$12:$S$250)=MONTH(A161)&amp;YEAR(A161),NymexData!$T$12:$T$250))</f>
        <v>4.643</v>
      </c>
      <c r="F161" s="327" t="n">
        <f aca="false">G161-E161</f>
        <v>-0.0119999999999996</v>
      </c>
      <c r="G161" s="328" t="n">
        <f aca="false" t="array" ref="G161:G161">IF(NymexData!$AA$12="",GasPosn!E161,SUM(IF(MONTH(NymexData!$AA$12:$AA$250)&amp;YEAR(NymexData!$AA$12:$AA$250)=MONTH(A161)&amp;YEAR(A161),NymexData!$AB$12:$AB$250)))</f>
        <v>4.631</v>
      </c>
      <c r="H161" s="115" t="n">
        <f aca="false">B161*10000*F161</f>
        <v>4087.54468319985</v>
      </c>
      <c r="I161" s="119" t="n">
        <f aca="false">(((G161-Q161)*P161+(G161-S161)*R161+(G161-U161)*T161+(G161-W161)*V161+(G161-Y161)*X161+(G161-AA161)*Z161+(G161-AC161)*AB161+(G161-AE161)*AD161+(G161-AG161)*AF161+(G161-AI161)*AH161+(G161-AK161)*AJ161+(G161-AM161)*AL161+(G161-AO161)*AN161+(G161-AQ161)*AP161+(G161-AS161)*AR161+(G161-AU161)*AT161+(G161-AW161)*AV161+(G161-AY161)*AX161+(G161-BA161)*AZ161+(G161-BC161)*BB161)*BJ161*BI161)*10000</f>
        <v>0</v>
      </c>
      <c r="J161" s="119" t="n">
        <f aca="false">H161+I161</f>
        <v>4087.54468319985</v>
      </c>
      <c r="O161" s="95" t="n">
        <f aca="false">A161</f>
        <v>41730</v>
      </c>
      <c r="BD161" s="100" t="n">
        <f aca="false">(P161+R161+T161+V161+X161+Z161+AB161+AD161+AF161+AH161+AJ161+AL161+AN161+AP161+AR161+AT161+AV161+AX161+AZ161+BB161)</f>
        <v>0</v>
      </c>
      <c r="BE161" s="322" t="n">
        <f aca="false">IF(AND(BD161=0,BH161=0),0,(ABS(P161)*Q161+ABS(R161)*S161+ABS(T161)*U161+ABS(V161)*W161+ABS(X161)*Y161+ABS(Z161)*AA161+ABS(AB161)*AC161+ABS(AD161)*AE161+ABS(AF161)*AG161+ABS(AH161)*AI161+ABS(AJ161)*AK161+ABS(AL161)*AM161+ABS(AN161)*AO161+ABS(AP161)*AQ161+ABS(AR161)*AS161+ABS(AT161)*AU161+ABS(AV161)*AW161+ABS(AX161)*AY161+ABS(AZ161)*BA161+ABS(BB161)*BC161)/BH161)</f>
        <v>0</v>
      </c>
      <c r="BG161" s="103" t="n">
        <f aca="false">O161</f>
        <v>41730</v>
      </c>
      <c r="BH161" s="323" t="n">
        <f aca="false">(ABS(P161)+ABS(R161)+ABS(T161)+ABS(V161)+ABS(X161)+ABS(Z161)+ABS(AB161)+ABS(AD161)+ABS(AF161)+ABS(AH161)+ABS(AJ161)+ABS(AL161)+ABS(AN161)+ABS(AP161)+ABS(AR161)+ABS(AT161)+ABS(AV161)+ABS(AX161)+ABS(AZ161)+ABS(BB161))</f>
        <v>0</v>
      </c>
      <c r="BI161" s="104" t="n">
        <f aca="false">VLOOKUP(GasPosn!A161,'Pricing Summary'!$AB$12:$AD$250,3)</f>
        <v>30</v>
      </c>
      <c r="BJ161" s="102" t="n">
        <f aca="false">VLOOKUP(A161,Interest!$AF$8:$AK$367,6)</f>
        <v>0.501320543516667</v>
      </c>
      <c r="BL161" s="0" t="n">
        <f aca="false">J161*VLOOKUP(A161,NymexData!$J$12:$K$244,2)</f>
        <v>6708.93626011654</v>
      </c>
      <c r="BO161" s="0" t="n">
        <f aca="false">Interest!AK157</f>
        <v>0.501320543516667</v>
      </c>
      <c r="BP161" s="0" t="n">
        <f aca="false">G161*Interest!AK157</f>
        <v>2.32161543702569</v>
      </c>
      <c r="BQ161" s="0" t="n">
        <f aca="false">IF(AND(A161&gt;=$B$3,A161&lt;=$B$4),1,0)</f>
        <v>0</v>
      </c>
      <c r="BR161" s="0" t="n">
        <f aca="false">BO161*BQ161</f>
        <v>0</v>
      </c>
      <c r="BS161" s="0" t="n">
        <f aca="false">BP161*BQ161</f>
        <v>0</v>
      </c>
    </row>
    <row r="162" customFormat="false" ht="18" hidden="false" customHeight="false" outlineLevel="0" collapsed="false">
      <c r="A162" s="75" t="n">
        <f aca="false">[2]EnergyCurve!$D184</f>
        <v>41760</v>
      </c>
      <c r="B162" s="317" t="n">
        <f aca="false" t="array" ref="B162:B162">SUM(IF(MONTH(NymexData!$AI$12:$AI$250)&amp;YEAR(NymexData!$AI$12:$AI$250)=MONTH(A162)&amp;YEAR(A162),NymexData!$AJ$12:$AJ$250))</f>
        <v>-34.99837253</v>
      </c>
      <c r="C162" s="317" t="n">
        <f aca="false">BD162*BJ162*BI162</f>
        <v>0</v>
      </c>
      <c r="D162" s="319" t="n">
        <f aca="false">C162+B162</f>
        <v>-34.99837253</v>
      </c>
      <c r="E162" s="320" t="n">
        <f aca="false" t="array" ref="E162:E162">SUM(IF(MONTH(NymexData!$S$12:$S$250)&amp;YEAR(NymexData!$S$12:$S$250)=MONTH(A162)&amp;YEAR(A162),NymexData!$T$12:$T$250))</f>
        <v>4.648</v>
      </c>
      <c r="F162" s="320" t="n">
        <f aca="false">G162-E162</f>
        <v>-0.0120000000000005</v>
      </c>
      <c r="G162" s="321" t="n">
        <f aca="false" t="array" ref="G162:G162">IF(NymexData!$AA$12="",GasPosn!E162,SUM(IF(MONTH(NymexData!$AA$12:$AA$250)&amp;YEAR(NymexData!$AA$12:$AA$250)=MONTH(A162)&amp;YEAR(A162),NymexData!$AB$12:$AB$250)))</f>
        <v>4.636</v>
      </c>
      <c r="H162" s="76" t="n">
        <f aca="false">B162*10000*F162</f>
        <v>4199.80470360016</v>
      </c>
      <c r="I162" s="82" t="n">
        <f aca="false">(((G162-Q162)*P162+(G162-S162)*R162+(G162-U162)*T162+(G162-W162)*V162+(G162-Y162)*X162+(G162-AA162)*Z162+(G162-AC162)*AB162+(G162-AE162)*AD162+(G162-AG162)*AF162+(G162-AI162)*AH162+(G162-AK162)*AJ162+(G162-AM162)*AL162+(G162-AO162)*AN162+(G162-AQ162)*AP162+(G162-AS162)*AR162+(G162-AU162)*AT162+(G162-AW162)*AV162+(G162-AY162)*AX162+(G162-BA162)*AZ162+(G162-BC162)*BB162)*BJ162*BI162)*10000</f>
        <v>0</v>
      </c>
      <c r="J162" s="82" t="n">
        <f aca="false">H162+I162</f>
        <v>4199.80470360016</v>
      </c>
      <c r="O162" s="95" t="n">
        <f aca="false">A162</f>
        <v>41760</v>
      </c>
      <c r="BD162" s="100" t="n">
        <f aca="false">(P162+R162+T162+V162+X162+Z162+AB162+AD162+AF162+AH162+AJ162+AL162+AN162+AP162+AR162+AT162+AV162+AX162+AZ162+BB162)</f>
        <v>0</v>
      </c>
      <c r="BE162" s="322" t="n">
        <f aca="false">IF(AND(BD162=0,BH162=0),0,(ABS(P162)*Q162+ABS(R162)*S162+ABS(T162)*U162+ABS(V162)*W162+ABS(X162)*Y162+ABS(Z162)*AA162+ABS(AB162)*AC162+ABS(AD162)*AE162+ABS(AF162)*AG162+ABS(AH162)*AI162+ABS(AJ162)*AK162+ABS(AL162)*AM162+ABS(AN162)*AO162+ABS(AP162)*AQ162+ABS(AR162)*AS162+ABS(AT162)*AU162+ABS(AV162)*AW162+ABS(AX162)*AY162+ABS(AZ162)*BA162+ABS(BB162)*BC162)/BH162)</f>
        <v>0</v>
      </c>
      <c r="BG162" s="103" t="n">
        <f aca="false">O162</f>
        <v>41760</v>
      </c>
      <c r="BH162" s="323" t="n">
        <f aca="false">(ABS(P162)+ABS(R162)+ABS(T162)+ABS(V162)+ABS(X162)+ABS(Z162)+ABS(AB162)+ABS(AD162)+ABS(AF162)+ABS(AH162)+ABS(AJ162)+ABS(AL162)+ABS(AN162)+ABS(AP162)+ABS(AR162)+ABS(AT162)+ABS(AV162)+ABS(AX162)+ABS(AZ162)+ABS(BB162))</f>
        <v>0</v>
      </c>
      <c r="BI162" s="104" t="n">
        <f aca="false">VLOOKUP(GasPosn!A162,'Pricing Summary'!$AB$12:$AD$250,3)</f>
        <v>31</v>
      </c>
      <c r="BJ162" s="102" t="n">
        <f aca="false">VLOOKUP(A162,Interest!$AF$8:$AK$367,6)</f>
        <v>0.498636725558269</v>
      </c>
      <c r="BL162" s="0" t="n">
        <f aca="false">J162*VLOOKUP(A162,NymexData!$J$12:$K$244,2)</f>
        <v>6897.07281576596</v>
      </c>
      <c r="BO162" s="0" t="n">
        <f aca="false">Interest!AK158</f>
        <v>0.498636725558269</v>
      </c>
      <c r="BP162" s="0" t="n">
        <f aca="false">G162*Interest!AK158</f>
        <v>2.31167985968813</v>
      </c>
      <c r="BQ162" s="0" t="n">
        <f aca="false">IF(AND(A162&gt;=$B$3,A162&lt;=$B$4),1,0)</f>
        <v>0</v>
      </c>
      <c r="BR162" s="0" t="n">
        <f aca="false">BO162*BQ162</f>
        <v>0</v>
      </c>
      <c r="BS162" s="0" t="n">
        <f aca="false">BP162*BQ162</f>
        <v>0</v>
      </c>
    </row>
    <row r="163" customFormat="false" ht="18" hidden="false" customHeight="false" outlineLevel="0" collapsed="false">
      <c r="A163" s="112" t="n">
        <f aca="false">[2]EnergyCurve!$D185</f>
        <v>41791</v>
      </c>
      <c r="B163" s="324" t="n">
        <f aca="false" t="array" ref="B163:B163">SUM(IF(MONTH(NymexData!$AI$12:$AI$250)&amp;YEAR(NymexData!$AI$12:$AI$250)=MONTH(A163)&amp;YEAR(A163),NymexData!$AJ$12:$AJ$250))</f>
        <v>-33.6702055</v>
      </c>
      <c r="C163" s="325" t="n">
        <f aca="false">BD163*BJ163*BI163</f>
        <v>0</v>
      </c>
      <c r="D163" s="326" t="n">
        <f aca="false">C163+B163</f>
        <v>-33.6702055</v>
      </c>
      <c r="E163" s="327" t="n">
        <f aca="false" t="array" ref="E163:E163">SUM(IF(MONTH(NymexData!$S$12:$S$250)&amp;YEAR(NymexData!$S$12:$S$250)=MONTH(A163)&amp;YEAR(A163),NymexData!$T$12:$T$250))</f>
        <v>4.686</v>
      </c>
      <c r="F163" s="327" t="n">
        <f aca="false">G163-E163</f>
        <v>-0.0119999999999996</v>
      </c>
      <c r="G163" s="328" t="n">
        <f aca="false" t="array" ref="G163:G163">IF(NymexData!$AA$12="",GasPosn!E163,SUM(IF(MONTH(NymexData!$AA$12:$AA$250)&amp;YEAR(NymexData!$AA$12:$AA$250)=MONTH(A163)&amp;YEAR(A163),NymexData!$AB$12:$AB$250)))</f>
        <v>4.674</v>
      </c>
      <c r="H163" s="115" t="n">
        <f aca="false">B163*10000*F163</f>
        <v>4040.42465999985</v>
      </c>
      <c r="I163" s="119" t="n">
        <f aca="false">(((G163-Q163)*P163+(G163-S163)*R163+(G163-U163)*T163+(G163-W163)*V163+(G163-Y163)*X163+(G163-AA163)*Z163+(G163-AC163)*AB163+(G163-AE163)*AD163+(G163-AG163)*AF163+(G163-AI163)*AH163+(G163-AK163)*AJ163+(G163-AM163)*AL163+(G163-AO163)*AN163+(G163-AQ163)*AP163+(G163-AS163)*AR163+(G163-AU163)*AT163+(G163-AW163)*AV163+(G163-AY163)*AX163+(G163-BA163)*AZ163+(G163-BC163)*BB163)*BJ163*BI163)*10000</f>
        <v>0</v>
      </c>
      <c r="J163" s="119" t="n">
        <f aca="false">H163+I163</f>
        <v>4040.42465999985</v>
      </c>
      <c r="O163" s="95" t="n">
        <f aca="false">A163</f>
        <v>41791</v>
      </c>
      <c r="BD163" s="100" t="n">
        <f aca="false">(P163+R163+T163+V163+X163+Z163+AB163+AD163+AF163+AH163+AJ163+AL163+AN163+AP163+AR163+AT163+AV163+AX163+AZ163+BB163)</f>
        <v>0</v>
      </c>
      <c r="BE163" s="322" t="n">
        <f aca="false">IF(AND(BD163=0,BH163=0),0,(ABS(P163)*Q163+ABS(R163)*S163+ABS(T163)*U163+ABS(V163)*W163+ABS(X163)*Y163+ABS(Z163)*AA163+ABS(AB163)*AC163+ABS(AD163)*AE163+ABS(AF163)*AG163+ABS(AH163)*AI163+ABS(AJ163)*AK163+ABS(AL163)*AM163+ABS(AN163)*AO163+ABS(AP163)*AQ163+ABS(AR163)*AS163+ABS(AT163)*AU163+ABS(AV163)*AW163+ABS(AX163)*AY163+ABS(AZ163)*BA163+ABS(BB163)*BC163)/BH163)</f>
        <v>0</v>
      </c>
      <c r="BG163" s="103" t="n">
        <f aca="false">O163</f>
        <v>41791</v>
      </c>
      <c r="BH163" s="323" t="n">
        <f aca="false">(ABS(P163)+ABS(R163)+ABS(T163)+ABS(V163)+ABS(X163)+ABS(Z163)+ABS(AB163)+ABS(AD163)+ABS(AF163)+ABS(AH163)+ABS(AJ163)+ABS(AL163)+ABS(AN163)+ABS(AP163)+ABS(AR163)+ABS(AT163)+ABS(AV163)+ABS(AX163)+ABS(AZ163)+ABS(BB163))</f>
        <v>0</v>
      </c>
      <c r="BI163" s="104" t="n">
        <f aca="false">VLOOKUP(GasPosn!A163,'Pricing Summary'!$AB$12:$AD$250,3)</f>
        <v>30</v>
      </c>
      <c r="BJ163" s="102" t="n">
        <f aca="false">VLOOKUP(A163,Interest!$AF$8:$AK$367,6)</f>
        <v>0.496026228949441</v>
      </c>
      <c r="BL163" s="0" t="n">
        <f aca="false">J163*VLOOKUP(A163,NymexData!$J$12:$K$244,2)</f>
        <v>6639.2210046548</v>
      </c>
      <c r="BO163" s="0" t="n">
        <f aca="false">Interest!AK159</f>
        <v>0.496026228949441</v>
      </c>
      <c r="BP163" s="0" t="n">
        <f aca="false">G163*Interest!AK159</f>
        <v>2.31842659410969</v>
      </c>
      <c r="BQ163" s="0" t="n">
        <f aca="false">IF(AND(A163&gt;=$B$3,A163&lt;=$B$4),1,0)</f>
        <v>0</v>
      </c>
      <c r="BR163" s="0" t="n">
        <f aca="false">BO163*BQ163</f>
        <v>0</v>
      </c>
      <c r="BS163" s="0" t="n">
        <f aca="false">BP163*BQ163</f>
        <v>0</v>
      </c>
    </row>
    <row r="164" customFormat="false" ht="18" hidden="false" customHeight="false" outlineLevel="0" collapsed="false">
      <c r="A164" s="75" t="n">
        <f aca="false">[2]EnergyCurve!$D186</f>
        <v>41821</v>
      </c>
      <c r="B164" s="317" t="n">
        <f aca="false" t="array" ref="B164:B164">SUM(IF(MONTH(NymexData!$AI$12:$AI$250)&amp;YEAR(NymexData!$AI$12:$AI$250)=MONTH(A164)&amp;YEAR(A164),NymexData!$AJ$12:$AJ$250))</f>
        <v>-34.59410057</v>
      </c>
      <c r="C164" s="317" t="n">
        <f aca="false">BD164*BJ164*BI164</f>
        <v>0</v>
      </c>
      <c r="D164" s="319" t="n">
        <f aca="false">C164+B164</f>
        <v>-34.59410057</v>
      </c>
      <c r="E164" s="320" t="n">
        <f aca="false" t="array" ref="E164:E164">SUM(IF(MONTH(NymexData!$S$12:$S$250)&amp;YEAR(NymexData!$S$12:$S$250)=MONTH(A164)&amp;YEAR(A164),NymexData!$T$12:$T$250))</f>
        <v>4.731</v>
      </c>
      <c r="F164" s="320" t="n">
        <f aca="false">G164-E164</f>
        <v>-0.0119999999999996</v>
      </c>
      <c r="G164" s="321" t="n">
        <f aca="false" t="array" ref="G164:G164">IF(NymexData!$AA$12="",GasPosn!E164,SUM(IF(MONTH(NymexData!$AA$12:$AA$250)&amp;YEAR(NymexData!$AA$12:$AA$250)=MONTH(A164)&amp;YEAR(A164),NymexData!$AB$12:$AB$250)))</f>
        <v>4.719</v>
      </c>
      <c r="H164" s="76" t="n">
        <f aca="false">B164*10000*F164</f>
        <v>4151.29206839985</v>
      </c>
      <c r="I164" s="82" t="n">
        <f aca="false">(((G164-Q164)*P164+(G164-S164)*R164+(G164-U164)*T164+(G164-W164)*V164+(G164-Y164)*X164+(G164-AA164)*Z164+(G164-AC164)*AB164+(G164-AE164)*AD164+(G164-AG164)*AF164+(G164-AI164)*AH164+(G164-AK164)*AJ164+(G164-AM164)*AL164+(G164-AO164)*AN164+(G164-AQ164)*AP164+(G164-AS164)*AR164+(G164-AU164)*AT164+(G164-AW164)*AV164+(G164-AY164)*AX164+(G164-BA164)*AZ164+(G164-BC164)*BB164)*BJ164*BI164)*10000</f>
        <v>0</v>
      </c>
      <c r="J164" s="82" t="n">
        <f aca="false">H164+I164</f>
        <v>4151.29206839985</v>
      </c>
      <c r="O164" s="95" t="n">
        <f aca="false">A164</f>
        <v>41821</v>
      </c>
      <c r="BD164" s="100" t="n">
        <f aca="false">(P164+R164+T164+V164+X164+Z164+AB164+AD164+AF164+AH164+AJ164+AL164+AN164+AP164+AR164+AT164+AV164+AX164+AZ164+BB164)</f>
        <v>0</v>
      </c>
      <c r="BE164" s="322" t="n">
        <f aca="false">IF(AND(BD164=0,BH164=0),0,(ABS(P164)*Q164+ABS(R164)*S164+ABS(T164)*U164+ABS(V164)*W164+ABS(X164)*Y164+ABS(Z164)*AA164+ABS(AB164)*AC164+ABS(AD164)*AE164+ABS(AF164)*AG164+ABS(AH164)*AI164+ABS(AJ164)*AK164+ABS(AL164)*AM164+ABS(AN164)*AO164+ABS(AP164)*AQ164+ABS(AR164)*AS164+ABS(AT164)*AU164+ABS(AV164)*AW164+ABS(AX164)*AY164+ABS(AZ164)*BA164+ABS(BB164)*BC164)/BH164)</f>
        <v>0</v>
      </c>
      <c r="BG164" s="103" t="n">
        <f aca="false">O164</f>
        <v>41821</v>
      </c>
      <c r="BH164" s="323" t="n">
        <f aca="false">(ABS(P164)+ABS(R164)+ABS(T164)+ABS(V164)+ABS(X164)+ABS(Z164)+ABS(AB164)+ABS(AD164)+ABS(AF164)+ABS(AH164)+ABS(AJ164)+ABS(AL164)+ABS(AN164)+ABS(AP164)+ABS(AR164)+ABS(AT164)+ABS(AV164)+ABS(AX164)+ABS(AZ164)+ABS(BB164))</f>
        <v>0</v>
      </c>
      <c r="BI164" s="104" t="n">
        <f aca="false">VLOOKUP(GasPosn!A164,'Pricing Summary'!$AB$12:$AD$250,3)</f>
        <v>31</v>
      </c>
      <c r="BJ164" s="102" t="n">
        <f aca="false">VLOOKUP(A164,Interest!$AF$8:$AK$367,6)</f>
        <v>0.493361619231238</v>
      </c>
      <c r="BL164" s="0" t="n">
        <f aca="false">J164*VLOOKUP(A164,NymexData!$J$12:$K$244,2)</f>
        <v>6825.29175373286</v>
      </c>
      <c r="BO164" s="0" t="n">
        <f aca="false">Interest!AK160</f>
        <v>0.493361619231238</v>
      </c>
      <c r="BP164" s="0" t="n">
        <f aca="false">G164*Interest!AK160</f>
        <v>2.32817348115221</v>
      </c>
      <c r="BQ164" s="0" t="n">
        <f aca="false">IF(AND(A164&gt;=$B$3,A164&lt;=$B$4),1,0)</f>
        <v>0</v>
      </c>
      <c r="BR164" s="0" t="n">
        <f aca="false">BO164*BQ164</f>
        <v>0</v>
      </c>
      <c r="BS164" s="0" t="n">
        <f aca="false">BP164*BQ164</f>
        <v>0</v>
      </c>
    </row>
    <row r="165" customFormat="false" ht="18" hidden="false" customHeight="false" outlineLevel="0" collapsed="false">
      <c r="A165" s="112" t="n">
        <f aca="false">[2]EnergyCurve!$D187</f>
        <v>41852</v>
      </c>
      <c r="B165" s="324" t="n">
        <f aca="false" t="array" ref="B165:B165">SUM(IF(MONTH(NymexData!$AI$12:$AI$250)&amp;YEAR(NymexData!$AI$12:$AI$250)=MONTH(A165)&amp;YEAR(A165),NymexData!$AJ$12:$AJ$250))</f>
        <v>-34.38980804</v>
      </c>
      <c r="C165" s="325" t="n">
        <f aca="false">BD165*BJ165*BI165</f>
        <v>0</v>
      </c>
      <c r="D165" s="326" t="n">
        <f aca="false">C165+B165</f>
        <v>-34.38980804</v>
      </c>
      <c r="E165" s="327" t="n">
        <f aca="false" t="array" ref="E165:E165">SUM(IF(MONTH(NymexData!$S$12:$S$250)&amp;YEAR(NymexData!$S$12:$S$250)=MONTH(A165)&amp;YEAR(A165),NymexData!$T$12:$T$250))</f>
        <v>4.769</v>
      </c>
      <c r="F165" s="327" t="n">
        <f aca="false">G165-E165</f>
        <v>-0.0119999999999996</v>
      </c>
      <c r="G165" s="328" t="n">
        <f aca="false" t="array" ref="G165:G165">IF(NymexData!$AA$12="",GasPosn!E165,SUM(IF(MONTH(NymexData!$AA$12:$AA$250)&amp;YEAR(NymexData!$AA$12:$AA$250)=MONTH(A165)&amp;YEAR(A165),NymexData!$AB$12:$AB$250)))</f>
        <v>4.757</v>
      </c>
      <c r="H165" s="115" t="n">
        <f aca="false">B165*10000*F165</f>
        <v>4126.77696479985</v>
      </c>
      <c r="I165" s="119" t="n">
        <f aca="false">(((G165-Q165)*P165+(G165-S165)*R165+(G165-U165)*T165+(G165-W165)*V165+(G165-Y165)*X165+(G165-AA165)*Z165+(G165-AC165)*AB165+(G165-AE165)*AD165+(G165-AG165)*AF165+(G165-AI165)*AH165+(G165-AK165)*AJ165+(G165-AM165)*AL165+(G165-AO165)*AN165+(G165-AQ165)*AP165+(G165-AS165)*AR165+(G165-AU165)*AT165+(G165-AW165)*AV165+(G165-AY165)*AX165+(G165-BA165)*AZ165+(G165-BC165)*BB165)*BJ165*BI165)*10000</f>
        <v>0</v>
      </c>
      <c r="J165" s="119" t="n">
        <f aca="false">H165+I165</f>
        <v>4126.77696479985</v>
      </c>
      <c r="O165" s="95" t="n">
        <f aca="false">A165</f>
        <v>41852</v>
      </c>
      <c r="BD165" s="100" t="n">
        <f aca="false">(P165+R165+T165+V165+X165+Z165+AB165+AD165+AF165+AH165+AJ165+AL165+AN165+AP165+AR165+AT165+AV165+AX165+AZ165+BB165)</f>
        <v>0</v>
      </c>
      <c r="BE165" s="322" t="n">
        <f aca="false">IF(AND(BD165=0,BH165=0),0,(ABS(P165)*Q165+ABS(R165)*S165+ABS(T165)*U165+ABS(V165)*W165+ABS(X165)*Y165+ABS(Z165)*AA165+ABS(AB165)*AC165+ABS(AD165)*AE165+ABS(AF165)*AG165+ABS(AH165)*AI165+ABS(AJ165)*AK165+ABS(AL165)*AM165+ABS(AN165)*AO165+ABS(AP165)*AQ165+ABS(AR165)*AS165+ABS(AT165)*AU165+ABS(AV165)*AW165+ABS(AX165)*AY165+ABS(AZ165)*BA165+ABS(BB165)*BC165)/BH165)</f>
        <v>0</v>
      </c>
      <c r="BG165" s="103" t="n">
        <f aca="false">O165</f>
        <v>41852</v>
      </c>
      <c r="BH165" s="323" t="n">
        <f aca="false">(ABS(P165)+ABS(R165)+ABS(T165)+ABS(V165)+ABS(X165)+ABS(Z165)+ABS(AB165)+ABS(AD165)+ABS(AF165)+ABS(AH165)+ABS(AJ165)+ABS(AL165)+ABS(AN165)+ABS(AP165)+ABS(AR165)+ABS(AT165)+ABS(AV165)+ABS(AX165)+ABS(AZ165)+ABS(BB165))</f>
        <v>0</v>
      </c>
      <c r="BI165" s="104" t="n">
        <f aca="false">VLOOKUP(GasPosn!A165,'Pricing Summary'!$AB$12:$AD$250,3)</f>
        <v>31</v>
      </c>
      <c r="BJ165" s="102" t="n">
        <f aca="false">VLOOKUP(A165,Interest!$AF$8:$AK$367,6)</f>
        <v>0.490695288070903</v>
      </c>
      <c r="BL165" s="0" t="n">
        <f aca="false">J165*VLOOKUP(A165,NymexData!$J$12:$K$244,2)</f>
        <v>6789.01376206442</v>
      </c>
      <c r="BO165" s="0" t="n">
        <f aca="false">Interest!AK161</f>
        <v>0.490695288070903</v>
      </c>
      <c r="BP165" s="0" t="n">
        <f aca="false">G165*Interest!AK161</f>
        <v>2.33423748535328</v>
      </c>
      <c r="BQ165" s="0" t="n">
        <f aca="false">IF(AND(A165&gt;=$B$3,A165&lt;=$B$4),1,0)</f>
        <v>0</v>
      </c>
      <c r="BR165" s="0" t="n">
        <f aca="false">BO165*BQ165</f>
        <v>0</v>
      </c>
      <c r="BS165" s="0" t="n">
        <f aca="false">BP165*BQ165</f>
        <v>0</v>
      </c>
    </row>
    <row r="166" customFormat="false" ht="18" hidden="false" customHeight="false" outlineLevel="0" collapsed="false">
      <c r="A166" s="75" t="n">
        <f aca="false">[2]EnergyCurve!$D188</f>
        <v>41883</v>
      </c>
      <c r="B166" s="317" t="n">
        <f aca="false" t="array" ref="B166:B166">SUM(IF(MONTH(NymexData!$AI$12:$AI$250)&amp;YEAR(NymexData!$AI$12:$AI$250)=MONTH(A166)&amp;YEAR(A166),NymexData!$AJ$12:$AJ$250))</f>
        <v>-33.08351223</v>
      </c>
      <c r="C166" s="317" t="n">
        <f aca="false">BD166*BJ166*BI166</f>
        <v>0</v>
      </c>
      <c r="D166" s="319" t="n">
        <f aca="false">C166+B166</f>
        <v>-33.08351223</v>
      </c>
      <c r="E166" s="320" t="n">
        <f aca="false" t="array" ref="E166:E166">SUM(IF(MONTH(NymexData!$S$12:$S$250)&amp;YEAR(NymexData!$S$12:$S$250)=MONTH(A166)&amp;YEAR(A166),NymexData!$T$12:$T$250))</f>
        <v>4.763</v>
      </c>
      <c r="F166" s="320" t="n">
        <f aca="false">G166-E166</f>
        <v>-0.0119999999999996</v>
      </c>
      <c r="G166" s="321" t="n">
        <f aca="false" t="array" ref="G166:G166">IF(NymexData!$AA$12="",GasPosn!E166,SUM(IF(MONTH(NymexData!$AA$12:$AA$250)&amp;YEAR(NymexData!$AA$12:$AA$250)=MONTH(A166)&amp;YEAR(A166),NymexData!$AB$12:$AB$250)))</f>
        <v>4.751</v>
      </c>
      <c r="H166" s="76" t="n">
        <f aca="false">B166*10000*F166</f>
        <v>3970.02146759986</v>
      </c>
      <c r="I166" s="82" t="n">
        <f aca="false">(((G166-Q166)*P166+(G166-S166)*R166+(G166-U166)*T166+(G166-W166)*V166+(G166-Y166)*X166+(G166-AA166)*Z166+(G166-AC166)*AB166+(G166-AE166)*AD166+(G166-AG166)*AF166+(G166-AI166)*AH166+(G166-AK166)*AJ166+(G166-AM166)*AL166+(G166-AO166)*AN166+(G166-AQ166)*AP166+(G166-AS166)*AR166+(G166-AU166)*AT166+(G166-AW166)*AV166+(G166-AY166)*AX166+(G166-BA166)*AZ166+(G166-BC166)*BB166)*BJ166*BI166)*10000</f>
        <v>0</v>
      </c>
      <c r="J166" s="82" t="n">
        <f aca="false">H166+I166</f>
        <v>3970.02146759986</v>
      </c>
      <c r="O166" s="95" t="n">
        <f aca="false">A166</f>
        <v>41883</v>
      </c>
      <c r="BD166" s="100" t="n">
        <f aca="false">(P166+R166+T166+V166+X166+Z166+AB166+AD166+AF166+AH166+AJ166+AL166+AN166+AP166+AR166+AT166+AV166+AX166+AZ166+BB166)</f>
        <v>0</v>
      </c>
      <c r="BE166" s="322" t="n">
        <f aca="false">IF(AND(BD166=0,BH166=0),0,(ABS(P166)*Q166+ABS(R166)*S166+ABS(T166)*U166+ABS(V166)*W166+ABS(X166)*Y166+ABS(Z166)*AA166+ABS(AB166)*AC166+ABS(AD166)*AE166+ABS(AF166)*AG166+ABS(AH166)*AI166+ABS(AJ166)*AK166+ABS(AL166)*AM166+ABS(AN166)*AO166+ABS(AP166)*AQ166+ABS(AR166)*AS166+ABS(AT166)*AU166+ABS(AV166)*AW166+ABS(AX166)*AY166+ABS(AZ166)*BA166+ABS(BB166)*BC166)/BH166)</f>
        <v>0</v>
      </c>
      <c r="BG166" s="103" t="n">
        <f aca="false">O166</f>
        <v>41883</v>
      </c>
      <c r="BH166" s="323" t="n">
        <f aca="false">(ABS(P166)+ABS(R166)+ABS(T166)+ABS(V166)+ABS(X166)+ABS(Z166)+ABS(AB166)+ABS(AD166)+ABS(AF166)+ABS(AH166)+ABS(AJ166)+ABS(AL166)+ABS(AN166)+ABS(AP166)+ABS(AR166)+ABS(AT166)+ABS(AV166)+ABS(AX166)+ABS(AZ166)+ABS(BB166))</f>
        <v>0</v>
      </c>
      <c r="BI166" s="104" t="n">
        <f aca="false">VLOOKUP(GasPosn!A166,'Pricing Summary'!$AB$12:$AD$250,3)</f>
        <v>30</v>
      </c>
      <c r="BJ166" s="102" t="n">
        <f aca="false">VLOOKUP(A166,Interest!$AF$8:$AK$367,6)</f>
        <v>0.488112738163542</v>
      </c>
      <c r="BL166" s="0" t="n">
        <f aca="false">J166*VLOOKUP(A166,NymexData!$J$12:$K$244,2)</f>
        <v>6535.03647923824</v>
      </c>
      <c r="BO166" s="0" t="n">
        <f aca="false">Interest!AK162</f>
        <v>0.488112738163542</v>
      </c>
      <c r="BP166" s="0" t="n">
        <f aca="false">G166*Interest!AK162</f>
        <v>2.31902361901499</v>
      </c>
      <c r="BQ166" s="0" t="n">
        <f aca="false">IF(AND(A166&gt;=$B$3,A166&lt;=$B$4),1,0)</f>
        <v>0</v>
      </c>
      <c r="BR166" s="0" t="n">
        <f aca="false">BO166*BQ166</f>
        <v>0</v>
      </c>
      <c r="BS166" s="0" t="n">
        <f aca="false">BP166*BQ166</f>
        <v>0</v>
      </c>
    </row>
    <row r="167" customFormat="false" ht="18" hidden="false" customHeight="false" outlineLevel="0" collapsed="false">
      <c r="A167" s="112" t="n">
        <f aca="false">[2]EnergyCurve!$D189</f>
        <v>41913</v>
      </c>
      <c r="B167" s="324" t="n">
        <f aca="false" t="array" ref="B167:B167">SUM(IF(MONTH(NymexData!$AI$12:$AI$250)&amp;YEAR(NymexData!$AI$12:$AI$250)=MONTH(A167)&amp;YEAR(A167),NymexData!$AJ$12:$AJ$250))</f>
        <v>-33.99009237</v>
      </c>
      <c r="C167" s="325" t="n">
        <f aca="false">BD167*BJ167*BI167</f>
        <v>0</v>
      </c>
      <c r="D167" s="326" t="n">
        <f aca="false">C167+B167</f>
        <v>-33.99009237</v>
      </c>
      <c r="E167" s="327" t="n">
        <f aca="false" t="array" ref="E167:E167">SUM(IF(MONTH(NymexData!$S$12:$S$250)&amp;YEAR(NymexData!$S$12:$S$250)=MONTH(A167)&amp;YEAR(A167),NymexData!$T$12:$T$250))</f>
        <v>4.763</v>
      </c>
      <c r="F167" s="327" t="n">
        <f aca="false">G167-E167</f>
        <v>-0.0119999999999996</v>
      </c>
      <c r="G167" s="328" t="n">
        <f aca="false" t="array" ref="G167:G167">IF(NymexData!$AA$12="",GasPosn!E167,SUM(IF(MONTH(NymexData!$AA$12:$AA$250)&amp;YEAR(NymexData!$AA$12:$AA$250)=MONTH(A167)&amp;YEAR(A167),NymexData!$AB$12:$AB$250)))</f>
        <v>4.751</v>
      </c>
      <c r="H167" s="115" t="n">
        <f aca="false">B167*10000*F167</f>
        <v>4078.81108439985</v>
      </c>
      <c r="I167" s="119" t="n">
        <f aca="false">(((G167-Q167)*P167+(G167-S167)*R167+(G167-U167)*T167+(G167-W167)*V167+(G167-Y167)*X167+(G167-AA167)*Z167+(G167-AC167)*AB167+(G167-AE167)*AD167+(G167-AG167)*AF167+(G167-AI167)*AH167+(G167-AK167)*AJ167+(G167-AM167)*AL167+(G167-AO167)*AN167+(G167-AQ167)*AP167+(G167-AS167)*AR167+(G167-AU167)*AT167+(G167-AW167)*AV167+(G167-AY167)*AX167+(G167-BA167)*AZ167+(G167-BC167)*BB167)*BJ167*BI167)*10000</f>
        <v>0</v>
      </c>
      <c r="J167" s="119" t="n">
        <f aca="false">H167+I167</f>
        <v>4078.81108439985</v>
      </c>
      <c r="O167" s="95" t="n">
        <f aca="false">A167</f>
        <v>41913</v>
      </c>
      <c r="BD167" s="100" t="n">
        <f aca="false">(P167+R167+T167+V167+X167+Z167+AB167+AD167+AF167+AH167+AJ167+AL167+AN167+AP167+AR167+AT167+AV167+AX167+AZ167+BB167)</f>
        <v>0</v>
      </c>
      <c r="BE167" s="322" t="n">
        <f aca="false">IF(AND(BD167=0,BH167=0),0,(ABS(P167)*Q167+ABS(R167)*S167+ABS(T167)*U167+ABS(V167)*W167+ABS(X167)*Y167+ABS(Z167)*AA167+ABS(AB167)*AC167+ABS(AD167)*AE167+ABS(AF167)*AG167+ABS(AH167)*AI167+ABS(AJ167)*AK167+ABS(AL167)*AM167+ABS(AN167)*AO167+ABS(AP167)*AQ167+ABS(AR167)*AS167+ABS(AT167)*AU167+ABS(AV167)*AW167+ABS(AX167)*AY167+ABS(AZ167)*BA167+ABS(BB167)*BC167)/BH167)</f>
        <v>0</v>
      </c>
      <c r="BG167" s="103" t="n">
        <f aca="false">O167</f>
        <v>41913</v>
      </c>
      <c r="BH167" s="323" t="n">
        <f aca="false">(ABS(P167)+ABS(R167)+ABS(T167)+ABS(V167)+ABS(X167)+ABS(Z167)+ABS(AB167)+ABS(AD167)+ABS(AF167)+ABS(AH167)+ABS(AJ167)+ABS(AL167)+ABS(AN167)+ABS(AP167)+ABS(AR167)+ABS(AT167)+ABS(AV167)+ABS(AX167)+ABS(AZ167)+ABS(BB167))</f>
        <v>0</v>
      </c>
      <c r="BI167" s="104" t="n">
        <f aca="false">VLOOKUP(GasPosn!A167,'Pricing Summary'!$AB$12:$AD$250,3)</f>
        <v>31</v>
      </c>
      <c r="BJ167" s="102" t="n">
        <f aca="false">VLOOKUP(A167,Interest!$AF$8:$AK$367,6)</f>
        <v>0.485477083387916</v>
      </c>
      <c r="BL167" s="0" t="n">
        <f aca="false">J167*VLOOKUP(A167,NymexData!$J$12:$K$244,2)</f>
        <v>6718.02288085022</v>
      </c>
      <c r="BO167" s="0" t="n">
        <f aca="false">Interest!AK163</f>
        <v>0.485477083387916</v>
      </c>
      <c r="BP167" s="0" t="n">
        <f aca="false">G167*Interest!AK163</f>
        <v>2.30650162317599</v>
      </c>
      <c r="BQ167" s="0" t="n">
        <f aca="false">IF(AND(A167&gt;=$B$3,A167&lt;=$B$4),1,0)</f>
        <v>0</v>
      </c>
      <c r="BR167" s="0" t="n">
        <f aca="false">BO167*BQ167</f>
        <v>0</v>
      </c>
      <c r="BS167" s="0" t="n">
        <f aca="false">BP167*BQ167</f>
        <v>0</v>
      </c>
    </row>
    <row r="168" customFormat="false" ht="18" hidden="false" customHeight="false" outlineLevel="0" collapsed="false">
      <c r="A168" s="75" t="n">
        <f aca="false">[2]EnergyCurve!$D190</f>
        <v>41944</v>
      </c>
      <c r="B168" s="317" t="n">
        <f aca="false" t="array" ref="B168:B168">SUM(IF(MONTH(NymexData!$AI$12:$AI$250)&amp;YEAR(NymexData!$AI$12:$AI$250)=MONTH(A168)&amp;YEAR(A168),NymexData!$AJ$12:$AJ$250))</f>
        <v>-32.69817814</v>
      </c>
      <c r="C168" s="317" t="n">
        <f aca="false">BD168*BJ168*BI168</f>
        <v>0</v>
      </c>
      <c r="D168" s="319" t="n">
        <f aca="false">C168+B168</f>
        <v>-32.69817814</v>
      </c>
      <c r="E168" s="320" t="n">
        <f aca="false" t="array" ref="E168:E168">SUM(IF(MONTH(NymexData!$S$12:$S$250)&amp;YEAR(NymexData!$S$12:$S$250)=MONTH(A168)&amp;YEAR(A168),NymexData!$T$12:$T$250))</f>
        <v>4.911</v>
      </c>
      <c r="F168" s="320" t="n">
        <f aca="false">G168-E168</f>
        <v>-0.0110000000000001</v>
      </c>
      <c r="G168" s="321" t="n">
        <f aca="false" t="array" ref="G168:G168">IF(NymexData!$AA$12="",GasPosn!E168,SUM(IF(MONTH(NymexData!$AA$12:$AA$250)&amp;YEAR(NymexData!$AA$12:$AA$250)=MONTH(A168)&amp;YEAR(A168),NymexData!$AB$12:$AB$250)))</f>
        <v>4.9</v>
      </c>
      <c r="H168" s="76" t="n">
        <f aca="false">B168*10000*F168</f>
        <v>3596.79959540004</v>
      </c>
      <c r="I168" s="82" t="n">
        <f aca="false">(((G168-Q168)*P168+(G168-S168)*R168+(G168-U168)*T168+(G168-W168)*V168+(G168-Y168)*X168+(G168-AA168)*Z168+(G168-AC168)*AB168+(G168-AE168)*AD168+(G168-AG168)*AF168+(G168-AI168)*AH168+(G168-AK168)*AJ168+(G168-AM168)*AL168+(G168-AO168)*AN168+(G168-AQ168)*AP168+(G168-AS168)*AR168+(G168-AU168)*AT168+(G168-AW168)*AV168+(G168-AY168)*AX168+(G168-BA168)*AZ168+(G168-BC168)*BB168)*BJ168*BI168)*10000</f>
        <v>0</v>
      </c>
      <c r="J168" s="82" t="n">
        <f aca="false">H168+I168</f>
        <v>3596.79959540004</v>
      </c>
      <c r="O168" s="95" t="n">
        <f aca="false">A168</f>
        <v>41944</v>
      </c>
      <c r="BD168" s="100" t="n">
        <f aca="false">(P168+R168+T168+V168+X168+Z168+AB168+AD168+AF168+AH168+AJ168+AL168+AN168+AP168+AR168+AT168+AV168+AX168+AZ168+BB168)</f>
        <v>0</v>
      </c>
      <c r="BE168" s="322" t="n">
        <f aca="false">IF(AND(BD168=0,BH168=0),0,(ABS(P168)*Q168+ABS(R168)*S168+ABS(T168)*U168+ABS(V168)*W168+ABS(X168)*Y168+ABS(Z168)*AA168+ABS(AB168)*AC168+ABS(AD168)*AE168+ABS(AF168)*AG168+ABS(AH168)*AI168+ABS(AJ168)*AK168+ABS(AL168)*AM168+ABS(AN168)*AO168+ABS(AP168)*AQ168+ABS(AR168)*AS168+ABS(AT168)*AU168+ABS(AV168)*AW168+ABS(AX168)*AY168+ABS(AZ168)*BA168+ABS(BB168)*BC168)/BH168)</f>
        <v>0</v>
      </c>
      <c r="BG168" s="103" t="n">
        <f aca="false">O168</f>
        <v>41944</v>
      </c>
      <c r="BH168" s="323" t="n">
        <f aca="false">(ABS(P168)+ABS(R168)+ABS(T168)+ABS(V168)+ABS(X168)+ABS(Z168)+ABS(AB168)+ABS(AD168)+ABS(AF168)+ABS(AH168)+ABS(AJ168)+ABS(AL168)+ABS(AN168)+ABS(AP168)+ABS(AR168)+ABS(AT168)+ABS(AV168)+ABS(AX168)+ABS(AZ168)+ABS(BB168))</f>
        <v>0</v>
      </c>
      <c r="BI168" s="104" t="n">
        <f aca="false">VLOOKUP(GasPosn!A168,'Pricing Summary'!$AB$12:$AD$250,3)</f>
        <v>30</v>
      </c>
      <c r="BJ168" s="102" t="n">
        <f aca="false">VLOOKUP(A168,Interest!$AF$8:$AK$367,6)</f>
        <v>0.482913057834991</v>
      </c>
      <c r="BL168" s="0" t="n">
        <f aca="false">J168*VLOOKUP(A168,NymexData!$J$12:$K$244,2)</f>
        <v>5927.7101655606</v>
      </c>
      <c r="BO168" s="0" t="n">
        <f aca="false">Interest!AK164</f>
        <v>0.482913057834991</v>
      </c>
      <c r="BP168" s="0" t="n">
        <f aca="false">G168*Interest!AK164</f>
        <v>2.36627398339146</v>
      </c>
      <c r="BQ168" s="0" t="n">
        <f aca="false">IF(AND(A168&gt;=$B$3,A168&lt;=$B$4),1,0)</f>
        <v>0</v>
      </c>
      <c r="BR168" s="0" t="n">
        <f aca="false">BO168*BQ168</f>
        <v>0</v>
      </c>
      <c r="BS168" s="0" t="n">
        <f aca="false">BP168*BQ168</f>
        <v>0</v>
      </c>
    </row>
    <row r="169" customFormat="false" ht="18" hidden="false" customHeight="false" outlineLevel="0" collapsed="false">
      <c r="A169" s="112" t="n">
        <f aca="false">[2]EnergyCurve!$D191</f>
        <v>41974</v>
      </c>
      <c r="B169" s="324" t="n">
        <f aca="false" t="array" ref="B169:B169">SUM(IF(MONTH(NymexData!$AI$12:$AI$250)&amp;YEAR(NymexData!$AI$12:$AI$250)=MONTH(A169)&amp;YEAR(A169),NymexData!$AJ$12:$AJ$250))</f>
        <v>-33.5934021</v>
      </c>
      <c r="C169" s="325" t="n">
        <f aca="false">BD169*BJ169*BI169</f>
        <v>0</v>
      </c>
      <c r="D169" s="326" t="n">
        <f aca="false">C169+B169</f>
        <v>-33.5934021</v>
      </c>
      <c r="E169" s="327" t="n">
        <f aca="false" t="array" ref="E169:E169">SUM(IF(MONTH(NymexData!$S$12:$S$250)&amp;YEAR(NymexData!$S$12:$S$250)=MONTH(A169)&amp;YEAR(A169),NymexData!$T$12:$T$250))</f>
        <v>5.063</v>
      </c>
      <c r="F169" s="327" t="n">
        <f aca="false">G169-E169</f>
        <v>-0.0110000000000001</v>
      </c>
      <c r="G169" s="328" t="n">
        <f aca="false" t="array" ref="G169:G169">IF(NymexData!$AA$12="",GasPosn!E169,SUM(IF(MONTH(NymexData!$AA$12:$AA$250)&amp;YEAR(NymexData!$AA$12:$AA$250)=MONTH(A169)&amp;YEAR(A169),NymexData!$AB$12:$AB$250)))</f>
        <v>5.052</v>
      </c>
      <c r="H169" s="115" t="n">
        <f aca="false">B169*10000*F169</f>
        <v>3695.27423100004</v>
      </c>
      <c r="I169" s="119" t="n">
        <f aca="false">(((G169-Q169)*P169+(G169-S169)*R169+(G169-U169)*T169+(G169-W169)*V169+(G169-Y169)*X169+(G169-AA169)*Z169+(G169-AC169)*AB169+(G169-AE169)*AD169+(G169-AG169)*AF169+(G169-AI169)*AH169+(G169-AK169)*AJ169+(G169-AM169)*AL169+(G169-AO169)*AN169+(G169-AQ169)*AP169+(G169-AS169)*AR169+(G169-AU169)*AT169+(G169-AW169)*AV169+(G169-AY169)*AX169+(G169-BA169)*AZ169+(G169-BC169)*BB169)*BJ169*BI169)*10000</f>
        <v>0</v>
      </c>
      <c r="J169" s="119" t="n">
        <f aca="false">H169+I169</f>
        <v>3695.27423100004</v>
      </c>
      <c r="O169" s="95" t="n">
        <f aca="false">A169</f>
        <v>41974</v>
      </c>
      <c r="BD169" s="100" t="n">
        <f aca="false">(P169+R169+T169+V169+X169+Z169+AB169+AD169+AF169+AH169+AJ169+AL169+AN169+AP169+AR169+AT169+AV169+AX169+AZ169+BB169)</f>
        <v>0</v>
      </c>
      <c r="BE169" s="322" t="n">
        <f aca="false">IF(AND(BD169=0,BH169=0),0,(ABS(P169)*Q169+ABS(R169)*S169+ABS(T169)*U169+ABS(V169)*W169+ABS(X169)*Y169+ABS(Z169)*AA169+ABS(AB169)*AC169+ABS(AD169)*AE169+ABS(AF169)*AG169+ABS(AH169)*AI169+ABS(AJ169)*AK169+ABS(AL169)*AM169+ABS(AN169)*AO169+ABS(AP169)*AQ169+ABS(AR169)*AS169+ABS(AT169)*AU169+ABS(AV169)*AW169+ABS(AX169)*AY169+ABS(AZ169)*BA169+ABS(BB169)*BC169)/BH169)</f>
        <v>0</v>
      </c>
      <c r="BG169" s="103" t="n">
        <f aca="false">O169</f>
        <v>41974</v>
      </c>
      <c r="BH169" s="323" t="n">
        <f aca="false">(ABS(P169)+ABS(R169)+ABS(T169)+ABS(V169)+ABS(X169)+ABS(Z169)+ABS(AB169)+ABS(AD169)+ABS(AF169)+ABS(AH169)+ABS(AJ169)+ABS(AL169)+ABS(AN169)+ABS(AP169)+ABS(AR169)+ABS(AT169)+ABS(AV169)+ABS(AX169)+ABS(AZ169)+ABS(BB169))</f>
        <v>0</v>
      </c>
      <c r="BI169" s="104" t="n">
        <f aca="false">VLOOKUP(GasPosn!A169,'Pricing Summary'!$AB$12:$AD$250,3)</f>
        <v>31</v>
      </c>
      <c r="BJ169" s="102" t="n">
        <f aca="false">VLOOKUP(A169,Interest!$AF$8:$AK$367,6)</f>
        <v>0.480296588587798</v>
      </c>
      <c r="BL169" s="0" t="n">
        <f aca="false">J169*VLOOKUP(A169,NymexData!$J$12:$K$244,2)</f>
        <v>6093.59202295971</v>
      </c>
      <c r="BO169" s="0" t="n">
        <f aca="false">Interest!AK165</f>
        <v>0.480296588587798</v>
      </c>
      <c r="BP169" s="0" t="n">
        <f aca="false">G169*Interest!AK165</f>
        <v>2.42645836554555</v>
      </c>
      <c r="BQ169" s="0" t="n">
        <f aca="false">IF(AND(A169&gt;=$B$3,A169&lt;=$B$4),1,0)</f>
        <v>0</v>
      </c>
      <c r="BR169" s="0" t="n">
        <f aca="false">BO169*BQ169</f>
        <v>0</v>
      </c>
      <c r="BS169" s="0" t="n">
        <f aca="false">BP169*BQ169</f>
        <v>0</v>
      </c>
    </row>
    <row r="170" customFormat="false" ht="18" hidden="false" customHeight="false" outlineLevel="0" collapsed="false">
      <c r="A170" s="75" t="n">
        <f aca="false">[2]EnergyCurve!$D192</f>
        <v>42005</v>
      </c>
      <c r="B170" s="317" t="n">
        <f aca="false" t="array" ref="B170:B170">SUM(IF(MONTH(NymexData!$AI$12:$AI$250)&amp;YEAR(NymexData!$AI$12:$AI$250)=MONTH(A170)&amp;YEAR(A170),NymexData!$AJ$12:$AJ$250))</f>
        <v>-33.39296577</v>
      </c>
      <c r="C170" s="317" t="n">
        <f aca="false">BD170*BJ170*BI170</f>
        <v>0</v>
      </c>
      <c r="D170" s="319" t="n">
        <f aca="false">C170+B170</f>
        <v>-33.39296577</v>
      </c>
      <c r="E170" s="320" t="n">
        <f aca="false" t="array" ref="E170:E170">SUM(IF(MONTH(NymexData!$S$12:$S$250)&amp;YEAR(NymexData!$S$12:$S$250)=MONTH(A170)&amp;YEAR(A170),NymexData!$T$12:$T$250))</f>
        <v>5.1355</v>
      </c>
      <c r="F170" s="320" t="n">
        <f aca="false">G170-E170</f>
        <v>-0.00600000000000023</v>
      </c>
      <c r="G170" s="321" t="n">
        <f aca="false" t="array" ref="G170:G170">IF(NymexData!$AA$12="",GasPosn!E170,SUM(IF(MONTH(NymexData!$AA$12:$AA$250)&amp;YEAR(NymexData!$AA$12:$AA$250)=MONTH(A170)&amp;YEAR(A170),NymexData!$AB$12:$AB$250)))</f>
        <v>5.1295</v>
      </c>
      <c r="H170" s="76" t="n">
        <f aca="false">B170*10000*F170</f>
        <v>2003.57794620008</v>
      </c>
      <c r="I170" s="82" t="n">
        <f aca="false">(((G170-Q170)*P170+(G170-S170)*R170+(G170-U170)*T170+(G170-W170)*V170+(G170-Y170)*X170+(G170-AA170)*Z170+(G170-AC170)*AB170+(G170-AE170)*AD170+(G170-AG170)*AF170+(G170-AI170)*AH170+(G170-AK170)*AJ170+(G170-AM170)*AL170+(G170-AO170)*AN170+(G170-AQ170)*AP170+(G170-AS170)*AR170+(G170-AU170)*AT170+(G170-AW170)*AV170+(G170-AY170)*AX170+(G170-BA170)*AZ170+(G170-BC170)*BB170)*BJ170*BI170)*10000</f>
        <v>0</v>
      </c>
      <c r="J170" s="82" t="n">
        <f aca="false">H170+I170</f>
        <v>2003.57794620008</v>
      </c>
      <c r="O170" s="95" t="n">
        <f aca="false">A170</f>
        <v>42005</v>
      </c>
      <c r="BD170" s="100" t="n">
        <f aca="false">(P170+R170+T170+V170+X170+Z170+AB170+AD170+AF170+AH170+AJ170+AL170+AN170+AP170+AR170+AT170+AV170+AX170+AZ170+BB170)</f>
        <v>0</v>
      </c>
      <c r="BE170" s="322" t="n">
        <f aca="false">IF(AND(BD170=0,BH170=0),0,(ABS(P170)*Q170+ABS(R170)*S170+ABS(T170)*U170+ABS(V170)*W170+ABS(X170)*Y170+ABS(Z170)*AA170+ABS(AB170)*AC170+ABS(AD170)*AE170+ABS(AF170)*AG170+ABS(AH170)*AI170+ABS(AJ170)*AK170+ABS(AL170)*AM170+ABS(AN170)*AO170+ABS(AP170)*AQ170+ABS(AR170)*AS170+ABS(AT170)*AU170+ABS(AV170)*AW170+ABS(AX170)*AY170+ABS(AZ170)*BA170+ABS(BB170)*BC170)/BH170)</f>
        <v>0</v>
      </c>
      <c r="BG170" s="103" t="n">
        <f aca="false">O170</f>
        <v>42005</v>
      </c>
      <c r="BH170" s="323" t="n">
        <f aca="false">(ABS(P170)+ABS(R170)+ABS(T170)+ABS(V170)+ABS(X170)+ABS(Z170)+ABS(AB170)+ABS(AD170)+ABS(AF170)+ABS(AH170)+ABS(AJ170)+ABS(AL170)+ABS(AN170)+ABS(AP170)+ABS(AR170)+ABS(AT170)+ABS(AV170)+ABS(AX170)+ABS(AZ170)+ABS(BB170))</f>
        <v>0</v>
      </c>
      <c r="BI170" s="104" t="n">
        <f aca="false">VLOOKUP(GasPosn!A170,'Pricing Summary'!$AB$12:$AD$250,3)</f>
        <v>31</v>
      </c>
      <c r="BJ170" s="102" t="n">
        <f aca="false">VLOOKUP(A170,Interest!$AF$8:$AK$367,6)</f>
        <v>0.477678323628186</v>
      </c>
      <c r="BL170" s="0" t="n">
        <f aca="false">J170*VLOOKUP(A170,NymexData!$J$12:$K$244,2)</f>
        <v>3305.97174394894</v>
      </c>
      <c r="BO170" s="0" t="n">
        <f aca="false">Interest!AK166</f>
        <v>0.477678323628186</v>
      </c>
      <c r="BP170" s="0" t="n">
        <f aca="false">G170*Interest!AK166</f>
        <v>2.45025096105078</v>
      </c>
      <c r="BQ170" s="0" t="n">
        <f aca="false">IF(AND(A170&gt;=$B$3,A170&lt;=$B$4),1,0)</f>
        <v>0</v>
      </c>
      <c r="BR170" s="0" t="n">
        <f aca="false">BO170*BQ170</f>
        <v>0</v>
      </c>
      <c r="BS170" s="0" t="n">
        <f aca="false">BP170*BQ170</f>
        <v>0</v>
      </c>
    </row>
    <row r="171" customFormat="false" ht="18" hidden="false" customHeight="false" outlineLevel="0" collapsed="false">
      <c r="A171" s="112" t="n">
        <f aca="false">[2]EnergyCurve!$D193</f>
        <v>42036</v>
      </c>
      <c r="B171" s="324" t="n">
        <f aca="false" t="array" ref="B171:B171">SUM(IF(MONTH(NymexData!$AI$12:$AI$250)&amp;YEAR(NymexData!$AI$12:$AI$250)=MONTH(A171)&amp;YEAR(A171),NymexData!$AJ$12:$AJ$250))</f>
        <v>-29.98105591</v>
      </c>
      <c r="C171" s="325" t="n">
        <f aca="false">BD171*BJ171*BI171</f>
        <v>0</v>
      </c>
      <c r="D171" s="326" t="n">
        <f aca="false">C171+B171</f>
        <v>-29.98105591</v>
      </c>
      <c r="E171" s="327" t="n">
        <f aca="false" t="array" ref="E171:E171">SUM(IF(MONTH(NymexData!$S$12:$S$250)&amp;YEAR(NymexData!$S$12:$S$250)=MONTH(A171)&amp;YEAR(A171),NymexData!$T$12:$T$250))</f>
        <v>5.0485</v>
      </c>
      <c r="F171" s="327" t="n">
        <f aca="false">G171-E171</f>
        <v>-0.00700000000000056</v>
      </c>
      <c r="G171" s="328" t="n">
        <f aca="false" t="array" ref="G171:G171">IF(NymexData!$AA$12="",GasPosn!E171,SUM(IF(MONTH(NymexData!$AA$12:$AA$250)&amp;YEAR(NymexData!$AA$12:$AA$250)=MONTH(A171)&amp;YEAR(A171),NymexData!$AB$12:$AB$250)))</f>
        <v>5.0415</v>
      </c>
      <c r="H171" s="115" t="n">
        <f aca="false">B171*10000*F171</f>
        <v>2098.67391370017</v>
      </c>
      <c r="I171" s="119" t="n">
        <f aca="false">(((G171-Q171)*P171+(G171-S171)*R171+(G171-U171)*T171+(G171-W171)*V171+(G171-Y171)*X171+(G171-AA171)*Z171+(G171-AC171)*AB171+(G171-AE171)*AD171+(G171-AG171)*AF171+(G171-AI171)*AH171+(G171-AK171)*AJ171+(G171-AM171)*AL171+(G171-AO171)*AN171+(G171-AQ171)*AP171+(G171-AS171)*AR171+(G171-AU171)*AT171+(G171-AW171)*AV171+(G171-AY171)*AX171+(G171-BA171)*AZ171+(G171-BC171)*BB171)*BJ171*BI171)*10000</f>
        <v>0</v>
      </c>
      <c r="J171" s="119" t="n">
        <f aca="false">H171+I171</f>
        <v>2098.67391370017</v>
      </c>
      <c r="O171" s="95" t="n">
        <f aca="false">A171</f>
        <v>42036</v>
      </c>
      <c r="BD171" s="100" t="n">
        <f aca="false">(P171+R171+T171+V171+X171+Z171+AB171+AD171+AF171+AH171+AJ171+AL171+AN171+AP171+AR171+AT171+AV171+AX171+AZ171+BB171)</f>
        <v>0</v>
      </c>
      <c r="BE171" s="322" t="n">
        <f aca="false">IF(AND(BD171=0,BH171=0),0,(ABS(P171)*Q171+ABS(R171)*S171+ABS(T171)*U171+ABS(V171)*W171+ABS(X171)*Y171+ABS(Z171)*AA171+ABS(AB171)*AC171+ABS(AD171)*AE171+ABS(AF171)*AG171+ABS(AH171)*AI171+ABS(AJ171)*AK171+ABS(AL171)*AM171+ABS(AN171)*AO171+ABS(AP171)*AQ171+ABS(AR171)*AS171+ABS(AT171)*AU171+ABS(AV171)*AW171+ABS(AX171)*AY171+ABS(AZ171)*BA171+ABS(BB171)*BC171)/BH171)</f>
        <v>0</v>
      </c>
      <c r="BG171" s="103" t="n">
        <f aca="false">O171</f>
        <v>42036</v>
      </c>
      <c r="BH171" s="323" t="n">
        <f aca="false">(ABS(P171)+ABS(R171)+ABS(T171)+ABS(V171)+ABS(X171)+ABS(Z171)+ABS(AB171)+ABS(AD171)+ABS(AF171)+ABS(AH171)+ABS(AJ171)+ABS(AL171)+ABS(AN171)+ABS(AP171)+ABS(AR171)+ABS(AT171)+ABS(AV171)+ABS(AX171)+ABS(AZ171)+ABS(BB171))</f>
        <v>0</v>
      </c>
      <c r="BI171" s="104" t="n">
        <f aca="false">VLOOKUP(GasPosn!A171,'Pricing Summary'!$AB$12:$AD$250,3)</f>
        <v>28</v>
      </c>
      <c r="BJ171" s="102" t="n">
        <f aca="false">VLOOKUP(A171,Interest!$AF$8:$AK$367,6)</f>
        <v>0.4752871222798</v>
      </c>
      <c r="BL171" s="0" t="n">
        <f aca="false">J171*VLOOKUP(A171,NymexData!$J$12:$K$244,2)</f>
        <v>3465.02012468282</v>
      </c>
      <c r="BO171" s="0" t="n">
        <f aca="false">Interest!AK167</f>
        <v>0.4752871222798</v>
      </c>
      <c r="BP171" s="0" t="n">
        <f aca="false">G171*Interest!AK167</f>
        <v>2.39616002697361</v>
      </c>
      <c r="BQ171" s="0" t="n">
        <f aca="false">IF(AND(A171&gt;=$B$3,A171&lt;=$B$4),1,0)</f>
        <v>0</v>
      </c>
      <c r="BR171" s="0" t="n">
        <f aca="false">BO171*BQ171</f>
        <v>0</v>
      </c>
      <c r="BS171" s="0" t="n">
        <f aca="false">BP171*BQ171</f>
        <v>0</v>
      </c>
    </row>
    <row r="172" customFormat="false" ht="18" hidden="false" customHeight="false" outlineLevel="0" collapsed="false">
      <c r="A172" s="75" t="n">
        <f aca="false">[2]EnergyCurve!$D194</f>
        <v>42064</v>
      </c>
      <c r="B172" s="317" t="n">
        <f aca="false" t="array" ref="B172:B172">SUM(IF(MONTH(NymexData!$AI$12:$AI$250)&amp;YEAR(NymexData!$AI$12:$AI$250)=MONTH(A172)&amp;YEAR(A172),NymexData!$AJ$12:$AJ$250))</f>
        <v>-33.01365214</v>
      </c>
      <c r="C172" s="317" t="n">
        <f aca="false">BD172*BJ172*BI172</f>
        <v>0</v>
      </c>
      <c r="D172" s="319" t="n">
        <f aca="false">C172+B172</f>
        <v>-33.01365214</v>
      </c>
      <c r="E172" s="320" t="n">
        <f aca="false" t="array" ref="E172:E172">SUM(IF(MONTH(NymexData!$S$12:$S$250)&amp;YEAR(NymexData!$S$12:$S$250)=MONTH(A172)&amp;YEAR(A172),NymexData!$T$12:$T$250))</f>
        <v>4.9095</v>
      </c>
      <c r="F172" s="320" t="n">
        <f aca="false">G172-E172</f>
        <v>-0.00700000000000056</v>
      </c>
      <c r="G172" s="321" t="n">
        <f aca="false" t="array" ref="G172:G172">IF(NymexData!$AA$12="",GasPosn!E172,SUM(IF(MONTH(NymexData!$AA$12:$AA$250)&amp;YEAR(NymexData!$AA$12:$AA$250)=MONTH(A172)&amp;YEAR(A172),NymexData!$AB$12:$AB$250)))</f>
        <v>4.9025</v>
      </c>
      <c r="H172" s="76" t="n">
        <f aca="false">B172*10000*F172</f>
        <v>2310.95564980019</v>
      </c>
      <c r="I172" s="82" t="n">
        <f aca="false">(((G172-Q172)*P172+(G172-S172)*R172+(G172-U172)*T172+(G172-W172)*V172+(G172-Y172)*X172+(G172-AA172)*Z172+(G172-AC172)*AB172+(G172-AE172)*AD172+(G172-AG172)*AF172+(G172-AI172)*AH172+(G172-AK172)*AJ172+(G172-AM172)*AL172+(G172-AO172)*AN172+(G172-AQ172)*AP172+(G172-AS172)*AR172+(G172-AU172)*AT172+(G172-AW172)*AV172+(G172-AY172)*AX172+(G172-BA172)*AZ172+(G172-BC172)*BB172)*BJ172*BI172)*10000</f>
        <v>0</v>
      </c>
      <c r="J172" s="82" t="n">
        <f aca="false">H172+I172</f>
        <v>2310.95564980019</v>
      </c>
      <c r="O172" s="95" t="n">
        <f aca="false">A172</f>
        <v>42064</v>
      </c>
      <c r="BD172" s="100" t="n">
        <f aca="false">(P172+R172+T172+V172+X172+Z172+AB172+AD172+AF172+AH172+AJ172+AL172+AN172+AP172+AR172+AT172+AV172+AX172+AZ172+BB172)</f>
        <v>0</v>
      </c>
      <c r="BE172" s="322" t="n">
        <f aca="false">IF(AND(BD172=0,BH172=0),0,(ABS(P172)*Q172+ABS(R172)*S172+ABS(T172)*U172+ABS(V172)*W172+ABS(X172)*Y172+ABS(Z172)*AA172+ABS(AB172)*AC172+ABS(AD172)*AE172+ABS(AF172)*AG172+ABS(AH172)*AI172+ABS(AJ172)*AK172+ABS(AL172)*AM172+ABS(AN172)*AO172+ABS(AP172)*AQ172+ABS(AR172)*AS172+ABS(AT172)*AU172+ABS(AV172)*AW172+ABS(AX172)*AY172+ABS(AZ172)*BA172+ABS(BB172)*BC172)/BH172)</f>
        <v>0</v>
      </c>
      <c r="BG172" s="103" t="n">
        <f aca="false">O172</f>
        <v>42064</v>
      </c>
      <c r="BH172" s="323" t="n">
        <f aca="false">(ABS(P172)+ABS(R172)+ABS(T172)+ABS(V172)+ABS(X172)+ABS(Z172)+ABS(AB172)+ABS(AD172)+ABS(AF172)+ABS(AH172)+ABS(AJ172)+ABS(AL172)+ABS(AN172)+ABS(AP172)+ABS(AR172)+ABS(AT172)+ABS(AV172)+ABS(AX172)+ABS(AZ172)+ABS(BB172))</f>
        <v>0</v>
      </c>
      <c r="BI172" s="104" t="n">
        <f aca="false">VLOOKUP(GasPosn!A172,'Pricing Summary'!$AB$12:$AD$250,3)</f>
        <v>31</v>
      </c>
      <c r="BJ172" s="102" t="n">
        <f aca="false">VLOOKUP(A172,Interest!$AF$8:$AK$367,6)</f>
        <v>0.472722056401802</v>
      </c>
      <c r="BL172" s="0" t="n">
        <f aca="false">J172*VLOOKUP(A172,NymexData!$J$12:$K$244,2)</f>
        <v>3817.64773469285</v>
      </c>
      <c r="BO172" s="0" t="n">
        <f aca="false">Interest!AK168</f>
        <v>0.472722056401802</v>
      </c>
      <c r="BP172" s="0" t="n">
        <f aca="false">G172*Interest!AK168</f>
        <v>2.31751988150984</v>
      </c>
      <c r="BQ172" s="0" t="n">
        <f aca="false">IF(AND(A172&gt;=$B$3,A172&lt;=$B$4),1,0)</f>
        <v>0</v>
      </c>
      <c r="BR172" s="0" t="n">
        <f aca="false">BO172*BQ172</f>
        <v>0</v>
      </c>
      <c r="BS172" s="0" t="n">
        <f aca="false">BP172*BQ172</f>
        <v>0</v>
      </c>
    </row>
    <row r="173" customFormat="false" ht="18" hidden="false" customHeight="false" outlineLevel="0" collapsed="false">
      <c r="A173" s="112" t="n">
        <f aca="false">[2]EnergyCurve!$D195</f>
        <v>42095</v>
      </c>
      <c r="B173" s="324" t="n">
        <f aca="false" t="array" ref="B173:B173">SUM(IF(MONTH(NymexData!$AI$12:$AI$250)&amp;YEAR(NymexData!$AI$12:$AI$250)=MONTH(A173)&amp;YEAR(A173),NymexData!$AJ$12:$AJ$250))</f>
        <v>-31.75692409</v>
      </c>
      <c r="C173" s="325" t="n">
        <f aca="false">BD173*BJ173*BI173</f>
        <v>0</v>
      </c>
      <c r="D173" s="326" t="n">
        <f aca="false">C173+B173</f>
        <v>-31.75692409</v>
      </c>
      <c r="E173" s="327" t="n">
        <f aca="false" t="array" ref="E173:E173">SUM(IF(MONTH(NymexData!$S$12:$S$250)&amp;YEAR(NymexData!$S$12:$S$250)=MONTH(A173)&amp;YEAR(A173),NymexData!$T$12:$T$250))</f>
        <v>4.7555</v>
      </c>
      <c r="F173" s="327" t="n">
        <f aca="false">G173-E173</f>
        <v>-0.00700000000000056</v>
      </c>
      <c r="G173" s="328" t="n">
        <f aca="false" t="array" ref="G173:G173">IF(NymexData!$AA$12="",GasPosn!E173,SUM(IF(MONTH(NymexData!$AA$12:$AA$250)&amp;YEAR(NymexData!$AA$12:$AA$250)=MONTH(A173)&amp;YEAR(A173),NymexData!$AB$12:$AB$250)))</f>
        <v>4.7485</v>
      </c>
      <c r="H173" s="115" t="n">
        <f aca="false">B173*10000*F173</f>
        <v>2222.98468630018</v>
      </c>
      <c r="I173" s="119" t="n">
        <f aca="false">(((G173-Q173)*P173+(G173-S173)*R173+(G173-U173)*T173+(G173-W173)*V173+(G173-Y173)*X173+(G173-AA173)*Z173+(G173-AC173)*AB173+(G173-AE173)*AD173+(G173-AG173)*AF173+(G173-AI173)*AH173+(G173-AK173)*AJ173+(G173-AM173)*AL173+(G173-AO173)*AN173+(G173-AQ173)*AP173+(G173-AS173)*AR173+(G173-AU173)*AT173+(G173-AW173)*AV173+(G173-AY173)*AX173+(G173-BA173)*AZ173+(G173-BC173)*BB173)*BJ173*BI173)*10000</f>
        <v>0</v>
      </c>
      <c r="J173" s="119" t="n">
        <f aca="false">H173+I173</f>
        <v>2222.98468630018</v>
      </c>
      <c r="O173" s="95" t="n">
        <f aca="false">A173</f>
        <v>42095</v>
      </c>
      <c r="BD173" s="100" t="n">
        <f aca="false">(P173+R173+T173+V173+X173+Z173+AB173+AD173+AF173+AH173+AJ173+AL173+AN173+AP173+AR173+AT173+AV173+AX173+AZ173+BB173)</f>
        <v>0</v>
      </c>
      <c r="BE173" s="322" t="n">
        <f aca="false">IF(AND(BD173=0,BH173=0),0,(ABS(P173)*Q173+ABS(R173)*S173+ABS(T173)*U173+ABS(V173)*W173+ABS(X173)*Y173+ABS(Z173)*AA173+ABS(AB173)*AC173+ABS(AD173)*AE173+ABS(AF173)*AG173+ABS(AH173)*AI173+ABS(AJ173)*AK173+ABS(AL173)*AM173+ABS(AN173)*AO173+ABS(AP173)*AQ173+ABS(AR173)*AS173+ABS(AT173)*AU173+ABS(AV173)*AW173+ABS(AX173)*AY173+ABS(AZ173)*BA173+ABS(BB173)*BC173)/BH173)</f>
        <v>0</v>
      </c>
      <c r="BG173" s="103" t="n">
        <f aca="false">O173</f>
        <v>42095</v>
      </c>
      <c r="BH173" s="323" t="n">
        <f aca="false">(ABS(P173)+ABS(R173)+ABS(T173)+ABS(V173)+ABS(X173)+ABS(Z173)+ABS(AB173)+ABS(AD173)+ABS(AF173)+ABS(AH173)+ABS(AJ173)+ABS(AL173)+ABS(AN173)+ABS(AP173)+ABS(AR173)+ABS(AT173)+ABS(AV173)+ABS(AX173)+ABS(AZ173)+ABS(BB173))</f>
        <v>0</v>
      </c>
      <c r="BI173" s="104" t="n">
        <f aca="false">VLOOKUP(GasPosn!A173,'Pricing Summary'!$AB$12:$AD$250,3)</f>
        <v>30</v>
      </c>
      <c r="BJ173" s="102" t="n">
        <f aca="false">VLOOKUP(A173,Interest!$AF$8:$AK$367,6)</f>
        <v>0.470203852790311</v>
      </c>
      <c r="BL173" s="0" t="n">
        <f aca="false">J173*VLOOKUP(A173,NymexData!$J$12:$K$244,2)</f>
        <v>3674.61518484248</v>
      </c>
      <c r="BO173" s="0" t="n">
        <f aca="false">Interest!AK169</f>
        <v>0.470203852790311</v>
      </c>
      <c r="BP173" s="0" t="n">
        <f aca="false">G173*Interest!AK169</f>
        <v>2.23276299497479</v>
      </c>
      <c r="BQ173" s="0" t="n">
        <f aca="false">IF(AND(A173&gt;=$B$3,A173&lt;=$B$4),1,0)</f>
        <v>0</v>
      </c>
      <c r="BR173" s="0" t="n">
        <f aca="false">BO173*BQ173</f>
        <v>0</v>
      </c>
      <c r="BS173" s="0" t="n">
        <f aca="false">BP173*BQ173</f>
        <v>0</v>
      </c>
    </row>
    <row r="174" customFormat="false" ht="18" hidden="false" customHeight="false" outlineLevel="0" collapsed="false">
      <c r="A174" s="75" t="n">
        <f aca="false">[2]EnergyCurve!$D196</f>
        <v>42125</v>
      </c>
      <c r="B174" s="317" t="n">
        <f aca="false" t="array" ref="B174:B174">SUM(IF(MONTH(NymexData!$AI$12:$AI$250)&amp;YEAR(NymexData!$AI$12:$AI$250)=MONTH(A174)&amp;YEAR(A174),NymexData!$AJ$12:$AJ$250))</f>
        <v>-32.62446245</v>
      </c>
      <c r="C174" s="317" t="n">
        <f aca="false">BD174*BJ174*BI174</f>
        <v>0</v>
      </c>
      <c r="D174" s="319" t="n">
        <f aca="false">C174+B174</f>
        <v>-32.62446245</v>
      </c>
      <c r="E174" s="320" t="n">
        <f aca="false" t="array" ref="E174:E174">SUM(IF(MONTH(NymexData!$S$12:$S$250)&amp;YEAR(NymexData!$S$12:$S$250)=MONTH(A174)&amp;YEAR(A174),NymexData!$T$12:$T$250))</f>
        <v>4.7605</v>
      </c>
      <c r="F174" s="320" t="n">
        <f aca="false">G174-E174</f>
        <v>-0.00700000000000056</v>
      </c>
      <c r="G174" s="321" t="n">
        <f aca="false" t="array" ref="G174:G174">IF(NymexData!$AA$12="",GasPosn!E174,SUM(IF(MONTH(NymexData!$AA$12:$AA$250)&amp;YEAR(NymexData!$AA$12:$AA$250)=MONTH(A174)&amp;YEAR(A174),NymexData!$AB$12:$AB$250)))</f>
        <v>4.7535</v>
      </c>
      <c r="H174" s="76" t="n">
        <f aca="false">B174*10000*F174</f>
        <v>2283.71237150018</v>
      </c>
      <c r="I174" s="82" t="n">
        <f aca="false">(((G174-Q174)*P174+(G174-S174)*R174+(G174-U174)*T174+(G174-W174)*V174+(G174-Y174)*X174+(G174-AA174)*Z174+(G174-AC174)*AB174+(G174-AE174)*AD174+(G174-AG174)*AF174+(G174-AI174)*AH174+(G174-AK174)*AJ174+(G174-AM174)*AL174+(G174-AO174)*AN174+(G174-AQ174)*AP174+(G174-AS174)*AR174+(G174-AU174)*AT174+(G174-AW174)*AV174+(G174-AY174)*AX174+(G174-BA174)*AZ174+(G174-BC174)*BB174)*BJ174*BI174)*10000</f>
        <v>0</v>
      </c>
      <c r="J174" s="82" t="n">
        <f aca="false">H174+I174</f>
        <v>2283.71237150018</v>
      </c>
      <c r="O174" s="95" t="n">
        <f aca="false">A174</f>
        <v>42125</v>
      </c>
      <c r="BD174" s="100" t="n">
        <f aca="false">(P174+R174+T174+V174+X174+Z174+AB174+AD174+AF174+AH174+AJ174+AL174+AN174+AP174+AR174+AT174+AV174+AX174+AZ174+BB174)</f>
        <v>0</v>
      </c>
      <c r="BE174" s="322" t="n">
        <f aca="false">IF(AND(BD174=0,BH174=0),0,(ABS(P174)*Q174+ABS(R174)*S174+ABS(T174)*U174+ABS(V174)*W174+ABS(X174)*Y174+ABS(Z174)*AA174+ABS(AB174)*AC174+ABS(AD174)*AE174+ABS(AF174)*AG174+ABS(AH174)*AI174+ABS(AJ174)*AK174+ABS(AL174)*AM174+ABS(AN174)*AO174+ABS(AP174)*AQ174+ABS(AR174)*AS174+ABS(AT174)*AU174+ABS(AV174)*AW174+ABS(AX174)*AY174+ABS(AZ174)*BA174+ABS(BB174)*BC174)/BH174)</f>
        <v>0</v>
      </c>
      <c r="BG174" s="103" t="n">
        <f aca="false">O174</f>
        <v>42125</v>
      </c>
      <c r="BH174" s="323" t="n">
        <f aca="false">(ABS(P174)+ABS(R174)+ABS(T174)+ABS(V174)+ABS(X174)+ABS(Z174)+ABS(AB174)+ABS(AD174)+ABS(AF174)+ABS(AH174)+ABS(AJ174)+ABS(AL174)+ABS(AN174)+ABS(AP174)+ABS(AR174)+ABS(AT174)+ABS(AV174)+ABS(AX174)+ABS(AZ174)+ABS(BB174))</f>
        <v>0</v>
      </c>
      <c r="BI174" s="104" t="n">
        <f aca="false">VLOOKUP(GasPosn!A174,'Pricing Summary'!$AB$12:$AD$250,3)</f>
        <v>31</v>
      </c>
      <c r="BJ174" s="102" t="n">
        <f aca="false">VLOOKUP(A174,Interest!$AF$8:$AK$367,6)</f>
        <v>0.46763481710785</v>
      </c>
      <c r="BL174" s="0" t="n">
        <f aca="false">J174*VLOOKUP(A174,NymexData!$J$12:$K$244,2)</f>
        <v>3777.29436829474</v>
      </c>
      <c r="BO174" s="0" t="n">
        <f aca="false">Interest!AK170</f>
        <v>0.46763481710785</v>
      </c>
      <c r="BP174" s="0" t="n">
        <f aca="false">G174*Interest!AK170</f>
        <v>2.22290210312217</v>
      </c>
      <c r="BQ174" s="0" t="n">
        <f aca="false">IF(AND(A174&gt;=$B$3,A174&lt;=$B$4),1,0)</f>
        <v>0</v>
      </c>
      <c r="BR174" s="0" t="n">
        <f aca="false">BO174*BQ174</f>
        <v>0</v>
      </c>
      <c r="BS174" s="0" t="n">
        <f aca="false">BP174*BQ174</f>
        <v>0</v>
      </c>
    </row>
    <row r="175" customFormat="false" ht="18" hidden="false" customHeight="false" outlineLevel="0" collapsed="false">
      <c r="A175" s="112" t="n">
        <f aca="false">[2]EnergyCurve!$D197</f>
        <v>42156</v>
      </c>
      <c r="B175" s="324" t="n">
        <f aca="false" t="array" ref="B175:B175">SUM(IF(MONTH(NymexData!$AI$12:$AI$250)&amp;YEAR(NymexData!$AI$12:$AI$250)=MONTH(A175)&amp;YEAR(A175),NymexData!$AJ$12:$AJ$250))</f>
        <v>-31.38178059</v>
      </c>
      <c r="C175" s="325" t="n">
        <f aca="false">BD175*BJ175*BI175</f>
        <v>0</v>
      </c>
      <c r="D175" s="326" t="n">
        <f aca="false">C175+B175</f>
        <v>-31.38178059</v>
      </c>
      <c r="E175" s="327" t="n">
        <f aca="false" t="array" ref="E175:E175">SUM(IF(MONTH(NymexData!$S$12:$S$250)&amp;YEAR(NymexData!$S$12:$S$250)=MONTH(A175)&amp;YEAR(A175),NymexData!$T$12:$T$250))</f>
        <v>4.7985</v>
      </c>
      <c r="F175" s="327" t="n">
        <f aca="false">G175-E175</f>
        <v>-0.00700000000000056</v>
      </c>
      <c r="G175" s="328" t="n">
        <f aca="false" t="array" ref="G175:G175">IF(NymexData!$AA$12="",GasPosn!E175,SUM(IF(MONTH(NymexData!$AA$12:$AA$250)&amp;YEAR(NymexData!$AA$12:$AA$250)=MONTH(A175)&amp;YEAR(A175),NymexData!$AB$12:$AB$250)))</f>
        <v>4.7915</v>
      </c>
      <c r="H175" s="115" t="n">
        <f aca="false">B175*10000*F175</f>
        <v>2196.72464130018</v>
      </c>
      <c r="I175" s="119" t="n">
        <f aca="false">(((G175-Q175)*P175+(G175-S175)*R175+(G175-U175)*T175+(G175-W175)*V175+(G175-Y175)*X175+(G175-AA175)*Z175+(G175-AC175)*AB175+(G175-AE175)*AD175+(G175-AG175)*AF175+(G175-AI175)*AH175+(G175-AK175)*AJ175+(G175-AM175)*AL175+(G175-AO175)*AN175+(G175-AQ175)*AP175+(G175-AS175)*AR175+(G175-AU175)*AT175+(G175-AW175)*AV175+(G175-AY175)*AX175+(G175-BA175)*AZ175+(G175-BC175)*BB175)*BJ175*BI175)*10000</f>
        <v>0</v>
      </c>
      <c r="J175" s="119" t="n">
        <f aca="false">H175+I175</f>
        <v>2196.72464130018</v>
      </c>
      <c r="O175" s="95" t="n">
        <f aca="false">A175</f>
        <v>42156</v>
      </c>
      <c r="BD175" s="100" t="n">
        <f aca="false">(P175+R175+T175+V175+X175+Z175+AB175+AD175+AF175+AH175+AJ175+AL175+AN175+AP175+AR175+AT175+AV175+AX175+AZ175+BB175)</f>
        <v>0</v>
      </c>
      <c r="BE175" s="322" t="n">
        <f aca="false">IF(AND(BD175=0,BH175=0),0,(ABS(P175)*Q175+ABS(R175)*S175+ABS(T175)*U175+ABS(V175)*W175+ABS(X175)*Y175+ABS(Z175)*AA175+ABS(AB175)*AC175+ABS(AD175)*AE175+ABS(AF175)*AG175+ABS(AH175)*AI175+ABS(AJ175)*AK175+ABS(AL175)*AM175+ABS(AN175)*AO175+ABS(AP175)*AQ175+ABS(AR175)*AS175+ABS(AT175)*AU175+ABS(AV175)*AW175+ABS(AX175)*AY175+ABS(AZ175)*BA175+ABS(BB175)*BC175)/BH175)</f>
        <v>0</v>
      </c>
      <c r="BG175" s="103" t="n">
        <f aca="false">O175</f>
        <v>42156</v>
      </c>
      <c r="BH175" s="323" t="n">
        <f aca="false">(ABS(P175)+ABS(R175)+ABS(T175)+ABS(V175)+ABS(X175)+ABS(Z175)+ABS(AB175)+ABS(AD175)+ABS(AF175)+ABS(AH175)+ABS(AJ175)+ABS(AL175)+ABS(AN175)+ABS(AP175)+ABS(AR175)+ABS(AT175)+ABS(AV175)+ABS(AX175)+ABS(AZ175)+ABS(BB175))</f>
        <v>0</v>
      </c>
      <c r="BI175" s="104" t="n">
        <f aca="false">VLOOKUP(GasPosn!A175,'Pricing Summary'!$AB$12:$AD$250,3)</f>
        <v>30</v>
      </c>
      <c r="BJ175" s="102" t="n">
        <f aca="false">VLOOKUP(A175,Interest!$AF$8:$AK$367,6)</f>
        <v>0.465135105679198</v>
      </c>
      <c r="BL175" s="0" t="n">
        <f aca="false">J175*VLOOKUP(A175,NymexData!$J$12:$K$244,2)</f>
        <v>3635.71273514028</v>
      </c>
      <c r="BO175" s="0" t="n">
        <f aca="false">Interest!AK171</f>
        <v>0.465135105679198</v>
      </c>
      <c r="BP175" s="0" t="n">
        <f aca="false">G175*Interest!AK171</f>
        <v>2.22869485886188</v>
      </c>
      <c r="BQ175" s="0" t="n">
        <f aca="false">IF(AND(A175&gt;=$B$3,A175&lt;=$B$4),1,0)</f>
        <v>0</v>
      </c>
      <c r="BR175" s="0" t="n">
        <f aca="false">BO175*BQ175</f>
        <v>0</v>
      </c>
      <c r="BS175" s="0" t="n">
        <f aca="false">BP175*BQ175</f>
        <v>0</v>
      </c>
    </row>
    <row r="176" customFormat="false" ht="18" hidden="false" customHeight="false" outlineLevel="0" collapsed="false">
      <c r="A176" s="75" t="n">
        <f aca="false">[2]EnergyCurve!$D198</f>
        <v>42186</v>
      </c>
      <c r="B176" s="317" t="n">
        <f aca="false" t="array" ref="B176:B176">SUM(IF(MONTH(NymexData!$AI$12:$AI$250)&amp;YEAR(NymexData!$AI$12:$AI$250)=MONTH(A176)&amp;YEAR(A176),NymexData!$AJ$12:$AJ$250))</f>
        <v>-32.23830624</v>
      </c>
      <c r="C176" s="317" t="n">
        <f aca="false">BD176*BJ176*BI176</f>
        <v>0</v>
      </c>
      <c r="D176" s="319" t="n">
        <f aca="false">C176+B176</f>
        <v>-32.23830624</v>
      </c>
      <c r="E176" s="320" t="n">
        <f aca="false" t="array" ref="E176:E176">SUM(IF(MONTH(NymexData!$S$12:$S$250)&amp;YEAR(NymexData!$S$12:$S$250)=MONTH(A176)&amp;YEAR(A176),NymexData!$T$12:$T$250))</f>
        <v>4.8435</v>
      </c>
      <c r="F176" s="320" t="n">
        <f aca="false">G176-E176</f>
        <v>-0.00700000000000056</v>
      </c>
      <c r="G176" s="321" t="n">
        <f aca="false" t="array" ref="G176:G176">IF(NymexData!$AA$12="",GasPosn!E176,SUM(IF(MONTH(NymexData!$AA$12:$AA$250)&amp;YEAR(NymexData!$AA$12:$AA$250)=MONTH(A176)&amp;YEAR(A176),NymexData!$AB$12:$AB$250)))</f>
        <v>4.8365</v>
      </c>
      <c r="H176" s="76" t="n">
        <f aca="false">B176*10000*F176</f>
        <v>2256.68143680018</v>
      </c>
      <c r="I176" s="82" t="n">
        <f aca="false">(((G176-Q176)*P176+(G176-S176)*R176+(G176-U176)*T176+(G176-W176)*V176+(G176-Y176)*X176+(G176-AA176)*Z176+(G176-AC176)*AB176+(G176-AE176)*AD176+(G176-AG176)*AF176+(G176-AI176)*AH176+(G176-AK176)*AJ176+(G176-AM176)*AL176+(G176-AO176)*AN176+(G176-AQ176)*AP176+(G176-AS176)*AR176+(G176-AU176)*AT176+(G176-AW176)*AV176+(G176-AY176)*AX176+(G176-BA176)*AZ176+(G176-BC176)*BB176)*BJ176*BI176)*10000</f>
        <v>0</v>
      </c>
      <c r="J176" s="82" t="n">
        <f aca="false">H176+I176</f>
        <v>2256.68143680018</v>
      </c>
      <c r="O176" s="95" t="n">
        <f aca="false">A176</f>
        <v>42186</v>
      </c>
      <c r="BD176" s="100" t="n">
        <f aca="false">(P176+R176+T176+V176+X176+Z176+AB176+AD176+AF176+AH176+AJ176+AL176+AN176+AP176+AR176+AT176+AV176+AX176+AZ176+BB176)</f>
        <v>0</v>
      </c>
      <c r="BE176" s="322" t="n">
        <f aca="false">IF(AND(BD176=0,BH176=0),0,(ABS(P176)*Q176+ABS(R176)*S176+ABS(T176)*U176+ABS(V176)*W176+ABS(X176)*Y176+ABS(Z176)*AA176+ABS(AB176)*AC176+ABS(AD176)*AE176+ABS(AF176)*AG176+ABS(AH176)*AI176+ABS(AJ176)*AK176+ABS(AL176)*AM176+ABS(AN176)*AO176+ABS(AP176)*AQ176+ABS(AR176)*AS176+ABS(AT176)*AU176+ABS(AV176)*AW176+ABS(AX176)*AY176+ABS(AZ176)*BA176+ABS(BB176)*BC176)/BH176)</f>
        <v>0</v>
      </c>
      <c r="BG176" s="103" t="n">
        <f aca="false">O176</f>
        <v>42186</v>
      </c>
      <c r="BH176" s="323" t="n">
        <f aca="false">(ABS(P176)+ABS(R176)+ABS(T176)+ABS(V176)+ABS(X176)+ABS(Z176)+ABS(AB176)+ABS(AD176)+ABS(AF176)+ABS(AH176)+ABS(AJ176)+ABS(AL176)+ABS(AN176)+ABS(AP176)+ABS(AR176)+ABS(AT176)+ABS(AV176)+ABS(AX176)+ABS(AZ176)+ABS(BB176))</f>
        <v>0</v>
      </c>
      <c r="BI176" s="104" t="n">
        <f aca="false">VLOOKUP(GasPosn!A176,'Pricing Summary'!$AB$12:$AD$250,3)</f>
        <v>31</v>
      </c>
      <c r="BJ176" s="102" t="n">
        <f aca="false">VLOOKUP(A176,Interest!$AF$8:$AK$367,6)</f>
        <v>0.462585203150682</v>
      </c>
      <c r="BL176" s="0" t="n">
        <f aca="false">J176*VLOOKUP(A176,NymexData!$J$12:$K$244,2)</f>
        <v>3737.24422838654</v>
      </c>
      <c r="BO176" s="0" t="n">
        <f aca="false">Interest!AK172</f>
        <v>0.462585203150682</v>
      </c>
      <c r="BP176" s="0" t="n">
        <f aca="false">G176*Interest!AK172</f>
        <v>2.23729333503827</v>
      </c>
      <c r="BQ176" s="0" t="n">
        <f aca="false">IF(AND(A176&gt;=$B$3,A176&lt;=$B$4),1,0)</f>
        <v>0</v>
      </c>
      <c r="BR176" s="0" t="n">
        <f aca="false">BO176*BQ176</f>
        <v>0</v>
      </c>
      <c r="BS176" s="0" t="n">
        <f aca="false">BP176*BQ176</f>
        <v>0</v>
      </c>
    </row>
    <row r="177" customFormat="false" ht="18" hidden="false" customHeight="false" outlineLevel="0" collapsed="false">
      <c r="A177" s="112" t="n">
        <f aca="false">[2]EnergyCurve!$D199</f>
        <v>42217</v>
      </c>
      <c r="B177" s="324" t="n">
        <f aca="false" t="array" ref="B177:B177">SUM(IF(MONTH(NymexData!$AI$12:$AI$250)&amp;YEAR(NymexData!$AI$12:$AI$250)=MONTH(A177)&amp;YEAR(A177),NymexData!$AJ$12:$AJ$250))</f>
        <v>-32.04322586</v>
      </c>
      <c r="C177" s="325" t="n">
        <f aca="false">BD177*BJ177*BI177</f>
        <v>0</v>
      </c>
      <c r="D177" s="326" t="n">
        <f aca="false">C177+B177</f>
        <v>-32.04322586</v>
      </c>
      <c r="E177" s="327" t="n">
        <f aca="false" t="array" ref="E177:E177">SUM(IF(MONTH(NymexData!$S$12:$S$250)&amp;YEAR(NymexData!$S$12:$S$250)=MONTH(A177)&amp;YEAR(A177),NymexData!$T$12:$T$250))</f>
        <v>4.8815</v>
      </c>
      <c r="F177" s="327" t="n">
        <f aca="false">G177-E177</f>
        <v>-0.00699999999999967</v>
      </c>
      <c r="G177" s="328" t="n">
        <f aca="false" t="array" ref="G177:G177">IF(NymexData!$AA$12="",GasPosn!E177,SUM(IF(MONTH(NymexData!$AA$12:$AA$250)&amp;YEAR(NymexData!$AA$12:$AA$250)=MONTH(A177)&amp;YEAR(A177),NymexData!$AB$12:$AB$250)))</f>
        <v>4.8745</v>
      </c>
      <c r="H177" s="115" t="n">
        <f aca="false">B177*10000*F177</f>
        <v>2243.0258101999</v>
      </c>
      <c r="I177" s="119" t="n">
        <f aca="false">(((G177-Q177)*P177+(G177-S177)*R177+(G177-U177)*T177+(G177-W177)*V177+(G177-Y177)*X177+(G177-AA177)*Z177+(G177-AC177)*AB177+(G177-AE177)*AD177+(G177-AG177)*AF177+(G177-AI177)*AH177+(G177-AK177)*AJ177+(G177-AM177)*AL177+(G177-AO177)*AN177+(G177-AQ177)*AP177+(G177-AS177)*AR177+(G177-AU177)*AT177+(G177-AW177)*AV177+(G177-AY177)*AX177+(G177-BA177)*AZ177+(G177-BC177)*BB177)*BJ177*BI177)*10000</f>
        <v>0</v>
      </c>
      <c r="J177" s="119" t="n">
        <f aca="false">H177+I177</f>
        <v>2243.0258101999</v>
      </c>
      <c r="O177" s="95" t="n">
        <f aca="false">A177</f>
        <v>42217</v>
      </c>
      <c r="BD177" s="100" t="n">
        <f aca="false">(P177+R177+T177+V177+X177+Z177+AB177+AD177+AF177+AH177+AJ177+AL177+AN177+AP177+AR177+AT177+AV177+AX177+AZ177+BB177)</f>
        <v>0</v>
      </c>
      <c r="BE177" s="322" t="n">
        <f aca="false">IF(AND(BD177=0,BH177=0),0,(ABS(P177)*Q177+ABS(R177)*S177+ABS(T177)*U177+ABS(V177)*W177+ABS(X177)*Y177+ABS(Z177)*AA177+ABS(AB177)*AC177+ABS(AD177)*AE177+ABS(AF177)*AG177+ABS(AH177)*AI177+ABS(AJ177)*AK177+ABS(AL177)*AM177+ABS(AN177)*AO177+ABS(AP177)*AQ177+ABS(AR177)*AS177+ABS(AT177)*AU177+ABS(AV177)*AW177+ABS(AX177)*AY177+ABS(AZ177)*BA177+ABS(BB177)*BC177)/BH177)</f>
        <v>0</v>
      </c>
      <c r="BG177" s="103" t="n">
        <f aca="false">O177</f>
        <v>42217</v>
      </c>
      <c r="BH177" s="323" t="n">
        <f aca="false">(ABS(P177)+ABS(R177)+ABS(T177)+ABS(V177)+ABS(X177)+ABS(Z177)+ABS(AB177)+ABS(AD177)+ABS(AF177)+ABS(AH177)+ABS(AJ177)+ABS(AL177)+ABS(AN177)+ABS(AP177)+ABS(AR177)+ABS(AT177)+ABS(AV177)+ABS(AX177)+ABS(AZ177)+ABS(BB177))</f>
        <v>0</v>
      </c>
      <c r="BI177" s="104" t="n">
        <f aca="false">VLOOKUP(GasPosn!A177,'Pricing Summary'!$AB$12:$AD$250,3)</f>
        <v>31</v>
      </c>
      <c r="BJ177" s="102" t="n">
        <f aca="false">VLOOKUP(A177,Interest!$AF$8:$AK$367,6)</f>
        <v>0.46003341460601</v>
      </c>
      <c r="BL177" s="0" t="n">
        <f aca="false">J177*VLOOKUP(A177,NymexData!$J$12:$K$244,2)</f>
        <v>3717.00689875014</v>
      </c>
      <c r="BO177" s="0" t="n">
        <f aca="false">Interest!AK173</f>
        <v>0.46003341460601</v>
      </c>
      <c r="BP177" s="0" t="n">
        <f aca="false">G177*Interest!AK173</f>
        <v>2.242432879497</v>
      </c>
      <c r="BQ177" s="0" t="n">
        <f aca="false">IF(AND(A177&gt;=$B$3,A177&lt;=$B$4),1,0)</f>
        <v>0</v>
      </c>
      <c r="BR177" s="0" t="n">
        <f aca="false">BO177*BQ177</f>
        <v>0</v>
      </c>
      <c r="BS177" s="0" t="n">
        <f aca="false">BP177*BQ177</f>
        <v>0</v>
      </c>
    </row>
    <row r="178" customFormat="false" ht="18" hidden="false" customHeight="false" outlineLevel="0" collapsed="false">
      <c r="A178" s="75" t="n">
        <f aca="false">[2]EnergyCurve!$D200</f>
        <v>42248</v>
      </c>
      <c r="B178" s="317" t="n">
        <f aca="false" t="array" ref="B178:B178">SUM(IF(MONTH(NymexData!$AI$12:$AI$250)&amp;YEAR(NymexData!$AI$12:$AI$250)=MONTH(A178)&amp;YEAR(A178),NymexData!$AJ$12:$AJ$250))</f>
        <v>-30.82154457</v>
      </c>
      <c r="C178" s="317" t="n">
        <f aca="false">BD178*BJ178*BI178</f>
        <v>0</v>
      </c>
      <c r="D178" s="319" t="n">
        <f aca="false">C178+B178</f>
        <v>-30.82154457</v>
      </c>
      <c r="E178" s="320" t="n">
        <f aca="false" t="array" ref="E178:E178">SUM(IF(MONTH(NymexData!$S$12:$S$250)&amp;YEAR(NymexData!$S$12:$S$250)=MONTH(A178)&amp;YEAR(A178),NymexData!$T$12:$T$250))</f>
        <v>4.8755</v>
      </c>
      <c r="F178" s="320" t="n">
        <f aca="false">G178-E178</f>
        <v>-0.00700000000000056</v>
      </c>
      <c r="G178" s="321" t="n">
        <f aca="false" t="array" ref="G178:G178">IF(NymexData!$AA$12="",GasPosn!E178,SUM(IF(MONTH(NymexData!$AA$12:$AA$250)&amp;YEAR(NymexData!$AA$12:$AA$250)=MONTH(A178)&amp;YEAR(A178),NymexData!$AB$12:$AB$250)))</f>
        <v>4.8685</v>
      </c>
      <c r="H178" s="76" t="n">
        <f aca="false">B178*10000*F178</f>
        <v>2157.50811990017</v>
      </c>
      <c r="I178" s="82" t="n">
        <f aca="false">(((G178-Q178)*P178+(G178-S178)*R178+(G178-U178)*T178+(G178-W178)*V178+(G178-Y178)*X178+(G178-AA178)*Z178+(G178-AC178)*AB178+(G178-AE178)*AD178+(G178-AG178)*AF178+(G178-AI178)*AH178+(G178-AK178)*AJ178+(G178-AM178)*AL178+(G178-AO178)*AN178+(G178-AQ178)*AP178+(G178-AS178)*AR178+(G178-AU178)*AT178+(G178-AW178)*AV178+(G178-AY178)*AX178+(G178-BA178)*AZ178+(G178-BC178)*BB178)*BJ178*BI178)*10000</f>
        <v>0</v>
      </c>
      <c r="J178" s="82" t="n">
        <f aca="false">H178+I178</f>
        <v>2157.50811990017</v>
      </c>
      <c r="O178" s="95" t="n">
        <f aca="false">A178</f>
        <v>42248</v>
      </c>
      <c r="BD178" s="100" t="n">
        <f aca="false">(P178+R178+T178+V178+X178+Z178+AB178+AD178+AF178+AH178+AJ178+AL178+AN178+AP178+AR178+AT178+AV178+AX178+AZ178+BB178)</f>
        <v>0</v>
      </c>
      <c r="BE178" s="322" t="n">
        <f aca="false">IF(AND(BD178=0,BH178=0),0,(ABS(P178)*Q178+ABS(R178)*S178+ABS(T178)*U178+ABS(V178)*W178+ABS(X178)*Y178+ABS(Z178)*AA178+ABS(AB178)*AC178+ABS(AD178)*AE178+ABS(AF178)*AG178+ABS(AH178)*AI178+ABS(AJ178)*AK178+ABS(AL178)*AM178+ABS(AN178)*AO178+ABS(AP178)*AQ178+ABS(AR178)*AS178+ABS(AT178)*AU178+ABS(AV178)*AW178+ABS(AX178)*AY178+ABS(AZ178)*BA178+ABS(BB178)*BC178)/BH178)</f>
        <v>0</v>
      </c>
      <c r="BG178" s="103" t="n">
        <f aca="false">O178</f>
        <v>42248</v>
      </c>
      <c r="BH178" s="323" t="n">
        <f aca="false">(ABS(P178)+ABS(R178)+ABS(T178)+ABS(V178)+ABS(X178)+ABS(Z178)+ABS(AB178)+ABS(AD178)+ABS(AF178)+ABS(AH178)+ABS(AJ178)+ABS(AL178)+ABS(AN178)+ABS(AP178)+ABS(AR178)+ABS(AT178)+ABS(AV178)+ABS(AX178)+ABS(AZ178)+ABS(BB178))</f>
        <v>0</v>
      </c>
      <c r="BI178" s="104" t="n">
        <f aca="false">VLOOKUP(GasPosn!A178,'Pricing Summary'!$AB$12:$AD$250,3)</f>
        <v>30</v>
      </c>
      <c r="BJ178" s="102" t="n">
        <f aca="false">VLOOKUP(A178,Interest!$AF$8:$AK$367,6)</f>
        <v>0.457561566558724</v>
      </c>
      <c r="BL178" s="0" t="n">
        <f aca="false">J178*VLOOKUP(A178,NymexData!$J$12:$K$244,2)</f>
        <v>3577.59450539117</v>
      </c>
      <c r="BO178" s="0" t="n">
        <f aca="false">Interest!AK174</f>
        <v>0.457561566558724</v>
      </c>
      <c r="BP178" s="0" t="n">
        <f aca="false">G178*Interest!AK174</f>
        <v>2.22763848679115</v>
      </c>
      <c r="BQ178" s="0" t="n">
        <f aca="false">IF(AND(A178&gt;=$B$3,A178&lt;=$B$4),1,0)</f>
        <v>0</v>
      </c>
      <c r="BR178" s="0" t="n">
        <f aca="false">BO178*BQ178</f>
        <v>0</v>
      </c>
      <c r="BS178" s="0" t="n">
        <f aca="false">BP178*BQ178</f>
        <v>0</v>
      </c>
    </row>
    <row r="179" customFormat="false" ht="18" hidden="false" customHeight="false" outlineLevel="0" collapsed="false">
      <c r="A179" s="112" t="n">
        <f aca="false">[2]EnergyCurve!$D201</f>
        <v>42278</v>
      </c>
      <c r="B179" s="324" t="n">
        <f aca="false" t="array" ref="B179:B179">SUM(IF(MONTH(NymexData!$AI$12:$AI$250)&amp;YEAR(NymexData!$AI$12:$AI$250)=MONTH(A179)&amp;YEAR(A179),NymexData!$AJ$12:$AJ$250))</f>
        <v>-31.66164698</v>
      </c>
      <c r="C179" s="325" t="n">
        <f aca="false">BD179*BJ179*BI179</f>
        <v>0</v>
      </c>
      <c r="D179" s="326" t="n">
        <f aca="false">C179+B179</f>
        <v>-31.66164698</v>
      </c>
      <c r="E179" s="327" t="n">
        <f aca="false" t="array" ref="E179:E179">SUM(IF(MONTH(NymexData!$S$12:$S$250)&amp;YEAR(NymexData!$S$12:$S$250)=MONTH(A179)&amp;YEAR(A179),NymexData!$T$12:$T$250))</f>
        <v>4.8755</v>
      </c>
      <c r="F179" s="327" t="n">
        <f aca="false">G179-E179</f>
        <v>-0.00700000000000056</v>
      </c>
      <c r="G179" s="328" t="n">
        <f aca="false" t="array" ref="G179:G179">IF(NymexData!$AA$12="",GasPosn!E179,SUM(IF(MONTH(NymexData!$AA$12:$AA$250)&amp;YEAR(NymexData!$AA$12:$AA$250)=MONTH(A179)&amp;YEAR(A179),NymexData!$AB$12:$AB$250)))</f>
        <v>4.8685</v>
      </c>
      <c r="H179" s="115" t="n">
        <f aca="false">B179*10000*F179</f>
        <v>2216.31528860018</v>
      </c>
      <c r="I179" s="119" t="n">
        <f aca="false">(((G179-Q179)*P179+(G179-S179)*R179+(G179-U179)*T179+(G179-W179)*V179+(G179-Y179)*X179+(G179-AA179)*Z179+(G179-AC179)*AB179+(G179-AE179)*AD179+(G179-AG179)*AF179+(G179-AI179)*AH179+(G179-AK179)*AJ179+(G179-AM179)*AL179+(G179-AO179)*AN179+(G179-AQ179)*AP179+(G179-AS179)*AR179+(G179-AU179)*AT179+(G179-AW179)*AV179+(G179-AY179)*AX179+(G179-BA179)*AZ179+(G179-BC179)*BB179)*BJ179*BI179)*10000</f>
        <v>0</v>
      </c>
      <c r="J179" s="119" t="n">
        <f aca="false">H179+I179</f>
        <v>2216.31528860018</v>
      </c>
      <c r="O179" s="95" t="n">
        <f aca="false">A179</f>
        <v>42278</v>
      </c>
      <c r="BD179" s="100" t="n">
        <f aca="false">(P179+R179+T179+V179+X179+Z179+AB179+AD179+AF179+AH179+AJ179+AL179+AN179+AP179+AR179+AT179+AV179+AX179+AZ179+BB179)</f>
        <v>0</v>
      </c>
      <c r="BE179" s="322" t="n">
        <f aca="false">IF(AND(BD179=0,BH179=0),0,(ABS(P179)*Q179+ABS(R179)*S179+ABS(T179)*U179+ABS(V179)*W179+ABS(X179)*Y179+ABS(Z179)*AA179+ABS(AB179)*AC179+ABS(AD179)*AE179+ABS(AF179)*AG179+ABS(AH179)*AI179+ABS(AJ179)*AK179+ABS(AL179)*AM179+ABS(AN179)*AO179+ABS(AP179)*AQ179+ABS(AR179)*AS179+ABS(AT179)*AU179+ABS(AV179)*AW179+ABS(AX179)*AY179+ABS(AZ179)*BA179+ABS(BB179)*BC179)/BH179)</f>
        <v>0</v>
      </c>
      <c r="BG179" s="103" t="n">
        <f aca="false">O179</f>
        <v>42278</v>
      </c>
      <c r="BH179" s="323" t="n">
        <f aca="false">(ABS(P179)+ABS(R179)+ABS(T179)+ABS(V179)+ABS(X179)+ABS(Z179)+ABS(AB179)+ABS(AD179)+ABS(AF179)+ABS(AH179)+ABS(AJ179)+ABS(AL179)+ABS(AN179)+ABS(AP179)+ABS(AR179)+ABS(AT179)+ABS(AV179)+ABS(AX179)+ABS(AZ179)+ABS(BB179))</f>
        <v>0</v>
      </c>
      <c r="BI179" s="104" t="n">
        <f aca="false">VLOOKUP(GasPosn!A179,'Pricing Summary'!$AB$12:$AD$250,3)</f>
        <v>31</v>
      </c>
      <c r="BJ179" s="102" t="n">
        <f aca="false">VLOOKUP(A179,Interest!$AF$8:$AK$367,6)</f>
        <v>0.455040483197905</v>
      </c>
      <c r="BL179" s="0" t="n">
        <f aca="false">J179*VLOOKUP(A179,NymexData!$J$12:$K$244,2)</f>
        <v>3677.4129795528</v>
      </c>
      <c r="BO179" s="0" t="n">
        <f aca="false">Interest!AK175</f>
        <v>0.455040483197905</v>
      </c>
      <c r="BP179" s="0" t="n">
        <f aca="false">G179*Interest!AK175</f>
        <v>2.215364592449</v>
      </c>
      <c r="BQ179" s="0" t="n">
        <f aca="false">IF(AND(A179&gt;=$B$3,A179&lt;=$B$4),1,0)</f>
        <v>0</v>
      </c>
      <c r="BR179" s="0" t="n">
        <f aca="false">BO179*BQ179</f>
        <v>0</v>
      </c>
      <c r="BS179" s="0" t="n">
        <f aca="false">BP179*BQ179</f>
        <v>0</v>
      </c>
    </row>
    <row r="180" customFormat="false" ht="18" hidden="false" customHeight="false" outlineLevel="0" collapsed="false">
      <c r="A180" s="75" t="n">
        <f aca="false">[2]EnergyCurve!$D202</f>
        <v>42309</v>
      </c>
      <c r="B180" s="317" t="n">
        <f aca="false" t="array" ref="B180:B180">SUM(IF(MONTH(NymexData!$AI$12:$AI$250)&amp;YEAR(NymexData!$AI$12:$AI$250)=MONTH(A180)&amp;YEAR(A180),NymexData!$AJ$12:$AJ$250))</f>
        <v>-30.45376766</v>
      </c>
      <c r="C180" s="317" t="n">
        <f aca="false">BD180*BJ180*BI180</f>
        <v>0</v>
      </c>
      <c r="D180" s="319" t="n">
        <f aca="false">C180+B180</f>
        <v>-30.45376766</v>
      </c>
      <c r="E180" s="320" t="n">
        <f aca="false" t="array" ref="E180:E180">SUM(IF(MONTH(NymexData!$S$12:$S$250)&amp;YEAR(NymexData!$S$12:$S$250)=MONTH(A180)&amp;YEAR(A180),NymexData!$T$12:$T$250))</f>
        <v>5.0235</v>
      </c>
      <c r="F180" s="320" t="n">
        <f aca="false">G180-E180</f>
        <v>-0.00600000000000023</v>
      </c>
      <c r="G180" s="321" t="n">
        <f aca="false" t="array" ref="G180:G180">IF(NymexData!$AA$12="",GasPosn!E180,SUM(IF(MONTH(NymexData!$AA$12:$AA$250)&amp;YEAR(NymexData!$AA$12:$AA$250)=MONTH(A180)&amp;YEAR(A180),NymexData!$AB$12:$AB$250)))</f>
        <v>5.0175</v>
      </c>
      <c r="H180" s="76" t="n">
        <f aca="false">B180*10000*F180</f>
        <v>1827.22605960007</v>
      </c>
      <c r="I180" s="82" t="n">
        <f aca="false">(((G180-Q180)*P180+(G180-S180)*R180+(G180-U180)*T180+(G180-W180)*V180+(G180-Y180)*X180+(G180-AA180)*Z180+(G180-AC180)*AB180+(G180-AE180)*AD180+(G180-AG180)*AF180+(G180-AI180)*AH180+(G180-AK180)*AJ180+(G180-AM180)*AL180+(G180-AO180)*AN180+(G180-AQ180)*AP180+(G180-AS180)*AR180+(G180-AU180)*AT180+(G180-AW180)*AV180+(G180-AY180)*AX180+(G180-BA180)*AZ180+(G180-BC180)*BB180)*BJ180*BI180)*10000</f>
        <v>0</v>
      </c>
      <c r="J180" s="82" t="n">
        <f aca="false">H180+I180</f>
        <v>1827.22605960007</v>
      </c>
      <c r="O180" s="95" t="n">
        <f aca="false">A180</f>
        <v>42309</v>
      </c>
      <c r="BD180" s="100" t="n">
        <f aca="false">(P180+R180+T180+V180+X180+Z180+AB180+AD180+AF180+AH180+AJ180+AL180+AN180+AP180+AR180+AT180+AV180+AX180+AZ180+BB180)</f>
        <v>0</v>
      </c>
      <c r="BE180" s="322" t="n">
        <f aca="false">IF(AND(BD180=0,BH180=0),0,(ABS(P180)*Q180+ABS(R180)*S180+ABS(T180)*U180+ABS(V180)*W180+ABS(X180)*Y180+ABS(Z180)*AA180+ABS(AB180)*AC180+ABS(AD180)*AE180+ABS(AF180)*AG180+ABS(AH180)*AI180+ABS(AJ180)*AK180+ABS(AL180)*AM180+ABS(AN180)*AO180+ABS(AP180)*AQ180+ABS(AR180)*AS180+ABS(AT180)*AU180+ABS(AV180)*AW180+ABS(AX180)*AY180+ABS(AZ180)*BA180+ABS(BB180)*BC180)/BH180)</f>
        <v>0</v>
      </c>
      <c r="BG180" s="103" t="n">
        <f aca="false">O180</f>
        <v>42309</v>
      </c>
      <c r="BH180" s="323" t="n">
        <f aca="false">(ABS(P180)+ABS(R180)+ABS(T180)+ABS(V180)+ABS(X180)+ABS(Z180)+ABS(AB180)+ABS(AD180)+ABS(AF180)+ABS(AH180)+ABS(AJ180)+ABS(AL180)+ABS(AN180)+ABS(AP180)+ABS(AR180)+ABS(AT180)+ABS(AV180)+ABS(AX180)+ABS(AZ180)+ABS(BB180))</f>
        <v>0</v>
      </c>
      <c r="BI180" s="104" t="n">
        <f aca="false">VLOOKUP(GasPosn!A180,'Pricing Summary'!$AB$12:$AD$250,3)</f>
        <v>30</v>
      </c>
      <c r="BJ180" s="102" t="n">
        <f aca="false">VLOOKUP(A180,Interest!$AF$8:$AK$367,6)</f>
        <v>0.452587089415844</v>
      </c>
      <c r="BL180" s="0" t="n">
        <f aca="false">J180*VLOOKUP(A180,NymexData!$J$12:$K$244,2)</f>
        <v>3033.79395102645</v>
      </c>
      <c r="BO180" s="0" t="n">
        <f aca="false">Interest!AK176</f>
        <v>0.452587089415844</v>
      </c>
      <c r="BP180" s="0" t="n">
        <f aca="false">G180*Interest!AK176</f>
        <v>2.270855721144</v>
      </c>
      <c r="BQ180" s="0" t="n">
        <f aca="false">IF(AND(A180&gt;=$B$3,A180&lt;=$B$4),1,0)</f>
        <v>0</v>
      </c>
      <c r="BR180" s="0" t="n">
        <f aca="false">BO180*BQ180</f>
        <v>0</v>
      </c>
      <c r="BS180" s="0" t="n">
        <f aca="false">BP180*BQ180</f>
        <v>0</v>
      </c>
    </row>
    <row r="181" customFormat="false" ht="18" hidden="false" customHeight="false" outlineLevel="0" collapsed="false">
      <c r="A181" s="112" t="n">
        <f aca="false">[2]EnergyCurve!$D203</f>
        <v>42339</v>
      </c>
      <c r="B181" s="324" t="n">
        <f aca="false" t="array" ref="B181:B181">SUM(IF(MONTH(NymexData!$AI$12:$AI$250)&amp;YEAR(NymexData!$AI$12:$AI$250)=MONTH(A181)&amp;YEAR(A181),NymexData!$AJ$12:$AJ$250))</f>
        <v>-31.28310396</v>
      </c>
      <c r="C181" s="325" t="n">
        <f aca="false">BD181*BJ181*BI181</f>
        <v>0</v>
      </c>
      <c r="D181" s="326" t="n">
        <f aca="false">C181+B181</f>
        <v>-31.28310396</v>
      </c>
      <c r="E181" s="327" t="n">
        <f aca="false" t="array" ref="E181:E181">SUM(IF(MONTH(NymexData!$S$12:$S$250)&amp;YEAR(NymexData!$S$12:$S$250)=MONTH(A181)&amp;YEAR(A181),NymexData!$T$12:$T$250))</f>
        <v>5.1755</v>
      </c>
      <c r="F181" s="327" t="n">
        <f aca="false">G181-E181</f>
        <v>-0.00600000000000023</v>
      </c>
      <c r="G181" s="328" t="n">
        <f aca="false" t="array" ref="G181:G181">IF(NymexData!$AA$12="",GasPosn!E181,SUM(IF(MONTH(NymexData!$AA$12:$AA$250)&amp;YEAR(NymexData!$AA$12:$AA$250)=MONTH(A181)&amp;YEAR(A181),NymexData!$AB$12:$AB$250)))</f>
        <v>5.1695</v>
      </c>
      <c r="H181" s="115" t="n">
        <f aca="false">B181*10000*F181</f>
        <v>1876.98623760007</v>
      </c>
      <c r="I181" s="119" t="n">
        <f aca="false">(((G181-Q181)*P181+(G181-S181)*R181+(G181-U181)*T181+(G181-W181)*V181+(G181-Y181)*X181+(G181-AA181)*Z181+(G181-AC181)*AB181+(G181-AE181)*AD181+(G181-AG181)*AF181+(G181-AI181)*AH181+(G181-AK181)*AJ181+(G181-AM181)*AL181+(G181-AO181)*AN181+(G181-AQ181)*AP181+(G181-AS181)*AR181+(G181-AU181)*AT181+(G181-AW181)*AV181+(G181-AY181)*AX181+(G181-BA181)*AZ181+(G181-BC181)*BB181)*BJ181*BI181)*10000</f>
        <v>0</v>
      </c>
      <c r="J181" s="119" t="n">
        <f aca="false">H181+I181</f>
        <v>1876.98623760007</v>
      </c>
      <c r="O181" s="95" t="n">
        <f aca="false">A181</f>
        <v>42339</v>
      </c>
      <c r="BD181" s="100" t="n">
        <f aca="false">(P181+R181+T181+V181+X181+Z181+AB181+AD181+AF181+AH181+AJ181+AL181+AN181+AP181+AR181+AT181+AV181+AX181+AZ181+BB181)</f>
        <v>0</v>
      </c>
      <c r="BE181" s="322" t="n">
        <f aca="false">IF(AND(BD181=0,BH181=0),0,(ABS(P181)*Q181+ABS(R181)*S181+ABS(T181)*U181+ABS(V181)*W181+ABS(X181)*Y181+ABS(Z181)*AA181+ABS(AB181)*AC181+ABS(AD181)*AE181+ABS(AF181)*AG181+ABS(AH181)*AI181+ABS(AJ181)*AK181+ABS(AL181)*AM181+ABS(AN181)*AO181+ABS(AP181)*AQ181+ABS(AR181)*AS181+ABS(AT181)*AU181+ABS(AV181)*AW181+ABS(AX181)*AY181+ABS(AZ181)*BA181+ABS(BB181)*BC181)/BH181)</f>
        <v>0</v>
      </c>
      <c r="BG181" s="103" t="n">
        <f aca="false">O181</f>
        <v>42339</v>
      </c>
      <c r="BH181" s="323" t="n">
        <f aca="false">(ABS(P181)+ABS(R181)+ABS(T181)+ABS(V181)+ABS(X181)+ABS(Z181)+ABS(AB181)+ABS(AD181)+ABS(AF181)+ABS(AH181)+ABS(AJ181)+ABS(AL181)+ABS(AN181)+ABS(AP181)+ABS(AR181)+ABS(AT181)+ABS(AV181)+ABS(AX181)+ABS(AZ181)+ABS(BB181))</f>
        <v>0</v>
      </c>
      <c r="BI181" s="104" t="n">
        <f aca="false">VLOOKUP(GasPosn!A181,'Pricing Summary'!$AB$12:$AD$250,3)</f>
        <v>31</v>
      </c>
      <c r="BJ181" s="102" t="n">
        <f aca="false">VLOOKUP(A181,Interest!$AF$8:$AK$367,6)</f>
        <v>0.450085086829321</v>
      </c>
      <c r="BL181" s="0" t="n">
        <f aca="false">J181*VLOOKUP(A181,NymexData!$J$12:$K$244,2)</f>
        <v>3118.38925331724</v>
      </c>
      <c r="BO181" s="0" t="n">
        <f aca="false">Interest!AK177</f>
        <v>0.450085086829321</v>
      </c>
      <c r="BP181" s="0" t="n">
        <f aca="false">G181*Interest!AK177</f>
        <v>2.32671485636418</v>
      </c>
      <c r="BQ181" s="0" t="n">
        <f aca="false">IF(AND(A181&gt;=$B$3,A181&lt;=$B$4),1,0)</f>
        <v>0</v>
      </c>
      <c r="BR181" s="0" t="n">
        <f aca="false">BO181*BQ181</f>
        <v>0</v>
      </c>
      <c r="BS181" s="0" t="n">
        <f aca="false">BP181*BQ181</f>
        <v>0</v>
      </c>
    </row>
    <row r="182" customFormat="false" ht="18" hidden="false" customHeight="false" outlineLevel="0" collapsed="false">
      <c r="A182" s="75" t="n">
        <f aca="false">[2]EnergyCurve!$D204</f>
        <v>42370</v>
      </c>
      <c r="B182" s="317" t="n">
        <f aca="false" t="array" ref="B182:B182">SUM(IF(MONTH(NymexData!$AI$12:$AI$250)&amp;YEAR(NymexData!$AI$12:$AI$250)=MONTH(A182)&amp;YEAR(A182),NymexData!$AJ$12:$AJ$250))</f>
        <v>0</v>
      </c>
      <c r="C182" s="317" t="n">
        <f aca="false">BD182*BJ182*BI182</f>
        <v>0</v>
      </c>
      <c r="D182" s="319" t="n">
        <f aca="false">C182+B182</f>
        <v>0</v>
      </c>
      <c r="E182" s="320" t="n">
        <f aca="false" t="array" ref="E182:E182">SUM(IF(MONTH(NymexData!$S$12:$S$250)&amp;YEAR(NymexData!$S$12:$S$250)=MONTH(A182)&amp;YEAR(A182),NymexData!$T$12:$T$250))</f>
        <v>5.248</v>
      </c>
      <c r="F182" s="320" t="n">
        <f aca="false">G182-E182</f>
        <v>-0.00100000000000033</v>
      </c>
      <c r="G182" s="321" t="n">
        <f aca="false" t="array" ref="G182:G182">IF(NymexData!$AA$12="",GasPosn!E182,SUM(IF(MONTH(NymexData!$AA$12:$AA$250)&amp;YEAR(NymexData!$AA$12:$AA$250)=MONTH(A182)&amp;YEAR(A182),NymexData!$AB$12:$AB$250)))</f>
        <v>5.247</v>
      </c>
      <c r="H182" s="76" t="n">
        <f aca="false">B182*10000*F182</f>
        <v>-0</v>
      </c>
      <c r="I182" s="82" t="n">
        <f aca="false">(((G182-Q182)*P182+(G182-S182)*R182+(G182-U182)*T182+(G182-W182)*V182+(G182-Y182)*X182+(G182-AA182)*Z182+(G182-AC182)*AB182+(G182-AE182)*AD182+(G182-AG182)*AF182+(G182-AI182)*AH182+(G182-AK182)*AJ182+(G182-AM182)*AL182+(G182-AO182)*AN182+(G182-AQ182)*AP182+(G182-AS182)*AR182+(G182-AU182)*AT182+(G182-AW182)*AV182+(G182-AY182)*AX182+(G182-BA182)*AZ182+(G182-BC182)*BB182)*BJ182*BI182)*10000</f>
        <v>0</v>
      </c>
      <c r="J182" s="82" t="n">
        <f aca="false">H182+I182</f>
        <v>0</v>
      </c>
      <c r="O182" s="95" t="n">
        <f aca="false">A182</f>
        <v>42370</v>
      </c>
      <c r="BD182" s="100" t="n">
        <f aca="false">(P182+R182+T182+V182+X182+Z182+AB182+AD182+AF182+AH182+AJ182+AL182+AN182+AP182+AR182+AT182+AV182+AX182+AZ182+BB182)</f>
        <v>0</v>
      </c>
      <c r="BE182" s="322" t="n">
        <f aca="false">IF(AND(BD182=0,BH182=0),0,(ABS(P182)*Q182+ABS(R182)*S182+ABS(T182)*U182+ABS(V182)*W182+ABS(X182)*Y182+ABS(Z182)*AA182+ABS(AB182)*AC182+ABS(AD182)*AE182+ABS(AF182)*AG182+ABS(AH182)*AI182+ABS(AJ182)*AK182+ABS(AL182)*AM182+ABS(AN182)*AO182+ABS(AP182)*AQ182+ABS(AR182)*AS182+ABS(AT182)*AU182+ABS(AV182)*AW182+ABS(AX182)*AY182+ABS(AZ182)*BA182+ABS(BB182)*BC182)/BH182)</f>
        <v>0</v>
      </c>
      <c r="BG182" s="103" t="n">
        <f aca="false">O182</f>
        <v>42370</v>
      </c>
      <c r="BH182" s="323" t="n">
        <f aca="false">(ABS(P182)+ABS(R182)+ABS(T182)+ABS(V182)+ABS(X182)+ABS(Z182)+ABS(AB182)+ABS(AD182)+ABS(AF182)+ABS(AH182)+ABS(AJ182)+ABS(AL182)+ABS(AN182)+ABS(AP182)+ABS(AR182)+ABS(AT182)+ABS(AV182)+ABS(AX182)+ABS(AZ182)+ABS(BB182))</f>
        <v>0</v>
      </c>
      <c r="BI182" s="104" t="n">
        <f aca="false">VLOOKUP(GasPosn!A182,'Pricing Summary'!$AB$12:$AD$250,3)</f>
        <v>31</v>
      </c>
      <c r="BJ182" s="102" t="n">
        <f aca="false">VLOOKUP(A182,Interest!$AF$8:$AK$367,6)</f>
        <v>0.447581141688438</v>
      </c>
      <c r="BL182" s="0" t="n">
        <f aca="false">J182*VLOOKUP(A182,NymexData!$J$12:$K$244,2)</f>
        <v>0</v>
      </c>
      <c r="BO182" s="0" t="n">
        <f aca="false">Interest!AK178</f>
        <v>0.447581141688438</v>
      </c>
      <c r="BP182" s="0" t="n">
        <f aca="false">G182*Interest!AK178</f>
        <v>2.34845825043923</v>
      </c>
      <c r="BQ182" s="0" t="n">
        <f aca="false">IF(AND(A182&gt;=$B$3,A182&lt;=$B$4),1,0)</f>
        <v>0</v>
      </c>
      <c r="BR182" s="0" t="n">
        <f aca="false">BO182*BQ182</f>
        <v>0</v>
      </c>
      <c r="BS182" s="0" t="n">
        <f aca="false">BP182*BQ182</f>
        <v>0</v>
      </c>
    </row>
    <row r="183" customFormat="false" ht="18" hidden="false" customHeight="false" outlineLevel="0" collapsed="false">
      <c r="A183" s="112" t="n">
        <f aca="false">[2]EnergyCurve!$D205</f>
        <v>42401</v>
      </c>
      <c r="B183" s="324" t="n">
        <f aca="false" t="array" ref="B183:B183">SUM(IF(MONTH(NymexData!$AI$12:$AI$250)&amp;YEAR(NymexData!$AI$12:$AI$250)=MONTH(A183)&amp;YEAR(A183),NymexData!$AJ$12:$AJ$250))</f>
        <v>0</v>
      </c>
      <c r="C183" s="325" t="n">
        <f aca="false">BD183*BJ183*BI183</f>
        <v>0</v>
      </c>
      <c r="D183" s="326" t="n">
        <f aca="false">C183+B183</f>
        <v>0</v>
      </c>
      <c r="E183" s="327" t="n">
        <f aca="false" t="array" ref="E183:E183">SUM(IF(MONTH(NymexData!$S$12:$S$250)&amp;YEAR(NymexData!$S$12:$S$250)=MONTH(A183)&amp;YEAR(A183),NymexData!$T$12:$T$250))</f>
        <v>5.161</v>
      </c>
      <c r="F183" s="327" t="n">
        <f aca="false">G183-E183</f>
        <v>-0.00200000000000067</v>
      </c>
      <c r="G183" s="328" t="n">
        <f aca="false" t="array" ref="G183:G183">IF(NymexData!$AA$12="",GasPosn!E183,SUM(IF(MONTH(NymexData!$AA$12:$AA$250)&amp;YEAR(NymexData!$AA$12:$AA$250)=MONTH(A183)&amp;YEAR(A183),NymexData!$AB$12:$AB$250)))</f>
        <v>5.159</v>
      </c>
      <c r="H183" s="115" t="n">
        <f aca="false">B183*10000*F183</f>
        <v>-0</v>
      </c>
      <c r="I183" s="119" t="n">
        <f aca="false">(((G183-Q183)*P183+(G183-S183)*R183+(G183-U183)*T183+(G183-W183)*V183+(G183-Y183)*X183+(G183-AA183)*Z183+(G183-AC183)*AB183+(G183-AE183)*AD183+(G183-AG183)*AF183+(G183-AI183)*AH183+(G183-AK183)*AJ183+(G183-AM183)*AL183+(G183-AO183)*AN183+(G183-AQ183)*AP183+(G183-AS183)*AR183+(G183-AU183)*AT183+(G183-AW183)*AV183+(G183-AY183)*AX183+(G183-BA183)*AZ183+(G183-BC183)*BB183)*BJ183*BI183)*10000</f>
        <v>0</v>
      </c>
      <c r="J183" s="119" t="n">
        <f aca="false">H183+I183</f>
        <v>0</v>
      </c>
      <c r="O183" s="95" t="n">
        <f aca="false">A183</f>
        <v>42401</v>
      </c>
      <c r="BD183" s="100" t="n">
        <f aca="false">(P183+R183+T183+V183+X183+Z183+AB183+AD183+AF183+AH183+AJ183+AL183+AN183+AP183+AR183+AT183+AV183+AX183+AZ183+BB183)</f>
        <v>0</v>
      </c>
      <c r="BE183" s="322" t="n">
        <f aca="false">IF(AND(BD183=0,BH183=0),0,(ABS(P183)*Q183+ABS(R183)*S183+ABS(T183)*U183+ABS(V183)*W183+ABS(X183)*Y183+ABS(Z183)*AA183+ABS(AB183)*AC183+ABS(AD183)*AE183+ABS(AF183)*AG183+ABS(AH183)*AI183+ABS(AJ183)*AK183+ABS(AL183)*AM183+ABS(AN183)*AO183+ABS(AP183)*AQ183+ABS(AR183)*AS183+ABS(AT183)*AU183+ABS(AV183)*AW183+ABS(AX183)*AY183+ABS(AZ183)*BA183+ABS(BB183)*BC183)/BH183)</f>
        <v>0</v>
      </c>
      <c r="BG183" s="103" t="n">
        <f aca="false">O183</f>
        <v>42401</v>
      </c>
      <c r="BH183" s="323" t="n">
        <f aca="false">(ABS(P183)+ABS(R183)+ABS(T183)+ABS(V183)+ABS(X183)+ABS(Z183)+ABS(AB183)+ABS(AD183)+ABS(AF183)+ABS(AH183)+ABS(AJ183)+ABS(AL183)+ABS(AN183)+ABS(AP183)+ABS(AR183)+ABS(AT183)+ABS(AV183)+ABS(AX183)+ABS(AZ183)+ABS(BB183))</f>
        <v>0</v>
      </c>
      <c r="BI183" s="104" t="n">
        <f aca="false">VLOOKUP(GasPosn!A183,'Pricing Summary'!$AB$12:$AD$250,3)</f>
        <v>29</v>
      </c>
      <c r="BJ183" s="102" t="n">
        <f aca="false">VLOOKUP(A183,Interest!$AF$8:$AK$367,6)</f>
        <v>0.445224227140687</v>
      </c>
      <c r="BL183" s="0" t="n">
        <f aca="false">J183*VLOOKUP(A183,NymexData!$J$12:$K$244,2)</f>
        <v>0</v>
      </c>
      <c r="BO183" s="0" t="n">
        <f aca="false">Interest!AK179</f>
        <v>0.445224227140687</v>
      </c>
      <c r="BP183" s="0" t="n">
        <f aca="false">G183*Interest!AK179</f>
        <v>2.29691178781881</v>
      </c>
      <c r="BQ183" s="0" t="n">
        <f aca="false">IF(AND(A183&gt;=$B$3,A183&lt;=$B$4),1,0)</f>
        <v>0</v>
      </c>
      <c r="BR183" s="0" t="n">
        <f aca="false">BO183*BQ183</f>
        <v>0</v>
      </c>
      <c r="BS183" s="0" t="n">
        <f aca="false">BP183*BQ183</f>
        <v>0</v>
      </c>
    </row>
    <row r="184" customFormat="false" ht="18" hidden="false" customHeight="false" outlineLevel="0" collapsed="false">
      <c r="A184" s="75" t="n">
        <f aca="false">[2]EnergyCurve!$D206</f>
        <v>42430</v>
      </c>
      <c r="B184" s="317" t="n">
        <f aca="false" t="array" ref="B184:B184">SUM(IF(MONTH(NymexData!$AI$12:$AI$250)&amp;YEAR(NymexData!$AI$12:$AI$250)=MONTH(A184)&amp;YEAR(A184),NymexData!$AJ$12:$AJ$250))</f>
        <v>0</v>
      </c>
      <c r="C184" s="317" t="n">
        <f aca="false">BD184*BJ184*BI184</f>
        <v>0</v>
      </c>
      <c r="D184" s="319" t="n">
        <f aca="false">C184+B184</f>
        <v>0</v>
      </c>
      <c r="E184" s="320" t="n">
        <f aca="false" t="array" ref="E184:E184">SUM(IF(MONTH(NymexData!$S$12:$S$250)&amp;YEAR(NymexData!$S$12:$S$250)=MONTH(A184)&amp;YEAR(A184),NymexData!$T$12:$T$250))</f>
        <v>5.022</v>
      </c>
      <c r="F184" s="320" t="n">
        <f aca="false">G184-E184</f>
        <v>-0.00200000000000067</v>
      </c>
      <c r="G184" s="321" t="n">
        <f aca="false" t="array" ref="G184:G184">IF(NymexData!$AA$12="",GasPosn!E184,SUM(IF(MONTH(NymexData!$AA$12:$AA$250)&amp;YEAR(NymexData!$AA$12:$AA$250)=MONTH(A184)&amp;YEAR(A184),NymexData!$AB$12:$AB$250)))</f>
        <v>5.02</v>
      </c>
      <c r="H184" s="76" t="n">
        <f aca="false">B184*10000*F184</f>
        <v>-0</v>
      </c>
      <c r="I184" s="82" t="n">
        <f aca="false">(((G184-Q184)*P184+(G184-S184)*R184+(G184-U184)*T184+(G184-W184)*V184+(G184-Y184)*X184+(G184-AA184)*Z184+(G184-AC184)*AB184+(G184-AE184)*AD184+(G184-AG184)*AF184+(G184-AI184)*AH184+(G184-AK184)*AJ184+(G184-AM184)*AL184+(G184-AO184)*AN184+(G184-AQ184)*AP184+(G184-AS184)*AR184+(G184-AU184)*AT184+(G184-AW184)*AV184+(G184-AY184)*AX184+(G184-BA184)*AZ184+(G184-BC184)*BB184)*BJ184*BI184)*10000</f>
        <v>0</v>
      </c>
      <c r="J184" s="82" t="n">
        <f aca="false">H184+I184</f>
        <v>0</v>
      </c>
      <c r="O184" s="95" t="n">
        <f aca="false">A184</f>
        <v>42430</v>
      </c>
      <c r="BD184" s="100" t="n">
        <f aca="false">(P184+R184+T184+V184+X184+Z184+AB184+AD184+AF184+AH184+AJ184+AL184+AN184+AP184+AR184+AT184+AV184+AX184+AZ184+BB184)</f>
        <v>0</v>
      </c>
      <c r="BE184" s="322" t="n">
        <f aca="false">IF(AND(BD184=0,BH184=0),0,(ABS(P184)*Q184+ABS(R184)*S184+ABS(T184)*U184+ABS(V184)*W184+ABS(X184)*Y184+ABS(Z184)*AA184+ABS(AB184)*AC184+ABS(AD184)*AE184+ABS(AF184)*AG184+ABS(AH184)*AI184+ABS(AJ184)*AK184+ABS(AL184)*AM184+ABS(AN184)*AO184+ABS(AP184)*AQ184+ABS(AR184)*AS184+ABS(AT184)*AU184+ABS(AV184)*AW184+ABS(AX184)*AY184+ABS(AZ184)*BA184+ABS(BB184)*BC184)/BH184)</f>
        <v>0</v>
      </c>
      <c r="BG184" s="103" t="n">
        <f aca="false">O184</f>
        <v>42430</v>
      </c>
      <c r="BH184" s="323" t="n">
        <f aca="false">(ABS(P184)+ABS(R184)+ABS(T184)+ABS(V184)+ABS(X184)+ABS(Z184)+ABS(AB184)+ABS(AD184)+ABS(AF184)+ABS(AH184)+ABS(AJ184)+ABS(AL184)+ABS(AN184)+ABS(AP184)+ABS(AR184)+ABS(AT184)+ABS(AV184)+ABS(AX184)+ABS(AZ184)+ABS(BB184))</f>
        <v>0</v>
      </c>
      <c r="BI184" s="104" t="n">
        <f aca="false">VLOOKUP(GasPosn!A184,'Pricing Summary'!$AB$12:$AD$250,3)</f>
        <v>31</v>
      </c>
      <c r="BJ184" s="102" t="n">
        <f aca="false">VLOOKUP(A184,Interest!$AF$8:$AK$367,6)</f>
        <v>0.442762281151821</v>
      </c>
      <c r="BL184" s="0" t="n">
        <f aca="false">J184*VLOOKUP(A184,NymexData!$J$12:$K$244,2)</f>
        <v>0</v>
      </c>
      <c r="BO184" s="0" t="n">
        <f aca="false">Interest!AK180</f>
        <v>0.442762281151821</v>
      </c>
      <c r="BP184" s="0" t="n">
        <f aca="false">G184*Interest!AK180</f>
        <v>2.22266665138214</v>
      </c>
      <c r="BQ184" s="0" t="n">
        <f aca="false">IF(AND(A184&gt;=$B$3,A184&lt;=$B$4),1,0)</f>
        <v>0</v>
      </c>
      <c r="BR184" s="0" t="n">
        <f aca="false">BO184*BQ184</f>
        <v>0</v>
      </c>
      <c r="BS184" s="0" t="n">
        <f aca="false">BP184*BQ184</f>
        <v>0</v>
      </c>
    </row>
    <row r="185" customFormat="false" ht="19.5" hidden="false" customHeight="true" outlineLevel="0" collapsed="false">
      <c r="A185" s="112" t="n">
        <f aca="false">[2]EnergyCurve!$D207</f>
        <v>42461</v>
      </c>
      <c r="B185" s="324" t="n">
        <f aca="false" t="array" ref="B185:B185">SUM(IF(MONTH(NymexData!$AI$12:$AI$250)&amp;YEAR(NymexData!$AI$12:$AI$250)=MONTH(A185)&amp;YEAR(A185),NymexData!$AJ$12:$AJ$250))</f>
        <v>0</v>
      </c>
      <c r="C185" s="325" t="n">
        <f aca="false">BD185*BJ185*BI185</f>
        <v>0</v>
      </c>
      <c r="D185" s="326" t="n">
        <f aca="false">C185+B185</f>
        <v>0</v>
      </c>
      <c r="E185" s="327" t="n">
        <f aca="false" t="array" ref="E185:E185">SUM(IF(MONTH(NymexData!$S$12:$S$250)&amp;YEAR(NymexData!$S$12:$S$250)=MONTH(A185)&amp;YEAR(A185),NymexData!$T$12:$T$250))</f>
        <v>4.868</v>
      </c>
      <c r="F185" s="327" t="n">
        <f aca="false">G185-E185</f>
        <v>-0.00199999999999978</v>
      </c>
      <c r="G185" s="328" t="n">
        <f aca="false" t="array" ref="G185:G185">IF(NymexData!$AA$12="",GasPosn!E185,SUM(IF(MONTH(NymexData!$AA$12:$AA$250)&amp;YEAR(NymexData!$AA$12:$AA$250)=MONTH(A185)&amp;YEAR(A185),NymexData!$AB$12:$AB$250)))</f>
        <v>4.866</v>
      </c>
      <c r="H185" s="115" t="n">
        <f aca="false">B185*10000*F185</f>
        <v>-0</v>
      </c>
      <c r="I185" s="119" t="n">
        <f aca="false">(((G185-Q185)*P185+(G185-S185)*R185+(G185-U185)*T185+(G185-W185)*V185+(G185-Y185)*X185+(G185-AA185)*Z185+(G185-AC185)*AB185+(G185-AE185)*AD185+(G185-AG185)*AF185+(G185-AI185)*AH185+(G185-AK185)*AJ185+(G185-AM185)*AL185+(G185-AO185)*AN185+(G185-AQ185)*AP185+(G185-AS185)*AR185+(G185-AU185)*AT185+(G185-AW185)*AV185+(G185-AY185)*AX185+(G185-BA185)*AZ185+(G185-BC185)*BB185)*BJ185*BI185)*10000</f>
        <v>0</v>
      </c>
      <c r="J185" s="119" t="n">
        <f aca="false">H185+I185</f>
        <v>0</v>
      </c>
      <c r="O185" s="95" t="n">
        <f aca="false">A185</f>
        <v>42461</v>
      </c>
      <c r="BD185" s="100" t="n">
        <f aca="false">(P185+R185+T185+V185+X185+Z185+AB185+AD185+AF185+AH185+AJ185+AL185+AN185+AP185+AR185+AT185+AV185+AX185+AZ185+BB185)</f>
        <v>0</v>
      </c>
      <c r="BE185" s="322" t="n">
        <f aca="false">IF(AND(BD185=0,BH185=0),0,(ABS(P185)*Q185+ABS(R185)*S185+ABS(T185)*U185+ABS(V185)*W185+ABS(X185)*Y185+ABS(Z185)*AA185+ABS(AB185)*AC185+ABS(AD185)*AE185+ABS(AF185)*AG185+ABS(AH185)*AI185+ABS(AJ185)*AK185+ABS(AL185)*AM185+ABS(AN185)*AO185+ABS(AP185)*AQ185+ABS(AR185)*AS185+ABS(AT185)*AU185+ABS(AV185)*AW185+ABS(AX185)*AY185+ABS(AZ185)*BA185+ABS(BB185)*BC185)/BH185)</f>
        <v>0</v>
      </c>
      <c r="BG185" s="103" t="n">
        <f aca="false">O185</f>
        <v>42461</v>
      </c>
      <c r="BH185" s="323" t="n">
        <f aca="false">(ABS(P185)+ABS(R185)+ABS(T185)+ABS(V185)+ABS(X185)+ABS(Z185)+ABS(AB185)+ABS(AD185)+ABS(AF185)+ABS(AH185)+ABS(AJ185)+ABS(AL185)+ABS(AN185)+ABS(AP185)+ABS(AR185)+ABS(AT185)+ABS(AV185)+ABS(AX185)+ABS(AZ185)+ABS(BB185))</f>
        <v>0</v>
      </c>
      <c r="BI185" s="104" t="n">
        <f aca="false">VLOOKUP(GasPosn!A185,'Pricing Summary'!$AB$12:$AD$250,3)</f>
        <v>30</v>
      </c>
      <c r="BJ185" s="102" t="n">
        <f aca="false">VLOOKUP(A185,Interest!$AF$8:$AK$367,6)</f>
        <v>0.440354787434044</v>
      </c>
      <c r="BL185" s="0" t="n">
        <f aca="false">J185*VLOOKUP(A185,NymexData!$J$12:$K$244,2)</f>
        <v>0</v>
      </c>
      <c r="BO185" s="0" t="n">
        <f aca="false">Interest!AK181</f>
        <v>0.440354787434044</v>
      </c>
      <c r="BP185" s="0" t="n">
        <f aca="false">G185*Interest!AK181</f>
        <v>2.14276639565406</v>
      </c>
      <c r="BQ185" s="0" t="n">
        <f aca="false">IF(AND(A185&gt;=$B$3,A185&lt;=$B$4),1,0)</f>
        <v>0</v>
      </c>
      <c r="BR185" s="0" t="n">
        <f aca="false">BO185*BQ185</f>
        <v>0</v>
      </c>
      <c r="BS185" s="0" t="n">
        <f aca="false">BP185*BQ185</f>
        <v>0</v>
      </c>
    </row>
    <row r="186" customFormat="false" ht="18" hidden="false" customHeight="false" outlineLevel="0" collapsed="false">
      <c r="A186" s="75" t="n">
        <f aca="false">[2]EnergyCurve!$D208</f>
        <v>42491</v>
      </c>
      <c r="B186" s="317" t="n">
        <f aca="false" t="array" ref="B186:B186">SUM(IF(MONTH(NymexData!$AI$12:$AI$250)&amp;YEAR(NymexData!$AI$12:$AI$250)=MONTH(A186)&amp;YEAR(A186),NymexData!$AJ$12:$AJ$250))</f>
        <v>0</v>
      </c>
      <c r="C186" s="317" t="n">
        <f aca="false">BD186*BJ186*BI186</f>
        <v>0</v>
      </c>
      <c r="D186" s="319" t="n">
        <f aca="false">C186+B186</f>
        <v>0</v>
      </c>
      <c r="E186" s="320" t="n">
        <f aca="false" t="array" ref="E186:E186">SUM(IF(MONTH(NymexData!$S$12:$S$250)&amp;YEAR(NymexData!$S$12:$S$250)=MONTH(A186)&amp;YEAR(A186),NymexData!$T$12:$T$250))</f>
        <v>4.873</v>
      </c>
      <c r="F186" s="320" t="n">
        <f aca="false">G186-E186</f>
        <v>-0.00199999999999978</v>
      </c>
      <c r="G186" s="321" t="n">
        <f aca="false" t="array" ref="G186:G186">IF(NymexData!$AA$12="",GasPosn!E186,SUM(IF(MONTH(NymexData!$AA$12:$AA$250)&amp;YEAR(NymexData!$AA$12:$AA$250)=MONTH(A186)&amp;YEAR(A186),NymexData!$AB$12:$AB$250)))</f>
        <v>4.871</v>
      </c>
      <c r="H186" s="76" t="n">
        <f aca="false">B186*10000*F186</f>
        <v>-0</v>
      </c>
      <c r="I186" s="82" t="n">
        <f aca="false">(((G186-Q186)*P186+(G186-S186)*R186+(G186-U186)*T186+(G186-W186)*V186+(G186-Y186)*X186+(G186-AA186)*Z186+(G186-AC186)*AB186+(G186-AE186)*AD186+(G186-AG186)*AF186+(G186-AI186)*AH186+(G186-AK186)*AJ186+(G186-AM186)*AL186+(G186-AO186)*AN186+(G186-AQ186)*AP186+(G186-AS186)*AR186+(G186-AU186)*AT186+(G186-AW186)*AV186+(G186-AY186)*AX186+(G186-BA186)*AZ186+(G186-BC186)*BB186)*BJ186*BI186)*10000</f>
        <v>0</v>
      </c>
      <c r="J186" s="82" t="n">
        <f aca="false">H186+I186</f>
        <v>0</v>
      </c>
      <c r="O186" s="95" t="n">
        <f aca="false">A186</f>
        <v>42491</v>
      </c>
      <c r="BD186" s="100" t="n">
        <f aca="false">(P186+R186+T186+V186+X186+Z186+AB186+AD186+AF186+AH186+AJ186+AL186+AN186+AP186+AR186+AT186+AV186+AX186+AZ186+BB186)</f>
        <v>0</v>
      </c>
      <c r="BE186" s="322" t="n">
        <f aca="false">IF(AND(BD186=0,BH186=0),0,(ABS(P186)*Q186+ABS(R186)*S186+ABS(T186)*U186+ABS(V186)*W186+ABS(X186)*Y186+ABS(Z186)*AA186+ABS(AB186)*AC186+ABS(AD186)*AE186+ABS(AF186)*AG186+ABS(AH186)*AI186+ABS(AJ186)*AK186+ABS(AL186)*AM186+ABS(AN186)*AO186+ABS(AP186)*AQ186+ABS(AR186)*AS186+ABS(AT186)*AU186+ABS(AV186)*AW186+ABS(AX186)*AY186+ABS(AZ186)*BA186+ABS(BB186)*BC186)/BH186)</f>
        <v>0</v>
      </c>
      <c r="BG186" s="103" t="n">
        <f aca="false">O186</f>
        <v>42491</v>
      </c>
      <c r="BH186" s="323" t="n">
        <f aca="false">(ABS(P186)+ABS(R186)+ABS(T186)+ABS(V186)+ABS(X186)+ABS(Z186)+ABS(AB186)+ABS(AD186)+ABS(AF186)+ABS(AH186)+ABS(AJ186)+ABS(AL186)+ABS(AN186)+ABS(AP186)+ABS(AR186)+ABS(AT186)+ABS(AV186)+ABS(AX186)+ABS(AZ186)+ABS(BB186))</f>
        <v>0</v>
      </c>
      <c r="BI186" s="104" t="n">
        <f aca="false">VLOOKUP(GasPosn!A186,'Pricing Summary'!$AB$12:$AD$250,3)</f>
        <v>31</v>
      </c>
      <c r="BJ186" s="102" t="n">
        <f aca="false">VLOOKUP(A186,Interest!$AF$8:$AK$367,6)</f>
        <v>0.437900221133551</v>
      </c>
      <c r="BL186" s="0" t="n">
        <f aca="false">J186*VLOOKUP(A186,NymexData!$J$12:$K$244,2)</f>
        <v>0</v>
      </c>
      <c r="BO186" s="0" t="n">
        <f aca="false">Interest!AK182</f>
        <v>0.437900221133551</v>
      </c>
      <c r="BP186" s="0" t="n">
        <f aca="false">G186*Interest!AK182</f>
        <v>2.13301197714153</v>
      </c>
      <c r="BQ186" s="0" t="n">
        <f aca="false">IF(AND(A186&gt;=$B$3,A186&lt;=$B$4),1,0)</f>
        <v>0</v>
      </c>
      <c r="BR186" s="0" t="n">
        <f aca="false">BO186*BQ186</f>
        <v>0</v>
      </c>
      <c r="BS186" s="0" t="n">
        <f aca="false">BP186*BQ186</f>
        <v>0</v>
      </c>
    </row>
    <row r="187" customFormat="false" ht="18" hidden="false" customHeight="false" outlineLevel="0" collapsed="false">
      <c r="A187" s="112" t="n">
        <f aca="false">[2]EnergyCurve!$D209</f>
        <v>42522</v>
      </c>
      <c r="B187" s="324" t="n">
        <f aca="false" t="array" ref="B187:B187">SUM(IF(MONTH(NymexData!$AI$12:$AI$250)&amp;YEAR(NymexData!$AI$12:$AI$250)=MONTH(A187)&amp;YEAR(A187),NymexData!$AJ$12:$AJ$250))</f>
        <v>0</v>
      </c>
      <c r="C187" s="325" t="n">
        <f aca="false">BD187*BJ187*BI187</f>
        <v>0</v>
      </c>
      <c r="D187" s="326" t="n">
        <f aca="false">C187+B187</f>
        <v>0</v>
      </c>
      <c r="E187" s="327" t="n">
        <f aca="false" t="array" ref="E187:E187">SUM(IF(MONTH(NymexData!$S$12:$S$250)&amp;YEAR(NymexData!$S$12:$S$250)=MONTH(A187)&amp;YEAR(A187),NymexData!$T$12:$T$250))</f>
        <v>4.911</v>
      </c>
      <c r="F187" s="327" t="n">
        <f aca="false">G187-E187</f>
        <v>-0.00200000000000067</v>
      </c>
      <c r="G187" s="328" t="n">
        <f aca="false" t="array" ref="G187:G187">IF(NymexData!$AA$12="",GasPosn!E187,SUM(IF(MONTH(NymexData!$AA$12:$AA$250)&amp;YEAR(NymexData!$AA$12:$AA$250)=MONTH(A187)&amp;YEAR(A187),NymexData!$AB$12:$AB$250)))</f>
        <v>4.909</v>
      </c>
      <c r="H187" s="115" t="n">
        <f aca="false">B187*10000*F187</f>
        <v>-0</v>
      </c>
      <c r="I187" s="119" t="n">
        <f aca="false">(((G187-Q187)*P187+(G187-S187)*R187+(G187-U187)*T187+(G187-W187)*V187+(G187-Y187)*X187+(G187-AA187)*Z187+(G187-AC187)*AB187+(G187-AE187)*AD187+(G187-AG187)*AF187+(G187-AI187)*AH187+(G187-AK187)*AJ187+(G187-AM187)*AL187+(G187-AO187)*AN187+(G187-AQ187)*AP187+(G187-AS187)*AR187+(G187-AU187)*AT187+(G187-AW187)*AV187+(G187-AY187)*AX187+(G187-BA187)*AZ187+(G187-BC187)*BB187)*BJ187*BI187)*10000</f>
        <v>0</v>
      </c>
      <c r="J187" s="119" t="n">
        <f aca="false">H187+I187</f>
        <v>0</v>
      </c>
      <c r="O187" s="95" t="n">
        <f aca="false">A187</f>
        <v>42522</v>
      </c>
      <c r="BD187" s="100" t="n">
        <f aca="false">(P187+R187+T187+V187+X187+Z187+AB187+AD187+AF187+AH187+AJ187+AL187+AN187+AP187+AR187+AT187+AV187+AX187+AZ187+BB187)</f>
        <v>0</v>
      </c>
      <c r="BE187" s="322" t="n">
        <f aca="false">IF(AND(BD187=0,BH187=0),0,(ABS(P187)*Q187+ABS(R187)*S187+ABS(T187)*U187+ABS(V187)*W187+ABS(X187)*Y187+ABS(Z187)*AA187+ABS(AB187)*AC187+ABS(AD187)*AE187+ABS(AF187)*AG187+ABS(AH187)*AI187+ABS(AJ187)*AK187+ABS(AL187)*AM187+ABS(AN187)*AO187+ABS(AP187)*AQ187+ABS(AR187)*AS187+ABS(AT187)*AU187+ABS(AV187)*AW187+ABS(AX187)*AY187+ABS(AZ187)*BA187+ABS(BB187)*BC187)/BH187)</f>
        <v>0</v>
      </c>
      <c r="BG187" s="103" t="n">
        <f aca="false">O187</f>
        <v>42522</v>
      </c>
      <c r="BH187" s="323" t="n">
        <f aca="false">(ABS(P187)+ABS(R187)+ABS(T187)+ABS(V187)+ABS(X187)+ABS(Z187)+ABS(AB187)+ABS(AD187)+ABS(AF187)+ABS(AH187)+ABS(AJ187)+ABS(AL187)+ABS(AN187)+ABS(AP187)+ABS(AR187)+ABS(AT187)+ABS(AV187)+ABS(AX187)+ABS(AZ187)+ABS(BB187))</f>
        <v>0</v>
      </c>
      <c r="BI187" s="104" t="n">
        <f aca="false">VLOOKUP(GasPosn!A187,'Pricing Summary'!$AB$12:$AD$250,3)</f>
        <v>30</v>
      </c>
      <c r="BJ187" s="102" t="n">
        <f aca="false">VLOOKUP(A187,Interest!$AF$8:$AK$367,6)</f>
        <v>0.435511109153653</v>
      </c>
      <c r="BL187" s="0" t="n">
        <f aca="false">J187*VLOOKUP(A187,NymexData!$J$12:$K$244,2)</f>
        <v>0</v>
      </c>
      <c r="BO187" s="0" t="n">
        <f aca="false">Interest!AK183</f>
        <v>0.435511109153653</v>
      </c>
      <c r="BP187" s="0" t="n">
        <f aca="false">G187*Interest!AK183</f>
        <v>2.13792403483528</v>
      </c>
      <c r="BQ187" s="0" t="n">
        <f aca="false">IF(AND(A187&gt;=$B$3,A187&lt;=$B$4),1,0)</f>
        <v>0</v>
      </c>
      <c r="BR187" s="0" t="n">
        <f aca="false">BO187*BQ187</f>
        <v>0</v>
      </c>
      <c r="BS187" s="0" t="n">
        <f aca="false">BP187*BQ187</f>
        <v>0</v>
      </c>
    </row>
    <row r="188" customFormat="false" ht="18.75" hidden="false" customHeight="false" outlineLevel="0" collapsed="false">
      <c r="A188" s="302" t="n">
        <f aca="false">[2]EnergyCurve!$D210</f>
        <v>42552</v>
      </c>
      <c r="B188" s="330" t="n">
        <f aca="false" t="array" ref="B188:B188">SUM(IF(MONTH(NymexData!$AI$12:$AI$250)&amp;YEAR(NymexData!$AI$12:$AI$250)=MONTH(A188)&amp;YEAR(A188),NymexData!$AJ$12:$AJ$250))</f>
        <v>0</v>
      </c>
      <c r="C188" s="330" t="n">
        <f aca="false">BD188*BJ188*BI188</f>
        <v>0</v>
      </c>
      <c r="D188" s="331" t="n">
        <f aca="false">C188+B188</f>
        <v>0</v>
      </c>
      <c r="E188" s="332" t="n">
        <f aca="false" t="array" ref="E188:E188">SUM(IF(MONTH(NymexData!$S$12:$S$250)&amp;YEAR(NymexData!$S$12:$S$250)=MONTH(A188)&amp;YEAR(A188),NymexData!$T$12:$T$250))</f>
        <v>4.956</v>
      </c>
      <c r="F188" s="332" t="n">
        <f aca="false">G188-E188</f>
        <v>-0.00199999999999978</v>
      </c>
      <c r="G188" s="333" t="n">
        <f aca="false" t="array" ref="G188:G188">IF(NymexData!$AA$12="",GasPosn!E188,SUM(IF(MONTH(NymexData!$AA$12:$AA$250)&amp;YEAR(NymexData!$AA$12:$AA$250)=MONTH(A188)&amp;YEAR(A188),NymexData!$AB$12:$AB$250)))</f>
        <v>4.954</v>
      </c>
      <c r="H188" s="334" t="n">
        <f aca="false">B188*10000*F188</f>
        <v>-0</v>
      </c>
      <c r="I188" s="335" t="n">
        <f aca="false">(((G188-Q188)*P188+(G188-S188)*R188+(G188-U188)*T188+(G188-W188)*V188+(G188-Y188)*X188+(G188-AA188)*Z188+(G188-AC188)*AB188+(G188-AE188)*AD188+(G188-AG188)*AF188+(G188-AI188)*AH188+(G188-AK188)*AJ188+(G188-AM188)*AL188+(G188-AO188)*AN188+(G188-AQ188)*AP188+(G188-AS188)*AR188+(G188-AU188)*AT188+(G188-AW188)*AV188+(G188-AY188)*AX188+(G188-BA188)*AZ188+(G188-BC188)*BB188)*BJ188*BI188)*10000</f>
        <v>0</v>
      </c>
      <c r="J188" s="335" t="n">
        <f aca="false">H188+I188</f>
        <v>0</v>
      </c>
      <c r="O188" s="336" t="n">
        <f aca="false">A188</f>
        <v>42552</v>
      </c>
      <c r="BD188" s="337" t="n">
        <f aca="false">(P188+R188+T188+V188+X188+Z188+AB188+AD188+AF188+AH188+AJ188+AL188+AN188+AP188+AR188+AT188+AV188+AX188+AZ188+BB188)</f>
        <v>0</v>
      </c>
      <c r="BE188" s="338" t="n">
        <f aca="false">IF(AND(BD188=0,BH188=0),0,(ABS(P188)*Q188+ABS(R188)*S188+ABS(T188)*U188+ABS(V188)*W188+ABS(X188)*Y188+ABS(Z188)*AA188+ABS(AB188)*AC188+ABS(AD188)*AE188+ABS(AF188)*AG188+ABS(AH188)*AI188+ABS(AJ188)*AK188+ABS(AL188)*AM188+ABS(AN188)*AO188+ABS(AP188)*AQ188+ABS(AR188)*AS188+ABS(AT188)*AU188+ABS(AV188)*AW188+ABS(AX188)*AY188+ABS(AZ188)*BA188+ABS(BB188)*BC188)/BH188)</f>
        <v>0</v>
      </c>
      <c r="BG188" s="103" t="n">
        <f aca="false">O188</f>
        <v>42552</v>
      </c>
      <c r="BH188" s="323" t="n">
        <f aca="false">(ABS(P188)+ABS(R188)+ABS(T188)+ABS(V188)+ABS(X188)+ABS(Z188)+ABS(AB188)+ABS(AD188)+ABS(AF188)+ABS(AH188)+ABS(AJ188)+ABS(AL188)+ABS(AN188)+ABS(AP188)+ABS(AR188)+ABS(AT188)+ABS(AV188)+ABS(AX188)+ABS(AZ188)+ABS(BB188))</f>
        <v>0</v>
      </c>
      <c r="BI188" s="104" t="n">
        <f aca="false">VLOOKUP(GasPosn!A188,'Pricing Summary'!$AB$12:$AD$250,3)</f>
        <v>31</v>
      </c>
      <c r="BJ188" s="102" t="n">
        <f aca="false">VLOOKUP(A188,Interest!$AF$8:$AK$367,6)</f>
        <v>0.433075531149596</v>
      </c>
      <c r="BL188" s="0" t="n">
        <f aca="false">J188*VLOOKUP(A188,NymexData!$J$12:$K$244,2)</f>
        <v>0</v>
      </c>
      <c r="BO188" s="0" t="n">
        <f aca="false">Interest!AK184</f>
        <v>0.433075531149596</v>
      </c>
      <c r="BP188" s="0" t="n">
        <f aca="false">G188*Interest!AK184</f>
        <v>2.1454561813151</v>
      </c>
      <c r="BQ188" s="0" t="n">
        <f aca="false">IF(AND(A188&gt;=$B$3,A188&lt;=$B$4),1,0)</f>
        <v>0</v>
      </c>
      <c r="BR188" s="0" t="n">
        <f aca="false">BO188*BQ188</f>
        <v>0</v>
      </c>
      <c r="BS188" s="0" t="n">
        <f aca="false">BP188*BQ188</f>
        <v>0</v>
      </c>
    </row>
    <row r="189" customFormat="false" ht="18.75" hidden="false" customHeight="false" outlineLevel="0" collapsed="false">
      <c r="A189" s="339"/>
      <c r="B189" s="340"/>
      <c r="C189" s="340"/>
      <c r="D189" s="341"/>
      <c r="E189" s="342"/>
      <c r="F189" s="342"/>
      <c r="G189" s="343"/>
      <c r="H189" s="344"/>
      <c r="I189" s="345"/>
      <c r="J189" s="345"/>
      <c r="K189" s="22"/>
      <c r="N189" s="346"/>
      <c r="O189" s="347"/>
      <c r="P189" s="348"/>
      <c r="Q189" s="349"/>
      <c r="R189" s="350"/>
      <c r="S189" s="349"/>
      <c r="T189" s="350"/>
      <c r="U189" s="349"/>
      <c r="V189" s="350"/>
      <c r="W189" s="349"/>
      <c r="X189" s="350"/>
      <c r="Y189" s="349"/>
      <c r="Z189" s="350"/>
      <c r="AA189" s="349"/>
      <c r="AB189" s="350"/>
      <c r="AC189" s="349"/>
      <c r="AD189" s="350"/>
      <c r="AE189" s="349"/>
      <c r="AF189" s="350"/>
      <c r="AG189" s="349"/>
      <c r="AH189" s="350"/>
      <c r="AI189" s="349"/>
      <c r="AJ189" s="350"/>
      <c r="AK189" s="349"/>
      <c r="AL189" s="350"/>
      <c r="AM189" s="349"/>
      <c r="AN189" s="350"/>
      <c r="AO189" s="349"/>
      <c r="AP189" s="350"/>
      <c r="AQ189" s="349"/>
      <c r="AR189" s="350"/>
      <c r="AS189" s="349"/>
      <c r="AT189" s="350"/>
      <c r="AU189" s="349"/>
      <c r="AV189" s="350"/>
      <c r="AW189" s="349"/>
      <c r="AX189" s="350"/>
      <c r="AY189" s="349"/>
      <c r="AZ189" s="350"/>
      <c r="BA189" s="349"/>
      <c r="BB189" s="350"/>
      <c r="BC189" s="349"/>
      <c r="BD189" s="237"/>
      <c r="BE189" s="351"/>
      <c r="BF189" s="143"/>
      <c r="BG189" s="103"/>
      <c r="BH189" s="323"/>
      <c r="BI189" s="104"/>
      <c r="BJ189" s="102"/>
      <c r="BR189" s="0" t="n">
        <f aca="false">SUM(BR12:BR188)</f>
        <v>64.4586054818831</v>
      </c>
      <c r="BS189" s="0" t="n">
        <f aca="false">SUM(BS12:BS188)</f>
        <v>256.645494679762</v>
      </c>
      <c r="BT189" s="0" t="n">
        <f aca="false">BS189/BR189</f>
        <v>3.98155518198257</v>
      </c>
    </row>
    <row r="190" customFormat="false" ht="21" hidden="false" customHeight="false" outlineLevel="0" collapsed="false">
      <c r="A190" s="306" t="s">
        <v>110</v>
      </c>
      <c r="D190" s="341"/>
      <c r="E190" s="342"/>
      <c r="F190" s="342"/>
      <c r="G190" s="343"/>
      <c r="H190" s="344"/>
      <c r="I190" s="17" t="s">
        <v>126</v>
      </c>
      <c r="J190" s="18"/>
      <c r="K190" s="22"/>
      <c r="N190" s="346"/>
      <c r="O190" s="347"/>
      <c r="P190" s="348"/>
      <c r="Q190" s="349"/>
      <c r="R190" s="350"/>
      <c r="S190" s="349"/>
      <c r="T190" s="350"/>
      <c r="U190" s="349"/>
      <c r="V190" s="350"/>
      <c r="W190" s="349"/>
      <c r="X190" s="350"/>
      <c r="Y190" s="349"/>
      <c r="Z190" s="350"/>
      <c r="AA190" s="349"/>
      <c r="AB190" s="350"/>
      <c r="AC190" s="349"/>
      <c r="AD190" s="350"/>
      <c r="AE190" s="349"/>
      <c r="AF190" s="350"/>
      <c r="AG190" s="349"/>
      <c r="AH190" s="350"/>
      <c r="AI190" s="349"/>
      <c r="AJ190" s="350"/>
      <c r="AK190" s="349"/>
      <c r="AL190" s="350"/>
      <c r="AM190" s="349"/>
      <c r="AN190" s="350"/>
      <c r="AO190" s="349"/>
      <c r="AP190" s="350"/>
      <c r="AQ190" s="349"/>
      <c r="AR190" s="350"/>
      <c r="AS190" s="349"/>
      <c r="AT190" s="350"/>
      <c r="AU190" s="349"/>
      <c r="AV190" s="350"/>
      <c r="AW190" s="349"/>
      <c r="AX190" s="350"/>
      <c r="AY190" s="349"/>
      <c r="AZ190" s="350"/>
      <c r="BA190" s="349"/>
      <c r="BB190" s="350"/>
      <c r="BC190" s="349"/>
      <c r="BD190" s="237"/>
      <c r="BE190" s="351"/>
      <c r="BF190" s="143"/>
      <c r="BG190" s="103"/>
      <c r="BH190" s="323"/>
      <c r="BI190" s="104"/>
      <c r="BJ190" s="102"/>
    </row>
    <row r="191" customFormat="false" ht="18.75" hidden="false" customHeight="false" outlineLevel="0" collapsed="false">
      <c r="A191" s="49" t="s">
        <v>113</v>
      </c>
      <c r="B191" s="307" t="n">
        <v>37257</v>
      </c>
      <c r="C191" s="352" t="n">
        <f aca="false">BT317</f>
        <v>-0.465107207911613</v>
      </c>
      <c r="D191" s="341"/>
      <c r="E191" s="342"/>
      <c r="F191" s="342"/>
      <c r="G191" s="343"/>
      <c r="H191" s="344"/>
      <c r="I191" s="24" t="s">
        <v>2</v>
      </c>
      <c r="J191" s="25" t="n">
        <f aca="false">SUM(H200:H316)</f>
        <v>242709.171852278</v>
      </c>
      <c r="K191" s="22"/>
      <c r="N191" s="346"/>
      <c r="O191" s="347"/>
      <c r="P191" s="348"/>
      <c r="Q191" s="349"/>
      <c r="R191" s="350"/>
      <c r="S191" s="349"/>
      <c r="T191" s="350"/>
      <c r="U191" s="349"/>
      <c r="V191" s="350"/>
      <c r="W191" s="349"/>
      <c r="X191" s="350"/>
      <c r="Y191" s="349"/>
      <c r="Z191" s="350"/>
      <c r="AA191" s="349"/>
      <c r="AB191" s="350"/>
      <c r="AC191" s="349"/>
      <c r="AD191" s="350"/>
      <c r="AE191" s="349"/>
      <c r="AF191" s="350"/>
      <c r="AG191" s="349"/>
      <c r="AH191" s="350"/>
      <c r="AI191" s="349"/>
      <c r="AJ191" s="350"/>
      <c r="AK191" s="349"/>
      <c r="AL191" s="350"/>
      <c r="AM191" s="349"/>
      <c r="AN191" s="350"/>
      <c r="AO191" s="349"/>
      <c r="AP191" s="350"/>
      <c r="AQ191" s="349"/>
      <c r="AR191" s="350"/>
      <c r="AS191" s="349"/>
      <c r="AT191" s="350"/>
      <c r="AU191" s="349"/>
      <c r="AV191" s="350"/>
      <c r="AW191" s="349"/>
      <c r="AX191" s="350"/>
      <c r="AY191" s="349"/>
      <c r="AZ191" s="350"/>
      <c r="BA191" s="349"/>
      <c r="BB191" s="350"/>
      <c r="BC191" s="349"/>
      <c r="BD191" s="237"/>
      <c r="BE191" s="351"/>
      <c r="BF191" s="143"/>
      <c r="BG191" s="103"/>
      <c r="BH191" s="323"/>
      <c r="BI191" s="104"/>
      <c r="BJ191" s="102"/>
    </row>
    <row r="192" customFormat="false" ht="18.75" hidden="false" customHeight="false" outlineLevel="0" collapsed="false">
      <c r="A192" s="61" t="s">
        <v>114</v>
      </c>
      <c r="B192" s="309" t="n">
        <v>37621</v>
      </c>
      <c r="D192" s="341"/>
      <c r="E192" s="342"/>
      <c r="F192" s="342"/>
      <c r="G192" s="343"/>
      <c r="H192" s="344"/>
      <c r="I192" s="24" t="s">
        <v>4</v>
      </c>
      <c r="J192" s="25" t="n">
        <f aca="false">SUM(I200:I316)</f>
        <v>0</v>
      </c>
      <c r="K192" s="143"/>
      <c r="N192" s="346"/>
      <c r="O192" s="347"/>
      <c r="P192" s="348"/>
      <c r="Q192" s="349"/>
      <c r="R192" s="350"/>
      <c r="S192" s="349"/>
      <c r="T192" s="350"/>
      <c r="U192" s="349"/>
      <c r="V192" s="350"/>
      <c r="W192" s="349"/>
      <c r="X192" s="350"/>
      <c r="Y192" s="349"/>
      <c r="Z192" s="350"/>
      <c r="AA192" s="349"/>
      <c r="AB192" s="350"/>
      <c r="AC192" s="349"/>
      <c r="AD192" s="350"/>
      <c r="AE192" s="349"/>
      <c r="AF192" s="350"/>
      <c r="AG192" s="349"/>
      <c r="AH192" s="350"/>
      <c r="AI192" s="349"/>
      <c r="AJ192" s="350"/>
      <c r="AK192" s="349"/>
      <c r="AL192" s="350"/>
      <c r="AM192" s="349"/>
      <c r="AN192" s="350"/>
      <c r="AO192" s="349"/>
      <c r="AP192" s="350"/>
      <c r="AQ192" s="349"/>
      <c r="AR192" s="350"/>
      <c r="AS192" s="349"/>
      <c r="AT192" s="350"/>
      <c r="AU192" s="349"/>
      <c r="AV192" s="350"/>
      <c r="AW192" s="349"/>
      <c r="AX192" s="350"/>
      <c r="AY192" s="349"/>
      <c r="AZ192" s="350"/>
      <c r="BA192" s="349"/>
      <c r="BB192" s="350"/>
      <c r="BC192" s="349"/>
      <c r="BD192" s="237"/>
      <c r="BE192" s="351"/>
      <c r="BF192" s="143"/>
      <c r="BG192" s="103"/>
      <c r="BH192" s="323"/>
      <c r="BI192" s="104"/>
      <c r="BJ192" s="102"/>
    </row>
    <row r="193" customFormat="false" ht="18.75" hidden="false" customHeight="false" outlineLevel="0" collapsed="false">
      <c r="A193" s="339"/>
      <c r="B193" s="340"/>
      <c r="C193" s="340"/>
      <c r="D193" s="341"/>
      <c r="E193" s="342"/>
      <c r="F193" s="342"/>
      <c r="G193" s="343"/>
      <c r="H193" s="344"/>
      <c r="I193" s="17" t="s">
        <v>115</v>
      </c>
      <c r="J193" s="32" t="n">
        <f aca="false">J191+J192</f>
        <v>242709.171852278</v>
      </c>
      <c r="K193" s="143"/>
      <c r="N193" s="346"/>
      <c r="O193" s="347"/>
      <c r="P193" s="348"/>
      <c r="Q193" s="349"/>
      <c r="R193" s="350"/>
      <c r="S193" s="349"/>
      <c r="T193" s="350"/>
      <c r="U193" s="349"/>
      <c r="V193" s="350"/>
      <c r="W193" s="349"/>
      <c r="X193" s="350"/>
      <c r="Y193" s="349"/>
      <c r="Z193" s="350"/>
      <c r="AA193" s="349"/>
      <c r="AB193" s="350"/>
      <c r="AC193" s="349"/>
      <c r="AD193" s="350"/>
      <c r="AE193" s="349"/>
      <c r="AF193" s="350"/>
      <c r="AG193" s="349"/>
      <c r="AH193" s="350"/>
      <c r="AI193" s="349"/>
      <c r="AJ193" s="350"/>
      <c r="AK193" s="349"/>
      <c r="AL193" s="350"/>
      <c r="AM193" s="349"/>
      <c r="AN193" s="350"/>
      <c r="AO193" s="349"/>
      <c r="AP193" s="350"/>
      <c r="AQ193" s="349"/>
      <c r="AR193" s="350"/>
      <c r="AS193" s="349"/>
      <c r="AT193" s="350"/>
      <c r="AU193" s="349"/>
      <c r="AV193" s="350"/>
      <c r="AW193" s="349"/>
      <c r="AX193" s="350"/>
      <c r="AY193" s="349"/>
      <c r="AZ193" s="350"/>
      <c r="BA193" s="349"/>
      <c r="BB193" s="350"/>
      <c r="BC193" s="349"/>
      <c r="BD193" s="237"/>
      <c r="BE193" s="351"/>
      <c r="BF193" s="143"/>
      <c r="BG193" s="103"/>
      <c r="BH193" s="323"/>
      <c r="BI193" s="104"/>
      <c r="BJ193" s="102"/>
    </row>
    <row r="194" customFormat="false" ht="16.5" hidden="false" customHeight="false" outlineLevel="0" collapsed="false">
      <c r="I194" s="17" t="s">
        <v>116</v>
      </c>
      <c r="J194" s="32" t="n">
        <f aca="false">SUM(BL200:BL316)</f>
        <v>382307.382619162</v>
      </c>
      <c r="K194" s="143"/>
      <c r="N194" s="346"/>
      <c r="O194" s="347"/>
      <c r="P194" s="348"/>
      <c r="Q194" s="349"/>
      <c r="R194" s="350"/>
      <c r="S194" s="349"/>
      <c r="T194" s="350"/>
      <c r="U194" s="349"/>
      <c r="V194" s="350"/>
      <c r="W194" s="349"/>
      <c r="X194" s="350"/>
      <c r="Y194" s="349"/>
      <c r="Z194" s="350"/>
      <c r="AA194" s="349"/>
      <c r="AB194" s="350"/>
      <c r="AC194" s="349"/>
      <c r="AD194" s="350"/>
      <c r="AE194" s="349"/>
      <c r="AF194" s="350"/>
      <c r="AG194" s="349"/>
      <c r="AH194" s="350"/>
      <c r="AI194" s="349"/>
      <c r="AJ194" s="350"/>
      <c r="AK194" s="349"/>
      <c r="AL194" s="350"/>
      <c r="AM194" s="349"/>
      <c r="AN194" s="350"/>
      <c r="AO194" s="349"/>
      <c r="AP194" s="350"/>
      <c r="AQ194" s="349"/>
      <c r="AR194" s="350"/>
      <c r="AS194" s="349"/>
      <c r="AT194" s="350"/>
      <c r="AU194" s="349"/>
      <c r="AV194" s="350"/>
      <c r="AW194" s="349"/>
      <c r="AX194" s="350"/>
      <c r="AY194" s="349"/>
      <c r="AZ194" s="350"/>
      <c r="BA194" s="349"/>
      <c r="BB194" s="350"/>
      <c r="BC194" s="349"/>
      <c r="BD194" s="237"/>
      <c r="BE194" s="351"/>
      <c r="BF194" s="143"/>
    </row>
    <row r="195" customFormat="false" ht="15.75" hidden="false" customHeight="false" outlineLevel="0" collapsed="false">
      <c r="I195" s="143"/>
      <c r="J195" s="143"/>
      <c r="K195" s="143"/>
      <c r="N195" s="346"/>
      <c r="O195" s="347"/>
      <c r="P195" s="348"/>
      <c r="Q195" s="349"/>
      <c r="R195" s="350"/>
      <c r="S195" s="349"/>
      <c r="T195" s="350"/>
      <c r="U195" s="349"/>
      <c r="V195" s="350"/>
      <c r="W195" s="349"/>
      <c r="X195" s="350"/>
      <c r="Y195" s="349"/>
      <c r="Z195" s="350"/>
      <c r="AA195" s="349"/>
      <c r="AB195" s="350"/>
      <c r="AC195" s="349"/>
      <c r="AD195" s="350"/>
      <c r="AE195" s="349"/>
      <c r="AF195" s="350"/>
      <c r="AG195" s="349"/>
      <c r="AH195" s="350"/>
      <c r="AI195" s="349"/>
      <c r="AJ195" s="350"/>
      <c r="AK195" s="349"/>
      <c r="AL195" s="350"/>
      <c r="AM195" s="349"/>
      <c r="AN195" s="350"/>
      <c r="AO195" s="349"/>
      <c r="AP195" s="350"/>
      <c r="AQ195" s="349"/>
      <c r="AR195" s="350"/>
      <c r="AS195" s="349"/>
      <c r="AT195" s="350"/>
      <c r="AU195" s="349"/>
      <c r="AV195" s="350"/>
      <c r="AW195" s="349"/>
      <c r="AX195" s="350"/>
      <c r="AY195" s="349"/>
      <c r="AZ195" s="350"/>
      <c r="BA195" s="349"/>
      <c r="BB195" s="350"/>
      <c r="BC195" s="349"/>
      <c r="BD195" s="237"/>
      <c r="BE195" s="351"/>
      <c r="BF195" s="143"/>
    </row>
    <row r="196" customFormat="false" ht="34.5" hidden="false" customHeight="false" outlineLevel="0" collapsed="false">
      <c r="A196" s="37" t="s">
        <v>127</v>
      </c>
      <c r="B196" s="47"/>
      <c r="C196" s="46"/>
      <c r="D196" s="46"/>
      <c r="E196" s="46"/>
      <c r="F196" s="46"/>
      <c r="G196" s="46"/>
      <c r="H196" s="46"/>
      <c r="I196" s="9"/>
      <c r="J196" s="9"/>
      <c r="K196" s="9"/>
      <c r="L196" s="46"/>
      <c r="M196" s="46"/>
      <c r="N196" s="346"/>
      <c r="O196" s="347"/>
      <c r="P196" s="348"/>
      <c r="Q196" s="349"/>
      <c r="R196" s="350"/>
      <c r="S196" s="349"/>
      <c r="T196" s="350"/>
      <c r="U196" s="349"/>
      <c r="V196" s="350"/>
      <c r="W196" s="349"/>
      <c r="X196" s="350"/>
      <c r="Y196" s="349"/>
      <c r="Z196" s="350"/>
      <c r="AA196" s="349"/>
      <c r="AB196" s="350"/>
      <c r="AC196" s="349"/>
      <c r="AD196" s="350"/>
      <c r="AE196" s="349"/>
      <c r="AF196" s="350"/>
      <c r="AG196" s="349"/>
      <c r="AH196" s="350"/>
      <c r="AI196" s="349"/>
      <c r="AJ196" s="350"/>
      <c r="AK196" s="349"/>
      <c r="AL196" s="350"/>
      <c r="AM196" s="349"/>
      <c r="AN196" s="350"/>
      <c r="AO196" s="349"/>
      <c r="AP196" s="350"/>
      <c r="AQ196" s="349"/>
      <c r="AR196" s="350"/>
      <c r="AS196" s="349"/>
      <c r="AT196" s="350"/>
      <c r="AU196" s="349"/>
      <c r="AV196" s="350"/>
      <c r="AW196" s="349"/>
      <c r="AX196" s="350"/>
      <c r="AY196" s="349"/>
      <c r="AZ196" s="350"/>
      <c r="BA196" s="349"/>
      <c r="BB196" s="350"/>
      <c r="BC196" s="349"/>
      <c r="BD196" s="237"/>
      <c r="BE196" s="351"/>
      <c r="BF196" s="9"/>
      <c r="BG196" s="1"/>
      <c r="BH196" s="1"/>
      <c r="BI196" s="1"/>
      <c r="BJ196" s="1"/>
      <c r="BK196" s="1"/>
    </row>
    <row r="197" customFormat="false" ht="18.75" hidden="false" customHeight="false" outlineLevel="0" collapsed="false">
      <c r="A197" s="46"/>
      <c r="B197" s="47"/>
      <c r="C197" s="46"/>
      <c r="D197" s="46"/>
      <c r="E197" s="310"/>
      <c r="F197" s="311"/>
      <c r="G197" s="312"/>
      <c r="H197" s="313"/>
      <c r="I197" s="313"/>
      <c r="J197" s="313"/>
      <c r="K197" s="9"/>
      <c r="L197" s="49" t="s">
        <v>118</v>
      </c>
      <c r="M197" s="46"/>
      <c r="O197" s="347"/>
      <c r="P197" s="348"/>
      <c r="Q197" s="349"/>
      <c r="R197" s="353"/>
      <c r="S197" s="349"/>
      <c r="T197" s="353"/>
      <c r="U197" s="349"/>
      <c r="V197" s="353"/>
      <c r="W197" s="349"/>
      <c r="X197" s="353"/>
      <c r="Y197" s="349"/>
      <c r="Z197" s="353"/>
      <c r="AA197" s="349"/>
      <c r="AB197" s="353"/>
      <c r="AC197" s="349"/>
      <c r="AD197" s="353"/>
      <c r="AE197" s="349"/>
      <c r="AF197" s="353"/>
      <c r="AG197" s="349"/>
      <c r="AH197" s="353"/>
      <c r="AI197" s="349"/>
      <c r="AJ197" s="353"/>
      <c r="AK197" s="349"/>
      <c r="AL197" s="353"/>
      <c r="AM197" s="349"/>
      <c r="AN197" s="353"/>
      <c r="AO197" s="349"/>
      <c r="AP197" s="353"/>
      <c r="AQ197" s="349"/>
      <c r="AR197" s="353"/>
      <c r="AS197" s="349"/>
      <c r="AT197" s="353"/>
      <c r="AU197" s="349"/>
      <c r="AV197" s="353"/>
      <c r="AW197" s="349"/>
      <c r="AX197" s="353"/>
      <c r="AY197" s="349"/>
      <c r="AZ197" s="353"/>
      <c r="BA197" s="349"/>
      <c r="BB197" s="353"/>
      <c r="BC197" s="349"/>
      <c r="BD197" s="237"/>
      <c r="BE197" s="351"/>
      <c r="BF197" s="9"/>
      <c r="BG197" s="9"/>
      <c r="BH197" s="9"/>
      <c r="BI197" s="9"/>
      <c r="BJ197" s="9"/>
      <c r="BK197" s="9"/>
    </row>
    <row r="198" customFormat="false" ht="13.5" hidden="false" customHeight="false" outlineLevel="0" collapsed="false">
      <c r="A198" s="49"/>
      <c r="B198" s="49" t="s">
        <v>15</v>
      </c>
      <c r="C198" s="49" t="s">
        <v>119</v>
      </c>
      <c r="D198" s="49" t="s">
        <v>17</v>
      </c>
      <c r="E198" s="51" t="s">
        <v>18</v>
      </c>
      <c r="F198" s="51"/>
      <c r="G198" s="51" t="s">
        <v>19</v>
      </c>
      <c r="H198" s="51" t="s">
        <v>20</v>
      </c>
      <c r="I198" s="314" t="s">
        <v>21</v>
      </c>
      <c r="J198" s="314"/>
      <c r="L198" s="315" t="n">
        <v>1368153</v>
      </c>
      <c r="M198" s="46"/>
      <c r="O198" s="55"/>
      <c r="P198" s="49" t="n">
        <v>1</v>
      </c>
      <c r="Q198" s="49"/>
      <c r="R198" s="49" t="n">
        <v>2</v>
      </c>
      <c r="S198" s="49"/>
      <c r="T198" s="49" t="n">
        <v>3</v>
      </c>
      <c r="U198" s="49"/>
      <c r="V198" s="49" t="n">
        <v>4</v>
      </c>
      <c r="W198" s="49"/>
      <c r="X198" s="49" t="n">
        <v>5</v>
      </c>
      <c r="Y198" s="49"/>
      <c r="Z198" s="49" t="n">
        <v>6</v>
      </c>
      <c r="AA198" s="49"/>
      <c r="AB198" s="49" t="n">
        <v>7</v>
      </c>
      <c r="AC198" s="49"/>
      <c r="AD198" s="49" t="n">
        <v>8</v>
      </c>
      <c r="AE198" s="49"/>
      <c r="AF198" s="49" t="n">
        <v>9</v>
      </c>
      <c r="AG198" s="49"/>
      <c r="AH198" s="49" t="n">
        <v>10</v>
      </c>
      <c r="AI198" s="49"/>
      <c r="AJ198" s="49" t="n">
        <v>11</v>
      </c>
      <c r="AK198" s="49"/>
      <c r="AL198" s="49" t="n">
        <v>12</v>
      </c>
      <c r="AM198" s="49"/>
      <c r="AN198" s="49" t="n">
        <v>13</v>
      </c>
      <c r="AO198" s="49"/>
      <c r="AP198" s="49" t="n">
        <v>14</v>
      </c>
      <c r="AQ198" s="49"/>
      <c r="AR198" s="49" t="n">
        <v>15</v>
      </c>
      <c r="AS198" s="49"/>
      <c r="AT198" s="49" t="n">
        <v>16</v>
      </c>
      <c r="AU198" s="49"/>
      <c r="AV198" s="49" t="n">
        <v>17</v>
      </c>
      <c r="AW198" s="49"/>
      <c r="AX198" s="49" t="n">
        <v>18</v>
      </c>
      <c r="AY198" s="49"/>
      <c r="AZ198" s="49" t="n">
        <v>19</v>
      </c>
      <c r="BA198" s="49"/>
      <c r="BB198" s="49" t="n">
        <v>20</v>
      </c>
      <c r="BC198" s="49"/>
      <c r="BD198" s="56" t="s">
        <v>28</v>
      </c>
      <c r="BE198" s="57" t="s">
        <v>29</v>
      </c>
      <c r="BF198" s="4"/>
      <c r="BG198" s="4"/>
      <c r="BH198" s="4" t="s">
        <v>30</v>
      </c>
      <c r="BI198" s="4"/>
      <c r="BJ198" s="4" t="s">
        <v>34</v>
      </c>
      <c r="BK198" s="4"/>
      <c r="BL198" s="0" t="s">
        <v>120</v>
      </c>
    </row>
    <row r="199" customFormat="false" ht="13.5" hidden="false" customHeight="false" outlineLevel="0" collapsed="false">
      <c r="A199" s="61" t="s">
        <v>39</v>
      </c>
      <c r="B199" s="61" t="s">
        <v>121</v>
      </c>
      <c r="C199" s="61" t="s">
        <v>121</v>
      </c>
      <c r="D199" s="61" t="s">
        <v>121</v>
      </c>
      <c r="E199" s="61" t="s">
        <v>43</v>
      </c>
      <c r="F199" s="61" t="s">
        <v>44</v>
      </c>
      <c r="G199" s="61" t="s">
        <v>43</v>
      </c>
      <c r="H199" s="61" t="s">
        <v>45</v>
      </c>
      <c r="I199" s="62" t="s">
        <v>46</v>
      </c>
      <c r="J199" s="62" t="s">
        <v>47</v>
      </c>
      <c r="M199" s="46"/>
      <c r="O199" s="61" t="s">
        <v>39</v>
      </c>
      <c r="P199" s="69" t="s">
        <v>51</v>
      </c>
      <c r="Q199" s="62" t="s">
        <v>43</v>
      </c>
      <c r="R199" s="69" t="s">
        <v>51</v>
      </c>
      <c r="S199" s="62" t="s">
        <v>43</v>
      </c>
      <c r="T199" s="69" t="s">
        <v>51</v>
      </c>
      <c r="U199" s="62" t="s">
        <v>43</v>
      </c>
      <c r="V199" s="69" t="s">
        <v>51</v>
      </c>
      <c r="W199" s="62" t="s">
        <v>43</v>
      </c>
      <c r="X199" s="69" t="s">
        <v>51</v>
      </c>
      <c r="Y199" s="62" t="s">
        <v>43</v>
      </c>
      <c r="Z199" s="69" t="s">
        <v>51</v>
      </c>
      <c r="AA199" s="62" t="s">
        <v>43</v>
      </c>
      <c r="AB199" s="69" t="s">
        <v>51</v>
      </c>
      <c r="AC199" s="62" t="s">
        <v>43</v>
      </c>
      <c r="AD199" s="69" t="s">
        <v>51</v>
      </c>
      <c r="AE199" s="62" t="s">
        <v>43</v>
      </c>
      <c r="AF199" s="69" t="s">
        <v>51</v>
      </c>
      <c r="AG199" s="62" t="s">
        <v>43</v>
      </c>
      <c r="AH199" s="69" t="s">
        <v>51</v>
      </c>
      <c r="AI199" s="62" t="s">
        <v>43</v>
      </c>
      <c r="AJ199" s="69" t="s">
        <v>51</v>
      </c>
      <c r="AK199" s="62" t="s">
        <v>43</v>
      </c>
      <c r="AL199" s="69" t="s">
        <v>51</v>
      </c>
      <c r="AM199" s="62" t="s">
        <v>43</v>
      </c>
      <c r="AN199" s="69" t="s">
        <v>51</v>
      </c>
      <c r="AO199" s="62" t="s">
        <v>43</v>
      </c>
      <c r="AP199" s="69" t="s">
        <v>51</v>
      </c>
      <c r="AQ199" s="62" t="s">
        <v>43</v>
      </c>
      <c r="AR199" s="69" t="s">
        <v>51</v>
      </c>
      <c r="AS199" s="62" t="s">
        <v>43</v>
      </c>
      <c r="AT199" s="69" t="s">
        <v>51</v>
      </c>
      <c r="AU199" s="62" t="s">
        <v>43</v>
      </c>
      <c r="AV199" s="69" t="s">
        <v>51</v>
      </c>
      <c r="AW199" s="62" t="s">
        <v>43</v>
      </c>
      <c r="AX199" s="69" t="s">
        <v>51</v>
      </c>
      <c r="AY199" s="62" t="s">
        <v>43</v>
      </c>
      <c r="AZ199" s="69" t="s">
        <v>51</v>
      </c>
      <c r="BA199" s="62" t="s">
        <v>43</v>
      </c>
      <c r="BB199" s="69" t="s">
        <v>51</v>
      </c>
      <c r="BC199" s="62" t="s">
        <v>43</v>
      </c>
      <c r="BD199" s="70" t="s">
        <v>51</v>
      </c>
      <c r="BE199" s="71" t="s">
        <v>43</v>
      </c>
      <c r="BF199" s="4"/>
      <c r="BG199" s="4"/>
      <c r="BH199" s="4" t="s">
        <v>122</v>
      </c>
      <c r="BI199" s="4"/>
      <c r="BJ199" s="4"/>
      <c r="BK199" s="4"/>
      <c r="BO199" s="316" t="s">
        <v>64</v>
      </c>
      <c r="BP199" s="316" t="s">
        <v>123</v>
      </c>
      <c r="BR199" s="316" t="s">
        <v>124</v>
      </c>
      <c r="BS199" s="316" t="s">
        <v>125</v>
      </c>
    </row>
    <row r="200" customFormat="false" ht="18" hidden="false" customHeight="false" outlineLevel="0" collapsed="false">
      <c r="A200" s="75" t="n">
        <f aca="false">A12</f>
        <v>37225</v>
      </c>
      <c r="B200" s="317" t="n">
        <f aca="false" t="array" ref="B200:B200">SUM(IF(MONTH(NymexData!$AL$12:$AL$250)&amp;YEAR(NymexData!$AL$12:$AL$250)=MONTH(A200)&amp;YEAR(A200),NymexData!$AM$12:$AM$250))</f>
        <v>0.0104309</v>
      </c>
      <c r="C200" s="318" t="n">
        <f aca="false">BD200*BJ200*BI200</f>
        <v>0</v>
      </c>
      <c r="D200" s="319" t="n">
        <f aca="false">C200+B200</f>
        <v>0.0104309</v>
      </c>
      <c r="E200" s="320" t="n">
        <f aca="false" t="array" ref="E200:E200">SUM(IF(MONTH(NymexData!$A$12:$A$250)&amp;YEAR(NymexData!$A$12:$A$250)=MONTH(A200)&amp;YEAR(A200),NymexData!$B$12:$B$250))</f>
        <v>-0.62273603281013</v>
      </c>
      <c r="F200" s="320" t="n">
        <f aca="false">G200-E200</f>
        <v>0.00202811145424986</v>
      </c>
      <c r="G200" s="321" t="n">
        <f aca="false" t="array" ref="G200:G200">IF(NymexData!$H$12="",GasPosn!E200,SUM(IF(MONTH(NymexData!$H$12:$H$250)&amp;YEAR(NymexData!$H$12:$H$250)=MONTH(A200)&amp;YEAR(A200),NymexData!$I$12:$I$250)))</f>
        <v>-0.62070792135588</v>
      </c>
      <c r="H200" s="76" t="n">
        <f aca="false">B200*10000*F200</f>
        <v>0.211550277681349</v>
      </c>
      <c r="I200" s="82" t="n">
        <f aca="false">(((G200-Q200)*P200+(G200-S200)*R200+(G200-U200)*T200+(G200-W200)*V200+(G200-Y200)*X200+(G200-AA200)*Z200+(G200-AC200)*AB200+(G200-AE200)*AD200+(G200-AG200)*AF200+(G200-AI200)*AH200+(G200-AK200)*AJ200+(G200-AM200)*AL200+(G200-AO200)*AN200+(G200-AQ200)*AP200+(G200-AS200)*AR200+(G200-AU200)*AT200+(G200-AW200)*AV200+(G200-AY200)*AX200+(G200-BA200)*AZ200+(G200-BC200)*BB200)*BJ200*BI200)*10000</f>
        <v>-0</v>
      </c>
      <c r="J200" s="82" t="n">
        <f aca="false">H200+I200</f>
        <v>0.211550277681349</v>
      </c>
      <c r="M200" s="46"/>
      <c r="O200" s="95" t="n">
        <f aca="false">A200</f>
        <v>37225</v>
      </c>
      <c r="BD200" s="100" t="n">
        <f aca="false">(P200+R200+T200+V200+X200+Z200+AB200+AD200+AF200+AH200+AJ200+AL200+AN200+AP200+AR200+AT200+AV200+AX200+AZ200+BB200)</f>
        <v>0</v>
      </c>
      <c r="BE200" s="322" t="n">
        <f aca="false">IF(AND(BD200=0,BH200=0),0,(ABS(P200)*Q200+ABS(R200)*S200+ABS(T200)*U200+ABS(V200)*W200+ABS(X200)*Y200+ABS(Z200)*AA200+ABS(AB200)*AC200+ABS(AD200)*AE200+ABS(AF200)*AG200+ABS(AH200)*AI200+ABS(AJ200)*AK200+ABS(AL200)*AM200+ABS(AN200)*AO200+ABS(AP200)*AQ200+ABS(AR200)*AS200+ABS(AT200)*AU200+ABS(AV200)*AW200+ABS(AX200)*AY200+ABS(AZ200)*BA200+ABS(BB200)*BC200)/BH200)</f>
        <v>0</v>
      </c>
      <c r="BF200" s="102"/>
      <c r="BG200" s="103" t="n">
        <f aca="false">O200</f>
        <v>37225</v>
      </c>
      <c r="BH200" s="323" t="n">
        <f aca="false">(ABS(P200)+ABS(R200)+ABS(T200)+ABS(V200)+ABS(X200)+ABS(Z200)+ABS(AB200)+ABS(AD200)+ABS(AF200)+ABS(AH200)+ABS(AJ200)+ABS(AL200)+ABS(AN200)+ABS(AP200)+ABS(AR200)+ABS(AT200)+ABS(AV200)+ABS(AX200)+ABS(AZ200)+ABS(BB200))</f>
        <v>0</v>
      </c>
      <c r="BI200" s="104" t="n">
        <f aca="false">VLOOKUP(GasPosn!A200,'Pricing Summary'!$AB$12:$AD$250,3)</f>
        <v>30</v>
      </c>
      <c r="BJ200" s="102" t="n">
        <f aca="false">VLOOKUP(A200,Interest!$AF$8:$AK$367,6)</f>
        <v>0.997095123182703</v>
      </c>
      <c r="BK200" s="323"/>
      <c r="BL200" s="0" t="n">
        <f aca="false">J200*VLOOKUP(A200,NymexData!$J$12:$K$244,2)</f>
        <v>0.33277936292968</v>
      </c>
      <c r="BO200" s="0" t="n">
        <f aca="false">BO12</f>
        <v>0.997095123182703</v>
      </c>
      <c r="BP200" s="0" t="n">
        <f aca="false">G200*BO200</f>
        <v>-0.618904841304821</v>
      </c>
      <c r="BQ200" s="0" t="n">
        <f aca="false">IF(AND(A200&gt;=$B$191,A200&lt;=$B$192),1,0)</f>
        <v>0</v>
      </c>
      <c r="BR200" s="0" t="n">
        <f aca="false">BO200*BQ200</f>
        <v>0</v>
      </c>
      <c r="BS200" s="0" t="n">
        <f aca="false">BP200*BQ200</f>
        <v>-0</v>
      </c>
    </row>
    <row r="201" customFormat="false" ht="18" hidden="false" customHeight="false" outlineLevel="0" collapsed="false">
      <c r="A201" s="112" t="n">
        <f aca="false">A13</f>
        <v>37226</v>
      </c>
      <c r="B201" s="324" t="n">
        <f aca="false" t="array" ref="B201:B201">SUM(IF(MONTH(NymexData!$AL$12:$AL$250)&amp;YEAR(NymexData!$AL$12:$AL$250)=MONTH(A201)&amp;YEAR(A201),NymexData!$AM$12:$AM$250))</f>
        <v>0.01075417</v>
      </c>
      <c r="C201" s="325" t="n">
        <f aca="false">BD201*BJ201*BI201</f>
        <v>0</v>
      </c>
      <c r="D201" s="326" t="n">
        <f aca="false">C201+B201</f>
        <v>0.01075417</v>
      </c>
      <c r="E201" s="327" t="n">
        <f aca="false" t="array" ref="E201:E201">SUM(IF(MONTH(NymexData!$A$12:$A$250)&amp;YEAR(NymexData!$A$12:$A$250)=MONTH(A201)&amp;YEAR(A201),NymexData!$B$12:$B$250))</f>
        <v>-0.345</v>
      </c>
      <c r="F201" s="327" t="n">
        <f aca="false">G201-E201</f>
        <v>-0.01</v>
      </c>
      <c r="G201" s="328" t="n">
        <f aca="false" t="array" ref="G201:G201">IF(NymexData!$H$12="",GasPosn!E201,SUM(IF(MONTH(NymexData!$H$12:$H$250)&amp;YEAR(NymexData!$H$12:$H$250)=MONTH(A201)&amp;YEAR(A201),NymexData!$I$12:$I$250)))</f>
        <v>-0.355</v>
      </c>
      <c r="H201" s="115" t="n">
        <f aca="false">B201*10000*F201</f>
        <v>-1.075417</v>
      </c>
      <c r="I201" s="119" t="n">
        <f aca="false">(((G201-Q201)*P201+(G201-S201)*R201+(G201-U201)*T201+(G201-W201)*V201+(G201-Y201)*X201+(G201-AA201)*Z201+(G201-AC201)*AB201+(G201-AE201)*AD201+(G201-AG201)*AF201+(G201-AI201)*AH201+(G201-AK201)*AJ201+(G201-AM201)*AL201+(G201-AO201)*AN201+(G201-AQ201)*AP201+(G201-AS201)*AR201+(G201-AU201)*AT201+(G201-AW201)*AV201+(G201-AY201)*AX201+(G201-BA201)*AZ201+(G201-BC201)*BB201)*BJ201*BI201)*10000</f>
        <v>-0</v>
      </c>
      <c r="J201" s="119" t="n">
        <f aca="false">H201+I201</f>
        <v>-1.075417</v>
      </c>
      <c r="M201" s="46"/>
      <c r="O201" s="95" t="n">
        <f aca="false">A201</f>
        <v>37226</v>
      </c>
      <c r="BD201" s="100" t="n">
        <f aca="false">(P201+R201+T201+V201+X201+Z201+AB201+AD201+AF201+AH201+AJ201+AL201+AN201+AP201+AR201+AT201+AV201+AX201+AZ201+BB201)</f>
        <v>0</v>
      </c>
      <c r="BE201" s="322" t="n">
        <f aca="false">IF(AND(BD201=0,BH201=0),0,(ABS(P201)*Q201+ABS(R201)*S201+ABS(T201)*U201+ABS(V201)*W201+ABS(X201)*Y201+ABS(Z201)*AA201+ABS(AB201)*AC201+ABS(AD201)*AE201+ABS(AF201)*AG201+ABS(AH201)*AI201+ABS(AJ201)*AK201+ABS(AL201)*AM201+ABS(AN201)*AO201+ABS(AP201)*AQ201+ABS(AR201)*AS201+ABS(AT201)*AU201+ABS(AV201)*AW201+ABS(AX201)*AY201+ABS(AZ201)*BA201+ABS(BB201)*BC201)/BH201)</f>
        <v>0</v>
      </c>
      <c r="BF201" s="102"/>
      <c r="BG201" s="103" t="n">
        <f aca="false">O201</f>
        <v>37226</v>
      </c>
      <c r="BH201" s="323" t="n">
        <f aca="false">(ABS(P201)+ABS(R201)+ABS(T201)+ABS(V201)+ABS(X201)+ABS(Z201)+ABS(AB201)+ABS(AD201)+ABS(AF201)+ABS(AH201)+ABS(AJ201)+ABS(AL201)+ABS(AN201)+ABS(AP201)+ABS(AR201)+ABS(AT201)+ABS(AV201)+ABS(AX201)+ABS(AZ201)+ABS(BB201))</f>
        <v>0</v>
      </c>
      <c r="BI201" s="104" t="n">
        <f aca="false">VLOOKUP(GasPosn!A201,'Pricing Summary'!$AB$12:$AD$250,3)</f>
        <v>31</v>
      </c>
      <c r="BJ201" s="102" t="n">
        <f aca="false">VLOOKUP(A201,Interest!$AF$8:$AK$367,6)</f>
        <v>0.995207933815401</v>
      </c>
      <c r="BK201" s="102"/>
      <c r="BL201" s="0" t="n">
        <f aca="false">J201*VLOOKUP(A201,NymexData!$J$12:$K$244,2)</f>
        <v>-1.69216263889557</v>
      </c>
      <c r="BO201" s="0" t="n">
        <f aca="false">BO13</f>
        <v>0.995207933815401</v>
      </c>
      <c r="BP201" s="0" t="n">
        <f aca="false">G201*BO201</f>
        <v>-0.353298816504467</v>
      </c>
      <c r="BQ201" s="0" t="n">
        <f aca="false">IF(AND(A201&gt;=$B$191,A201&lt;=$B$192),1,0)</f>
        <v>0</v>
      </c>
      <c r="BR201" s="0" t="n">
        <f aca="false">BO201*BQ201</f>
        <v>0</v>
      </c>
      <c r="BS201" s="0" t="n">
        <f aca="false">BP201*BQ201</f>
        <v>-0</v>
      </c>
    </row>
    <row r="202" customFormat="false" ht="18" hidden="false" customHeight="false" outlineLevel="0" collapsed="false">
      <c r="A202" s="75" t="n">
        <f aca="false">A14</f>
        <v>37257</v>
      </c>
      <c r="B202" s="317" t="n">
        <f aca="false" t="array" ref="B202:B202">SUM(IF(MONTH(NymexData!$AL$12:$AL$250)&amp;YEAR(NymexData!$AL$12:$AL$250)=MONTH(A202)&amp;YEAR(A202),NymexData!$AM$12:$AM$250))</f>
        <v>-23.13273505</v>
      </c>
      <c r="C202" s="317" t="n">
        <f aca="false">BD202*BJ202*BI202</f>
        <v>0</v>
      </c>
      <c r="D202" s="319" t="n">
        <f aca="false">C202+B202</f>
        <v>-23.13273505</v>
      </c>
      <c r="E202" s="320" t="n">
        <f aca="false" t="array" ref="E202:E202">SUM(IF(MONTH(NymexData!$A$12:$A$250)&amp;YEAR(NymexData!$A$12:$A$250)=MONTH(A202)&amp;YEAR(A202),NymexData!$B$12:$B$250))</f>
        <v>-0.43</v>
      </c>
      <c r="F202" s="320" t="n">
        <f aca="false">G202-E202</f>
        <v>-0.01</v>
      </c>
      <c r="G202" s="321" t="n">
        <f aca="false" t="array" ref="G202:G202">IF(NymexData!$H$12="",GasPosn!E202,SUM(IF(MONTH(NymexData!$H$12:$H$250)&amp;YEAR(NymexData!$H$12:$H$250)=MONTH(A202)&amp;YEAR(A202),NymexData!$I$12:$I$250)))</f>
        <v>-0.44</v>
      </c>
      <c r="H202" s="76" t="n">
        <f aca="false">B202*10000*F202</f>
        <v>2313.273505</v>
      </c>
      <c r="I202" s="82" t="n">
        <f aca="false">(((G202-Q202)*P202+(G202-S202)*R202+(G202-U202)*T202+(G202-W202)*V202+(G202-Y202)*X202+(G202-AA202)*Z202+(G202-AC202)*AB202+(G202-AE202)*AD202+(G202-AG202)*AF202+(G202-AI202)*AH202+(G202-AK202)*AJ202+(G202-AM202)*AL202+(G202-AO202)*AN202+(G202-AQ202)*AP202+(G202-AS202)*AR202+(G202-AU202)*AT202+(G202-AW202)*AV202+(G202-AY202)*AX202+(G202-BA202)*AZ202+(G202-BC202)*BB202)*BJ202*BI202)*10000</f>
        <v>-0</v>
      </c>
      <c r="J202" s="82" t="n">
        <f aca="false">H202+I202</f>
        <v>2313.273505</v>
      </c>
      <c r="M202" s="46"/>
      <c r="O202" s="95" t="n">
        <f aca="false">A202</f>
        <v>37257</v>
      </c>
      <c r="BD202" s="100" t="n">
        <f aca="false">(P202+R202+T202+V202+X202+Z202+AB202+AD202+AF202+AH202+AJ202+AL202+AN202+AP202+AR202+AT202+AV202+AX202+AZ202+BB202)</f>
        <v>0</v>
      </c>
      <c r="BE202" s="322" t="n">
        <f aca="false">IF(AND(BD202=0,BH202=0),0,(ABS(P202)*Q202+ABS(R202)*S202+ABS(T202)*U202+ABS(V202)*W202+ABS(X202)*Y202+ABS(Z202)*AA202+ABS(AB202)*AC202+ABS(AD202)*AE202+ABS(AF202)*AG202+ABS(AH202)*AI202+ABS(AJ202)*AK202+ABS(AL202)*AM202+ABS(AN202)*AO202+ABS(AP202)*AQ202+ABS(AR202)*AS202+ABS(AT202)*AU202+ABS(AV202)*AW202+ABS(AX202)*AY202+ABS(AZ202)*BA202+ABS(BB202)*BC202)/BH202)</f>
        <v>0</v>
      </c>
      <c r="BF202" s="102"/>
      <c r="BG202" s="103" t="n">
        <f aca="false">O202</f>
        <v>37257</v>
      </c>
      <c r="BH202" s="323" t="n">
        <f aca="false">(ABS(P202)+ABS(R202)+ABS(T202)+ABS(V202)+ABS(X202)+ABS(Z202)+ABS(AB202)+ABS(AD202)+ABS(AF202)+ABS(AH202)+ABS(AJ202)+ABS(AL202)+ABS(AN202)+ABS(AP202)+ABS(AR202)+ABS(AT202)+ABS(AV202)+ABS(AX202)+ABS(AZ202)+ABS(BB202))</f>
        <v>0</v>
      </c>
      <c r="BI202" s="104" t="n">
        <f aca="false">VLOOKUP(GasPosn!A202,'Pricing Summary'!$AB$12:$AD$250,3)</f>
        <v>31</v>
      </c>
      <c r="BJ202" s="102" t="n">
        <f aca="false">VLOOKUP(A202,Interest!$AF$8:$AK$367,6)</f>
        <v>0.993322772949378</v>
      </c>
      <c r="BK202" s="102"/>
      <c r="BL202" s="0" t="n">
        <f aca="false">J202*VLOOKUP(A202,NymexData!$J$12:$K$244,2)</f>
        <v>3640.4785978751</v>
      </c>
      <c r="BO202" s="0" t="n">
        <f aca="false">BO14</f>
        <v>0.993322772949378</v>
      </c>
      <c r="BP202" s="0" t="n">
        <f aca="false">G202*BO202</f>
        <v>-0.437062020097726</v>
      </c>
      <c r="BQ202" s="0" t="n">
        <f aca="false">IF(AND(A202&gt;=$B$191,A202&lt;=$B$192),1,0)</f>
        <v>1</v>
      </c>
      <c r="BR202" s="0" t="n">
        <f aca="false">BO202*BQ202</f>
        <v>0.993322772949378</v>
      </c>
      <c r="BS202" s="0" t="n">
        <f aca="false">BP202*BQ202</f>
        <v>-0.437062020097726</v>
      </c>
    </row>
    <row r="203" customFormat="false" ht="18" hidden="false" customHeight="false" outlineLevel="0" collapsed="false">
      <c r="A203" s="112" t="n">
        <f aca="false">A15</f>
        <v>37288</v>
      </c>
      <c r="B203" s="324" t="n">
        <f aca="false" t="array" ref="B203:B203">SUM(IF(MONTH(NymexData!$AL$12:$AL$250)&amp;YEAR(NymexData!$AL$12:$AL$250)=MONTH(A203)&amp;YEAR(A203),NymexData!$AM$12:$AM$250))</f>
        <v>-20.85057819</v>
      </c>
      <c r="C203" s="325" t="n">
        <f aca="false">BD203*BJ203*BI203</f>
        <v>0</v>
      </c>
      <c r="D203" s="326" t="n">
        <f aca="false">C203+B203</f>
        <v>-20.85057819</v>
      </c>
      <c r="E203" s="327" t="n">
        <f aca="false" t="array" ref="E203:E203">SUM(IF(MONTH(NymexData!$A$12:$A$250)&amp;YEAR(NymexData!$A$12:$A$250)=MONTH(A203)&amp;YEAR(A203),NymexData!$B$12:$B$250))</f>
        <v>-0.445</v>
      </c>
      <c r="F203" s="327" t="n">
        <f aca="false">G203-E203</f>
        <v>-0.025</v>
      </c>
      <c r="G203" s="328" t="n">
        <f aca="false" t="array" ref="G203:G203">IF(NymexData!$H$12="",GasPosn!E203,SUM(IF(MONTH(NymexData!$H$12:$H$250)&amp;YEAR(NymexData!$H$12:$H$250)=MONTH(A203)&amp;YEAR(A203),NymexData!$I$12:$I$250)))</f>
        <v>-0.47</v>
      </c>
      <c r="H203" s="115" t="n">
        <f aca="false">B203*10000*F203</f>
        <v>5212.64454749999</v>
      </c>
      <c r="I203" s="119" t="n">
        <f aca="false">(((G203-Q203)*P203+(G203-S203)*R203+(G203-U203)*T203+(G203-W203)*V203+(G203-Y203)*X203+(G203-AA203)*Z203+(G203-AC203)*AB203+(G203-AE203)*AD203+(G203-AG203)*AF203+(G203-AI203)*AH203+(G203-AK203)*AJ203+(G203-AM203)*AL203+(G203-AO203)*AN203+(G203-AQ203)*AP203+(G203-AS203)*AR203+(G203-AU203)*AT203+(G203-AW203)*AV203+(G203-AY203)*AX203+(G203-BA203)*AZ203+(G203-BC203)*BB203)*BJ203*BI203)*10000</f>
        <v>-0</v>
      </c>
      <c r="J203" s="119" t="n">
        <f aca="false">H203+I203</f>
        <v>5212.64454749999</v>
      </c>
      <c r="M203" s="46"/>
      <c r="O203" s="95" t="n">
        <f aca="false">A203</f>
        <v>37288</v>
      </c>
      <c r="BD203" s="100" t="n">
        <f aca="false">(P203+R203+T203+V203+X203+Z203+AB203+AD203+AF203+AH203+AJ203+AL203+AN203+AP203+AR203+AT203+AV203+AX203+AZ203+BB203)</f>
        <v>0</v>
      </c>
      <c r="BE203" s="322" t="n">
        <f aca="false">IF(AND(BD203=0,BH203=0),0,(ABS(P203)*Q203+ABS(R203)*S203+ABS(T203)*U203+ABS(V203)*W203+ABS(X203)*Y203+ABS(Z203)*AA203+ABS(AB203)*AC203+ABS(AD203)*AE203+ABS(AF203)*AG203+ABS(AH203)*AI203+ABS(AJ203)*AK203+ABS(AL203)*AM203+ABS(AN203)*AO203+ABS(AP203)*AQ203+ABS(AR203)*AS203+ABS(AT203)*AU203+ABS(AV203)*AW203+ABS(AX203)*AY203+ABS(AZ203)*BA203+ABS(BB203)*BC203)/BH203)</f>
        <v>0</v>
      </c>
      <c r="BF203" s="102"/>
      <c r="BG203" s="103" t="n">
        <f aca="false">O203</f>
        <v>37288</v>
      </c>
      <c r="BH203" s="323" t="n">
        <f aca="false">(ABS(P203)+ABS(R203)+ABS(T203)+ABS(V203)+ABS(X203)+ABS(Z203)+ABS(AB203)+ABS(AD203)+ABS(AF203)+ABS(AH203)+ABS(AJ203)+ABS(AL203)+ABS(AN203)+ABS(AP203)+ABS(AR203)+ABS(AT203)+ABS(AV203)+ABS(AX203)+ABS(AZ203)+ABS(BB203))</f>
        <v>0</v>
      </c>
      <c r="BI203" s="104" t="n">
        <f aca="false">VLOOKUP(GasPosn!A203,'Pricing Summary'!$AB$12:$AD$250,3)</f>
        <v>28</v>
      </c>
      <c r="BJ203" s="102" t="n">
        <f aca="false">VLOOKUP(A203,Interest!$AF$8:$AK$367,6)</f>
        <v>0.991586460991933</v>
      </c>
      <c r="BK203" s="102"/>
      <c r="BL203" s="0" t="n">
        <f aca="false">J203*VLOOKUP(A203,NymexData!$J$12:$K$244,2)</f>
        <v>8203.68201545039</v>
      </c>
      <c r="BO203" s="0" t="n">
        <f aca="false">BO15</f>
        <v>0.991586460991933</v>
      </c>
      <c r="BP203" s="0" t="n">
        <f aca="false">G203*BO203</f>
        <v>-0.466045636666208</v>
      </c>
      <c r="BQ203" s="0" t="n">
        <f aca="false">IF(AND(A203&gt;=$B$191,A203&lt;=$B$192),1,0)</f>
        <v>1</v>
      </c>
      <c r="BR203" s="0" t="n">
        <f aca="false">BO203*BQ203</f>
        <v>0.991586460991933</v>
      </c>
      <c r="BS203" s="0" t="n">
        <f aca="false">BP203*BQ203</f>
        <v>-0.466045636666208</v>
      </c>
    </row>
    <row r="204" customFormat="false" ht="18" hidden="false" customHeight="false" outlineLevel="0" collapsed="false">
      <c r="A204" s="75" t="n">
        <f aca="false">A16</f>
        <v>37316</v>
      </c>
      <c r="B204" s="317" t="n">
        <f aca="false" t="array" ref="B204:B204">SUM(IF(MONTH(NymexData!$AL$12:$AL$250)&amp;YEAR(NymexData!$AL$12:$AL$250)=MONTH(A204)&amp;YEAR(A204),NymexData!$AM$12:$AM$250))</f>
        <v>-23.04465357</v>
      </c>
      <c r="C204" s="317" t="n">
        <f aca="false">BD204*BJ204*BI204</f>
        <v>0</v>
      </c>
      <c r="D204" s="319" t="n">
        <f aca="false">C204+B204</f>
        <v>-23.04465357</v>
      </c>
      <c r="E204" s="320" t="n">
        <f aca="false" t="array" ref="E204:E204">SUM(IF(MONTH(NymexData!$A$12:$A$250)&amp;YEAR(NymexData!$A$12:$A$250)=MONTH(A204)&amp;YEAR(A204),NymexData!$B$12:$B$250))</f>
        <v>-0.46</v>
      </c>
      <c r="F204" s="320" t="n">
        <f aca="false">G204-E204</f>
        <v>-0.04</v>
      </c>
      <c r="G204" s="321" t="n">
        <f aca="false" t="array" ref="G204:G204">IF(NymexData!$H$12="",GasPosn!E204,SUM(IF(MONTH(NymexData!$H$12:$H$250)&amp;YEAR(NymexData!$H$12:$H$250)=MONTH(A204)&amp;YEAR(A204),NymexData!$I$12:$I$250)))</f>
        <v>-0.5</v>
      </c>
      <c r="H204" s="76" t="n">
        <f aca="false">B204*10000*F204</f>
        <v>9217.861428</v>
      </c>
      <c r="I204" s="82" t="n">
        <f aca="false">(((G204-Q204)*P204+(G204-S204)*R204+(G204-U204)*T204+(G204-W204)*V204+(G204-Y204)*X204+(G204-AA204)*Z204+(G204-AC204)*AB204+(G204-AE204)*AD204+(G204-AG204)*AF204+(G204-AI204)*AH204+(G204-AK204)*AJ204+(G204-AM204)*AL204+(G204-AO204)*AN204+(G204-AQ204)*AP204+(G204-AS204)*AR204+(G204-AU204)*AT204+(G204-AW204)*AV204+(G204-AY204)*AX204+(G204-BA204)*AZ204+(G204-BC204)*BB204)*BJ204*BI204)*10000</f>
        <v>-0</v>
      </c>
      <c r="J204" s="82" t="n">
        <f aca="false">H204+I204</f>
        <v>9217.861428</v>
      </c>
      <c r="M204" s="46"/>
      <c r="O204" s="95" t="n">
        <f aca="false">A204</f>
        <v>37316</v>
      </c>
      <c r="BD204" s="100" t="n">
        <f aca="false">(P204+R204+T204+V204+X204+Z204+AB204+AD204+AF204+AH204+AJ204+AL204+AN204+AP204+AR204+AT204+AV204+AX204+AZ204+BB204)</f>
        <v>0</v>
      </c>
      <c r="BE204" s="322" t="n">
        <f aca="false">IF(AND(BD204=0,BH204=0),0,(ABS(P204)*Q204+ABS(R204)*S204+ABS(T204)*U204+ABS(V204)*W204+ABS(X204)*Y204+ABS(Z204)*AA204+ABS(AB204)*AC204+ABS(AD204)*AE204+ABS(AF204)*AG204+ABS(AH204)*AI204+ABS(AJ204)*AK204+ABS(AL204)*AM204+ABS(AN204)*AO204+ABS(AP204)*AQ204+ABS(AR204)*AS204+ABS(AT204)*AU204+ABS(AV204)*AW204+ABS(AX204)*AY204+ABS(AZ204)*BA204+ABS(BB204)*BC204)/BH204)</f>
        <v>0</v>
      </c>
      <c r="BF204" s="102"/>
      <c r="BG204" s="103" t="n">
        <f aca="false">O204</f>
        <v>37316</v>
      </c>
      <c r="BH204" s="323" t="n">
        <f aca="false">(ABS(P204)+ABS(R204)+ABS(T204)+ABS(V204)+ABS(X204)+ABS(Z204)+ABS(AB204)+ABS(AD204)+ABS(AF204)+ABS(AH204)+ABS(AJ204)+ABS(AL204)+ABS(AN204)+ABS(AP204)+ABS(AR204)+ABS(AT204)+ABS(AV204)+ABS(AX204)+ABS(AZ204)+ABS(BB204))</f>
        <v>0</v>
      </c>
      <c r="BI204" s="104" t="n">
        <f aca="false">VLOOKUP(GasPosn!A204,'Pricing Summary'!$AB$12:$AD$250,3)</f>
        <v>31</v>
      </c>
      <c r="BJ204" s="102" t="n">
        <f aca="false">VLOOKUP(A204,Interest!$AF$8:$AK$367,6)</f>
        <v>0.989781705014466</v>
      </c>
      <c r="BK204" s="102"/>
      <c r="BL204" s="0" t="n">
        <f aca="false">J204*VLOOKUP(A204,NymexData!$J$12:$K$244,2)</f>
        <v>14510.1040952447</v>
      </c>
      <c r="BO204" s="0" t="n">
        <f aca="false">BO16</f>
        <v>0.989781705014466</v>
      </c>
      <c r="BP204" s="0" t="n">
        <f aca="false">G204*BO204</f>
        <v>-0.494890852507233</v>
      </c>
      <c r="BQ204" s="0" t="n">
        <f aca="false">IF(AND(A204&gt;=$B$191,A204&lt;=$B$192),1,0)</f>
        <v>1</v>
      </c>
      <c r="BR204" s="0" t="n">
        <f aca="false">BO204*BQ204</f>
        <v>0.989781705014466</v>
      </c>
      <c r="BS204" s="0" t="n">
        <f aca="false">BP204*BQ204</f>
        <v>-0.494890852507233</v>
      </c>
    </row>
    <row r="205" customFormat="false" ht="18" hidden="false" customHeight="false" outlineLevel="0" collapsed="false">
      <c r="A205" s="112" t="n">
        <f aca="false">A17</f>
        <v>37347</v>
      </c>
      <c r="B205" s="324" t="n">
        <f aca="false" t="array" ref="B205:B205">SUM(IF(MONTH(NymexData!$AL$12:$AL$250)&amp;YEAR(NymexData!$AL$12:$AL$250)=MONTH(A205)&amp;YEAR(A205),NymexData!$AM$12:$AM$250))</f>
        <v>-66.77553763</v>
      </c>
      <c r="C205" s="325" t="n">
        <f aca="false">BD205*BJ205*BI205</f>
        <v>0</v>
      </c>
      <c r="D205" s="326" t="n">
        <f aca="false">C205+B205</f>
        <v>-66.77553763</v>
      </c>
      <c r="E205" s="327" t="n">
        <f aca="false" t="array" ref="E205:E205">SUM(IF(MONTH(NymexData!$A$12:$A$250)&amp;YEAR(NymexData!$A$12:$A$250)=MONTH(A205)&amp;YEAR(A205),NymexData!$B$12:$B$250))</f>
        <v>-0.475</v>
      </c>
      <c r="F205" s="327" t="n">
        <f aca="false">G205-E205</f>
        <v>-0.005</v>
      </c>
      <c r="G205" s="328" t="n">
        <f aca="false" t="array" ref="G205:G205">IF(NymexData!$H$12="",GasPosn!E205,SUM(IF(MONTH(NymexData!$H$12:$H$250)&amp;YEAR(NymexData!$H$12:$H$250)=MONTH(A205)&amp;YEAR(A205),NymexData!$I$12:$I$250)))</f>
        <v>-0.48</v>
      </c>
      <c r="H205" s="115" t="n">
        <f aca="false">B205*10000*F205</f>
        <v>3338.7768815</v>
      </c>
      <c r="I205" s="119" t="n">
        <f aca="false">(((G205-Q205)*P205+(G205-S205)*R205+(G205-U205)*T205+(G205-W205)*V205+(G205-Y205)*X205+(G205-AA205)*Z205+(G205-AC205)*AB205+(G205-AE205)*AD205+(G205-AG205)*AF205+(G205-AI205)*AH205+(G205-AK205)*AJ205+(G205-AM205)*AL205+(G205-AO205)*AN205+(G205-AQ205)*AP205+(G205-AS205)*AR205+(G205-AU205)*AT205+(G205-AW205)*AV205+(G205-AY205)*AX205+(G205-BA205)*AZ205+(G205-BC205)*BB205)*BJ205*BI205)*10000</f>
        <v>-0</v>
      </c>
      <c r="J205" s="119" t="n">
        <f aca="false">H205+I205</f>
        <v>3338.7768815</v>
      </c>
      <c r="M205" s="46"/>
      <c r="O205" s="95" t="n">
        <f aca="false">A205</f>
        <v>37347</v>
      </c>
      <c r="BD205" s="100" t="n">
        <f aca="false">(P205+R205+T205+V205+X205+Z205+AB205+AD205+AF205+AH205+AJ205+AL205+AN205+AP205+AR205+AT205+AV205+AX205+AZ205+BB205)</f>
        <v>0</v>
      </c>
      <c r="BE205" s="322" t="n">
        <f aca="false">IF(AND(BD205=0,BH205=0),0,(ABS(P205)*Q205+ABS(R205)*S205+ABS(T205)*U205+ABS(V205)*W205+ABS(X205)*Y205+ABS(Z205)*AA205+ABS(AB205)*AC205+ABS(AD205)*AE205+ABS(AF205)*AG205+ABS(AH205)*AI205+ABS(AJ205)*AK205+ABS(AL205)*AM205+ABS(AN205)*AO205+ABS(AP205)*AQ205+ABS(AR205)*AS205+ABS(AT205)*AU205+ABS(AV205)*AW205+ABS(AX205)*AY205+ABS(AZ205)*BA205+ABS(BB205)*BC205)/BH205)</f>
        <v>0</v>
      </c>
      <c r="BF205" s="102"/>
      <c r="BG205" s="103" t="n">
        <f aca="false">O205</f>
        <v>37347</v>
      </c>
      <c r="BH205" s="323" t="n">
        <f aca="false">(ABS(P205)+ABS(R205)+ABS(T205)+ABS(V205)+ABS(X205)+ABS(Z205)+ABS(AB205)+ABS(AD205)+ABS(AF205)+ABS(AH205)+ABS(AJ205)+ABS(AL205)+ABS(AN205)+ABS(AP205)+ABS(AR205)+ABS(AT205)+ABS(AV205)+ABS(AX205)+ABS(AZ205)+ABS(BB205))</f>
        <v>0</v>
      </c>
      <c r="BI205" s="104" t="n">
        <f aca="false">VLOOKUP(GasPosn!A205,'Pricing Summary'!$AB$12:$AD$250,3)</f>
        <v>30</v>
      </c>
      <c r="BJ205" s="102" t="n">
        <f aca="false">VLOOKUP(A205,Interest!$AF$8:$AK$367,6)</f>
        <v>0.988026180880843</v>
      </c>
      <c r="BK205" s="102"/>
      <c r="BL205" s="0" t="n">
        <f aca="false">J205*VLOOKUP(A205,NymexData!$J$12:$K$244,2)</f>
        <v>5256.71993590191</v>
      </c>
      <c r="BO205" s="0" t="n">
        <f aca="false">BO17</f>
        <v>0.988026180880843</v>
      </c>
      <c r="BP205" s="0" t="n">
        <f aca="false">G205*BO205</f>
        <v>-0.474252566822805</v>
      </c>
      <c r="BQ205" s="0" t="n">
        <f aca="false">IF(AND(A205&gt;=$B$191,A205&lt;=$B$192),1,0)</f>
        <v>1</v>
      </c>
      <c r="BR205" s="0" t="n">
        <f aca="false">BO205*BQ205</f>
        <v>0.988026180880843</v>
      </c>
      <c r="BS205" s="0" t="n">
        <f aca="false">BP205*BQ205</f>
        <v>-0.474252566822805</v>
      </c>
    </row>
    <row r="206" customFormat="false" ht="18" hidden="false" customHeight="false" outlineLevel="0" collapsed="false">
      <c r="A206" s="75" t="n">
        <f aca="false">A18</f>
        <v>37377</v>
      </c>
      <c r="B206" s="317" t="n">
        <f aca="false" t="array" ref="B206:B206">SUM(IF(MONTH(NymexData!$AL$12:$AL$250)&amp;YEAR(NymexData!$AL$12:$AL$250)=MONTH(A206)&amp;YEAR(A206),NymexData!$AM$12:$AM$250))</f>
        <v>-68.86565213</v>
      </c>
      <c r="C206" s="317" t="n">
        <f aca="false">BD206*BJ206*BI206</f>
        <v>0</v>
      </c>
      <c r="D206" s="319" t="n">
        <f aca="false">C206+B206</f>
        <v>-68.86565213</v>
      </c>
      <c r="E206" s="320" t="n">
        <f aca="false" t="array" ref="E206:E206">SUM(IF(MONTH(NymexData!$A$12:$A$250)&amp;YEAR(NymexData!$A$12:$A$250)=MONTH(A206)&amp;YEAR(A206),NymexData!$B$12:$B$250))</f>
        <v>-0.475</v>
      </c>
      <c r="F206" s="320" t="n">
        <f aca="false">G206-E206</f>
        <v>-0.005</v>
      </c>
      <c r="G206" s="321" t="n">
        <f aca="false" t="array" ref="G206:G206">IF(NymexData!$H$12="",GasPosn!E206,SUM(IF(MONTH(NymexData!$H$12:$H$250)&amp;YEAR(NymexData!$H$12:$H$250)=MONTH(A206)&amp;YEAR(A206),NymexData!$I$12:$I$250)))</f>
        <v>-0.48</v>
      </c>
      <c r="H206" s="76" t="n">
        <f aca="false">B206*10000*F206</f>
        <v>3443.2826065</v>
      </c>
      <c r="I206" s="82" t="n">
        <f aca="false">(((G206-Q206)*P206+(G206-S206)*R206+(G206-U206)*T206+(G206-W206)*V206+(G206-Y206)*X206+(G206-AA206)*Z206+(G206-AC206)*AB206+(G206-AE206)*AD206+(G206-AG206)*AF206+(G206-AI206)*AH206+(G206-AK206)*AJ206+(G206-AM206)*AL206+(G206-AO206)*AN206+(G206-AQ206)*AP206+(G206-AS206)*AR206+(G206-AU206)*AT206+(G206-AW206)*AV206+(G206-AY206)*AX206+(G206-BA206)*AZ206+(G206-BC206)*BB206)*BJ206*BI206)*10000</f>
        <v>-0</v>
      </c>
      <c r="J206" s="82" t="n">
        <f aca="false">H206+I206</f>
        <v>3443.2826065</v>
      </c>
      <c r="M206" s="46"/>
      <c r="O206" s="95" t="n">
        <f aca="false">A206</f>
        <v>37377</v>
      </c>
      <c r="BD206" s="100" t="n">
        <f aca="false">(P206+R206+T206+V206+X206+Z206+AB206+AD206+AF206+AH206+AJ206+AL206+AN206+AP206+AR206+AT206+AV206+AX206+AZ206+BB206)</f>
        <v>0</v>
      </c>
      <c r="BE206" s="322" t="n">
        <f aca="false">IF(AND(BD206=0,BH206=0),0,(ABS(P206)*Q206+ABS(R206)*S206+ABS(T206)*U206+ABS(V206)*W206+ABS(X206)*Y206+ABS(Z206)*AA206+ABS(AB206)*AC206+ABS(AD206)*AE206+ABS(AF206)*AG206+ABS(AH206)*AI206+ABS(AJ206)*AK206+ABS(AL206)*AM206+ABS(AN206)*AO206+ABS(AP206)*AQ206+ABS(AR206)*AS206+ABS(AT206)*AU206+ABS(AV206)*AW206+ABS(AX206)*AY206+ABS(AZ206)*BA206+ABS(BB206)*BC206)/BH206)</f>
        <v>0</v>
      </c>
      <c r="BF206" s="102"/>
      <c r="BG206" s="103" t="n">
        <f aca="false">O206</f>
        <v>37377</v>
      </c>
      <c r="BH206" s="323" t="n">
        <f aca="false">(ABS(P206)+ABS(R206)+ABS(T206)+ABS(V206)+ABS(X206)+ABS(Z206)+ABS(AB206)+ABS(AD206)+ABS(AF206)+ABS(AH206)+ABS(AJ206)+ABS(AL206)+ABS(AN206)+ABS(AP206)+ABS(AR206)+ABS(AT206)+ABS(AV206)+ABS(AX206)+ABS(AZ206)+ABS(BB206))</f>
        <v>0</v>
      </c>
      <c r="BI206" s="104" t="n">
        <f aca="false">VLOOKUP(GasPosn!A206,'Pricing Summary'!$AB$12:$AD$250,3)</f>
        <v>31</v>
      </c>
      <c r="BJ206" s="102" t="n">
        <f aca="false">VLOOKUP(A206,Interest!$AF$8:$AK$367,6)</f>
        <v>0.986085286244252</v>
      </c>
      <c r="BK206" s="102"/>
      <c r="BL206" s="0" t="n">
        <f aca="false">J206*VLOOKUP(A206,NymexData!$J$12:$K$244,2)</f>
        <v>5421.80069432396</v>
      </c>
      <c r="BO206" s="0" t="n">
        <f aca="false">BO18</f>
        <v>0.986085286244252</v>
      </c>
      <c r="BP206" s="0" t="n">
        <f aca="false">G206*BO206</f>
        <v>-0.473320937397241</v>
      </c>
      <c r="BQ206" s="0" t="n">
        <f aca="false">IF(AND(A206&gt;=$B$191,A206&lt;=$B$192),1,0)</f>
        <v>1</v>
      </c>
      <c r="BR206" s="0" t="n">
        <f aca="false">BO206*BQ206</f>
        <v>0.986085286244252</v>
      </c>
      <c r="BS206" s="0" t="n">
        <f aca="false">BP206*BQ206</f>
        <v>-0.473320937397241</v>
      </c>
    </row>
    <row r="207" customFormat="false" ht="18" hidden="false" customHeight="false" outlineLevel="0" collapsed="false">
      <c r="A207" s="112" t="n">
        <f aca="false">A19</f>
        <v>37408</v>
      </c>
      <c r="B207" s="324" t="n">
        <f aca="false" t="array" ref="B207:B207">SUM(IF(MONTH(NymexData!$AL$12:$AL$250)&amp;YEAR(NymexData!$AL$12:$AL$250)=MONTH(A207)&amp;YEAR(A207),NymexData!$AM$12:$AM$250))</f>
        <v>-66.51019848</v>
      </c>
      <c r="C207" s="325" t="n">
        <f aca="false">BD207*BJ207*BI207</f>
        <v>0</v>
      </c>
      <c r="D207" s="326" t="n">
        <f aca="false">C207+B207</f>
        <v>-66.51019848</v>
      </c>
      <c r="E207" s="327" t="n">
        <f aca="false" t="array" ref="E207:E207">SUM(IF(MONTH(NymexData!$A$12:$A$250)&amp;YEAR(NymexData!$A$12:$A$250)=MONTH(A207)&amp;YEAR(A207),NymexData!$B$12:$B$250))</f>
        <v>-0.475</v>
      </c>
      <c r="F207" s="327" t="n">
        <f aca="false">G207-E207</f>
        <v>-0.005</v>
      </c>
      <c r="G207" s="328" t="n">
        <f aca="false" t="array" ref="G207:G207">IF(NymexData!$H$12="",GasPosn!E207,SUM(IF(MONTH(NymexData!$H$12:$H$250)&amp;YEAR(NymexData!$H$12:$H$250)=MONTH(A207)&amp;YEAR(A207),NymexData!$I$12:$I$250)))</f>
        <v>-0.48</v>
      </c>
      <c r="H207" s="115" t="n">
        <f aca="false">B207*10000*F207</f>
        <v>3325.509924</v>
      </c>
      <c r="I207" s="119" t="n">
        <f aca="false">(((G207-Q207)*P207+(G207-S207)*R207+(G207-U207)*T207+(G207-W207)*V207+(G207-Y207)*X207+(G207-AA207)*Z207+(G207-AC207)*AB207+(G207-AE207)*AD207+(G207-AG207)*AF207+(G207-AI207)*AH207+(G207-AK207)*AJ207+(G207-AM207)*AL207+(G207-AO207)*AN207+(G207-AQ207)*AP207+(G207-AS207)*AR207+(G207-AU207)*AT207+(G207-AW207)*AV207+(G207-AY207)*AX207+(G207-BA207)*AZ207+(G207-BC207)*BB207)*BJ207*BI207)*10000</f>
        <v>-0</v>
      </c>
      <c r="J207" s="119" t="n">
        <f aca="false">H207+I207</f>
        <v>3325.509924</v>
      </c>
      <c r="M207" s="203"/>
      <c r="O207" s="95" t="n">
        <f aca="false">A207</f>
        <v>37408</v>
      </c>
      <c r="BD207" s="100" t="n">
        <f aca="false">(P207+R207+T207+V207+X207+Z207+AB207+AD207+AF207+AH207+AJ207+AL207+AN207+AP207+AR207+AT207+AV207+AX207+AZ207+BB207)</f>
        <v>0</v>
      </c>
      <c r="BE207" s="322" t="n">
        <f aca="false">IF(AND(BD207=0,BH207=0),0,(ABS(P207)*Q207+ABS(R207)*S207+ABS(T207)*U207+ABS(V207)*W207+ABS(X207)*Y207+ABS(Z207)*AA207+ABS(AB207)*AC207+ABS(AD207)*AE207+ABS(AF207)*AG207+ABS(AH207)*AI207+ABS(AJ207)*AK207+ABS(AL207)*AM207+ABS(AN207)*AO207+ABS(AP207)*AQ207+ABS(AR207)*AS207+ABS(AT207)*AU207+ABS(AV207)*AW207+ABS(AX207)*AY207+ABS(AZ207)*BA207+ABS(BB207)*BC207)/BH207)</f>
        <v>0</v>
      </c>
      <c r="BF207" s="102"/>
      <c r="BG207" s="103" t="n">
        <f aca="false">O207</f>
        <v>37408</v>
      </c>
      <c r="BH207" s="323" t="n">
        <f aca="false">(ABS(P207)+ABS(R207)+ABS(T207)+ABS(V207)+ABS(X207)+ABS(Z207)+ABS(AB207)+ABS(AD207)+ABS(AF207)+ABS(AH207)+ABS(AJ207)+ABS(AL207)+ABS(AN207)+ABS(AP207)+ABS(AR207)+ABS(AT207)+ABS(AV207)+ABS(AX207)+ABS(AZ207)+ABS(BB207))</f>
        <v>0</v>
      </c>
      <c r="BI207" s="104" t="n">
        <f aca="false">VLOOKUP(GasPosn!A207,'Pricing Summary'!$AB$12:$AD$250,3)</f>
        <v>30</v>
      </c>
      <c r="BJ207" s="102" t="n">
        <f aca="false">VLOOKUP(A207,Interest!$AF$8:$AK$367,6)</f>
        <v>0.984203486410364</v>
      </c>
      <c r="BK207" s="102"/>
      <c r="BL207" s="0" t="n">
        <f aca="false">J207*VLOOKUP(A207,NymexData!$J$12:$K$244,2)</f>
        <v>5236.76628797837</v>
      </c>
      <c r="BO207" s="0" t="n">
        <f aca="false">BO19</f>
        <v>0.984203486410364</v>
      </c>
      <c r="BP207" s="0" t="n">
        <f aca="false">G207*BO207</f>
        <v>-0.472417673476975</v>
      </c>
      <c r="BQ207" s="0" t="n">
        <f aca="false">IF(AND(A207&gt;=$B$191,A207&lt;=$B$192),1,0)</f>
        <v>1</v>
      </c>
      <c r="BR207" s="0" t="n">
        <f aca="false">BO207*BQ207</f>
        <v>0.984203486410364</v>
      </c>
      <c r="BS207" s="0" t="n">
        <f aca="false">BP207*BQ207</f>
        <v>-0.472417673476975</v>
      </c>
    </row>
    <row r="208" customFormat="false" ht="18" hidden="false" customHeight="false" outlineLevel="0" collapsed="false">
      <c r="A208" s="75" t="n">
        <f aca="false">A20</f>
        <v>37438</v>
      </c>
      <c r="B208" s="317" t="n">
        <f aca="false" t="array" ref="B208:B208">SUM(IF(MONTH(NymexData!$AL$12:$AL$250)&amp;YEAR(NymexData!$AL$12:$AL$250)=MONTH(A208)&amp;YEAR(A208),NymexData!$AM$12:$AM$250))</f>
        <v>-68.58873185</v>
      </c>
      <c r="C208" s="317" t="n">
        <f aca="false">BD208*BJ208*BI208</f>
        <v>0</v>
      </c>
      <c r="D208" s="319" t="n">
        <f aca="false">C208+B208</f>
        <v>-68.58873185</v>
      </c>
      <c r="E208" s="320" t="n">
        <f aca="false" t="array" ref="E208:E208">SUM(IF(MONTH(NymexData!$A$12:$A$250)&amp;YEAR(NymexData!$A$12:$A$250)=MONTH(A208)&amp;YEAR(A208),NymexData!$B$12:$B$250))</f>
        <v>-0.475</v>
      </c>
      <c r="F208" s="320" t="n">
        <f aca="false">G208-E208</f>
        <v>-0.005</v>
      </c>
      <c r="G208" s="321" t="n">
        <f aca="false" t="array" ref="G208:G208">IF(NymexData!$H$12="",GasPosn!E208,SUM(IF(MONTH(NymexData!$H$12:$H$250)&amp;YEAR(NymexData!$H$12:$H$250)=MONTH(A208)&amp;YEAR(A208),NymexData!$I$12:$I$250)))</f>
        <v>-0.48</v>
      </c>
      <c r="H208" s="76" t="n">
        <f aca="false">B208*10000*F208</f>
        <v>3429.4365925</v>
      </c>
      <c r="I208" s="82" t="n">
        <f aca="false">(((G208-Q208)*P208+(G208-S208)*R208+(G208-U208)*T208+(G208-W208)*V208+(G208-Y208)*X208+(G208-AA208)*Z208+(G208-AC208)*AB208+(G208-AE208)*AD208+(G208-AG208)*AF208+(G208-AI208)*AH208+(G208-AK208)*AJ208+(G208-AM208)*AL208+(G208-AO208)*AN208+(G208-AQ208)*AP208+(G208-AS208)*AR208+(G208-AU208)*AT208+(G208-AW208)*AV208+(G208-AY208)*AX208+(G208-BA208)*AZ208+(G208-BC208)*BB208)*BJ208*BI208)*10000</f>
        <v>-0</v>
      </c>
      <c r="J208" s="82" t="n">
        <f aca="false">H208+I208</f>
        <v>3429.4365925</v>
      </c>
      <c r="M208" s="46"/>
      <c r="O208" s="95" t="n">
        <f aca="false">A208</f>
        <v>37438</v>
      </c>
      <c r="BD208" s="100" t="n">
        <f aca="false">(P208+R208+T208+V208+X208+Z208+AB208+AD208+AF208+AH208+AJ208+AL208+AN208+AP208+AR208+AT208+AV208+AX208+AZ208+BB208)</f>
        <v>0</v>
      </c>
      <c r="BE208" s="322" t="n">
        <f aca="false">IF(AND(BD208=0,BH208=0),0,(ABS(P208)*Q208+ABS(R208)*S208+ABS(T208)*U208+ABS(V208)*W208+ABS(X208)*Y208+ABS(Z208)*AA208+ABS(AB208)*AC208+ABS(AD208)*AE208+ABS(AF208)*AG208+ABS(AH208)*AI208+ABS(AJ208)*AK208+ABS(AL208)*AM208+ABS(AN208)*AO208+ABS(AP208)*AQ208+ABS(AR208)*AS208+ABS(AT208)*AU208+ABS(AV208)*AW208+ABS(AX208)*AY208+ABS(AZ208)*BA208+ABS(BB208)*BC208)/BH208)</f>
        <v>0</v>
      </c>
      <c r="BF208" s="102"/>
      <c r="BG208" s="103" t="n">
        <f aca="false">O208</f>
        <v>37438</v>
      </c>
      <c r="BH208" s="323" t="n">
        <f aca="false">(ABS(P208)+ABS(R208)+ABS(T208)+ABS(V208)+ABS(X208)+ABS(Z208)+ABS(AB208)+ABS(AD208)+ABS(AF208)+ABS(AH208)+ABS(AJ208)+ABS(AL208)+ABS(AN208)+ABS(AP208)+ABS(AR208)+ABS(AT208)+ABS(AV208)+ABS(AX208)+ABS(AZ208)+ABS(BB208))</f>
        <v>0</v>
      </c>
      <c r="BI208" s="104" t="n">
        <f aca="false">VLOOKUP(GasPosn!A208,'Pricing Summary'!$AB$12:$AD$250,3)</f>
        <v>31</v>
      </c>
      <c r="BJ208" s="102" t="n">
        <f aca="false">VLOOKUP(A208,Interest!$AF$8:$AK$367,6)</f>
        <v>0.982182258329788</v>
      </c>
      <c r="BK208" s="102"/>
      <c r="BL208" s="0" t="n">
        <f aca="false">J208*VLOOKUP(A208,NymexData!$J$12:$K$244,2)</f>
        <v>5400.77901561321</v>
      </c>
      <c r="BO208" s="0" t="n">
        <f aca="false">BO20</f>
        <v>0.982182258329788</v>
      </c>
      <c r="BP208" s="0" t="n">
        <f aca="false">G208*BO208</f>
        <v>-0.471447483998298</v>
      </c>
      <c r="BQ208" s="0" t="n">
        <f aca="false">IF(AND(A208&gt;=$B$191,A208&lt;=$B$192),1,0)</f>
        <v>1</v>
      </c>
      <c r="BR208" s="0" t="n">
        <f aca="false">BO208*BQ208</f>
        <v>0.982182258329788</v>
      </c>
      <c r="BS208" s="0" t="n">
        <f aca="false">BP208*BQ208</f>
        <v>-0.471447483998298</v>
      </c>
    </row>
    <row r="209" customFormat="false" ht="18" hidden="false" customHeight="false" outlineLevel="0" collapsed="false">
      <c r="A209" s="112" t="n">
        <f aca="false">A21</f>
        <v>37469</v>
      </c>
      <c r="B209" s="324" t="n">
        <f aca="false" t="array" ref="B209:B209">SUM(IF(MONTH(NymexData!$AL$12:$AL$250)&amp;YEAR(NymexData!$AL$12:$AL$250)=MONTH(A209)&amp;YEAR(A209),NymexData!$AM$12:$AM$250))</f>
        <v>-68.43728851</v>
      </c>
      <c r="C209" s="325" t="n">
        <f aca="false">BD209*BJ209*BI209</f>
        <v>0</v>
      </c>
      <c r="D209" s="326" t="n">
        <f aca="false">C209+B209</f>
        <v>-68.43728851</v>
      </c>
      <c r="E209" s="327" t="n">
        <f aca="false" t="array" ref="E209:E209">SUM(IF(MONTH(NymexData!$A$12:$A$250)&amp;YEAR(NymexData!$A$12:$A$250)=MONTH(A209)&amp;YEAR(A209),NymexData!$B$12:$B$250))</f>
        <v>-0.475</v>
      </c>
      <c r="F209" s="327" t="n">
        <f aca="false">G209-E209</f>
        <v>-0.005</v>
      </c>
      <c r="G209" s="328" t="n">
        <f aca="false" t="array" ref="G209:G209">IF(NymexData!$H$12="",GasPosn!E209,SUM(IF(MONTH(NymexData!$H$12:$H$250)&amp;YEAR(NymexData!$H$12:$H$250)=MONTH(A209)&amp;YEAR(A209),NymexData!$I$12:$I$250)))</f>
        <v>-0.48</v>
      </c>
      <c r="H209" s="115" t="n">
        <f aca="false">B209*10000*F209</f>
        <v>3421.8644255</v>
      </c>
      <c r="I209" s="119" t="n">
        <f aca="false">(((G209-Q209)*P209+(G209-S209)*R209+(G209-U209)*T209+(G209-W209)*V209+(G209-Y209)*X209+(G209-AA209)*Z209+(G209-AC209)*AB209+(G209-AE209)*AD209+(G209-AG209)*AF209+(G209-AI209)*AH209+(G209-AK209)*AJ209+(G209-AM209)*AL209+(G209-AO209)*AN209+(G209-AQ209)*AP209+(G209-AS209)*AR209+(G209-AU209)*AT209+(G209-AW209)*AV209+(G209-AY209)*AX209+(G209-BA209)*AZ209+(G209-BC209)*BB209)*BJ209*BI209)*10000</f>
        <v>-0</v>
      </c>
      <c r="J209" s="119" t="n">
        <f aca="false">H209+I209</f>
        <v>3421.8644255</v>
      </c>
      <c r="M209" s="46"/>
      <c r="O209" s="95" t="n">
        <f aca="false">A209</f>
        <v>37469</v>
      </c>
      <c r="BD209" s="100" t="n">
        <f aca="false">(P209+R209+T209+V209+X209+Z209+AB209+AD209+AF209+AH209+AJ209+AL209+AN209+AP209+AR209+AT209+AV209+AX209+AZ209+BB209)</f>
        <v>0</v>
      </c>
      <c r="BE209" s="322" t="n">
        <f aca="false">IF(AND(BD209=0,BH209=0),0,(ABS(P209)*Q209+ABS(R209)*S209+ABS(T209)*U209+ABS(V209)*W209+ABS(X209)*Y209+ABS(Z209)*AA209+ABS(AB209)*AC209+ABS(AD209)*AE209+ABS(AF209)*AG209+ABS(AH209)*AI209+ABS(AJ209)*AK209+ABS(AL209)*AM209+ABS(AN209)*AO209+ABS(AP209)*AQ209+ABS(AR209)*AS209+ABS(AT209)*AU209+ABS(AV209)*AW209+ABS(AX209)*AY209+ABS(AZ209)*BA209+ABS(BB209)*BC209)/BH209)</f>
        <v>0</v>
      </c>
      <c r="BF209" s="102"/>
      <c r="BG209" s="103" t="n">
        <f aca="false">O209</f>
        <v>37469</v>
      </c>
      <c r="BH209" s="323" t="n">
        <f aca="false">(ABS(P209)+ABS(R209)+ABS(T209)+ABS(V209)+ABS(X209)+ABS(Z209)+ABS(AB209)+ABS(AD209)+ABS(AF209)+ABS(AH209)+ABS(AJ209)+ABS(AL209)+ABS(AN209)+ABS(AP209)+ABS(AR209)+ABS(AT209)+ABS(AV209)+ABS(AX209)+ABS(AZ209)+ABS(BB209))</f>
        <v>0</v>
      </c>
      <c r="BI209" s="104" t="n">
        <f aca="false">VLOOKUP(GasPosn!A209,'Pricing Summary'!$AB$12:$AD$250,3)</f>
        <v>31</v>
      </c>
      <c r="BJ209" s="102" t="n">
        <f aca="false">VLOOKUP(A209,Interest!$AF$8:$AK$367,6)</f>
        <v>0.980002686403429</v>
      </c>
      <c r="BK209" s="102"/>
      <c r="BL209" s="0" t="n">
        <f aca="false">J209*VLOOKUP(A209,NymexData!$J$12:$K$244,2)</f>
        <v>5389.04305080712</v>
      </c>
      <c r="BO209" s="0" t="n">
        <f aca="false">BO21</f>
        <v>0.980002686403429</v>
      </c>
      <c r="BP209" s="0" t="n">
        <f aca="false">G209*BO209</f>
        <v>-0.470401289473646</v>
      </c>
      <c r="BQ209" s="0" t="n">
        <f aca="false">IF(AND(A209&gt;=$B$191,A209&lt;=$B$192),1,0)</f>
        <v>1</v>
      </c>
      <c r="BR209" s="0" t="n">
        <f aca="false">BO209*BQ209</f>
        <v>0.980002686403429</v>
      </c>
      <c r="BS209" s="0" t="n">
        <f aca="false">BP209*BQ209</f>
        <v>-0.470401289473646</v>
      </c>
    </row>
    <row r="210" customFormat="false" ht="18" hidden="false" customHeight="false" outlineLevel="0" collapsed="false">
      <c r="A210" s="75" t="n">
        <f aca="false">A22</f>
        <v>37500</v>
      </c>
      <c r="B210" s="317" t="n">
        <f aca="false" t="array" ref="B210:B210">SUM(IF(MONTH(NymexData!$AL$12:$AL$250)&amp;YEAR(NymexData!$AL$12:$AL$250)=MONTH(A210)&amp;YEAR(A210),NymexData!$AM$12:$AM$250))</f>
        <v>-66.08152569</v>
      </c>
      <c r="C210" s="317" t="n">
        <f aca="false">BD210*BJ210*BI210</f>
        <v>0</v>
      </c>
      <c r="D210" s="319" t="n">
        <f aca="false">C210+B210</f>
        <v>-66.08152569</v>
      </c>
      <c r="E210" s="320" t="n">
        <f aca="false" t="array" ref="E210:E210">SUM(IF(MONTH(NymexData!$A$12:$A$250)&amp;YEAR(NymexData!$A$12:$A$250)=MONTH(A210)&amp;YEAR(A210),NymexData!$B$12:$B$250))</f>
        <v>-0.475</v>
      </c>
      <c r="F210" s="320" t="n">
        <f aca="false">G210-E210</f>
        <v>-0.005</v>
      </c>
      <c r="G210" s="321" t="n">
        <f aca="false" t="array" ref="G210:G210">IF(NymexData!$H$12="",GasPosn!E210,SUM(IF(MONTH(NymexData!$H$12:$H$250)&amp;YEAR(NymexData!$H$12:$H$250)=MONTH(A210)&amp;YEAR(A210),NymexData!$I$12:$I$250)))</f>
        <v>-0.48</v>
      </c>
      <c r="H210" s="76" t="n">
        <f aca="false">B210*10000*F210</f>
        <v>3304.0762845</v>
      </c>
      <c r="I210" s="82" t="n">
        <f aca="false">(((G210-Q210)*P210+(G210-S210)*R210+(G210-U210)*T210+(G210-W210)*V210+(G210-Y210)*X210+(G210-AA210)*Z210+(G210-AC210)*AB210+(G210-AE210)*AD210+(G210-AG210)*AF210+(G210-AI210)*AH210+(G210-AK210)*AJ210+(G210-AM210)*AL210+(G210-AO210)*AN210+(G210-AQ210)*AP210+(G210-AS210)*AR210+(G210-AU210)*AT210+(G210-AW210)*AV210+(G210-AY210)*AX210+(G210-BA210)*AZ210+(G210-BC210)*BB210)*BJ210*BI210)*10000</f>
        <v>-0</v>
      </c>
      <c r="J210" s="82" t="n">
        <f aca="false">H210+I210</f>
        <v>3304.0762845</v>
      </c>
      <c r="M210" s="46"/>
      <c r="O210" s="95" t="n">
        <f aca="false">A210</f>
        <v>37500</v>
      </c>
      <c r="BD210" s="100" t="n">
        <f aca="false">(P210+R210+T210+V210+X210+Z210+AB210+AD210+AF210+AH210+AJ210+AL210+AN210+AP210+AR210+AT210+AV210+AX210+AZ210+BB210)</f>
        <v>0</v>
      </c>
      <c r="BE210" s="322" t="n">
        <f aca="false">IF(AND(BD210=0,BH210=0),0,(ABS(P210)*Q210+ABS(R210)*S210+ABS(T210)*U210+ABS(V210)*W210+ABS(X210)*Y210+ABS(Z210)*AA210+ABS(AB210)*AC210+ABS(AD210)*AE210+ABS(AF210)*AG210+ABS(AH210)*AI210+ABS(AJ210)*AK210+ABS(AL210)*AM210+ABS(AN210)*AO210+ABS(AP210)*AQ210+ABS(AR210)*AS210+ABS(AT210)*AU210+ABS(AV210)*AW210+ABS(AX210)*AY210+ABS(AZ210)*BA210+ABS(BB210)*BC210)/BH210)</f>
        <v>0</v>
      </c>
      <c r="BF210" s="102"/>
      <c r="BG210" s="103" t="n">
        <f aca="false">O210</f>
        <v>37500</v>
      </c>
      <c r="BH210" s="323" t="n">
        <f aca="false">(ABS(P210)+ABS(R210)+ABS(T210)+ABS(V210)+ABS(X210)+ABS(Z210)+ABS(AB210)+ABS(AD210)+ABS(AF210)+ABS(AH210)+ABS(AJ210)+ABS(AL210)+ABS(AN210)+ABS(AP210)+ABS(AR210)+ABS(AT210)+ABS(AV210)+ABS(AX210)+ABS(AZ210)+ABS(BB210))</f>
        <v>0</v>
      </c>
      <c r="BI210" s="104" t="n">
        <f aca="false">VLOOKUP(GasPosn!A210,'Pricing Summary'!$AB$12:$AD$250,3)</f>
        <v>30</v>
      </c>
      <c r="BJ210" s="102" t="n">
        <f aca="false">VLOOKUP(A210,Interest!$AF$8:$AK$367,6)</f>
        <v>0.977841626547643</v>
      </c>
      <c r="BK210" s="102"/>
      <c r="BL210" s="0" t="n">
        <f aca="false">J210*VLOOKUP(A210,NymexData!$J$12:$K$244,2)</f>
        <v>5203.59642683391</v>
      </c>
      <c r="BO210" s="0" t="n">
        <f aca="false">BO22</f>
        <v>0.977841626547643</v>
      </c>
      <c r="BP210" s="0" t="n">
        <f aca="false">G210*BO210</f>
        <v>-0.469363980742868</v>
      </c>
      <c r="BQ210" s="0" t="n">
        <f aca="false">IF(AND(A210&gt;=$B$191,A210&lt;=$B$192),1,0)</f>
        <v>1</v>
      </c>
      <c r="BR210" s="0" t="n">
        <f aca="false">BO210*BQ210</f>
        <v>0.977841626547643</v>
      </c>
      <c r="BS210" s="0" t="n">
        <f aca="false">BP210*BQ210</f>
        <v>-0.469363980742868</v>
      </c>
    </row>
    <row r="211" customFormat="false" ht="18" hidden="false" customHeight="false" outlineLevel="0" collapsed="false">
      <c r="A211" s="112" t="n">
        <f aca="false">A23</f>
        <v>37530</v>
      </c>
      <c r="B211" s="324" t="n">
        <f aca="false" t="array" ref="B211:B211">SUM(IF(MONTH(NymexData!$AL$12:$AL$250)&amp;YEAR(NymexData!$AL$12:$AL$250)=MONTH(A211)&amp;YEAR(A211),NymexData!$AM$12:$AM$250))</f>
        <v>-68.12764516</v>
      </c>
      <c r="C211" s="325" t="n">
        <f aca="false">BD211*BJ211*BI211</f>
        <v>0</v>
      </c>
      <c r="D211" s="326" t="n">
        <f aca="false">C211+B211</f>
        <v>-68.12764516</v>
      </c>
      <c r="E211" s="327" t="n">
        <f aca="false" t="array" ref="E211:E211">SUM(IF(MONTH(NymexData!$A$12:$A$250)&amp;YEAR(NymexData!$A$12:$A$250)=MONTH(A211)&amp;YEAR(A211),NymexData!$B$12:$B$250))</f>
        <v>-0.475</v>
      </c>
      <c r="F211" s="327" t="n">
        <f aca="false">G211-E211</f>
        <v>-0.005</v>
      </c>
      <c r="G211" s="328" t="n">
        <f aca="false" t="array" ref="G211:G211">IF(NymexData!$H$12="",GasPosn!E211,SUM(IF(MONTH(NymexData!$H$12:$H$250)&amp;YEAR(NymexData!$H$12:$H$250)=MONTH(A211)&amp;YEAR(A211),NymexData!$I$12:$I$250)))</f>
        <v>-0.48</v>
      </c>
      <c r="H211" s="115" t="n">
        <f aca="false">B211*10000*F211</f>
        <v>3406.382258</v>
      </c>
      <c r="I211" s="119" t="n">
        <f aca="false">(((G211-Q211)*P211+(G211-S211)*R211+(G211-U211)*T211+(G211-W211)*V211+(G211-Y211)*X211+(G211-AA211)*Z211+(G211-AC211)*AB211+(G211-AE211)*AD211+(G211-AG211)*AF211+(G211-AI211)*AH211+(G211-AK211)*AJ211+(G211-AM211)*AL211+(G211-AO211)*AN211+(G211-AQ211)*AP211+(G211-AS211)*AR211+(G211-AU211)*AT211+(G211-AW211)*AV211+(G211-AY211)*AX211+(G211-BA211)*AZ211+(G211-BC211)*BB211)*BJ211*BI211)*10000</f>
        <v>-0</v>
      </c>
      <c r="J211" s="119" t="n">
        <f aca="false">H211+I211</f>
        <v>3406.382258</v>
      </c>
      <c r="M211" s="46"/>
      <c r="O211" s="95" t="n">
        <f aca="false">A211</f>
        <v>37530</v>
      </c>
      <c r="BD211" s="100" t="n">
        <f aca="false">(P211+R211+T211+V211+X211+Z211+AB211+AD211+AF211+AH211+AJ211+AL211+AN211+AP211+AR211+AT211+AV211+AX211+AZ211+BB211)</f>
        <v>0</v>
      </c>
      <c r="BE211" s="322" t="n">
        <f aca="false">IF(AND(BD211=0,BH211=0),0,(ABS(P211)*Q211+ABS(R211)*S211+ABS(T211)*U211+ABS(V211)*W211+ABS(X211)*Y211+ABS(Z211)*AA211+ABS(AB211)*AC211+ABS(AD211)*AE211+ABS(AF211)*AG211+ABS(AH211)*AI211+ABS(AJ211)*AK211+ABS(AL211)*AM211+ABS(AN211)*AO211+ABS(AP211)*AQ211+ABS(AR211)*AS211+ABS(AT211)*AU211+ABS(AV211)*AW211+ABS(AX211)*AY211+ABS(AZ211)*BA211+ABS(BB211)*BC211)/BH211)</f>
        <v>0</v>
      </c>
      <c r="BF211" s="102"/>
      <c r="BG211" s="103" t="n">
        <f aca="false">O211</f>
        <v>37530</v>
      </c>
      <c r="BH211" s="323" t="n">
        <f aca="false">(ABS(P211)+ABS(R211)+ABS(T211)+ABS(V211)+ABS(X211)+ABS(Z211)+ABS(AB211)+ABS(AD211)+ABS(AF211)+ABS(AH211)+ABS(AJ211)+ABS(AL211)+ABS(AN211)+ABS(AP211)+ABS(AR211)+ABS(AT211)+ABS(AV211)+ABS(AX211)+ABS(AZ211)+ABS(BB211))</f>
        <v>0</v>
      </c>
      <c r="BI211" s="104" t="n">
        <f aca="false">VLOOKUP(GasPosn!A211,'Pricing Summary'!$AB$12:$AD$250,3)</f>
        <v>31</v>
      </c>
      <c r="BJ211" s="102" t="n">
        <f aca="false">VLOOKUP(A211,Interest!$AF$8:$AK$367,6)</f>
        <v>0.975504857905375</v>
      </c>
      <c r="BK211" s="102"/>
      <c r="BL211" s="0" t="n">
        <f aca="false">J211*VLOOKUP(A211,NymexData!$J$12:$K$244,2)</f>
        <v>5364.83293289074</v>
      </c>
      <c r="BO211" s="0" t="n">
        <f aca="false">BO23</f>
        <v>0.975504857905375</v>
      </c>
      <c r="BP211" s="0" t="n">
        <f aca="false">G211*BO211</f>
        <v>-0.46824233179458</v>
      </c>
      <c r="BQ211" s="0" t="n">
        <f aca="false">IF(AND(A211&gt;=$B$191,A211&lt;=$B$192),1,0)</f>
        <v>1</v>
      </c>
      <c r="BR211" s="0" t="n">
        <f aca="false">BO211*BQ211</f>
        <v>0.975504857905375</v>
      </c>
      <c r="BS211" s="0" t="n">
        <f aca="false">BP211*BQ211</f>
        <v>-0.46824233179458</v>
      </c>
    </row>
    <row r="212" customFormat="false" ht="18" hidden="false" customHeight="false" outlineLevel="0" collapsed="false">
      <c r="A212" s="75" t="n">
        <f aca="false">A24</f>
        <v>37561</v>
      </c>
      <c r="B212" s="317" t="n">
        <f aca="false" t="array" ref="B212:B212">SUM(IF(MONTH(NymexData!$AL$12:$AL$250)&amp;YEAR(NymexData!$AL$12:$AL$250)=MONTH(A212)&amp;YEAR(A212),NymexData!$AM$12:$AM$250))</f>
        <v>-211.90206227</v>
      </c>
      <c r="C212" s="317" t="n">
        <f aca="false">BD212*BJ212*BI212</f>
        <v>0</v>
      </c>
      <c r="D212" s="319" t="n">
        <f aca="false">C212+B212</f>
        <v>-211.90206227</v>
      </c>
      <c r="E212" s="320" t="n">
        <f aca="false" t="array" ref="E212:E212">SUM(IF(MONTH(NymexData!$A$12:$A$250)&amp;YEAR(NymexData!$A$12:$A$250)=MONTH(A212)&amp;YEAR(A212),NymexData!$B$12:$B$250))</f>
        <v>-0.4</v>
      </c>
      <c r="F212" s="320" t="n">
        <f aca="false">G212-E212</f>
        <v>-0.005</v>
      </c>
      <c r="G212" s="321" t="n">
        <f aca="false" t="array" ref="G212:G212">IF(NymexData!$H$12="",GasPosn!E212,SUM(IF(MONTH(NymexData!$H$12:$H$250)&amp;YEAR(NymexData!$H$12:$H$250)=MONTH(A212)&amp;YEAR(A212),NymexData!$I$12:$I$250)))</f>
        <v>-0.405</v>
      </c>
      <c r="H212" s="76" t="n">
        <f aca="false">B212*10000*F212</f>
        <v>10595.1031135</v>
      </c>
      <c r="I212" s="82" t="n">
        <f aca="false">(((G212-Q212)*P212+(G212-S212)*R212+(G212-U212)*T212+(G212-W212)*V212+(G212-Y212)*X212+(G212-AA212)*Z212+(G212-AC212)*AB212+(G212-AE212)*AD212+(G212-AG212)*AF212+(G212-AI212)*AH212+(G212-AK212)*AJ212+(G212-AM212)*AL212+(G212-AO212)*AN212+(G212-AQ212)*AP212+(G212-AS212)*AR212+(G212-AU212)*AT212+(G212-AW212)*AV212+(G212-AY212)*AX212+(G212-BA212)*AZ212+(G212-BC212)*BB212)*BJ212*BI212)*10000</f>
        <v>-0</v>
      </c>
      <c r="J212" s="82" t="n">
        <f aca="false">H212+I212</f>
        <v>10595.1031135</v>
      </c>
      <c r="M212" s="46"/>
      <c r="O212" s="95" t="n">
        <f aca="false">A212</f>
        <v>37561</v>
      </c>
      <c r="BD212" s="100" t="n">
        <f aca="false">(P212+R212+T212+V212+X212+Z212+AB212+AD212+AF212+AH212+AJ212+AL212+AN212+AP212+AR212+AT212+AV212+AX212+AZ212+BB212)</f>
        <v>0</v>
      </c>
      <c r="BE212" s="322" t="n">
        <f aca="false">IF(AND(BD212=0,BH212=0),0,(ABS(P212)*Q212+ABS(R212)*S212+ABS(T212)*U212+ABS(V212)*W212+ABS(X212)*Y212+ABS(Z212)*AA212+ABS(AB212)*AC212+ABS(AD212)*AE212+ABS(AF212)*AG212+ABS(AH212)*AI212+ABS(AJ212)*AK212+ABS(AL212)*AM212+ABS(AN212)*AO212+ABS(AP212)*AQ212+ABS(AR212)*AS212+ABS(AT212)*AU212+ABS(AV212)*AW212+ABS(AX212)*AY212+ABS(AZ212)*BA212+ABS(BB212)*BC212)/BH212)</f>
        <v>0</v>
      </c>
      <c r="BF212" s="102"/>
      <c r="BG212" s="103" t="n">
        <f aca="false">O212</f>
        <v>37561</v>
      </c>
      <c r="BH212" s="323" t="n">
        <f aca="false">(ABS(P212)+ABS(R212)+ABS(T212)+ABS(V212)+ABS(X212)+ABS(Z212)+ABS(AB212)+ABS(AD212)+ABS(AF212)+ABS(AH212)+ABS(AJ212)+ABS(AL212)+ABS(AN212)+ABS(AP212)+ABS(AR212)+ABS(AT212)+ABS(AV212)+ABS(AX212)+ABS(AZ212)+ABS(BB212))</f>
        <v>0</v>
      </c>
      <c r="BI212" s="104" t="n">
        <f aca="false">VLOOKUP(GasPosn!A212,'Pricing Summary'!$AB$12:$AD$250,3)</f>
        <v>30</v>
      </c>
      <c r="BJ212" s="102" t="n">
        <f aca="false">VLOOKUP(A212,Interest!$AF$8:$AK$367,6)</f>
        <v>0.973045650515394</v>
      </c>
      <c r="BK212" s="102"/>
      <c r="BL212" s="0" t="n">
        <f aca="false">J212*VLOOKUP(A212,NymexData!$J$12:$K$244,2)</f>
        <v>16686.9491932927</v>
      </c>
      <c r="BO212" s="0" t="n">
        <f aca="false">BO24</f>
        <v>0.973045650515394</v>
      </c>
      <c r="BP212" s="0" t="n">
        <f aca="false">G212*BO212</f>
        <v>-0.394083488458735</v>
      </c>
      <c r="BQ212" s="0" t="n">
        <f aca="false">IF(AND(A212&gt;=$B$191,A212&lt;=$B$192),1,0)</f>
        <v>1</v>
      </c>
      <c r="BR212" s="0" t="n">
        <f aca="false">BO212*BQ212</f>
        <v>0.973045650515394</v>
      </c>
      <c r="BS212" s="0" t="n">
        <f aca="false">BP212*BQ212</f>
        <v>-0.394083488458735</v>
      </c>
    </row>
    <row r="213" customFormat="false" ht="18" hidden="false" customHeight="false" outlineLevel="0" collapsed="false">
      <c r="A213" s="112" t="n">
        <f aca="false">A25</f>
        <v>37591</v>
      </c>
      <c r="B213" s="324" t="n">
        <f aca="false" t="array" ref="B213:B213">SUM(IF(MONTH(NymexData!$AL$12:$AL$250)&amp;YEAR(NymexData!$AL$12:$AL$250)=MONTH(A213)&amp;YEAR(A213),NymexData!$AM$12:$AM$250))</f>
        <v>-218.41377406</v>
      </c>
      <c r="C213" s="325" t="n">
        <f aca="false">BD213*BJ213*BI213</f>
        <v>0</v>
      </c>
      <c r="D213" s="326" t="n">
        <f aca="false">C213+B213</f>
        <v>-218.41377406</v>
      </c>
      <c r="E213" s="327" t="n">
        <f aca="false" t="array" ref="E213:E213">SUM(IF(MONTH(NymexData!$A$12:$A$250)&amp;YEAR(NymexData!$A$12:$A$250)=MONTH(A213)&amp;YEAR(A213),NymexData!$B$12:$B$250))</f>
        <v>-0.4</v>
      </c>
      <c r="F213" s="327" t="n">
        <f aca="false">G213-E213</f>
        <v>-0.005</v>
      </c>
      <c r="G213" s="328" t="n">
        <f aca="false" t="array" ref="G213:G213">IF(NymexData!$H$12="",GasPosn!E213,SUM(IF(MONTH(NymexData!$H$12:$H$250)&amp;YEAR(NymexData!$H$12:$H$250)=MONTH(A213)&amp;YEAR(A213),NymexData!$I$12:$I$250)))</f>
        <v>-0.405</v>
      </c>
      <c r="H213" s="115" t="n">
        <f aca="false">B213*10000*F213</f>
        <v>10920.688703</v>
      </c>
      <c r="I213" s="119" t="n">
        <f aca="false">(((G213-Q213)*P213+(G213-S213)*R213+(G213-U213)*T213+(G213-W213)*V213+(G213-Y213)*X213+(G213-AA213)*Z213+(G213-AC213)*AB213+(G213-AE213)*AD213+(G213-AG213)*AF213+(G213-AI213)*AH213+(G213-AK213)*AJ213+(G213-AM213)*AL213+(G213-AO213)*AN213+(G213-AQ213)*AP213+(G213-AS213)*AR213+(G213-AU213)*AT213+(G213-AW213)*AV213+(G213-AY213)*AX213+(G213-BA213)*AZ213+(G213-BC213)*BB213)*BJ213*BI213)*10000</f>
        <v>-0</v>
      </c>
      <c r="J213" s="119" t="n">
        <f aca="false">H213+I213</f>
        <v>10920.688703</v>
      </c>
      <c r="M213" s="46"/>
      <c r="O213" s="95" t="n">
        <f aca="false">A213</f>
        <v>37591</v>
      </c>
      <c r="BD213" s="100" t="n">
        <f aca="false">(P213+R213+T213+V213+X213+Z213+AB213+AD213+AF213+AH213+AJ213+AL213+AN213+AP213+AR213+AT213+AV213+AX213+AZ213+BB213)</f>
        <v>0</v>
      </c>
      <c r="BE213" s="322" t="n">
        <f aca="false">IF(AND(BD213=0,BH213=0),0,(ABS(P213)*Q213+ABS(R213)*S213+ABS(T213)*U213+ABS(V213)*W213+ABS(X213)*Y213+ABS(Z213)*AA213+ABS(AB213)*AC213+ABS(AD213)*AE213+ABS(AF213)*AG213+ABS(AH213)*AI213+ABS(AJ213)*AK213+ABS(AL213)*AM213+ABS(AN213)*AO213+ABS(AP213)*AQ213+ABS(AR213)*AS213+ABS(AT213)*AU213+ABS(AV213)*AW213+ABS(AX213)*AY213+ABS(AZ213)*BA213+ABS(BB213)*BC213)/BH213)</f>
        <v>0</v>
      </c>
      <c r="BF213" s="102"/>
      <c r="BG213" s="103" t="n">
        <f aca="false">O213</f>
        <v>37591</v>
      </c>
      <c r="BH213" s="323" t="n">
        <f aca="false">(ABS(P213)+ABS(R213)+ABS(T213)+ABS(V213)+ABS(X213)+ABS(Z213)+ABS(AB213)+ABS(AD213)+ABS(AF213)+ABS(AH213)+ABS(AJ213)+ABS(AL213)+ABS(AN213)+ABS(AP213)+ABS(AR213)+ABS(AT213)+ABS(AV213)+ABS(AX213)+ABS(AZ213)+ABS(BB213))</f>
        <v>0</v>
      </c>
      <c r="BI213" s="104" t="n">
        <f aca="false">VLOOKUP(GasPosn!A213,'Pricing Summary'!$AB$12:$AD$250,3)</f>
        <v>31</v>
      </c>
      <c r="BJ213" s="102" t="n">
        <f aca="false">VLOOKUP(A213,Interest!$AF$8:$AK$367,6)</f>
        <v>0.970466306497091</v>
      </c>
      <c r="BK213" s="102"/>
      <c r="BL213" s="0" t="n">
        <f aca="false">J213*VLOOKUP(A213,NymexData!$J$12:$K$244,2)</f>
        <v>17199.8302418531</v>
      </c>
      <c r="BO213" s="0" t="n">
        <f aca="false">BO25</f>
        <v>0.970466306497091</v>
      </c>
      <c r="BP213" s="0" t="n">
        <f aca="false">G213*BO213</f>
        <v>-0.393038854131322</v>
      </c>
      <c r="BQ213" s="0" t="n">
        <f aca="false">IF(AND(A213&gt;=$B$191,A213&lt;=$B$192),1,0)</f>
        <v>1</v>
      </c>
      <c r="BR213" s="0" t="n">
        <f aca="false">BO213*BQ213</f>
        <v>0.970466306497091</v>
      </c>
      <c r="BS213" s="0" t="n">
        <f aca="false">BP213*BQ213</f>
        <v>-0.393038854131322</v>
      </c>
    </row>
    <row r="214" customFormat="false" ht="18" hidden="false" customHeight="false" outlineLevel="0" collapsed="false">
      <c r="A214" s="75" t="n">
        <f aca="false">A26</f>
        <v>37622</v>
      </c>
      <c r="B214" s="317" t="n">
        <f aca="false" t="array" ref="B214:B214">SUM(IF(MONTH(NymexData!$AL$12:$AL$250)&amp;YEAR(NymexData!$AL$12:$AL$250)=MONTH(A214)&amp;YEAR(A214),NymexData!$AM$12:$AM$250))</f>
        <v>-405.56912731</v>
      </c>
      <c r="C214" s="317" t="n">
        <f aca="false">BD214*BJ214*BI214</f>
        <v>0</v>
      </c>
      <c r="D214" s="319" t="n">
        <f aca="false">C214+B214</f>
        <v>-405.56912731</v>
      </c>
      <c r="E214" s="320" t="n">
        <f aca="false" t="array" ref="E214:E214">SUM(IF(MONTH(NymexData!$A$12:$A$250)&amp;YEAR(NymexData!$A$12:$A$250)=MONTH(A214)&amp;YEAR(A214),NymexData!$B$12:$B$250))</f>
        <v>-0.4</v>
      </c>
      <c r="F214" s="320" t="n">
        <f aca="false">G214-E214</f>
        <v>-0.005</v>
      </c>
      <c r="G214" s="321" t="n">
        <f aca="false" t="array" ref="G214:G214">IF(NymexData!$H$12="",GasPosn!E214,SUM(IF(MONTH(NymexData!$H$12:$H$250)&amp;YEAR(NymexData!$H$12:$H$250)=MONTH(A214)&amp;YEAR(A214),NymexData!$I$12:$I$250)))</f>
        <v>-0.405</v>
      </c>
      <c r="H214" s="76" t="n">
        <f aca="false">B214*10000*F214</f>
        <v>20278.4563655</v>
      </c>
      <c r="I214" s="82" t="n">
        <f aca="false">(((G214-Q214)*P214+(G214-S214)*R214+(G214-U214)*T214+(G214-W214)*V214+(G214-Y214)*X214+(G214-AA214)*Z214+(G214-AC214)*AB214+(G214-AE214)*AD214+(G214-AG214)*AF214+(G214-AI214)*AH214+(G214-AK214)*AJ214+(G214-AM214)*AL214+(G214-AO214)*AN214+(G214-AQ214)*AP214+(G214-AS214)*AR214+(G214-AU214)*AT214+(G214-AW214)*AV214+(G214-AY214)*AX214+(G214-BA214)*AZ214+(G214-BC214)*BB214)*BJ214*BI214)*10000</f>
        <v>-0</v>
      </c>
      <c r="J214" s="82" t="n">
        <f aca="false">H214+I214</f>
        <v>20278.4563655</v>
      </c>
      <c r="M214" s="46"/>
      <c r="O214" s="95" t="n">
        <f aca="false">A214</f>
        <v>37622</v>
      </c>
      <c r="BD214" s="100" t="n">
        <f aca="false">(P214+R214+T214+V214+X214+Z214+AB214+AD214+AF214+AH214+AJ214+AL214+AN214+AP214+AR214+AT214+AV214+AX214+AZ214+BB214)</f>
        <v>0</v>
      </c>
      <c r="BE214" s="322" t="n">
        <f aca="false">IF(AND(BD214=0,BH214=0),0,(ABS(P214)*Q214+ABS(R214)*S214+ABS(T214)*U214+ABS(V214)*W214+ABS(X214)*Y214+ABS(Z214)*AA214+ABS(AB214)*AC214+ABS(AD214)*AE214+ABS(AF214)*AG214+ABS(AH214)*AI214+ABS(AJ214)*AK214+ABS(AL214)*AM214+ABS(AN214)*AO214+ABS(AP214)*AQ214+ABS(AR214)*AS214+ABS(AT214)*AU214+ABS(AV214)*AW214+ABS(AX214)*AY214+ABS(AZ214)*BA214+ABS(BB214)*BC214)/BH214)</f>
        <v>0</v>
      </c>
      <c r="BF214" s="102"/>
      <c r="BG214" s="103" t="n">
        <f aca="false">O214</f>
        <v>37622</v>
      </c>
      <c r="BH214" s="323" t="n">
        <f aca="false">(ABS(P214)+ABS(R214)+ABS(T214)+ABS(V214)+ABS(X214)+ABS(Z214)+ABS(AB214)+ABS(AD214)+ABS(AF214)+ABS(AH214)+ABS(AJ214)+ABS(AL214)+ABS(AN214)+ABS(AP214)+ABS(AR214)+ABS(AT214)+ABS(AV214)+ABS(AX214)+ABS(AZ214)+ABS(BB214))</f>
        <v>0</v>
      </c>
      <c r="BI214" s="104" t="n">
        <f aca="false">VLOOKUP(GasPosn!A214,'Pricing Summary'!$AB$12:$AD$250,3)</f>
        <v>31</v>
      </c>
      <c r="BJ214" s="102" t="n">
        <f aca="false">VLOOKUP(A214,Interest!$AF$8:$AK$367,6)</f>
        <v>0.967723569510139</v>
      </c>
      <c r="BK214" s="102"/>
      <c r="BL214" s="0" t="n">
        <f aca="false">J214*VLOOKUP(A214,NymexData!$J$12:$K$244,2)</f>
        <v>31939.4868596757</v>
      </c>
      <c r="BO214" s="0" t="n">
        <f aca="false">BO26</f>
        <v>0.967723569510139</v>
      </c>
      <c r="BP214" s="0" t="n">
        <f aca="false">G214*BO214</f>
        <v>-0.391928045651606</v>
      </c>
      <c r="BQ214" s="0" t="n">
        <f aca="false">IF(AND(A214&gt;=$B$191,A214&lt;=$B$192),1,0)</f>
        <v>0</v>
      </c>
      <c r="BR214" s="0" t="n">
        <f aca="false">BO214*BQ214</f>
        <v>0</v>
      </c>
      <c r="BS214" s="0" t="n">
        <f aca="false">BP214*BQ214</f>
        <v>-0</v>
      </c>
    </row>
    <row r="215" customFormat="false" ht="18" hidden="false" customHeight="false" outlineLevel="0" collapsed="false">
      <c r="A215" s="112" t="n">
        <f aca="false">A27</f>
        <v>37653</v>
      </c>
      <c r="B215" s="324" t="n">
        <f aca="false" t="array" ref="B215:B215">SUM(IF(MONTH(NymexData!$AL$12:$AL$250)&amp;YEAR(NymexData!$AL$12:$AL$250)=MONTH(A215)&amp;YEAR(A215),NymexData!$AM$12:$AM$250))</f>
        <v>-365.22775341</v>
      </c>
      <c r="C215" s="325" t="n">
        <f aca="false">BD215*BJ215*BI215</f>
        <v>0</v>
      </c>
      <c r="D215" s="326" t="n">
        <f aca="false">C215+B215</f>
        <v>-365.22775341</v>
      </c>
      <c r="E215" s="327" t="n">
        <f aca="false" t="array" ref="E215:E215">SUM(IF(MONTH(NymexData!$A$12:$A$250)&amp;YEAR(NymexData!$A$12:$A$250)=MONTH(A215)&amp;YEAR(A215),NymexData!$B$12:$B$250))</f>
        <v>-0.4</v>
      </c>
      <c r="F215" s="327" t="n">
        <f aca="false">G215-E215</f>
        <v>-0.005</v>
      </c>
      <c r="G215" s="328" t="n">
        <f aca="false" t="array" ref="G215:G215">IF(NymexData!$H$12="",GasPosn!E215,SUM(IF(MONTH(NymexData!$H$12:$H$250)&amp;YEAR(NymexData!$H$12:$H$250)=MONTH(A215)&amp;YEAR(A215),NymexData!$I$12:$I$250)))</f>
        <v>-0.405</v>
      </c>
      <c r="H215" s="115" t="n">
        <f aca="false">B215*10000*F215</f>
        <v>18261.3876705</v>
      </c>
      <c r="I215" s="119" t="n">
        <f aca="false">(((G215-Q215)*P215+(G215-S215)*R215+(G215-U215)*T215+(G215-W215)*V215+(G215-Y215)*X215+(G215-AA215)*Z215+(G215-AC215)*AB215+(G215-AE215)*AD215+(G215-AG215)*AF215+(G215-AI215)*AH215+(G215-AK215)*AJ215+(G215-AM215)*AL215+(G215-AO215)*AN215+(G215-AQ215)*AP215+(G215-AS215)*AR215+(G215-AU215)*AT215+(G215-AW215)*AV215+(G215-AY215)*AX215+(G215-BA215)*AZ215+(G215-BC215)*BB215)*BJ215*BI215)*10000</f>
        <v>-0</v>
      </c>
      <c r="J215" s="119" t="n">
        <f aca="false">H215+I215</f>
        <v>18261.3876705</v>
      </c>
      <c r="M215" s="46"/>
      <c r="O215" s="95" t="n">
        <f aca="false">A215</f>
        <v>37653</v>
      </c>
      <c r="BD215" s="100" t="n">
        <f aca="false">(P215+R215+T215+V215+X215+Z215+AB215+AD215+AF215+AH215+AJ215+AL215+AN215+AP215+AR215+AT215+AV215+AX215+AZ215+BB215)</f>
        <v>0</v>
      </c>
      <c r="BE215" s="322" t="n">
        <f aca="false">IF(AND(BD215=0,BH215=0),0,(ABS(P215)*Q215+ABS(R215)*S215+ABS(T215)*U215+ABS(V215)*W215+ABS(X215)*Y215+ABS(Z215)*AA215+ABS(AB215)*AC215+ABS(AD215)*AE215+ABS(AF215)*AG215+ABS(AH215)*AI215+ABS(AJ215)*AK215+ABS(AL215)*AM215+ABS(AN215)*AO215+ABS(AP215)*AQ215+ABS(AR215)*AS215+ABS(AT215)*AU215+ABS(AV215)*AW215+ABS(AX215)*AY215+ABS(AZ215)*BA215+ABS(BB215)*BC215)/BH215)</f>
        <v>0</v>
      </c>
      <c r="BF215" s="102"/>
      <c r="BG215" s="103" t="n">
        <f aca="false">O215</f>
        <v>37653</v>
      </c>
      <c r="BH215" s="323" t="n">
        <f aca="false">(ABS(P215)+ABS(R215)+ABS(T215)+ABS(V215)+ABS(X215)+ABS(Z215)+ABS(AB215)+ABS(AD215)+ABS(AF215)+ABS(AH215)+ABS(AJ215)+ABS(AL215)+ABS(AN215)+ABS(AP215)+ABS(AR215)+ABS(AT215)+ABS(AV215)+ABS(AX215)+ABS(AZ215)+ABS(BB215))</f>
        <v>0</v>
      </c>
      <c r="BI215" s="104" t="n">
        <f aca="false">VLOOKUP(GasPosn!A215,'Pricing Summary'!$AB$12:$AD$250,3)</f>
        <v>28</v>
      </c>
      <c r="BJ215" s="102" t="n">
        <f aca="false">VLOOKUP(A215,Interest!$AF$8:$AK$367,6)</f>
        <v>0.96501279473153</v>
      </c>
      <c r="BK215" s="102"/>
      <c r="BL215" s="0" t="n">
        <f aca="false">J215*VLOOKUP(A215,NymexData!$J$12:$K$244,2)</f>
        <v>28764.4150916111</v>
      </c>
      <c r="BO215" s="0" t="n">
        <f aca="false">BO27</f>
        <v>0.96501279473153</v>
      </c>
      <c r="BP215" s="0" t="n">
        <f aca="false">G215*BO215</f>
        <v>-0.39083018186627</v>
      </c>
      <c r="BQ215" s="0" t="n">
        <f aca="false">IF(AND(A215&gt;=$B$191,A215&lt;=$B$192),1,0)</f>
        <v>0</v>
      </c>
      <c r="BR215" s="0" t="n">
        <f aca="false">BO215*BQ215</f>
        <v>0</v>
      </c>
      <c r="BS215" s="0" t="n">
        <f aca="false">BP215*BQ215</f>
        <v>-0</v>
      </c>
    </row>
    <row r="216" customFormat="false" ht="18" hidden="false" customHeight="false" outlineLevel="0" collapsed="false">
      <c r="A216" s="75" t="n">
        <f aca="false">A28</f>
        <v>37681</v>
      </c>
      <c r="B216" s="317" t="n">
        <f aca="false" t="array" ref="B216:B216">SUM(IF(MONTH(NymexData!$AL$12:$AL$250)&amp;YEAR(NymexData!$AL$12:$AL$250)=MONTH(A216)&amp;YEAR(A216),NymexData!$AM$12:$AM$250))</f>
        <v>-403.23527187</v>
      </c>
      <c r="C216" s="317" t="n">
        <f aca="false">BD216*BJ216*BI216</f>
        <v>0</v>
      </c>
      <c r="D216" s="319" t="n">
        <f aca="false">C216+B216</f>
        <v>-403.23527187</v>
      </c>
      <c r="E216" s="320" t="n">
        <f aca="false" t="array" ref="E216:E216">SUM(IF(MONTH(NymexData!$A$12:$A$250)&amp;YEAR(NymexData!$A$12:$A$250)=MONTH(A216)&amp;YEAR(A216),NymexData!$B$12:$B$250))</f>
        <v>-0.4</v>
      </c>
      <c r="F216" s="320" t="n">
        <f aca="false">G216-E216</f>
        <v>-0.005</v>
      </c>
      <c r="G216" s="321" t="n">
        <f aca="false" t="array" ref="G216:G216">IF(NymexData!$H$12="",GasPosn!E216,SUM(IF(MONTH(NymexData!$H$12:$H$250)&amp;YEAR(NymexData!$H$12:$H$250)=MONTH(A216)&amp;YEAR(A216),NymexData!$I$12:$I$250)))</f>
        <v>-0.405</v>
      </c>
      <c r="H216" s="76" t="n">
        <f aca="false">B216*10000*F216</f>
        <v>20161.7635935</v>
      </c>
      <c r="I216" s="82" t="n">
        <f aca="false">(((G216-Q216)*P216+(G216-S216)*R216+(G216-U216)*T216+(G216-W216)*V216+(G216-Y216)*X216+(G216-AA216)*Z216+(G216-AC216)*AB216+(G216-AE216)*AD216+(G216-AG216)*AF216+(G216-AI216)*AH216+(G216-AK216)*AJ216+(G216-AM216)*AL216+(G216-AO216)*AN216+(G216-AQ216)*AP216+(G216-AS216)*AR216+(G216-AU216)*AT216+(G216-AW216)*AV216+(G216-AY216)*AX216+(G216-BA216)*AZ216+(G216-BC216)*BB216)*BJ216*BI216)*10000</f>
        <v>-0</v>
      </c>
      <c r="J216" s="82" t="n">
        <f aca="false">H216+I216</f>
        <v>20161.7635935</v>
      </c>
      <c r="M216" s="46"/>
      <c r="O216" s="95" t="n">
        <f aca="false">A216</f>
        <v>37681</v>
      </c>
      <c r="BD216" s="100" t="n">
        <f aca="false">(P216+R216+T216+V216+X216+Z216+AB216+AD216+AF216+AH216+AJ216+AL216+AN216+AP216+AR216+AT216+AV216+AX216+AZ216+BB216)</f>
        <v>0</v>
      </c>
      <c r="BE216" s="322" t="n">
        <f aca="false">IF(AND(BD216=0,BH216=0),0,(ABS(P216)*Q216+ABS(R216)*S216+ABS(T216)*U216+ABS(V216)*W216+ABS(X216)*Y216+ABS(Z216)*AA216+ABS(AB216)*AC216+ABS(AD216)*AE216+ABS(AF216)*AG216+ABS(AH216)*AI216+ABS(AJ216)*AK216+ABS(AL216)*AM216+ABS(AN216)*AO216+ABS(AP216)*AQ216+ABS(AR216)*AS216+ABS(AT216)*AU216+ABS(AV216)*AW216+ABS(AX216)*AY216+ABS(AZ216)*BA216+ABS(BB216)*BC216)/BH216)</f>
        <v>0</v>
      </c>
      <c r="BF216" s="102"/>
      <c r="BG216" s="103" t="n">
        <f aca="false">O216</f>
        <v>37681</v>
      </c>
      <c r="BH216" s="323" t="n">
        <f aca="false">(ABS(P216)+ABS(R216)+ABS(T216)+ABS(V216)+ABS(X216)+ABS(Z216)+ABS(AB216)+ABS(AD216)+ABS(AF216)+ABS(AH216)+ABS(AJ216)+ABS(AL216)+ABS(AN216)+ABS(AP216)+ABS(AR216)+ABS(AT216)+ABS(AV216)+ABS(AX216)+ABS(AZ216)+ABS(BB216))</f>
        <v>0</v>
      </c>
      <c r="BI216" s="104" t="n">
        <f aca="false">VLOOKUP(GasPosn!A216,'Pricing Summary'!$AB$12:$AD$250,3)</f>
        <v>31</v>
      </c>
      <c r="BJ216" s="102" t="n">
        <f aca="false">VLOOKUP(A216,Interest!$AF$8:$AK$367,6)</f>
        <v>0.962089507942958</v>
      </c>
      <c r="BK216" s="102"/>
      <c r="BL216" s="0" t="n">
        <f aca="false">J216*VLOOKUP(A216,NymexData!$J$12:$K$244,2)</f>
        <v>31759.5912084172</v>
      </c>
      <c r="BO216" s="0" t="n">
        <f aca="false">BO28</f>
        <v>0.962089507942958</v>
      </c>
      <c r="BP216" s="0" t="n">
        <f aca="false">G216*BO216</f>
        <v>-0.389646250716898</v>
      </c>
      <c r="BQ216" s="0" t="n">
        <f aca="false">IF(AND(A216&gt;=$B$191,A216&lt;=$B$192),1,0)</f>
        <v>0</v>
      </c>
      <c r="BR216" s="0" t="n">
        <f aca="false">BO216*BQ216</f>
        <v>0</v>
      </c>
      <c r="BS216" s="0" t="n">
        <f aca="false">BP216*BQ216</f>
        <v>-0</v>
      </c>
    </row>
    <row r="217" customFormat="false" ht="18" hidden="false" customHeight="false" outlineLevel="0" collapsed="false">
      <c r="A217" s="112" t="n">
        <f aca="false">A29</f>
        <v>37712</v>
      </c>
      <c r="B217" s="324" t="n">
        <f aca="false" t="array" ref="B217:B217">SUM(IF(MONTH(NymexData!$AL$12:$AL$250)&amp;YEAR(NymexData!$AL$12:$AL$250)=MONTH(A217)&amp;YEAR(A217),NymexData!$AM$12:$AM$250))</f>
        <v>-345.76905885</v>
      </c>
      <c r="C217" s="325" t="n">
        <f aca="false">BD217*BJ217*BI217</f>
        <v>0</v>
      </c>
      <c r="D217" s="326" t="n">
        <f aca="false">C217+B217</f>
        <v>-345.76905885</v>
      </c>
      <c r="E217" s="327" t="n">
        <f aca="false" t="array" ref="E217:E217">SUM(IF(MONTH(NymexData!$A$12:$A$250)&amp;YEAR(NymexData!$A$12:$A$250)=MONTH(A217)&amp;YEAR(A217),NymexData!$B$12:$B$250))</f>
        <v>-0.415</v>
      </c>
      <c r="F217" s="327" t="n">
        <f aca="false">G217-E217</f>
        <v>-0.005</v>
      </c>
      <c r="G217" s="328" t="n">
        <f aca="false" t="array" ref="G217:G217">IF(NymexData!$H$12="",GasPosn!E217,SUM(IF(MONTH(NymexData!$H$12:$H$250)&amp;YEAR(NymexData!$H$12:$H$250)=MONTH(A217)&amp;YEAR(A217),NymexData!$I$12:$I$250)))</f>
        <v>-0.42</v>
      </c>
      <c r="H217" s="115" t="n">
        <f aca="false">B217*10000*F217</f>
        <v>17288.4529425</v>
      </c>
      <c r="I217" s="119" t="n">
        <f aca="false">(((G217-Q217)*P217+(G217-S217)*R217+(G217-U217)*T217+(G217-W217)*V217+(G217-Y217)*X217+(G217-AA217)*Z217+(G217-AC217)*AB217+(G217-AE217)*AD217+(G217-AG217)*AF217+(G217-AI217)*AH217+(G217-AK217)*AJ217+(G217-AM217)*AL217+(G217-AO217)*AN217+(G217-AQ217)*AP217+(G217-AS217)*AR217+(G217-AU217)*AT217+(G217-AW217)*AV217+(G217-AY217)*AX217+(G217-BA217)*AZ217+(G217-BC217)*BB217)*BJ217*BI217)*10000</f>
        <v>-0</v>
      </c>
      <c r="J217" s="119" t="n">
        <f aca="false">H217+I217</f>
        <v>17288.4529425</v>
      </c>
      <c r="M217" s="46"/>
      <c r="O217" s="95" t="n">
        <f aca="false">A217</f>
        <v>37712</v>
      </c>
      <c r="BD217" s="100" t="n">
        <f aca="false">(P217+R217+T217+V217+X217+Z217+AB217+AD217+AF217+AH217+AJ217+AL217+AN217+AP217+AR217+AT217+AV217+AX217+AZ217+BB217)</f>
        <v>0</v>
      </c>
      <c r="BE217" s="322" t="n">
        <f aca="false">IF(AND(BD217=0,BH217=0),0,(ABS(P217)*Q217+ABS(R217)*S217+ABS(T217)*U217+ABS(V217)*W217+ABS(X217)*Y217+ABS(Z217)*AA217+ABS(AB217)*AC217+ABS(AD217)*AE217+ABS(AF217)*AG217+ABS(AH217)*AI217+ABS(AJ217)*AK217+ABS(AL217)*AM217+ABS(AN217)*AO217+ABS(AP217)*AQ217+ABS(AR217)*AS217+ABS(AT217)*AU217+ABS(AV217)*AW217+ABS(AX217)*AY217+ABS(AZ217)*BA217+ABS(BB217)*BC217)/BH217)</f>
        <v>0</v>
      </c>
      <c r="BF217" s="102"/>
      <c r="BG217" s="103" t="n">
        <f aca="false">O217</f>
        <v>37712</v>
      </c>
      <c r="BH217" s="323" t="n">
        <f aca="false">(ABS(P217)+ABS(R217)+ABS(T217)+ABS(V217)+ABS(X217)+ABS(Z217)+ABS(AB217)+ABS(AD217)+ABS(AF217)+ABS(AH217)+ABS(AJ217)+ABS(AL217)+ABS(AN217)+ABS(AP217)+ABS(AR217)+ABS(AT217)+ABS(AV217)+ABS(AX217)+ABS(AZ217)+ABS(BB217))</f>
        <v>0</v>
      </c>
      <c r="BI217" s="104" t="n">
        <f aca="false">VLOOKUP(GasPosn!A217,'Pricing Summary'!$AB$12:$AD$250,3)</f>
        <v>30</v>
      </c>
      <c r="BJ217" s="102" t="n">
        <f aca="false">VLOOKUP(A217,Interest!$AF$8:$AK$367,6)</f>
        <v>0.959065489223597</v>
      </c>
      <c r="BK217" s="102"/>
      <c r="BL217" s="0" t="n">
        <f aca="false">J217*VLOOKUP(A217,NymexData!$J$12:$K$244,2)</f>
        <v>27234.8161844553</v>
      </c>
      <c r="BO217" s="0" t="n">
        <f aca="false">BO29</f>
        <v>0.959065489223597</v>
      </c>
      <c r="BP217" s="0" t="n">
        <f aca="false">G217*BO217</f>
        <v>-0.402807505473911</v>
      </c>
      <c r="BQ217" s="0" t="n">
        <f aca="false">IF(AND(A217&gt;=$B$191,A217&lt;=$B$192),1,0)</f>
        <v>0</v>
      </c>
      <c r="BR217" s="0" t="n">
        <f aca="false">BO217*BQ217</f>
        <v>0</v>
      </c>
      <c r="BS217" s="0" t="n">
        <f aca="false">BP217*BQ217</f>
        <v>-0</v>
      </c>
    </row>
    <row r="218" customFormat="false" ht="18" hidden="false" customHeight="false" outlineLevel="0" collapsed="false">
      <c r="A218" s="75" t="n">
        <f aca="false">A30</f>
        <v>37742</v>
      </c>
      <c r="B218" s="317" t="n">
        <f aca="false" t="array" ref="B218:B218">SUM(IF(MONTH(NymexData!$AL$12:$AL$250)&amp;YEAR(NymexData!$AL$12:$AL$250)=MONTH(A218)&amp;YEAR(A218),NymexData!$AM$12:$AM$250))</f>
        <v>-356.16452328</v>
      </c>
      <c r="C218" s="317" t="n">
        <f aca="false">BD218*BJ218*BI218</f>
        <v>0</v>
      </c>
      <c r="D218" s="319" t="n">
        <f aca="false">C218+B218</f>
        <v>-356.16452328</v>
      </c>
      <c r="E218" s="320" t="n">
        <f aca="false" t="array" ref="E218:E218">SUM(IF(MONTH(NymexData!$A$12:$A$250)&amp;YEAR(NymexData!$A$12:$A$250)=MONTH(A218)&amp;YEAR(A218),NymexData!$B$12:$B$250))</f>
        <v>-0.415</v>
      </c>
      <c r="F218" s="320" t="n">
        <f aca="false">G218-E218</f>
        <v>-0.005</v>
      </c>
      <c r="G218" s="321" t="n">
        <f aca="false" t="array" ref="G218:G218">IF(NymexData!$H$12="",GasPosn!E218,SUM(IF(MONTH(NymexData!$H$12:$H$250)&amp;YEAR(NymexData!$H$12:$H$250)=MONTH(A218)&amp;YEAR(A218),NymexData!$I$12:$I$250)))</f>
        <v>-0.42</v>
      </c>
      <c r="H218" s="76" t="n">
        <f aca="false">B218*10000*F218</f>
        <v>17808.226164</v>
      </c>
      <c r="I218" s="82" t="n">
        <f aca="false">(((G218-Q218)*P218+(G218-S218)*R218+(G218-U218)*T218+(G218-W218)*V218+(G218-Y218)*X218+(G218-AA218)*Z218+(G218-AC218)*AB218+(G218-AE218)*AD218+(G218-AG218)*AF218+(G218-AI218)*AH218+(G218-AK218)*AJ218+(G218-AM218)*AL218+(G218-AO218)*AN218+(G218-AQ218)*AP218+(G218-AS218)*AR218+(G218-AU218)*AT218+(G218-AW218)*AV218+(G218-AY218)*AX218+(G218-BA218)*AZ218+(G218-BC218)*BB218)*BJ218*BI218)*10000</f>
        <v>-0</v>
      </c>
      <c r="J218" s="82" t="n">
        <f aca="false">H218+I218</f>
        <v>17808.226164</v>
      </c>
      <c r="M218" s="46"/>
      <c r="O218" s="95" t="n">
        <f aca="false">A218</f>
        <v>37742</v>
      </c>
      <c r="BD218" s="100" t="n">
        <f aca="false">(P218+R218+T218+V218+X218+Z218+AB218+AD218+AF218+AH218+AJ218+AL218+AN218+AP218+AR218+AT218+AV218+AX218+AZ218+BB218)</f>
        <v>0</v>
      </c>
      <c r="BE218" s="322" t="n">
        <f aca="false">IF(AND(BD218=0,BH218=0),0,(ABS(P218)*Q218+ABS(R218)*S218+ABS(T218)*U218+ABS(V218)*W218+ABS(X218)*Y218+ABS(Z218)*AA218+ABS(AB218)*AC218+ABS(AD218)*AE218+ABS(AF218)*AG218+ABS(AH218)*AI218+ABS(AJ218)*AK218+ABS(AL218)*AM218+ABS(AN218)*AO218+ABS(AP218)*AQ218+ABS(AR218)*AS218+ABS(AT218)*AU218+ABS(AV218)*AW218+ABS(AX218)*AY218+ABS(AZ218)*BA218+ABS(BB218)*BC218)/BH218)</f>
        <v>0</v>
      </c>
      <c r="BF218" s="102"/>
      <c r="BG218" s="103" t="n">
        <f aca="false">O218</f>
        <v>37742</v>
      </c>
      <c r="BH218" s="323" t="n">
        <f aca="false">(ABS(P218)+ABS(R218)+ABS(T218)+ABS(V218)+ABS(X218)+ABS(Z218)+ABS(AB218)+ABS(AD218)+ABS(AF218)+ABS(AH218)+ABS(AJ218)+ABS(AL218)+ABS(AN218)+ABS(AP218)+ABS(AR218)+ABS(AT218)+ABS(AV218)+ABS(AX218)+ABS(AZ218)+ABS(BB218))</f>
        <v>0</v>
      </c>
      <c r="BI218" s="104" t="n">
        <f aca="false">VLOOKUP(GasPosn!A218,'Pricing Summary'!$AB$12:$AD$250,3)</f>
        <v>31</v>
      </c>
      <c r="BJ218" s="102" t="n">
        <f aca="false">VLOOKUP(A218,Interest!$AF$8:$AK$367,6)</f>
        <v>0.955920741176555</v>
      </c>
      <c r="BK218" s="102"/>
      <c r="BL218" s="0" t="n">
        <f aca="false">J218*VLOOKUP(A218,NymexData!$J$12:$K$244,2)</f>
        <v>28054.9087263508</v>
      </c>
      <c r="BO218" s="0" t="n">
        <f aca="false">BO30</f>
        <v>0.955920741176555</v>
      </c>
      <c r="BP218" s="0" t="n">
        <f aca="false">G218*BO218</f>
        <v>-0.401486711294153</v>
      </c>
      <c r="BQ218" s="0" t="n">
        <f aca="false">IF(AND(A218&gt;=$B$191,A218&lt;=$B$192),1,0)</f>
        <v>0</v>
      </c>
      <c r="BR218" s="0" t="n">
        <f aca="false">BO218*BQ218</f>
        <v>0</v>
      </c>
      <c r="BS218" s="0" t="n">
        <f aca="false">BP218*BQ218</f>
        <v>-0</v>
      </c>
    </row>
    <row r="219" customFormat="false" ht="18" hidden="false" customHeight="false" outlineLevel="0" collapsed="false">
      <c r="A219" s="112" t="n">
        <f aca="false">A31</f>
        <v>37773</v>
      </c>
      <c r="B219" s="324" t="n">
        <f aca="false" t="array" ref="B219:B219">SUM(IF(MONTH(NymexData!$AL$12:$AL$250)&amp;YEAR(NymexData!$AL$12:$AL$250)=MONTH(A219)&amp;YEAR(A219),NymexData!$AM$12:$AM$250))</f>
        <v>-343.51532546</v>
      </c>
      <c r="C219" s="325" t="n">
        <f aca="false">BD219*BJ219*BI219</f>
        <v>0</v>
      </c>
      <c r="D219" s="326" t="n">
        <f aca="false">C219+B219</f>
        <v>-343.51532546</v>
      </c>
      <c r="E219" s="327" t="n">
        <f aca="false" t="array" ref="E219:E219">SUM(IF(MONTH(NymexData!$A$12:$A$250)&amp;YEAR(NymexData!$A$12:$A$250)=MONTH(A219)&amp;YEAR(A219),NymexData!$B$12:$B$250))</f>
        <v>-0.415</v>
      </c>
      <c r="F219" s="327" t="n">
        <f aca="false">G219-E219</f>
        <v>-0.005</v>
      </c>
      <c r="G219" s="328" t="n">
        <f aca="false" t="array" ref="G219:G219">IF(NymexData!$H$12="",GasPosn!E219,SUM(IF(MONTH(NymexData!$H$12:$H$250)&amp;YEAR(NymexData!$H$12:$H$250)=MONTH(A219)&amp;YEAR(A219),NymexData!$I$12:$I$250)))</f>
        <v>-0.42</v>
      </c>
      <c r="H219" s="115" t="n">
        <f aca="false">B219*10000*F219</f>
        <v>17175.766273</v>
      </c>
      <c r="I219" s="119" t="n">
        <f aca="false">(((G219-Q219)*P219+(G219-S219)*R219+(G219-U219)*T219+(G219-W219)*V219+(G219-Y219)*X219+(G219-AA219)*Z219+(G219-AC219)*AB219+(G219-AE219)*AD219+(G219-AG219)*AF219+(G219-AI219)*AH219+(G219-AK219)*AJ219+(G219-AM219)*AL219+(G219-AO219)*AN219+(G219-AQ219)*AP219+(G219-AS219)*AR219+(G219-AU219)*AT219+(G219-AW219)*AV219+(G219-AY219)*AX219+(G219-BA219)*AZ219+(G219-BC219)*BB219)*BJ219*BI219)*10000</f>
        <v>-0</v>
      </c>
      <c r="J219" s="119" t="n">
        <f aca="false">H219+I219</f>
        <v>17175.766273</v>
      </c>
      <c r="M219" s="46"/>
      <c r="O219" s="95" t="n">
        <f aca="false">A219</f>
        <v>37773</v>
      </c>
      <c r="BD219" s="100" t="n">
        <f aca="false">(P219+R219+T219+V219+X219+Z219+AB219+AD219+AF219+AH219+AJ219+AL219+AN219+AP219+AR219+AT219+AV219+AX219+AZ219+BB219)</f>
        <v>0</v>
      </c>
      <c r="BE219" s="322" t="n">
        <f aca="false">IF(AND(BD219=0,BH219=0),0,(ABS(P219)*Q219+ABS(R219)*S219+ABS(T219)*U219+ABS(V219)*W219+ABS(X219)*Y219+ABS(Z219)*AA219+ABS(AB219)*AC219+ABS(AD219)*AE219+ABS(AF219)*AG219+ABS(AH219)*AI219+ABS(AJ219)*AK219+ABS(AL219)*AM219+ABS(AN219)*AO219+ABS(AP219)*AQ219+ABS(AR219)*AS219+ABS(AT219)*AU219+ABS(AV219)*AW219+ABS(AX219)*AY219+ABS(AZ219)*BA219+ABS(BB219)*BC219)/BH219)</f>
        <v>0</v>
      </c>
      <c r="BF219" s="102"/>
      <c r="BG219" s="103" t="n">
        <f aca="false">O219</f>
        <v>37773</v>
      </c>
      <c r="BH219" s="323" t="n">
        <f aca="false">(ABS(P219)+ABS(R219)+ABS(T219)+ABS(V219)+ABS(X219)+ABS(Z219)+ABS(AB219)+ABS(AD219)+ABS(AF219)+ABS(AH219)+ABS(AJ219)+ABS(AL219)+ABS(AN219)+ABS(AP219)+ABS(AR219)+ABS(AT219)+ABS(AV219)+ABS(AX219)+ABS(AZ219)+ABS(BB219))</f>
        <v>0</v>
      </c>
      <c r="BI219" s="104" t="n">
        <f aca="false">VLOOKUP(GasPosn!A219,'Pricing Summary'!$AB$12:$AD$250,3)</f>
        <v>30</v>
      </c>
      <c r="BJ219" s="102" t="n">
        <f aca="false">VLOOKUP(A219,Interest!$AF$8:$AK$367,6)</f>
        <v>0.952732957509094</v>
      </c>
      <c r="BK219" s="102"/>
      <c r="BL219" s="0" t="n">
        <f aca="false">J219*VLOOKUP(A219,NymexData!$J$12:$K$244,2)</f>
        <v>27059.6987822484</v>
      </c>
      <c r="BO219" s="0" t="n">
        <f aca="false">BO31</f>
        <v>0.952732957509094</v>
      </c>
      <c r="BP219" s="0" t="n">
        <f aca="false">G219*BO219</f>
        <v>-0.40014784215382</v>
      </c>
      <c r="BQ219" s="0" t="n">
        <f aca="false">IF(AND(A219&gt;=$B$191,A219&lt;=$B$192),1,0)</f>
        <v>0</v>
      </c>
      <c r="BR219" s="0" t="n">
        <f aca="false">BO219*BQ219</f>
        <v>0</v>
      </c>
      <c r="BS219" s="0" t="n">
        <f aca="false">BP219*BQ219</f>
        <v>-0</v>
      </c>
    </row>
    <row r="220" customFormat="false" ht="18" hidden="false" customHeight="false" outlineLevel="0" collapsed="false">
      <c r="A220" s="75" t="n">
        <f aca="false">A32</f>
        <v>37803</v>
      </c>
      <c r="B220" s="317" t="n">
        <f aca="false" t="array" ref="B220:B220">SUM(IF(MONTH(NymexData!$AL$12:$AL$250)&amp;YEAR(NymexData!$AL$12:$AL$250)=MONTH(A220)&amp;YEAR(A220),NymexData!$AM$12:$AM$250))</f>
        <v>-353.7763015</v>
      </c>
      <c r="C220" s="317" t="n">
        <f aca="false">BD220*BJ220*BI220</f>
        <v>0</v>
      </c>
      <c r="D220" s="319" t="n">
        <f aca="false">C220+B220</f>
        <v>-353.7763015</v>
      </c>
      <c r="E220" s="320" t="n">
        <f aca="false" t="array" ref="E220:E220">SUM(IF(MONTH(NymexData!$A$12:$A$250)&amp;YEAR(NymexData!$A$12:$A$250)=MONTH(A220)&amp;YEAR(A220),NymexData!$B$12:$B$250))</f>
        <v>-0.415</v>
      </c>
      <c r="F220" s="320" t="n">
        <f aca="false">G220-E220</f>
        <v>-0.005</v>
      </c>
      <c r="G220" s="321" t="n">
        <f aca="false" t="array" ref="G220:G220">IF(NymexData!$H$12="",GasPosn!E220,SUM(IF(MONTH(NymexData!$H$12:$H$250)&amp;YEAR(NymexData!$H$12:$H$250)=MONTH(A220)&amp;YEAR(A220),NymexData!$I$12:$I$250)))</f>
        <v>-0.42</v>
      </c>
      <c r="H220" s="76" t="n">
        <f aca="false">B220*10000*F220</f>
        <v>17688.815075</v>
      </c>
      <c r="I220" s="82" t="n">
        <f aca="false">(((G220-Q220)*P220+(G220-S220)*R220+(G220-U220)*T220+(G220-W220)*V220+(G220-Y220)*X220+(G220-AA220)*Z220+(G220-AC220)*AB220+(G220-AE220)*AD220+(G220-AG220)*AF220+(G220-AI220)*AH220+(G220-AK220)*AJ220+(G220-AM220)*AL220+(G220-AO220)*AN220+(G220-AQ220)*AP220+(G220-AS220)*AR220+(G220-AU220)*AT220+(G220-AW220)*AV220+(G220-AY220)*AX220+(G220-BA220)*AZ220+(G220-BC220)*BB220)*BJ220*BI220)*10000</f>
        <v>-0</v>
      </c>
      <c r="J220" s="82" t="n">
        <f aca="false">H220+I220</f>
        <v>17688.815075</v>
      </c>
      <c r="M220" s="46"/>
      <c r="O220" s="95" t="n">
        <f aca="false">A220</f>
        <v>37803</v>
      </c>
      <c r="BD220" s="100" t="n">
        <f aca="false">(P220+R220+T220+V220+X220+Z220+AB220+AD220+AF220+AH220+AJ220+AL220+AN220+AP220+AR220+AT220+AV220+AX220+AZ220+BB220)</f>
        <v>0</v>
      </c>
      <c r="BE220" s="322" t="n">
        <f aca="false">IF(AND(BD220=0,BH220=0),0,(ABS(P220)*Q220+ABS(R220)*S220+ABS(T220)*U220+ABS(V220)*W220+ABS(X220)*Y220+ABS(Z220)*AA220+ABS(AB220)*AC220+ABS(AD220)*AE220+ABS(AF220)*AG220+ABS(AH220)*AI220+ABS(AJ220)*AK220+ABS(AL220)*AM220+ABS(AN220)*AO220+ABS(AP220)*AQ220+ABS(AR220)*AS220+ABS(AT220)*AU220+ABS(AV220)*AW220+ABS(AX220)*AY220+ABS(AZ220)*BA220+ABS(BB220)*BC220)/BH220)</f>
        <v>0</v>
      </c>
      <c r="BF220" s="102"/>
      <c r="BG220" s="103" t="n">
        <f aca="false">O220</f>
        <v>37803</v>
      </c>
      <c r="BH220" s="323" t="n">
        <f aca="false">(ABS(P220)+ABS(R220)+ABS(T220)+ABS(V220)+ABS(X220)+ABS(Z220)+ABS(AB220)+ABS(AD220)+ABS(AF220)+ABS(AH220)+ABS(AJ220)+ABS(AL220)+ABS(AN220)+ABS(AP220)+ABS(AR220)+ABS(AT220)+ABS(AV220)+ABS(AX220)+ABS(AZ220)+ABS(BB220))</f>
        <v>0</v>
      </c>
      <c r="BI220" s="104" t="n">
        <f aca="false">VLOOKUP(GasPosn!A220,'Pricing Summary'!$AB$12:$AD$250,3)</f>
        <v>31</v>
      </c>
      <c r="BJ220" s="102" t="n">
        <f aca="false">VLOOKUP(A220,Interest!$AF$8:$AK$367,6)</f>
        <v>0.949413656410094</v>
      </c>
      <c r="BK220" s="102"/>
      <c r="BL220" s="0" t="n">
        <f aca="false">J220*VLOOKUP(A220,NymexData!$J$12:$K$244,2)</f>
        <v>27868.7134547267</v>
      </c>
      <c r="BO220" s="0" t="n">
        <f aca="false">BO32</f>
        <v>0.949413656410094</v>
      </c>
      <c r="BP220" s="0" t="n">
        <f aca="false">G220*BO220</f>
        <v>-0.398753735692239</v>
      </c>
      <c r="BQ220" s="0" t="n">
        <f aca="false">IF(AND(A220&gt;=$B$191,A220&lt;=$B$192),1,0)</f>
        <v>0</v>
      </c>
      <c r="BR220" s="0" t="n">
        <f aca="false">BO220*BQ220</f>
        <v>0</v>
      </c>
      <c r="BS220" s="0" t="n">
        <f aca="false">BP220*BQ220</f>
        <v>-0</v>
      </c>
    </row>
    <row r="221" customFormat="false" ht="18" hidden="false" customHeight="false" outlineLevel="0" collapsed="false">
      <c r="A221" s="112" t="n">
        <f aca="false">A33</f>
        <v>37834</v>
      </c>
      <c r="B221" s="324" t="n">
        <f aca="false" t="array" ref="B221:B221">SUM(IF(MONTH(NymexData!$AL$12:$AL$250)&amp;YEAR(NymexData!$AL$12:$AL$250)=MONTH(A221)&amp;YEAR(A221),NymexData!$AM$12:$AM$250))</f>
        <v>-352.51697211</v>
      </c>
      <c r="C221" s="325" t="n">
        <f aca="false">BD221*BJ221*BI221</f>
        <v>0</v>
      </c>
      <c r="D221" s="326" t="n">
        <f aca="false">C221+B221</f>
        <v>-352.51697211</v>
      </c>
      <c r="E221" s="327" t="n">
        <f aca="false" t="array" ref="E221:E221">SUM(IF(MONTH(NymexData!$A$12:$A$250)&amp;YEAR(NymexData!$A$12:$A$250)=MONTH(A221)&amp;YEAR(A221),NymexData!$B$12:$B$250))</f>
        <v>-0.415</v>
      </c>
      <c r="F221" s="327" t="n">
        <f aca="false">G221-E221</f>
        <v>-0.005</v>
      </c>
      <c r="G221" s="328" t="n">
        <f aca="false" t="array" ref="G221:G221">IF(NymexData!$H$12="",GasPosn!E221,SUM(IF(MONTH(NymexData!$H$12:$H$250)&amp;YEAR(NymexData!$H$12:$H$250)=MONTH(A221)&amp;YEAR(A221),NymexData!$I$12:$I$250)))</f>
        <v>-0.42</v>
      </c>
      <c r="H221" s="115" t="n">
        <f aca="false">B221*10000*F221</f>
        <v>17625.8486055</v>
      </c>
      <c r="I221" s="119" t="n">
        <f aca="false">(((G221-Q221)*P221+(G221-S221)*R221+(G221-U221)*T221+(G221-W221)*V221+(G221-Y221)*X221+(G221-AA221)*Z221+(G221-AC221)*AB221+(G221-AE221)*AD221+(G221-AG221)*AF221+(G221-AI221)*AH221+(G221-AK221)*AJ221+(G221-AM221)*AL221+(G221-AO221)*AN221+(G221-AQ221)*AP221+(G221-AS221)*AR221+(G221-AU221)*AT221+(G221-AW221)*AV221+(G221-AY221)*AX221+(G221-BA221)*AZ221+(G221-BC221)*BB221)*BJ221*BI221)*10000</f>
        <v>-0</v>
      </c>
      <c r="J221" s="119" t="n">
        <f aca="false">H221+I221</f>
        <v>17625.8486055</v>
      </c>
      <c r="M221" s="46"/>
      <c r="O221" s="95" t="n">
        <f aca="false">A221</f>
        <v>37834</v>
      </c>
      <c r="BD221" s="100" t="n">
        <f aca="false">(P221+R221+T221+V221+X221+Z221+AB221+AD221+AF221+AH221+AJ221+AL221+AN221+AP221+AR221+AT221+AV221+AX221+AZ221+BB221)</f>
        <v>0</v>
      </c>
      <c r="BE221" s="322" t="n">
        <f aca="false">IF(AND(BD221=0,BH221=0),0,(ABS(P221)*Q221+ABS(R221)*S221+ABS(T221)*U221+ABS(V221)*W221+ABS(X221)*Y221+ABS(Z221)*AA221+ABS(AB221)*AC221+ABS(AD221)*AE221+ABS(AF221)*AG221+ABS(AH221)*AI221+ABS(AJ221)*AK221+ABS(AL221)*AM221+ABS(AN221)*AO221+ABS(AP221)*AQ221+ABS(AR221)*AS221+ABS(AT221)*AU221+ABS(AV221)*AW221+ABS(AX221)*AY221+ABS(AZ221)*BA221+ABS(BB221)*BC221)/BH221)</f>
        <v>0</v>
      </c>
      <c r="BF221" s="102"/>
      <c r="BG221" s="103" t="n">
        <f aca="false">O221</f>
        <v>37834</v>
      </c>
      <c r="BH221" s="323" t="n">
        <f aca="false">(ABS(P221)+ABS(R221)+ABS(T221)+ABS(V221)+ABS(X221)+ABS(Z221)+ABS(AB221)+ABS(AD221)+ABS(AF221)+ABS(AH221)+ABS(AJ221)+ABS(AL221)+ABS(AN221)+ABS(AP221)+ABS(AR221)+ABS(AT221)+ABS(AV221)+ABS(AX221)+ABS(AZ221)+ABS(BB221))</f>
        <v>0</v>
      </c>
      <c r="BI221" s="104" t="n">
        <f aca="false">VLOOKUP(GasPosn!A221,'Pricing Summary'!$AB$12:$AD$250,3)</f>
        <v>31</v>
      </c>
      <c r="BJ221" s="102" t="n">
        <f aca="false">VLOOKUP(A221,Interest!$AF$8:$AK$367,6)</f>
        <v>0.945969254608186</v>
      </c>
      <c r="BK221" s="102"/>
      <c r="BL221" s="0" t="n">
        <f aca="false">J221*VLOOKUP(A221,NymexData!$J$12:$K$244,2)</f>
        <v>27769.6390805041</v>
      </c>
      <c r="BO221" s="0" t="n">
        <f aca="false">BO33</f>
        <v>0.945969254608186</v>
      </c>
      <c r="BP221" s="0" t="n">
        <f aca="false">G221*BO221</f>
        <v>-0.397307086935438</v>
      </c>
      <c r="BQ221" s="0" t="n">
        <f aca="false">IF(AND(A221&gt;=$B$191,A221&lt;=$B$192),1,0)</f>
        <v>0</v>
      </c>
      <c r="BR221" s="0" t="n">
        <f aca="false">BO221*BQ221</f>
        <v>0</v>
      </c>
      <c r="BS221" s="0" t="n">
        <f aca="false">BP221*BQ221</f>
        <v>-0</v>
      </c>
    </row>
    <row r="222" customFormat="false" ht="18" hidden="false" customHeight="false" outlineLevel="0" collapsed="false">
      <c r="A222" s="75" t="n">
        <f aca="false">A34</f>
        <v>37865</v>
      </c>
      <c r="B222" s="317" t="n">
        <f aca="false" t="array" ref="B222:B222">SUM(IF(MONTH(NymexData!$AL$12:$AL$250)&amp;YEAR(NymexData!$AL$12:$AL$250)=MONTH(A222)&amp;YEAR(A222),NymexData!$AM$12:$AM$250))</f>
        <v>-339.89745933</v>
      </c>
      <c r="C222" s="318" t="n">
        <f aca="false">BD222*BJ222*BI222</f>
        <v>0</v>
      </c>
      <c r="D222" s="319" t="n">
        <f aca="false">C222+B222</f>
        <v>-339.89745933</v>
      </c>
      <c r="E222" s="320" t="n">
        <f aca="false" t="array" ref="E222:E222">SUM(IF(MONTH(NymexData!$A$12:$A$250)&amp;YEAR(NymexData!$A$12:$A$250)=MONTH(A222)&amp;YEAR(A222),NymexData!$B$12:$B$250))</f>
        <v>-0.415</v>
      </c>
      <c r="F222" s="320" t="n">
        <f aca="false">G222-E222</f>
        <v>-0.005</v>
      </c>
      <c r="G222" s="321" t="n">
        <f aca="false" t="array" ref="G222:G222">IF(NymexData!$H$12="",GasPosn!E222,SUM(IF(MONTH(NymexData!$H$12:$H$250)&amp;YEAR(NymexData!$H$12:$H$250)=MONTH(A222)&amp;YEAR(A222),NymexData!$I$12:$I$250)))</f>
        <v>-0.42</v>
      </c>
      <c r="H222" s="76" t="n">
        <f aca="false">B222*10000*F222</f>
        <v>16994.8729665</v>
      </c>
      <c r="I222" s="82" t="n">
        <f aca="false">(((G222-Q222)*P222+(G222-S222)*R222+(G222-U222)*T222+(G222-W222)*V222+(G222-Y222)*X222+(G222-AA222)*Z222+(G222-AC222)*AB222+(G222-AE222)*AD222+(G222-AG222)*AF222+(G222-AI222)*AH222+(G222-AK222)*AJ222+(G222-AM222)*AL222+(G222-AO222)*AN222+(G222-AQ222)*AP222+(G222-AS222)*AR222+(G222-AU222)*AT222+(G222-AW222)*AV222+(G222-AY222)*AX222+(G222-BA222)*AZ222+(G222-BC222)*BB222)*BJ222*BI222)*10000</f>
        <v>-0</v>
      </c>
      <c r="J222" s="82" t="n">
        <f aca="false">H222+I222</f>
        <v>16994.8729665</v>
      </c>
      <c r="M222" s="46"/>
      <c r="O222" s="95" t="n">
        <f aca="false">A222</f>
        <v>37865</v>
      </c>
      <c r="BD222" s="100" t="n">
        <f aca="false">(P222+R222+T222+V222+X222+Z222+AB222+AD222+AF222+AH222+AJ222+AL222+AN222+AP222+AR222+AT222+AV222+AX222+AZ222+BB222)</f>
        <v>0</v>
      </c>
      <c r="BE222" s="322" t="n">
        <f aca="false">IF(AND(BD222=0,BH222=0),0,(ABS(P222)*Q222+ABS(R222)*S222+ABS(T222)*U222+ABS(V222)*W222+ABS(X222)*Y222+ABS(Z222)*AA222+ABS(AB222)*AC222+ABS(AD222)*AE222+ABS(AF222)*AG222+ABS(AH222)*AI222+ABS(AJ222)*AK222+ABS(AL222)*AM222+ABS(AN222)*AO222+ABS(AP222)*AQ222+ABS(AR222)*AS222+ABS(AT222)*AU222+ABS(AV222)*AW222+ABS(AX222)*AY222+ABS(AZ222)*BA222+ABS(BB222)*BC222)/BH222)</f>
        <v>0</v>
      </c>
      <c r="BF222" s="102"/>
      <c r="BG222" s="103" t="n">
        <f aca="false">O222</f>
        <v>37865</v>
      </c>
      <c r="BH222" s="323" t="n">
        <f aca="false">(ABS(P222)+ABS(R222)+ABS(T222)+ABS(V222)+ABS(X222)+ABS(Z222)+ABS(AB222)+ABS(AD222)+ABS(AF222)+ABS(AH222)+ABS(AJ222)+ABS(AL222)+ABS(AN222)+ABS(AP222)+ABS(AR222)+ABS(AT222)+ABS(AV222)+ABS(AX222)+ABS(AZ222)+ABS(BB222))</f>
        <v>0</v>
      </c>
      <c r="BI222" s="104" t="n">
        <f aca="false">VLOOKUP(GasPosn!A222,'Pricing Summary'!$AB$12:$AD$250,3)</f>
        <v>30</v>
      </c>
      <c r="BJ222" s="102" t="n">
        <f aca="false">VLOOKUP(A222,Interest!$AF$8:$AK$367,6)</f>
        <v>0.942517037843269</v>
      </c>
      <c r="BK222" s="102"/>
      <c r="BL222" s="0" t="n">
        <f aca="false">J222*VLOOKUP(A222,NymexData!$J$12:$K$244,2)</f>
        <v>26775.4644059414</v>
      </c>
      <c r="BO222" s="0" t="n">
        <f aca="false">BO34</f>
        <v>0.942517037843269</v>
      </c>
      <c r="BP222" s="0" t="n">
        <f aca="false">G222*BO222</f>
        <v>-0.395857155894173</v>
      </c>
      <c r="BQ222" s="0" t="n">
        <f aca="false">IF(AND(A222&gt;=$B$191,A222&lt;=$B$192),1,0)</f>
        <v>0</v>
      </c>
      <c r="BR222" s="0" t="n">
        <f aca="false">BO222*BQ222</f>
        <v>0</v>
      </c>
      <c r="BS222" s="0" t="n">
        <f aca="false">BP222*BQ222</f>
        <v>-0</v>
      </c>
    </row>
    <row r="223" customFormat="false" ht="18" hidden="false" customHeight="false" outlineLevel="0" collapsed="false">
      <c r="A223" s="112" t="n">
        <f aca="false">A35</f>
        <v>37895</v>
      </c>
      <c r="B223" s="324" t="n">
        <f aca="false" t="array" ref="B223:B223">SUM(IF(MONTH(NymexData!$AL$12:$AL$250)&amp;YEAR(NymexData!$AL$12:$AL$250)=MONTH(A223)&amp;YEAR(A223),NymexData!$AM$12:$AM$250))</f>
        <v>-349.95091587</v>
      </c>
      <c r="C223" s="325" t="n">
        <f aca="false">BD223*BJ223*BI223</f>
        <v>0</v>
      </c>
      <c r="D223" s="326" t="n">
        <f aca="false">C223+B223</f>
        <v>-349.95091587</v>
      </c>
      <c r="E223" s="327" t="n">
        <f aca="false" t="array" ref="E223:E223">SUM(IF(MONTH(NymexData!$A$12:$A$250)&amp;YEAR(NymexData!$A$12:$A$250)=MONTH(A223)&amp;YEAR(A223),NymexData!$B$12:$B$250))</f>
        <v>-0.415</v>
      </c>
      <c r="F223" s="327" t="n">
        <f aca="false">G223-E223</f>
        <v>-0.005</v>
      </c>
      <c r="G223" s="328" t="n">
        <f aca="false" t="array" ref="G223:G223">IF(NymexData!$H$12="",GasPosn!E223,SUM(IF(MONTH(NymexData!$H$12:$H$250)&amp;YEAR(NymexData!$H$12:$H$250)=MONTH(A223)&amp;YEAR(A223),NymexData!$I$12:$I$250)))</f>
        <v>-0.42</v>
      </c>
      <c r="H223" s="115" t="n">
        <f aca="false">B223*10000*F223</f>
        <v>17497.5457935</v>
      </c>
      <c r="I223" s="119" t="n">
        <f aca="false">(((G223-Q223)*P223+(G223-S223)*R223+(G223-U223)*T223+(G223-W223)*V223+(G223-Y223)*X223+(G223-AA223)*Z223+(G223-AC223)*AB223+(G223-AE223)*AD223+(G223-AG223)*AF223+(G223-AI223)*AH223+(G223-AK223)*AJ223+(G223-AM223)*AL223+(G223-AO223)*AN223+(G223-AQ223)*AP223+(G223-AS223)*AR223+(G223-AU223)*AT223+(G223-AW223)*AV223+(G223-AY223)*AX223+(G223-BA223)*AZ223+(G223-BC223)*BB223)*BJ223*BI223)*10000</f>
        <v>-0</v>
      </c>
      <c r="J223" s="119" t="n">
        <f aca="false">H223+I223</f>
        <v>17497.5457935</v>
      </c>
      <c r="M223" s="46"/>
      <c r="O223" s="95" t="n">
        <f aca="false">A223</f>
        <v>37895</v>
      </c>
      <c r="BD223" s="100" t="n">
        <f aca="false">(P223+R223+T223+V223+X223+Z223+AB223+AD223+AF223+AH223+AJ223+AL223+AN223+AP223+AR223+AT223+AV223+AX223+AZ223+BB223)</f>
        <v>0</v>
      </c>
      <c r="BE223" s="322" t="n">
        <f aca="false">IF(AND(BD223=0,BH223=0),0,(ABS(P223)*Q223+ABS(R223)*S223+ABS(T223)*U223+ABS(V223)*W223+ABS(X223)*Y223+ABS(Z223)*AA223+ABS(AB223)*AC223+ABS(AD223)*AE223+ABS(AF223)*AG223+ABS(AH223)*AI223+ABS(AJ223)*AK223+ABS(AL223)*AM223+ABS(AN223)*AO223+ABS(AP223)*AQ223+ABS(AR223)*AS223+ABS(AT223)*AU223+ABS(AV223)*AW223+ABS(AX223)*AY223+ABS(AZ223)*BA223+ABS(BB223)*BC223)/BH223)</f>
        <v>0</v>
      </c>
      <c r="BF223" s="102"/>
      <c r="BG223" s="103" t="n">
        <f aca="false">O223</f>
        <v>37895</v>
      </c>
      <c r="BH223" s="323" t="n">
        <f aca="false">(ABS(P223)+ABS(R223)+ABS(T223)+ABS(V223)+ABS(X223)+ABS(Z223)+ABS(AB223)+ABS(AD223)+ABS(AF223)+ABS(AH223)+ABS(AJ223)+ABS(AL223)+ABS(AN223)+ABS(AP223)+ABS(AR223)+ABS(AT223)+ABS(AV223)+ABS(AX223)+ABS(AZ223)+ABS(BB223))</f>
        <v>0</v>
      </c>
      <c r="BI223" s="104" t="n">
        <f aca="false">VLOOKUP(GasPosn!A223,'Pricing Summary'!$AB$12:$AD$250,3)</f>
        <v>31</v>
      </c>
      <c r="BJ223" s="102" t="n">
        <f aca="false">VLOOKUP(A223,Interest!$AF$8:$AK$367,6)</f>
        <v>0.938956815314589</v>
      </c>
      <c r="BK223" s="102"/>
      <c r="BL223" s="0" t="n">
        <f aca="false">J223*VLOOKUP(A223,NymexData!$J$12:$K$244,2)</f>
        <v>27567.4257204419</v>
      </c>
      <c r="BO223" s="0" t="n">
        <f aca="false">BO35</f>
        <v>0.938956815314589</v>
      </c>
      <c r="BP223" s="0" t="n">
        <f aca="false">G223*BO223</f>
        <v>-0.394361862432127</v>
      </c>
      <c r="BQ223" s="0" t="n">
        <f aca="false">IF(AND(A223&gt;=$B$191,A223&lt;=$B$192),1,0)</f>
        <v>0</v>
      </c>
      <c r="BR223" s="0" t="n">
        <f aca="false">BO223*BQ223</f>
        <v>0</v>
      </c>
      <c r="BS223" s="0" t="n">
        <f aca="false">BP223*BQ223</f>
        <v>-0</v>
      </c>
    </row>
    <row r="224" customFormat="false" ht="18" hidden="false" customHeight="false" outlineLevel="0" collapsed="false">
      <c r="A224" s="75" t="n">
        <f aca="false">A36</f>
        <v>37926</v>
      </c>
      <c r="B224" s="317" t="n">
        <f aca="false" t="array" ref="B224:B224">SUM(IF(MONTH(NymexData!$AL$12:$AL$250)&amp;YEAR(NymexData!$AL$12:$AL$250)=MONTH(A224)&amp;YEAR(A224),NymexData!$AM$12:$AM$250))</f>
        <v>-421.72053694</v>
      </c>
      <c r="C224" s="317" t="n">
        <f aca="false">BD224*BJ224*BI224</f>
        <v>0</v>
      </c>
      <c r="D224" s="319" t="n">
        <f aca="false">C224+B224</f>
        <v>-421.72053694</v>
      </c>
      <c r="E224" s="320" t="n">
        <f aca="false" t="array" ref="E224:E224">SUM(IF(MONTH(NymexData!$A$12:$A$250)&amp;YEAR(NymexData!$A$12:$A$250)=MONTH(A224)&amp;YEAR(A224),NymexData!$B$12:$B$250))</f>
        <v>-0.395</v>
      </c>
      <c r="F224" s="320" t="n">
        <f aca="false">G224-E224</f>
        <v>0</v>
      </c>
      <c r="G224" s="321" t="n">
        <f aca="false" t="array" ref="G224:G224">IF(NymexData!$H$12="",GasPosn!E224,SUM(IF(MONTH(NymexData!$H$12:$H$250)&amp;YEAR(NymexData!$H$12:$H$250)=MONTH(A224)&amp;YEAR(A224),NymexData!$I$12:$I$250)))</f>
        <v>-0.395</v>
      </c>
      <c r="H224" s="76" t="n">
        <f aca="false">B224*10000*F224</f>
        <v>-0</v>
      </c>
      <c r="I224" s="82" t="n">
        <f aca="false">(((G224-Q224)*P224+(G224-S224)*R224+(G224-U224)*T224+(G224-W224)*V224+(G224-Y224)*X224+(G224-AA224)*Z224+(G224-AC224)*AB224+(G224-AE224)*AD224+(G224-AG224)*AF224+(G224-AI224)*AH224+(G224-AK224)*AJ224+(G224-AM224)*AL224+(G224-AO224)*AN224+(G224-AQ224)*AP224+(G224-AS224)*AR224+(G224-AU224)*AT224+(G224-AW224)*AV224+(G224-AY224)*AX224+(G224-BA224)*AZ224+(G224-BC224)*BB224)*BJ224*BI224)*10000</f>
        <v>-0</v>
      </c>
      <c r="J224" s="82" t="n">
        <f aca="false">H224+I224</f>
        <v>-0</v>
      </c>
      <c r="M224" s="46"/>
      <c r="O224" s="95" t="n">
        <f aca="false">A224</f>
        <v>37926</v>
      </c>
      <c r="BD224" s="100" t="n">
        <f aca="false">(P224+R224+T224+V224+X224+Z224+AB224+AD224+AF224+AH224+AJ224+AL224+AN224+AP224+AR224+AT224+AV224+AX224+AZ224+BB224)</f>
        <v>0</v>
      </c>
      <c r="BE224" s="322" t="n">
        <f aca="false">IF(AND(BD224=0,BH224=0),0,(ABS(P224)*Q224+ABS(R224)*S224+ABS(T224)*U224+ABS(V224)*W224+ABS(X224)*Y224+ABS(Z224)*AA224+ABS(AB224)*AC224+ABS(AD224)*AE224+ABS(AF224)*AG224+ABS(AH224)*AI224+ABS(AJ224)*AK224+ABS(AL224)*AM224+ABS(AN224)*AO224+ABS(AP224)*AQ224+ABS(AR224)*AS224+ABS(AT224)*AU224+ABS(AV224)*AW224+ABS(AX224)*AY224+ABS(AZ224)*BA224+ABS(BB224)*BC224)/BH224)</f>
        <v>0</v>
      </c>
      <c r="BF224" s="102"/>
      <c r="BG224" s="103" t="n">
        <f aca="false">O224</f>
        <v>37926</v>
      </c>
      <c r="BH224" s="323" t="n">
        <f aca="false">(ABS(P224)+ABS(R224)+ABS(T224)+ABS(V224)+ABS(X224)+ABS(Z224)+ABS(AB224)+ABS(AD224)+ABS(AF224)+ABS(AH224)+ABS(AJ224)+ABS(AL224)+ABS(AN224)+ABS(AP224)+ABS(AR224)+ABS(AT224)+ABS(AV224)+ABS(AX224)+ABS(AZ224)+ABS(BB224))</f>
        <v>0</v>
      </c>
      <c r="BI224" s="104" t="n">
        <f aca="false">VLOOKUP(GasPosn!A224,'Pricing Summary'!$AB$12:$AD$250,3)</f>
        <v>30</v>
      </c>
      <c r="BJ224" s="102" t="n">
        <f aca="false">VLOOKUP(A224,Interest!$AF$8:$AK$367,6)</f>
        <v>0.935380004886363</v>
      </c>
      <c r="BK224" s="102"/>
      <c r="BL224" s="0" t="n">
        <f aca="false">J224*VLOOKUP(A224,NymexData!$J$12:$K$244,2)</f>
        <v>-0</v>
      </c>
      <c r="BO224" s="0" t="n">
        <f aca="false">BO36</f>
        <v>0.935380004886363</v>
      </c>
      <c r="BP224" s="0" t="n">
        <f aca="false">G224*BO224</f>
        <v>-0.369475101930113</v>
      </c>
      <c r="BQ224" s="0" t="n">
        <f aca="false">IF(AND(A224&gt;=$B$191,A224&lt;=$B$192),1,0)</f>
        <v>0</v>
      </c>
      <c r="BR224" s="0" t="n">
        <f aca="false">BO224*BQ224</f>
        <v>0</v>
      </c>
      <c r="BS224" s="0" t="n">
        <f aca="false">BP224*BQ224</f>
        <v>-0</v>
      </c>
    </row>
    <row r="225" customFormat="false" ht="18" hidden="false" customHeight="false" outlineLevel="0" collapsed="false">
      <c r="A225" s="112" t="n">
        <f aca="false">A37</f>
        <v>37956</v>
      </c>
      <c r="B225" s="324" t="n">
        <f aca="false" t="array" ref="B225:B225">SUM(IF(MONTH(NymexData!$AL$12:$AL$250)&amp;YEAR(NymexData!$AL$12:$AL$250)=MONTH(A225)&amp;YEAR(A225),NymexData!$AM$12:$AM$250))</f>
        <v>-434.20784756</v>
      </c>
      <c r="C225" s="325" t="n">
        <f aca="false">BD225*BJ225*BI225</f>
        <v>0</v>
      </c>
      <c r="D225" s="326" t="n">
        <f aca="false">C225+B225</f>
        <v>-434.20784756</v>
      </c>
      <c r="E225" s="327" t="n">
        <f aca="false" t="array" ref="E225:E225">SUM(IF(MONTH(NymexData!$A$12:$A$250)&amp;YEAR(NymexData!$A$12:$A$250)=MONTH(A225)&amp;YEAR(A225),NymexData!$B$12:$B$250))</f>
        <v>-0.395</v>
      </c>
      <c r="F225" s="327" t="n">
        <f aca="false">G225-E225</f>
        <v>0</v>
      </c>
      <c r="G225" s="328" t="n">
        <f aca="false" t="array" ref="G225:G225">IF(NymexData!$H$12="",GasPosn!E225,SUM(IF(MONTH(NymexData!$H$12:$H$250)&amp;YEAR(NymexData!$H$12:$H$250)=MONTH(A225)&amp;YEAR(A225),NymexData!$I$12:$I$250)))</f>
        <v>-0.395</v>
      </c>
      <c r="H225" s="115" t="n">
        <f aca="false">B225*10000*F225</f>
        <v>-0</v>
      </c>
      <c r="I225" s="119" t="n">
        <f aca="false">(((G225-Q225)*P225+(G225-S225)*R225+(G225-U225)*T225+(G225-W225)*V225+(G225-Y225)*X225+(G225-AA225)*Z225+(G225-AC225)*AB225+(G225-AE225)*AD225+(G225-AG225)*AF225+(G225-AI225)*AH225+(G225-AK225)*AJ225+(G225-AM225)*AL225+(G225-AO225)*AN225+(G225-AQ225)*AP225+(G225-AS225)*AR225+(G225-AU225)*AT225+(G225-AW225)*AV225+(G225-AY225)*AX225+(G225-BA225)*AZ225+(G225-BC225)*BB225)*BJ225*BI225)*10000</f>
        <v>-0</v>
      </c>
      <c r="J225" s="119" t="n">
        <f aca="false">H225+I225</f>
        <v>-0</v>
      </c>
      <c r="M225" s="46"/>
      <c r="O225" s="95" t="n">
        <f aca="false">A225</f>
        <v>37956</v>
      </c>
      <c r="BD225" s="100" t="n">
        <f aca="false">(P225+R225+T225+V225+X225+Z225+AB225+AD225+AF225+AH225+AJ225+AL225+AN225+AP225+AR225+AT225+AV225+AX225+AZ225+BB225)</f>
        <v>0</v>
      </c>
      <c r="BE225" s="322" t="n">
        <f aca="false">IF(AND(BD225=0,BH225=0),0,(ABS(P225)*Q225+ABS(R225)*S225+ABS(T225)*U225+ABS(V225)*W225+ABS(X225)*Y225+ABS(Z225)*AA225+ABS(AB225)*AC225+ABS(AD225)*AE225+ABS(AF225)*AG225+ABS(AH225)*AI225+ABS(AJ225)*AK225+ABS(AL225)*AM225+ABS(AN225)*AO225+ABS(AP225)*AQ225+ABS(AR225)*AS225+ABS(AT225)*AU225+ABS(AV225)*AW225+ABS(AX225)*AY225+ABS(AZ225)*BA225+ABS(BB225)*BC225)/BH225)</f>
        <v>0</v>
      </c>
      <c r="BF225" s="102"/>
      <c r="BG225" s="103" t="n">
        <f aca="false">O225</f>
        <v>37956</v>
      </c>
      <c r="BH225" s="323" t="n">
        <f aca="false">(ABS(P225)+ABS(R225)+ABS(T225)+ABS(V225)+ABS(X225)+ABS(Z225)+ABS(AB225)+ABS(AD225)+ABS(AF225)+ABS(AH225)+ABS(AJ225)+ABS(AL225)+ABS(AN225)+ABS(AP225)+ABS(AR225)+ABS(AT225)+ABS(AV225)+ABS(AX225)+ABS(AZ225)+ABS(BB225))</f>
        <v>0</v>
      </c>
      <c r="BI225" s="104" t="n">
        <f aca="false">VLOOKUP(GasPosn!A225,'Pricing Summary'!$AB$12:$AD$250,3)</f>
        <v>31</v>
      </c>
      <c r="BJ225" s="102" t="n">
        <f aca="false">VLOOKUP(A225,Interest!$AF$8:$AK$367,6)</f>
        <v>0.931682668946481</v>
      </c>
      <c r="BK225" s="102"/>
      <c r="BL225" s="0" t="n">
        <f aca="false">J225*VLOOKUP(A225,NymexData!$J$12:$K$244,2)</f>
        <v>-0</v>
      </c>
      <c r="BO225" s="0" t="n">
        <f aca="false">BO37</f>
        <v>0.931682668946481</v>
      </c>
      <c r="BP225" s="0" t="n">
        <f aca="false">G225*BO225</f>
        <v>-0.36801465423386</v>
      </c>
      <c r="BQ225" s="0" t="n">
        <f aca="false">IF(AND(A225&gt;=$B$191,A225&lt;=$B$192),1,0)</f>
        <v>0</v>
      </c>
      <c r="BR225" s="0" t="n">
        <f aca="false">BO225*BQ225</f>
        <v>0</v>
      </c>
      <c r="BS225" s="0" t="n">
        <f aca="false">BP225*BQ225</f>
        <v>-0</v>
      </c>
    </row>
    <row r="226" customFormat="false" ht="18" hidden="false" customHeight="false" outlineLevel="0" collapsed="false">
      <c r="A226" s="75" t="n">
        <f aca="false">A38</f>
        <v>37987</v>
      </c>
      <c r="B226" s="317" t="n">
        <f aca="false" t="array" ref="B226:B226">SUM(IF(MONTH(NymexData!$AL$12:$AL$250)&amp;YEAR(NymexData!$AL$12:$AL$250)=MONTH(A226)&amp;YEAR(A226),NymexData!$AM$12:$AM$250))</f>
        <v>-187.44138762</v>
      </c>
      <c r="C226" s="317" t="n">
        <f aca="false">BD226*BJ226*BI226</f>
        <v>0</v>
      </c>
      <c r="D226" s="319" t="n">
        <f aca="false">C226+B226</f>
        <v>-187.44138762</v>
      </c>
      <c r="E226" s="320" t="n">
        <f aca="false" t="array" ref="E226:E226">SUM(IF(MONTH(NymexData!$A$12:$A$250)&amp;YEAR(NymexData!$A$12:$A$250)=MONTH(A226)&amp;YEAR(A226),NymexData!$B$12:$B$250))</f>
        <v>-0.395</v>
      </c>
      <c r="F226" s="320" t="n">
        <f aca="false">G226-E226</f>
        <v>0</v>
      </c>
      <c r="G226" s="321" t="n">
        <f aca="false" t="array" ref="G226:G226">IF(NymexData!$H$12="",GasPosn!E226,SUM(IF(MONTH(NymexData!$H$12:$H$250)&amp;YEAR(NymexData!$H$12:$H$250)=MONTH(A226)&amp;YEAR(A226),NymexData!$I$12:$I$250)))</f>
        <v>-0.395</v>
      </c>
      <c r="H226" s="76" t="n">
        <f aca="false">B226*10000*F226</f>
        <v>-0</v>
      </c>
      <c r="I226" s="82" t="n">
        <f aca="false">(((G226-Q226)*P226+(G226-S226)*R226+(G226-U226)*T226+(G226-W226)*V226+(G226-Y226)*X226+(G226-AA226)*Z226+(G226-AC226)*AB226+(G226-AE226)*AD226+(G226-AG226)*AF226+(G226-AI226)*AH226+(G226-AK226)*AJ226+(G226-AM226)*AL226+(G226-AO226)*AN226+(G226-AQ226)*AP226+(G226-AS226)*AR226+(G226-AU226)*AT226+(G226-AW226)*AV226+(G226-AY226)*AX226+(G226-BA226)*AZ226+(G226-BC226)*BB226)*BJ226*BI226)*10000</f>
        <v>-0</v>
      </c>
      <c r="J226" s="82" t="n">
        <f aca="false">H226+I226</f>
        <v>-0</v>
      </c>
      <c r="M226" s="46"/>
      <c r="O226" s="95" t="n">
        <f aca="false">A226</f>
        <v>37987</v>
      </c>
      <c r="BD226" s="100" t="n">
        <f aca="false">(P226+R226+T226+V226+X226+Z226+AB226+AD226+AF226+AH226+AJ226+AL226+AN226+AP226+AR226+AT226+AV226+AX226+AZ226+BB226)</f>
        <v>0</v>
      </c>
      <c r="BE226" s="322" t="n">
        <f aca="false">IF(AND(BD226=0,BH226=0),0,(ABS(P226)*Q226+ABS(R226)*S226+ABS(T226)*U226+ABS(V226)*W226+ABS(X226)*Y226+ABS(Z226)*AA226+ABS(AB226)*AC226+ABS(AD226)*AE226+ABS(AF226)*AG226+ABS(AH226)*AI226+ABS(AJ226)*AK226+ABS(AL226)*AM226+ABS(AN226)*AO226+ABS(AP226)*AQ226+ABS(AR226)*AS226+ABS(AT226)*AU226+ABS(AV226)*AW226+ABS(AX226)*AY226+ABS(AZ226)*BA226+ABS(BB226)*BC226)/BH226)</f>
        <v>0</v>
      </c>
      <c r="BF226" s="1"/>
      <c r="BG226" s="103" t="n">
        <f aca="false">O226</f>
        <v>37987</v>
      </c>
      <c r="BH226" s="323" t="n">
        <f aca="false">(ABS(P226)+ABS(R226)+ABS(T226)+ABS(V226)+ABS(X226)+ABS(Z226)+ABS(AB226)+ABS(AD226)+ABS(AF226)+ABS(AH226)+ABS(AJ226)+ABS(AL226)+ABS(AN226)+ABS(AP226)+ABS(AR226)+ABS(AT226)+ABS(AV226)+ABS(AX226)+ABS(AZ226)+ABS(BB226))</f>
        <v>0</v>
      </c>
      <c r="BI226" s="104" t="n">
        <f aca="false">VLOOKUP(GasPosn!A226,'Pricing Summary'!$AB$12:$AD$250,3)</f>
        <v>31</v>
      </c>
      <c r="BJ226" s="102" t="n">
        <f aca="false">VLOOKUP(A226,Interest!$AF$8:$AK$367,6)</f>
        <v>0.927878709036443</v>
      </c>
      <c r="BK226" s="102"/>
      <c r="BL226" s="0" t="n">
        <f aca="false">J226*VLOOKUP(A226,NymexData!$J$12:$K$244,2)</f>
        <v>-0</v>
      </c>
      <c r="BO226" s="0" t="n">
        <f aca="false">BO38</f>
        <v>0.927878709036443</v>
      </c>
      <c r="BP226" s="0" t="n">
        <f aca="false">G226*BO226</f>
        <v>-0.366512090069395</v>
      </c>
      <c r="BQ226" s="0" t="n">
        <f aca="false">IF(AND(A226&gt;=$B$191,A226&lt;=$B$192),1,0)</f>
        <v>0</v>
      </c>
      <c r="BR226" s="0" t="n">
        <f aca="false">BO226*BQ226</f>
        <v>0</v>
      </c>
      <c r="BS226" s="0" t="n">
        <f aca="false">BP226*BQ226</f>
        <v>-0</v>
      </c>
    </row>
    <row r="227" customFormat="false" ht="18" hidden="false" customHeight="false" outlineLevel="0" collapsed="false">
      <c r="A227" s="112" t="n">
        <f aca="false">A39</f>
        <v>38018</v>
      </c>
      <c r="B227" s="324" t="n">
        <f aca="false" t="array" ref="B227:B227">SUM(IF(MONTH(NymexData!$AL$12:$AL$250)&amp;YEAR(NymexData!$AL$12:$AL$250)=MONTH(A227)&amp;YEAR(A227),NymexData!$AM$12:$AM$250))</f>
        <v>-174.66764445</v>
      </c>
      <c r="C227" s="325" t="n">
        <f aca="false">BD227*BJ227*BI227</f>
        <v>0</v>
      </c>
      <c r="D227" s="326" t="n">
        <f aca="false">C227+B227</f>
        <v>-174.66764445</v>
      </c>
      <c r="E227" s="327" t="n">
        <f aca="false" t="array" ref="E227:E227">SUM(IF(MONTH(NymexData!$A$12:$A$250)&amp;YEAR(NymexData!$A$12:$A$250)=MONTH(A227)&amp;YEAR(A227),NymexData!$B$12:$B$250))</f>
        <v>-0.395</v>
      </c>
      <c r="F227" s="327" t="n">
        <f aca="false">G227-E227</f>
        <v>0</v>
      </c>
      <c r="G227" s="328" t="n">
        <f aca="false" t="array" ref="G227:G227">IF(NymexData!$H$12="",GasPosn!E227,SUM(IF(MONTH(NymexData!$H$12:$H$250)&amp;YEAR(NymexData!$H$12:$H$250)=MONTH(A227)&amp;YEAR(A227),NymexData!$I$12:$I$250)))</f>
        <v>-0.395</v>
      </c>
      <c r="H227" s="115" t="n">
        <f aca="false">B227*10000*F227</f>
        <v>-0</v>
      </c>
      <c r="I227" s="119" t="n">
        <f aca="false">(((G227-Q227)*P227+(G227-S227)*R227+(G227-U227)*T227+(G227-W227)*V227+(G227-Y227)*X227+(G227-AA227)*Z227+(G227-AC227)*AB227+(G227-AE227)*AD227+(G227-AG227)*AF227+(G227-AI227)*AH227+(G227-AK227)*AJ227+(G227-AM227)*AL227+(G227-AO227)*AN227+(G227-AQ227)*AP227+(G227-AS227)*AR227+(G227-AU227)*AT227+(G227-AW227)*AV227+(G227-AY227)*AX227+(G227-BA227)*AZ227+(G227-BC227)*BB227)*BJ227*BI227)*10000</f>
        <v>-0</v>
      </c>
      <c r="J227" s="119" t="n">
        <f aca="false">H227+I227</f>
        <v>-0</v>
      </c>
      <c r="M227" s="46"/>
      <c r="O227" s="95" t="n">
        <f aca="false">A227</f>
        <v>38018</v>
      </c>
      <c r="BD227" s="100" t="n">
        <f aca="false">(P227+R227+T227+V227+X227+Z227+AB227+AD227+AF227+AH227+AJ227+AL227+AN227+AP227+AR227+AT227+AV227+AX227+AZ227+BB227)</f>
        <v>0</v>
      </c>
      <c r="BE227" s="322" t="n">
        <f aca="false">IF(AND(BD227=0,BH227=0),0,(ABS(P227)*Q227+ABS(R227)*S227+ABS(T227)*U227+ABS(V227)*W227+ABS(X227)*Y227+ABS(Z227)*AA227+ABS(AB227)*AC227+ABS(AD227)*AE227+ABS(AF227)*AG227+ABS(AH227)*AI227+ABS(AJ227)*AK227+ABS(AL227)*AM227+ABS(AN227)*AO227+ABS(AP227)*AQ227+ABS(AR227)*AS227+ABS(AT227)*AU227+ABS(AV227)*AW227+ABS(AX227)*AY227+ABS(AZ227)*BA227+ABS(BB227)*BC227)/BH227)</f>
        <v>0</v>
      </c>
      <c r="BF227" s="1"/>
      <c r="BG227" s="103" t="n">
        <f aca="false">O227</f>
        <v>38018</v>
      </c>
      <c r="BH227" s="323" t="n">
        <f aca="false">(ABS(P227)+ABS(R227)+ABS(T227)+ABS(V227)+ABS(X227)+ABS(Z227)+ABS(AB227)+ABS(AD227)+ABS(AF227)+ABS(AH227)+ABS(AJ227)+ABS(AL227)+ABS(AN227)+ABS(AP227)+ABS(AR227)+ABS(AT227)+ABS(AV227)+ABS(AX227)+ABS(AZ227)+ABS(BB227))</f>
        <v>0</v>
      </c>
      <c r="BI227" s="104" t="n">
        <f aca="false">VLOOKUP(GasPosn!A227,'Pricing Summary'!$AB$12:$AD$250,3)</f>
        <v>29</v>
      </c>
      <c r="BJ227" s="102" t="n">
        <f aca="false">VLOOKUP(A227,Interest!$AF$8:$AK$367,6)</f>
        <v>0.924178330875414</v>
      </c>
      <c r="BK227" s="102"/>
      <c r="BL227" s="0" t="n">
        <f aca="false">J227*VLOOKUP(A227,NymexData!$J$12:$K$244,2)</f>
        <v>-0</v>
      </c>
      <c r="BO227" s="0" t="n">
        <f aca="false">BO39</f>
        <v>0.924178330875414</v>
      </c>
      <c r="BP227" s="0" t="n">
        <f aca="false">G227*BO227</f>
        <v>-0.365050440695788</v>
      </c>
      <c r="BQ227" s="0" t="n">
        <f aca="false">IF(AND(A227&gt;=$B$191,A227&lt;=$B$192),1,0)</f>
        <v>0</v>
      </c>
      <c r="BR227" s="0" t="n">
        <f aca="false">BO227*BQ227</f>
        <v>0</v>
      </c>
      <c r="BS227" s="0" t="n">
        <f aca="false">BP227*BQ227</f>
        <v>-0</v>
      </c>
    </row>
    <row r="228" customFormat="false" ht="18" hidden="false" customHeight="false" outlineLevel="0" collapsed="false">
      <c r="A228" s="75" t="n">
        <f aca="false">A40</f>
        <v>38047</v>
      </c>
      <c r="B228" s="317" t="n">
        <f aca="false" t="array" ref="B228:B228">SUM(IF(MONTH(NymexData!$AL$12:$AL$250)&amp;YEAR(NymexData!$AL$12:$AL$250)=MONTH(A228)&amp;YEAR(A228),NymexData!$AM$12:$AM$250))</f>
        <v>-186.02190696</v>
      </c>
      <c r="C228" s="317" t="n">
        <f aca="false">BD228*BJ228*BI228</f>
        <v>0</v>
      </c>
      <c r="D228" s="319" t="n">
        <f aca="false">C228+B228</f>
        <v>-186.02190696</v>
      </c>
      <c r="E228" s="320" t="n">
        <f aca="false" t="array" ref="E228:E228">SUM(IF(MONTH(NymexData!$A$12:$A$250)&amp;YEAR(NymexData!$A$12:$A$250)=MONTH(A228)&amp;YEAR(A228),NymexData!$B$12:$B$250))</f>
        <v>-0.395</v>
      </c>
      <c r="F228" s="320" t="n">
        <f aca="false">G228-E228</f>
        <v>0</v>
      </c>
      <c r="G228" s="321" t="n">
        <f aca="false" t="array" ref="G228:G228">IF(NymexData!$H$12="",GasPosn!E228,SUM(IF(MONTH(NymexData!$H$12:$H$250)&amp;YEAR(NymexData!$H$12:$H$250)=MONTH(A228)&amp;YEAR(A228),NymexData!$I$12:$I$250)))</f>
        <v>-0.395</v>
      </c>
      <c r="H228" s="76" t="n">
        <f aca="false">B228*10000*F228</f>
        <v>-0</v>
      </c>
      <c r="I228" s="82" t="n">
        <f aca="false">(((G228-Q228)*P228+(G228-S228)*R228+(G228-U228)*T228+(G228-W228)*V228+(G228-Y228)*X228+(G228-AA228)*Z228+(G228-AC228)*AB228+(G228-AE228)*AD228+(G228-AG228)*AF228+(G228-AI228)*AH228+(G228-AK228)*AJ228+(G228-AM228)*AL228+(G228-AO228)*AN228+(G228-AQ228)*AP228+(G228-AS228)*AR228+(G228-AU228)*AT228+(G228-AW228)*AV228+(G228-AY228)*AX228+(G228-BA228)*AZ228+(G228-BC228)*BB228)*BJ228*BI228)*10000</f>
        <v>-0</v>
      </c>
      <c r="J228" s="82" t="n">
        <f aca="false">H228+I228</f>
        <v>-0</v>
      </c>
      <c r="M228" s="46"/>
      <c r="N228" s="46"/>
      <c r="O228" s="95" t="n">
        <f aca="false">A228</f>
        <v>38047</v>
      </c>
      <c r="BD228" s="100" t="n">
        <f aca="false">(P228+R228+T228+V228+X228+Z228+AB228+AD228+AF228+AH228+AJ228+AL228+AN228+AP228+AR228+AT228+AV228+AX228+AZ228+BB228)</f>
        <v>0</v>
      </c>
      <c r="BE228" s="322" t="n">
        <f aca="false">IF(AND(BD228=0,BH228=0),0,(ABS(P228)*Q228+ABS(R228)*S228+ABS(T228)*U228+ABS(V228)*W228+ABS(X228)*Y228+ABS(Z228)*AA228+ABS(AB228)*AC228+ABS(AD228)*AE228+ABS(AF228)*AG228+ABS(AH228)*AI228+ABS(AJ228)*AK228+ABS(AL228)*AM228+ABS(AN228)*AO228+ABS(AP228)*AQ228+ABS(AR228)*AS228+ABS(AT228)*AU228+ABS(AV228)*AW228+ABS(AX228)*AY228+ABS(AZ228)*BA228+ABS(BB228)*BC228)/BH228)</f>
        <v>0</v>
      </c>
      <c r="BF228" s="1"/>
      <c r="BG228" s="103" t="n">
        <f aca="false">O228</f>
        <v>38047</v>
      </c>
      <c r="BH228" s="323" t="n">
        <f aca="false">(ABS(P228)+ABS(R228)+ABS(T228)+ABS(V228)+ABS(X228)+ABS(Z228)+ABS(AB228)+ABS(AD228)+ABS(AF228)+ABS(AH228)+ABS(AJ228)+ABS(AL228)+ABS(AN228)+ABS(AP228)+ABS(AR228)+ABS(AT228)+ABS(AV228)+ABS(AX228)+ABS(AZ228)+ABS(BB228))</f>
        <v>0</v>
      </c>
      <c r="BI228" s="104" t="n">
        <f aca="false">VLOOKUP(GasPosn!A228,'Pricing Summary'!$AB$12:$AD$250,3)</f>
        <v>31</v>
      </c>
      <c r="BJ228" s="102" t="n">
        <f aca="false">VLOOKUP(A228,Interest!$AF$8:$AK$367,6)</f>
        <v>0.920321134097026</v>
      </c>
      <c r="BK228" s="102"/>
      <c r="BL228" s="0" t="n">
        <f aca="false">J228*VLOOKUP(A228,NymexData!$J$12:$K$244,2)</f>
        <v>-0</v>
      </c>
      <c r="BO228" s="0" t="n">
        <f aca="false">BO40</f>
        <v>0.920321134097026</v>
      </c>
      <c r="BP228" s="0" t="n">
        <f aca="false">G228*BO228</f>
        <v>-0.363526847968325</v>
      </c>
      <c r="BQ228" s="0" t="n">
        <f aca="false">IF(AND(A228&gt;=$B$191,A228&lt;=$B$192),1,0)</f>
        <v>0</v>
      </c>
      <c r="BR228" s="0" t="n">
        <f aca="false">BO228*BQ228</f>
        <v>0</v>
      </c>
      <c r="BS228" s="0" t="n">
        <f aca="false">BP228*BQ228</f>
        <v>-0</v>
      </c>
    </row>
    <row r="229" customFormat="false" ht="18" hidden="false" customHeight="false" outlineLevel="0" collapsed="false">
      <c r="A229" s="112" t="n">
        <f aca="false">A41</f>
        <v>38078</v>
      </c>
      <c r="B229" s="324" t="n">
        <f aca="false" t="array" ref="B229:B229">SUM(IF(MONTH(NymexData!$AL$12:$AL$250)&amp;YEAR(NymexData!$AL$12:$AL$250)=MONTH(A229)&amp;YEAR(A229),NymexData!$AM$12:$AM$250))</f>
        <v>-179.29430989</v>
      </c>
      <c r="C229" s="325" t="n">
        <f aca="false">BD229*BJ229*BI229</f>
        <v>0</v>
      </c>
      <c r="D229" s="326" t="n">
        <f aca="false">C229+B229</f>
        <v>-179.29430989</v>
      </c>
      <c r="E229" s="327" t="n">
        <f aca="false" t="array" ref="E229:E229">SUM(IF(MONTH(NymexData!$A$12:$A$250)&amp;YEAR(NymexData!$A$12:$A$250)=MONTH(A229)&amp;YEAR(A229),NymexData!$B$12:$B$250))</f>
        <v>-0.43</v>
      </c>
      <c r="F229" s="327" t="n">
        <f aca="false">G229-E229</f>
        <v>0</v>
      </c>
      <c r="G229" s="328" t="n">
        <f aca="false" t="array" ref="G229:G229">IF(NymexData!$H$12="",GasPosn!E229,SUM(IF(MONTH(NymexData!$H$12:$H$250)&amp;YEAR(NymexData!$H$12:$H$250)=MONTH(A229)&amp;YEAR(A229),NymexData!$I$12:$I$250)))</f>
        <v>-0.43</v>
      </c>
      <c r="H229" s="115" t="n">
        <f aca="false">B229*10000*F229</f>
        <v>-0</v>
      </c>
      <c r="I229" s="119" t="n">
        <f aca="false">(((G229-Q229)*P229+(G229-S229)*R229+(G229-U229)*T229+(G229-W229)*V229+(G229-Y229)*X229+(G229-AA229)*Z229+(G229-AC229)*AB229+(G229-AE229)*AD229+(G229-AG229)*AF229+(G229-AI229)*AH229+(G229-AK229)*AJ229+(G229-AM229)*AL229+(G229-AO229)*AN229+(G229-AQ229)*AP229+(G229-AS229)*AR229+(G229-AU229)*AT229+(G229-AW229)*AV229+(G229-AY229)*AX229+(G229-BA229)*AZ229+(G229-BC229)*BB229)*BJ229*BI229)*10000</f>
        <v>-0</v>
      </c>
      <c r="J229" s="119" t="n">
        <f aca="false">H229+I229</f>
        <v>-0</v>
      </c>
      <c r="N229" s="46"/>
      <c r="O229" s="95" t="n">
        <f aca="false">A229</f>
        <v>38078</v>
      </c>
      <c r="BD229" s="100" t="n">
        <f aca="false">(P229+R229+T229+V229+X229+Z229+AB229+AD229+AF229+AH229+AJ229+AL229+AN229+AP229+AR229+AT229+AV229+AX229+AZ229+BB229)</f>
        <v>0</v>
      </c>
      <c r="BE229" s="322" t="n">
        <f aca="false">IF(AND(BD229=0,BH229=0),0,(ABS(P229)*Q229+ABS(R229)*S229+ABS(T229)*U229+ABS(V229)*W229+ABS(X229)*Y229+ABS(Z229)*AA229+ABS(AB229)*AC229+ABS(AD229)*AE229+ABS(AF229)*AG229+ABS(AH229)*AI229+ABS(AJ229)*AK229+ABS(AL229)*AM229+ABS(AN229)*AO229+ABS(AP229)*AQ229+ABS(AR229)*AS229+ABS(AT229)*AU229+ABS(AV229)*AW229+ABS(AX229)*AY229+ABS(AZ229)*BA229+ABS(BB229)*BC229)/BH229)</f>
        <v>0</v>
      </c>
      <c r="BF229" s="1"/>
      <c r="BG229" s="103" t="n">
        <f aca="false">O229</f>
        <v>38078</v>
      </c>
      <c r="BH229" s="323" t="n">
        <f aca="false">(ABS(P229)+ABS(R229)+ABS(T229)+ABS(V229)+ABS(X229)+ABS(Z229)+ABS(AB229)+ABS(AD229)+ABS(AF229)+ABS(AH229)+ABS(AJ229)+ABS(AL229)+ABS(AN229)+ABS(AP229)+ABS(AR229)+ABS(AT229)+ABS(AV229)+ABS(AX229)+ABS(AZ229)+ABS(BB229))</f>
        <v>0</v>
      </c>
      <c r="BI229" s="104" t="n">
        <f aca="false">VLOOKUP(GasPosn!A229,'Pricing Summary'!$AB$12:$AD$250,3)</f>
        <v>30</v>
      </c>
      <c r="BJ229" s="102" t="n">
        <f aca="false">VLOOKUP(A229,Interest!$AF$8:$AK$367,6)</f>
        <v>0.916469708585514</v>
      </c>
      <c r="BK229" s="102"/>
      <c r="BL229" s="0" t="n">
        <f aca="false">J229*VLOOKUP(A229,NymexData!$J$12:$K$244,2)</f>
        <v>-0</v>
      </c>
      <c r="BO229" s="0" t="n">
        <f aca="false">BO41</f>
        <v>0.916469708585514</v>
      </c>
      <c r="BP229" s="0" t="n">
        <f aca="false">G229*BO229</f>
        <v>-0.394081974691771</v>
      </c>
      <c r="BQ229" s="0" t="n">
        <f aca="false">IF(AND(A229&gt;=$B$191,A229&lt;=$B$192),1,0)</f>
        <v>0</v>
      </c>
      <c r="BR229" s="0" t="n">
        <f aca="false">BO229*BQ229</f>
        <v>0</v>
      </c>
      <c r="BS229" s="0" t="n">
        <f aca="false">BP229*BQ229</f>
        <v>-0</v>
      </c>
    </row>
    <row r="230" customFormat="false" ht="18" hidden="false" customHeight="false" outlineLevel="0" collapsed="false">
      <c r="A230" s="75" t="n">
        <f aca="false">A42</f>
        <v>38108</v>
      </c>
      <c r="B230" s="317" t="n">
        <f aca="false" t="array" ref="B230:B230">SUM(IF(MONTH(NymexData!$AL$12:$AL$250)&amp;YEAR(NymexData!$AL$12:$AL$250)=MONTH(A230)&amp;YEAR(A230),NymexData!$AM$12:$AM$250))</f>
        <v>-184.53261632</v>
      </c>
      <c r="C230" s="317" t="n">
        <f aca="false">BD230*BJ230*BI230</f>
        <v>0</v>
      </c>
      <c r="D230" s="319" t="n">
        <f aca="false">C230+B230</f>
        <v>-184.53261632</v>
      </c>
      <c r="E230" s="320" t="n">
        <f aca="false" t="array" ref="E230:E230">SUM(IF(MONTH(NymexData!$A$12:$A$250)&amp;YEAR(NymexData!$A$12:$A$250)=MONTH(A230)&amp;YEAR(A230),NymexData!$B$12:$B$250))</f>
        <v>-0.43</v>
      </c>
      <c r="F230" s="320" t="n">
        <f aca="false">G230-E230</f>
        <v>0</v>
      </c>
      <c r="G230" s="321" t="n">
        <f aca="false" t="array" ref="G230:G230">IF(NymexData!$H$12="",GasPosn!E230,SUM(IF(MONTH(NymexData!$H$12:$H$250)&amp;YEAR(NymexData!$H$12:$H$250)=MONTH(A230)&amp;YEAR(A230),NymexData!$I$12:$I$250)))</f>
        <v>-0.43</v>
      </c>
      <c r="H230" s="76" t="n">
        <f aca="false">B230*10000*F230</f>
        <v>-0</v>
      </c>
      <c r="I230" s="82" t="n">
        <f aca="false">(((G230-Q230)*P230+(G230-S230)*R230+(G230-U230)*T230+(G230-W230)*V230+(G230-Y230)*X230+(G230-AA230)*Z230+(G230-AC230)*AB230+(G230-AE230)*AD230+(G230-AG230)*AF230+(G230-AI230)*AH230+(G230-AK230)*AJ230+(G230-AM230)*AL230+(G230-AO230)*AN230+(G230-AQ230)*AP230+(G230-AS230)*AR230+(G230-AU230)*AT230+(G230-AW230)*AV230+(G230-AY230)*AX230+(G230-BA230)*AZ230+(G230-BC230)*BB230)*BJ230*BI230)*10000</f>
        <v>-0</v>
      </c>
      <c r="J230" s="82" t="n">
        <f aca="false">H230+I230</f>
        <v>-0</v>
      </c>
      <c r="N230" s="46"/>
      <c r="O230" s="95" t="n">
        <f aca="false">A230</f>
        <v>38108</v>
      </c>
      <c r="BD230" s="100" t="n">
        <f aca="false">(P230+R230+T230+V230+X230+Z230+AB230+AD230+AF230+AH230+AJ230+AL230+AN230+AP230+AR230+AT230+AV230+AX230+AZ230+BB230)</f>
        <v>0</v>
      </c>
      <c r="BE230" s="322" t="n">
        <f aca="false">IF(AND(BD230=0,BH230=0),0,(ABS(P230)*Q230+ABS(R230)*S230+ABS(T230)*U230+ABS(V230)*W230+ABS(X230)*Y230+ABS(Z230)*AA230+ABS(AB230)*AC230+ABS(AD230)*AE230+ABS(AF230)*AG230+ABS(AH230)*AI230+ABS(AJ230)*AK230+ABS(AL230)*AM230+ABS(AN230)*AO230+ABS(AP230)*AQ230+ABS(AR230)*AS230+ABS(AT230)*AU230+ABS(AV230)*AW230+ABS(AX230)*AY230+ABS(AZ230)*BA230+ABS(BB230)*BC230)/BH230)</f>
        <v>0</v>
      </c>
      <c r="BF230" s="1"/>
      <c r="BG230" s="103" t="n">
        <f aca="false">O230</f>
        <v>38108</v>
      </c>
      <c r="BH230" s="323" t="n">
        <f aca="false">(ABS(P230)+ABS(R230)+ABS(T230)+ABS(V230)+ABS(X230)+ABS(Z230)+ABS(AB230)+ABS(AD230)+ABS(AF230)+ABS(AH230)+ABS(AJ230)+ABS(AL230)+ABS(AN230)+ABS(AP230)+ABS(AR230)+ABS(AT230)+ABS(AV230)+ABS(AX230)+ABS(AZ230)+ABS(BB230))</f>
        <v>0</v>
      </c>
      <c r="BI230" s="104" t="n">
        <f aca="false">VLOOKUP(GasPosn!A230,'Pricing Summary'!$AB$12:$AD$250,3)</f>
        <v>31</v>
      </c>
      <c r="BJ230" s="102" t="n">
        <f aca="false">VLOOKUP(A230,Interest!$AF$8:$AK$367,6)</f>
        <v>0.912587643013782</v>
      </c>
      <c r="BK230" s="102"/>
      <c r="BL230" s="0" t="n">
        <f aca="false">J230*VLOOKUP(A230,NymexData!$J$12:$K$244,2)</f>
        <v>-0</v>
      </c>
      <c r="BO230" s="0" t="n">
        <f aca="false">BO42</f>
        <v>0.912587643013782</v>
      </c>
      <c r="BP230" s="0" t="n">
        <f aca="false">G230*BO230</f>
        <v>-0.392412686495926</v>
      </c>
      <c r="BQ230" s="0" t="n">
        <f aca="false">IF(AND(A230&gt;=$B$191,A230&lt;=$B$192),1,0)</f>
        <v>0</v>
      </c>
      <c r="BR230" s="0" t="n">
        <f aca="false">BO230*BQ230</f>
        <v>0</v>
      </c>
      <c r="BS230" s="0" t="n">
        <f aca="false">BP230*BQ230</f>
        <v>-0</v>
      </c>
    </row>
    <row r="231" customFormat="false" ht="18" hidden="false" customHeight="false" outlineLevel="0" collapsed="false">
      <c r="A231" s="112" t="n">
        <f aca="false">A43</f>
        <v>38139</v>
      </c>
      <c r="B231" s="324" t="n">
        <f aca="false" t="array" ref="B231:B231">SUM(IF(MONTH(NymexData!$AL$12:$AL$250)&amp;YEAR(NymexData!$AL$12:$AL$250)=MONTH(A231)&amp;YEAR(A231),NymexData!$AM$12:$AM$250))</f>
        <v>-177.83066691</v>
      </c>
      <c r="C231" s="325" t="n">
        <f aca="false">BD231*BJ231*BI231</f>
        <v>0</v>
      </c>
      <c r="D231" s="326" t="n">
        <f aca="false">C231+B231</f>
        <v>-177.83066691</v>
      </c>
      <c r="E231" s="327" t="n">
        <f aca="false" t="array" ref="E231:E231">SUM(IF(MONTH(NymexData!$A$12:$A$250)&amp;YEAR(NymexData!$A$12:$A$250)=MONTH(A231)&amp;YEAR(A231),NymexData!$B$12:$B$250))</f>
        <v>-0.43</v>
      </c>
      <c r="F231" s="327" t="n">
        <f aca="false">G231-E231</f>
        <v>0</v>
      </c>
      <c r="G231" s="328" t="n">
        <f aca="false" t="array" ref="G231:G231">IF(NymexData!$H$12="",GasPosn!E231,SUM(IF(MONTH(NymexData!$H$12:$H$250)&amp;YEAR(NymexData!$H$12:$H$250)=MONTH(A231)&amp;YEAR(A231),NymexData!$I$12:$I$250)))</f>
        <v>-0.43</v>
      </c>
      <c r="H231" s="115" t="n">
        <f aca="false">B231*10000*F231</f>
        <v>-0</v>
      </c>
      <c r="I231" s="119" t="n">
        <f aca="false">(((G231-Q231)*P231+(G231-S231)*R231+(G231-U231)*T231+(G231-W231)*V231+(G231-Y231)*X231+(G231-AA231)*Z231+(G231-AC231)*AB231+(G231-AE231)*AD231+(G231-AG231)*AF231+(G231-AI231)*AH231+(G231-AK231)*AJ231+(G231-AM231)*AL231+(G231-AO231)*AN231+(G231-AQ231)*AP231+(G231-AS231)*AR231+(G231-AU231)*AT231+(G231-AW231)*AV231+(G231-AY231)*AX231+(G231-BA231)*AZ231+(G231-BC231)*BB231)*BJ231*BI231)*10000</f>
        <v>-0</v>
      </c>
      <c r="J231" s="119" t="n">
        <f aca="false">H231+I231</f>
        <v>-0</v>
      </c>
      <c r="N231" s="46"/>
      <c r="O231" s="95" t="n">
        <f aca="false">A231</f>
        <v>38139</v>
      </c>
      <c r="BD231" s="100" t="n">
        <f aca="false">(P231+R231+T231+V231+X231+Z231+AB231+AD231+AF231+AH231+AJ231+AL231+AN231+AP231+AR231+AT231+AV231+AX231+AZ231+BB231)</f>
        <v>0</v>
      </c>
      <c r="BE231" s="322" t="n">
        <f aca="false">IF(AND(BD231=0,BH231=0),0,(ABS(P231)*Q231+ABS(R231)*S231+ABS(T231)*U231+ABS(V231)*W231+ABS(X231)*Y231+ABS(Z231)*AA231+ABS(AB231)*AC231+ABS(AD231)*AE231+ABS(AF231)*AG231+ABS(AH231)*AI231+ABS(AJ231)*AK231+ABS(AL231)*AM231+ABS(AN231)*AO231+ABS(AP231)*AQ231+ABS(AR231)*AS231+ABS(AT231)*AU231+ABS(AV231)*AW231+ABS(AX231)*AY231+ABS(AZ231)*BA231+ABS(BB231)*BC231)/BH231)</f>
        <v>0</v>
      </c>
      <c r="BF231" s="1"/>
      <c r="BG231" s="103" t="n">
        <f aca="false">O231</f>
        <v>38139</v>
      </c>
      <c r="BH231" s="323" t="n">
        <f aca="false">(ABS(P231)+ABS(R231)+ABS(T231)+ABS(V231)+ABS(X231)+ABS(Z231)+ABS(AB231)+ABS(AD231)+ABS(AF231)+ABS(AH231)+ABS(AJ231)+ABS(AL231)+ABS(AN231)+ABS(AP231)+ABS(AR231)+ABS(AT231)+ABS(AV231)+ABS(AX231)+ABS(AZ231)+ABS(BB231))</f>
        <v>0</v>
      </c>
      <c r="BI231" s="104" t="n">
        <f aca="false">VLOOKUP(GasPosn!A231,'Pricing Summary'!$AB$12:$AD$250,3)</f>
        <v>30</v>
      </c>
      <c r="BJ231" s="102" t="n">
        <f aca="false">VLOOKUP(A231,Interest!$AF$8:$AK$367,6)</f>
        <v>0.908691958422636</v>
      </c>
      <c r="BK231" s="102"/>
      <c r="BL231" s="0" t="n">
        <f aca="false">J231*VLOOKUP(A231,NymexData!$J$12:$K$244,2)</f>
        <v>-0</v>
      </c>
      <c r="BO231" s="0" t="n">
        <f aca="false">BO43</f>
        <v>0.908691958422636</v>
      </c>
      <c r="BP231" s="0" t="n">
        <f aca="false">G231*BO231</f>
        <v>-0.390737542121733</v>
      </c>
      <c r="BQ231" s="0" t="n">
        <f aca="false">IF(AND(A231&gt;=$B$191,A231&lt;=$B$192),1,0)</f>
        <v>0</v>
      </c>
      <c r="BR231" s="0" t="n">
        <f aca="false">BO231*BQ231</f>
        <v>0</v>
      </c>
      <c r="BS231" s="0" t="n">
        <f aca="false">BP231*BQ231</f>
        <v>-0</v>
      </c>
    </row>
    <row r="232" customFormat="false" ht="18" hidden="false" customHeight="false" outlineLevel="0" collapsed="false">
      <c r="A232" s="75" t="n">
        <f aca="false">A44</f>
        <v>38169</v>
      </c>
      <c r="B232" s="317" t="n">
        <f aca="false" t="array" ref="B232:B232">SUM(IF(MONTH(NymexData!$AL$12:$AL$250)&amp;YEAR(NymexData!$AL$12:$AL$250)=MONTH(A232)&amp;YEAR(A232),NymexData!$AM$12:$AM$250))</f>
        <v>-182.99812429</v>
      </c>
      <c r="C232" s="317" t="n">
        <f aca="false">BD232*BJ232*BI232</f>
        <v>0</v>
      </c>
      <c r="D232" s="319" t="n">
        <f aca="false">C232+B232</f>
        <v>-182.99812429</v>
      </c>
      <c r="E232" s="320" t="n">
        <f aca="false" t="array" ref="E232:E232">SUM(IF(MONTH(NymexData!$A$12:$A$250)&amp;YEAR(NymexData!$A$12:$A$250)=MONTH(A232)&amp;YEAR(A232),NymexData!$B$12:$B$250))</f>
        <v>-0.43</v>
      </c>
      <c r="F232" s="320" t="n">
        <f aca="false">G232-E232</f>
        <v>0</v>
      </c>
      <c r="G232" s="321" t="n">
        <f aca="false" t="array" ref="G232:G232">IF(NymexData!$H$12="",GasPosn!E232,SUM(IF(MONTH(NymexData!$H$12:$H$250)&amp;YEAR(NymexData!$H$12:$H$250)=MONTH(A232)&amp;YEAR(A232),NymexData!$I$12:$I$250)))</f>
        <v>-0.43</v>
      </c>
      <c r="H232" s="76" t="n">
        <f aca="false">B232*10000*F232</f>
        <v>-0</v>
      </c>
      <c r="I232" s="82" t="n">
        <f aca="false">(((G232-Q232)*P232+(G232-S232)*R232+(G232-U232)*T232+(G232-W232)*V232+(G232-Y232)*X232+(G232-AA232)*Z232+(G232-AC232)*AB232+(G232-AE232)*AD232+(G232-AG232)*AF232+(G232-AI232)*AH232+(G232-AK232)*AJ232+(G232-AM232)*AL232+(G232-AO232)*AN232+(G232-AQ232)*AP232+(G232-AS232)*AR232+(G232-AU232)*AT232+(G232-AW232)*AV232+(G232-AY232)*AX232+(G232-BA232)*AZ232+(G232-BC232)*BB232)*BJ232*BI232)*10000</f>
        <v>-0</v>
      </c>
      <c r="J232" s="82" t="n">
        <f aca="false">H232+I232</f>
        <v>-0</v>
      </c>
      <c r="N232" s="46"/>
      <c r="O232" s="95" t="n">
        <f aca="false">A232</f>
        <v>38169</v>
      </c>
      <c r="BD232" s="100" t="n">
        <f aca="false">(P232+R232+T232+V232+X232+Z232+AB232+AD232+AF232+AH232+AJ232+AL232+AN232+AP232+AR232+AT232+AV232+AX232+AZ232+BB232)</f>
        <v>0</v>
      </c>
      <c r="BE232" s="322" t="n">
        <f aca="false">IF(AND(BD232=0,BH232=0),0,(ABS(P232)*Q232+ABS(R232)*S232+ABS(T232)*U232+ABS(V232)*W232+ABS(X232)*Y232+ABS(Z232)*AA232+ABS(AB232)*AC232+ABS(AD232)*AE232+ABS(AF232)*AG232+ABS(AH232)*AI232+ABS(AJ232)*AK232+ABS(AL232)*AM232+ABS(AN232)*AO232+ABS(AP232)*AQ232+ABS(AR232)*AS232+ABS(AT232)*AU232+ABS(AV232)*AW232+ABS(AX232)*AY232+ABS(AZ232)*BA232+ABS(BB232)*BC232)/BH232)</f>
        <v>0</v>
      </c>
      <c r="BF232" s="1"/>
      <c r="BG232" s="103" t="n">
        <f aca="false">O232</f>
        <v>38169</v>
      </c>
      <c r="BH232" s="323" t="n">
        <f aca="false">(ABS(P232)+ABS(R232)+ABS(T232)+ABS(V232)+ABS(X232)+ABS(Z232)+ABS(AB232)+ABS(AD232)+ABS(AF232)+ABS(AH232)+ABS(AJ232)+ABS(AL232)+ABS(AN232)+ABS(AP232)+ABS(AR232)+ABS(AT232)+ABS(AV232)+ABS(AX232)+ABS(AZ232)+ABS(BB232))</f>
        <v>0</v>
      </c>
      <c r="BI232" s="104" t="n">
        <f aca="false">VLOOKUP(GasPosn!A232,'Pricing Summary'!$AB$12:$AD$250,3)</f>
        <v>31</v>
      </c>
      <c r="BJ232" s="102" t="n">
        <f aca="false">VLOOKUP(A232,Interest!$AF$8:$AK$367,6)</f>
        <v>0.904734254686686</v>
      </c>
      <c r="BK232" s="102"/>
      <c r="BL232" s="0" t="n">
        <f aca="false">J232*VLOOKUP(A232,NymexData!$J$12:$K$244,2)</f>
        <v>-0</v>
      </c>
      <c r="BO232" s="0" t="n">
        <f aca="false">BO44</f>
        <v>0.904734254686686</v>
      </c>
      <c r="BP232" s="0" t="n">
        <f aca="false">G232*BO232</f>
        <v>-0.389035729515275</v>
      </c>
      <c r="BQ232" s="0" t="n">
        <f aca="false">IF(AND(A232&gt;=$B$191,A232&lt;=$B$192),1,0)</f>
        <v>0</v>
      </c>
      <c r="BR232" s="0" t="n">
        <f aca="false">BO232*BQ232</f>
        <v>0</v>
      </c>
      <c r="BS232" s="0" t="n">
        <f aca="false">BP232*BQ232</f>
        <v>-0</v>
      </c>
    </row>
    <row r="233" customFormat="false" ht="18" hidden="false" customHeight="false" outlineLevel="0" collapsed="false">
      <c r="A233" s="112" t="n">
        <f aca="false">A45</f>
        <v>38200</v>
      </c>
      <c r="B233" s="324" t="n">
        <f aca="false" t="array" ref="B233:B233">SUM(IF(MONTH(NymexData!$AL$12:$AL$250)&amp;YEAR(NymexData!$AL$12:$AL$250)=MONTH(A233)&amp;YEAR(A233),NymexData!$AM$12:$AM$250))</f>
        <v>-182.20141563</v>
      </c>
      <c r="C233" s="325" t="n">
        <f aca="false">BD233*BJ233*BI233</f>
        <v>0</v>
      </c>
      <c r="D233" s="326" t="n">
        <f aca="false">C233+B233</f>
        <v>-182.20141563</v>
      </c>
      <c r="E233" s="327" t="n">
        <f aca="false" t="array" ref="E233:E233">SUM(IF(MONTH(NymexData!$A$12:$A$250)&amp;YEAR(NymexData!$A$12:$A$250)=MONTH(A233)&amp;YEAR(A233),NymexData!$B$12:$B$250))</f>
        <v>-0.43</v>
      </c>
      <c r="F233" s="327" t="n">
        <f aca="false">G233-E233</f>
        <v>0</v>
      </c>
      <c r="G233" s="328" t="n">
        <f aca="false" t="array" ref="G233:G233">IF(NymexData!$H$12="",GasPosn!E233,SUM(IF(MONTH(NymexData!$H$12:$H$250)&amp;YEAR(NymexData!$H$12:$H$250)=MONTH(A233)&amp;YEAR(A233),NymexData!$I$12:$I$250)))</f>
        <v>-0.43</v>
      </c>
      <c r="H233" s="115" t="n">
        <f aca="false">B233*10000*F233</f>
        <v>-0</v>
      </c>
      <c r="I233" s="119" t="n">
        <f aca="false">(((G233-Q233)*P233+(G233-S233)*R233+(G233-U233)*T233+(G233-W233)*V233+(G233-Y233)*X233+(G233-AA233)*Z233+(G233-AC233)*AB233+(G233-AE233)*AD233+(G233-AG233)*AF233+(G233-AI233)*AH233+(G233-AK233)*AJ233+(G233-AM233)*AL233+(G233-AO233)*AN233+(G233-AQ233)*AP233+(G233-AS233)*AR233+(G233-AU233)*AT233+(G233-AW233)*AV233+(G233-AY233)*AX233+(G233-BA233)*AZ233+(G233-BC233)*BB233)*BJ233*BI233)*10000</f>
        <v>-0</v>
      </c>
      <c r="J233" s="119" t="n">
        <f aca="false">H233+I233</f>
        <v>-0</v>
      </c>
      <c r="N233" s="46"/>
      <c r="O233" s="95" t="n">
        <f aca="false">A233</f>
        <v>38200</v>
      </c>
      <c r="BD233" s="100" t="n">
        <f aca="false">(P233+R233+T233+V233+X233+Z233+AB233+AD233+AF233+AH233+AJ233+AL233+AN233+AP233+AR233+AT233+AV233+AX233+AZ233+BB233)</f>
        <v>0</v>
      </c>
      <c r="BE233" s="322" t="n">
        <f aca="false">IF(AND(BD233=0,BH233=0),0,(ABS(P233)*Q233+ABS(R233)*S233+ABS(T233)*U233+ABS(V233)*W233+ABS(X233)*Y233+ABS(Z233)*AA233+ABS(AB233)*AC233+ABS(AD233)*AE233+ABS(AF233)*AG233+ABS(AH233)*AI233+ABS(AJ233)*AK233+ABS(AL233)*AM233+ABS(AN233)*AO233+ABS(AP233)*AQ233+ABS(AR233)*AS233+ABS(AT233)*AU233+ABS(AV233)*AW233+ABS(AX233)*AY233+ABS(AZ233)*BA233+ABS(BB233)*BC233)/BH233)</f>
        <v>0</v>
      </c>
      <c r="BF233" s="1"/>
      <c r="BG233" s="103" t="n">
        <f aca="false">O233</f>
        <v>38200</v>
      </c>
      <c r="BH233" s="323" t="n">
        <f aca="false">(ABS(P233)+ABS(R233)+ABS(T233)+ABS(V233)+ABS(X233)+ABS(Z233)+ABS(AB233)+ABS(AD233)+ABS(AF233)+ABS(AH233)+ABS(AJ233)+ABS(AL233)+ABS(AN233)+ABS(AP233)+ABS(AR233)+ABS(AT233)+ABS(AV233)+ABS(AX233)+ABS(AZ233)+ABS(BB233))</f>
        <v>0</v>
      </c>
      <c r="BI233" s="104" t="n">
        <f aca="false">VLOOKUP(GasPosn!A233,'Pricing Summary'!$AB$12:$AD$250,3)</f>
        <v>31</v>
      </c>
      <c r="BJ233" s="102" t="n">
        <f aca="false">VLOOKUP(A233,Interest!$AF$8:$AK$367,6)</f>
        <v>0.90072937745124</v>
      </c>
      <c r="BK233" s="102"/>
      <c r="BL233" s="0" t="n">
        <f aca="false">J233*VLOOKUP(A233,NymexData!$J$12:$K$244,2)</f>
        <v>-0</v>
      </c>
      <c r="BO233" s="0" t="n">
        <f aca="false">BO45</f>
        <v>0.90072937745124</v>
      </c>
      <c r="BP233" s="0" t="n">
        <f aca="false">G233*BO233</f>
        <v>-0.387313632304033</v>
      </c>
      <c r="BQ233" s="0" t="n">
        <f aca="false">IF(AND(A233&gt;=$B$191,A233&lt;=$B$192),1,0)</f>
        <v>0</v>
      </c>
      <c r="BR233" s="0" t="n">
        <f aca="false">BO233*BQ233</f>
        <v>0</v>
      </c>
      <c r="BS233" s="0" t="n">
        <f aca="false">BP233*BQ233</f>
        <v>-0</v>
      </c>
    </row>
    <row r="234" customFormat="false" ht="18" hidden="false" customHeight="false" outlineLevel="0" collapsed="false">
      <c r="A234" s="75" t="n">
        <f aca="false">A46</f>
        <v>38231</v>
      </c>
      <c r="B234" s="317" t="n">
        <f aca="false" t="array" ref="B234:B234">SUM(IF(MONTH(NymexData!$AL$12:$AL$250)&amp;YEAR(NymexData!$AL$12:$AL$250)=MONTH(A234)&amp;YEAR(A234),NymexData!$AM$12:$AM$250))</f>
        <v>-175.54216329</v>
      </c>
      <c r="C234" s="317" t="n">
        <f aca="false">BD234*BJ234*BI234</f>
        <v>0</v>
      </c>
      <c r="D234" s="319" t="n">
        <f aca="false">C234+B234</f>
        <v>-175.54216329</v>
      </c>
      <c r="E234" s="320" t="n">
        <f aca="false" t="array" ref="E234:E234">SUM(IF(MONTH(NymexData!$A$12:$A$250)&amp;YEAR(NymexData!$A$12:$A$250)=MONTH(A234)&amp;YEAR(A234),NymexData!$B$12:$B$250))</f>
        <v>-0.43</v>
      </c>
      <c r="F234" s="320" t="n">
        <f aca="false">G234-E234</f>
        <v>0</v>
      </c>
      <c r="G234" s="321" t="n">
        <f aca="false" t="array" ref="G234:G234">IF(NymexData!$H$12="",GasPosn!E234,SUM(IF(MONTH(NymexData!$H$12:$H$250)&amp;YEAR(NymexData!$H$12:$H$250)=MONTH(A234)&amp;YEAR(A234),NymexData!$I$12:$I$250)))</f>
        <v>-0.43</v>
      </c>
      <c r="H234" s="76" t="n">
        <f aca="false">B234*10000*F234</f>
        <v>-0</v>
      </c>
      <c r="I234" s="82" t="n">
        <f aca="false">(((G234-Q234)*P234+(G234-S234)*R234+(G234-U234)*T234+(G234-W234)*V234+(G234-Y234)*X234+(G234-AA234)*Z234+(G234-AC234)*AB234+(G234-AE234)*AD234+(G234-AG234)*AF234+(G234-AI234)*AH234+(G234-AK234)*AJ234+(G234-AM234)*AL234+(G234-AO234)*AN234+(G234-AQ234)*AP234+(G234-AS234)*AR234+(G234-AU234)*AT234+(G234-AW234)*AV234+(G234-AY234)*AX234+(G234-BA234)*AZ234+(G234-BC234)*BB234)*BJ234*BI234)*10000</f>
        <v>-0</v>
      </c>
      <c r="J234" s="82" t="n">
        <f aca="false">H234+I234</f>
        <v>-0</v>
      </c>
      <c r="N234" s="46"/>
      <c r="O234" s="95" t="n">
        <f aca="false">A234</f>
        <v>38231</v>
      </c>
      <c r="BD234" s="100" t="n">
        <f aca="false">(P234+R234+T234+V234+X234+Z234+AB234+AD234+AF234+AH234+AJ234+AL234+AN234+AP234+AR234+AT234+AV234+AX234+AZ234+BB234)</f>
        <v>0</v>
      </c>
      <c r="BE234" s="322" t="n">
        <f aca="false">IF(AND(BD234=0,BH234=0),0,(ABS(P234)*Q234+ABS(R234)*S234+ABS(T234)*U234+ABS(V234)*W234+ABS(X234)*Y234+ABS(Z234)*AA234+ABS(AB234)*AC234+ABS(AD234)*AE234+ABS(AF234)*AG234+ABS(AH234)*AI234+ABS(AJ234)*AK234+ABS(AL234)*AM234+ABS(AN234)*AO234+ABS(AP234)*AQ234+ABS(AR234)*AS234+ABS(AT234)*AU234+ABS(AV234)*AW234+ABS(AX234)*AY234+ABS(AZ234)*BA234+ABS(BB234)*BC234)/BH234)</f>
        <v>0</v>
      </c>
      <c r="BF234" s="1"/>
      <c r="BG234" s="103" t="n">
        <f aca="false">O234</f>
        <v>38231</v>
      </c>
      <c r="BH234" s="323" t="n">
        <f aca="false">(ABS(P234)+ABS(R234)+ABS(T234)+ABS(V234)+ABS(X234)+ABS(Z234)+ABS(AB234)+ABS(AD234)+ABS(AF234)+ABS(AH234)+ABS(AJ234)+ABS(AL234)+ABS(AN234)+ABS(AP234)+ABS(AR234)+ABS(AT234)+ABS(AV234)+ABS(AX234)+ABS(AZ234)+ABS(BB234))</f>
        <v>0</v>
      </c>
      <c r="BI234" s="104" t="n">
        <f aca="false">VLOOKUP(GasPosn!A234,'Pricing Summary'!$AB$12:$AD$250,3)</f>
        <v>30</v>
      </c>
      <c r="BJ234" s="102" t="n">
        <f aca="false">VLOOKUP(A234,Interest!$AF$8:$AK$367,6)</f>
        <v>0.896760063996072</v>
      </c>
      <c r="BK234" s="102"/>
      <c r="BL234" s="0" t="n">
        <f aca="false">J234*VLOOKUP(A234,NymexData!$J$12:$K$244,2)</f>
        <v>-0</v>
      </c>
      <c r="BO234" s="0" t="n">
        <f aca="false">BO46</f>
        <v>0.896760063996072</v>
      </c>
      <c r="BP234" s="0" t="n">
        <f aca="false">G234*BO234</f>
        <v>-0.385606827518311</v>
      </c>
      <c r="BQ234" s="0" t="n">
        <f aca="false">IF(AND(A234&gt;=$B$191,A234&lt;=$B$192),1,0)</f>
        <v>0</v>
      </c>
      <c r="BR234" s="0" t="n">
        <f aca="false">BO234*BQ234</f>
        <v>0</v>
      </c>
      <c r="BS234" s="0" t="n">
        <f aca="false">BP234*BQ234</f>
        <v>-0</v>
      </c>
    </row>
    <row r="235" customFormat="false" ht="18" hidden="false" customHeight="false" outlineLevel="0" collapsed="false">
      <c r="A235" s="112" t="n">
        <f aca="false">A47</f>
        <v>38261</v>
      </c>
      <c r="B235" s="324" t="n">
        <f aca="false" t="array" ref="B235:B235">SUM(IF(MONTH(NymexData!$AL$12:$AL$250)&amp;YEAR(NymexData!$AL$12:$AL$250)=MONTH(A235)&amp;YEAR(A235),NymexData!$AM$12:$AM$250))</f>
        <v>-180.60135015</v>
      </c>
      <c r="C235" s="325" t="n">
        <f aca="false">BD235*BJ235*BI235</f>
        <v>0</v>
      </c>
      <c r="D235" s="326" t="n">
        <f aca="false">C235+B235</f>
        <v>-180.60135015</v>
      </c>
      <c r="E235" s="327" t="n">
        <f aca="false" t="array" ref="E235:E235">SUM(IF(MONTH(NymexData!$A$12:$A$250)&amp;YEAR(NymexData!$A$12:$A$250)=MONTH(A235)&amp;YEAR(A235),NymexData!$B$12:$B$250))</f>
        <v>-0.43</v>
      </c>
      <c r="F235" s="327" t="n">
        <f aca="false">G235-E235</f>
        <v>0</v>
      </c>
      <c r="G235" s="328" t="n">
        <f aca="false" t="array" ref="G235:G235">IF(NymexData!$H$12="",GasPosn!E235,SUM(IF(MONTH(NymexData!$H$12:$H$250)&amp;YEAR(NymexData!$H$12:$H$250)=MONTH(A235)&amp;YEAR(A235),NymexData!$I$12:$I$250)))</f>
        <v>-0.43</v>
      </c>
      <c r="H235" s="115" t="n">
        <f aca="false">B235*10000*F235</f>
        <v>-0</v>
      </c>
      <c r="I235" s="119" t="n">
        <f aca="false">(((G235-Q235)*P235+(G235-S235)*R235+(G235-U235)*T235+(G235-W235)*V235+(G235-Y235)*X235+(G235-AA235)*Z235+(G235-AC235)*AB235+(G235-AE235)*AD235+(G235-AG235)*AF235+(G235-AI235)*AH235+(G235-AK235)*AJ235+(G235-AM235)*AL235+(G235-AO235)*AN235+(G235-AQ235)*AP235+(G235-AS235)*AR235+(G235-AU235)*AT235+(G235-AW235)*AV235+(G235-AY235)*AX235+(G235-BA235)*AZ235+(G235-BC235)*BB235)*BJ235*BI235)*10000</f>
        <v>-0</v>
      </c>
      <c r="J235" s="119" t="n">
        <f aca="false">H235+I235</f>
        <v>-0</v>
      </c>
      <c r="M235" s="46"/>
      <c r="N235" s="46"/>
      <c r="O235" s="95" t="n">
        <f aca="false">A235</f>
        <v>38261</v>
      </c>
      <c r="BD235" s="100" t="n">
        <f aca="false">(P235+R235+T235+V235+X235+Z235+AB235+AD235+AF235+AH235+AJ235+AL235+AN235+AP235+AR235+AT235+AV235+AX235+AZ235+BB235)</f>
        <v>0</v>
      </c>
      <c r="BE235" s="322" t="n">
        <f aca="false">IF(AND(BD235=0,BH235=0),0,(ABS(P235)*Q235+ABS(R235)*S235+ABS(T235)*U235+ABS(V235)*W235+ABS(X235)*Y235+ABS(Z235)*AA235+ABS(AB235)*AC235+ABS(AD235)*AE235+ABS(AF235)*AG235+ABS(AH235)*AI235+ABS(AJ235)*AK235+ABS(AL235)*AM235+ABS(AN235)*AO235+ABS(AP235)*AQ235+ABS(AR235)*AS235+ABS(AT235)*AU235+ABS(AV235)*AW235+ABS(AX235)*AY235+ABS(AZ235)*BA235+ABS(BB235)*BC235)/BH235)</f>
        <v>0</v>
      </c>
      <c r="BF235" s="1"/>
      <c r="BG235" s="103" t="n">
        <f aca="false">O235</f>
        <v>38261</v>
      </c>
      <c r="BH235" s="323" t="n">
        <f aca="false">(ABS(P235)+ABS(R235)+ABS(T235)+ABS(V235)+ABS(X235)+ABS(Z235)+ABS(AB235)+ABS(AD235)+ABS(AF235)+ABS(AH235)+ABS(AJ235)+ABS(AL235)+ABS(AN235)+ABS(AP235)+ABS(AR235)+ABS(AT235)+ABS(AV235)+ABS(AX235)+ABS(AZ235)+ABS(BB235))</f>
        <v>0</v>
      </c>
      <c r="BI235" s="104" t="n">
        <f aca="false">VLOOKUP(GasPosn!A235,'Pricing Summary'!$AB$12:$AD$250,3)</f>
        <v>31</v>
      </c>
      <c r="BJ235" s="102" t="n">
        <f aca="false">VLOOKUP(A235,Interest!$AF$8:$AK$367,6)</f>
        <v>0.892739001581238</v>
      </c>
      <c r="BK235" s="102"/>
      <c r="BL235" s="0" t="n">
        <f aca="false">J235*VLOOKUP(A235,NymexData!$J$12:$K$244,2)</f>
        <v>-0</v>
      </c>
      <c r="BO235" s="0" t="n">
        <f aca="false">BO47</f>
        <v>0.892739001581238</v>
      </c>
      <c r="BP235" s="0" t="n">
        <f aca="false">G235*BO235</f>
        <v>-0.383877770679932</v>
      </c>
      <c r="BQ235" s="0" t="n">
        <f aca="false">IF(AND(A235&gt;=$B$191,A235&lt;=$B$192),1,0)</f>
        <v>0</v>
      </c>
      <c r="BR235" s="0" t="n">
        <f aca="false">BO235*BQ235</f>
        <v>0</v>
      </c>
      <c r="BS235" s="0" t="n">
        <f aca="false">BP235*BQ235</f>
        <v>-0</v>
      </c>
    </row>
    <row r="236" customFormat="false" ht="18" hidden="false" customHeight="false" outlineLevel="0" collapsed="false">
      <c r="A236" s="75" t="n">
        <f aca="false">A48</f>
        <v>38292</v>
      </c>
      <c r="B236" s="317" t="n">
        <f aca="false" t="array" ref="B236:B236">SUM(IF(MONTH(NymexData!$AL$12:$AL$250)&amp;YEAR(NymexData!$AL$12:$AL$250)=MONTH(A236)&amp;YEAR(A236),NymexData!$AM$12:$AM$250))</f>
        <v>-173.98859437</v>
      </c>
      <c r="C236" s="317" t="n">
        <f aca="false">BD236*BJ236*BI236</f>
        <v>0</v>
      </c>
      <c r="D236" s="319" t="n">
        <f aca="false">C236+B236</f>
        <v>-173.98859437</v>
      </c>
      <c r="E236" s="320" t="n">
        <f aca="false" t="array" ref="E236:E236">SUM(IF(MONTH(NymexData!$A$12:$A$250)&amp;YEAR(NymexData!$A$12:$A$250)=MONTH(A236)&amp;YEAR(A236),NymexData!$B$12:$B$250))</f>
        <v>-0.39</v>
      </c>
      <c r="F236" s="320" t="n">
        <f aca="false">G236-E236</f>
        <v>0</v>
      </c>
      <c r="G236" s="321" t="n">
        <f aca="false" t="array" ref="G236:G236">IF(NymexData!$H$12="",GasPosn!E236,SUM(IF(MONTH(NymexData!$H$12:$H$250)&amp;YEAR(NymexData!$H$12:$H$250)=MONTH(A236)&amp;YEAR(A236),NymexData!$I$12:$I$250)))</f>
        <v>-0.39</v>
      </c>
      <c r="H236" s="76" t="n">
        <f aca="false">B236*10000*F236</f>
        <v>-0</v>
      </c>
      <c r="I236" s="82" t="n">
        <f aca="false">(((G236-Q236)*P236+(G236-S236)*R236+(G236-U236)*T236+(G236-W236)*V236+(G236-Y236)*X236+(G236-AA236)*Z236+(G236-AC236)*AB236+(G236-AE236)*AD236+(G236-AG236)*AF236+(G236-AI236)*AH236+(G236-AK236)*AJ236+(G236-AM236)*AL236+(G236-AO236)*AN236+(G236-AQ236)*AP236+(G236-AS236)*AR236+(G236-AU236)*AT236+(G236-AW236)*AV236+(G236-AY236)*AX236+(G236-BA236)*AZ236+(G236-BC236)*BB236)*BJ236*BI236)*10000</f>
        <v>-0</v>
      </c>
      <c r="J236" s="82" t="n">
        <f aca="false">H236+I236</f>
        <v>-0</v>
      </c>
      <c r="O236" s="95" t="n">
        <f aca="false">A236</f>
        <v>38292</v>
      </c>
      <c r="BD236" s="100" t="n">
        <f aca="false">(P236+R236+T236+V236+X236+Z236+AB236+AD236+AF236+AH236+AJ236+AL236+AN236+AP236+AR236+AT236+AV236+AX236+AZ236+BB236)</f>
        <v>0</v>
      </c>
      <c r="BE236" s="322" t="n">
        <f aca="false">IF(AND(BD236=0,BH236=0),0,(ABS(P236)*Q236+ABS(R236)*S236+ABS(T236)*U236+ABS(V236)*W236+ABS(X236)*Y236+ABS(Z236)*AA236+ABS(AB236)*AC236+ABS(AD236)*AE236+ABS(AF236)*AG236+ABS(AH236)*AI236+ABS(AJ236)*AK236+ABS(AL236)*AM236+ABS(AN236)*AO236+ABS(AP236)*AQ236+ABS(AR236)*AS236+ABS(AT236)*AU236+ABS(AV236)*AW236+ABS(AX236)*AY236+ABS(AZ236)*BA236+ABS(BB236)*BC236)/BH236)</f>
        <v>0</v>
      </c>
      <c r="BG236" s="103" t="n">
        <f aca="false">O236</f>
        <v>38292</v>
      </c>
      <c r="BH236" s="323" t="n">
        <f aca="false">(ABS(P236)+ABS(R236)+ABS(T236)+ABS(V236)+ABS(X236)+ABS(Z236)+ABS(AB236)+ABS(AD236)+ABS(AF236)+ABS(AH236)+ABS(AJ236)+ABS(AL236)+ABS(AN236)+ABS(AP236)+ABS(AR236)+ABS(AT236)+ABS(AV236)+ABS(AX236)+ABS(AZ236)+ABS(BB236))</f>
        <v>0</v>
      </c>
      <c r="BI236" s="104" t="n">
        <f aca="false">VLOOKUP(GasPosn!A236,'Pricing Summary'!$AB$12:$AD$250,3)</f>
        <v>30</v>
      </c>
      <c r="BJ236" s="102" t="n">
        <f aca="false">VLOOKUP(A236,Interest!$AF$8:$AK$367,6)</f>
        <v>0.888769529277066</v>
      </c>
      <c r="BL236" s="0" t="n">
        <f aca="false">J236*VLOOKUP(A236,NymexData!$J$12:$K$244,2)</f>
        <v>-0</v>
      </c>
      <c r="BO236" s="0" t="n">
        <f aca="false">BO48</f>
        <v>0.888769529277066</v>
      </c>
      <c r="BP236" s="0" t="n">
        <f aca="false">G236*BO236</f>
        <v>-0.346620116418056</v>
      </c>
      <c r="BQ236" s="0" t="n">
        <f aca="false">IF(AND(A236&gt;=$B$191,A236&lt;=$B$192),1,0)</f>
        <v>0</v>
      </c>
      <c r="BR236" s="0" t="n">
        <f aca="false">BO236*BQ236</f>
        <v>0</v>
      </c>
      <c r="BS236" s="0" t="n">
        <f aca="false">BP236*BQ236</f>
        <v>-0</v>
      </c>
    </row>
    <row r="237" customFormat="false" ht="18" hidden="false" customHeight="false" outlineLevel="0" collapsed="false">
      <c r="A237" s="112" t="n">
        <f aca="false">A49</f>
        <v>38322</v>
      </c>
      <c r="B237" s="324" t="n">
        <f aca="false" t="array" ref="B237:B237">SUM(IF(MONTH(NymexData!$AL$12:$AL$250)&amp;YEAR(NymexData!$AL$12:$AL$250)=MONTH(A237)&amp;YEAR(A237),NymexData!$AM$12:$AM$250))</f>
        <v>-179.04652196</v>
      </c>
      <c r="C237" s="325" t="n">
        <f aca="false">BD237*BJ237*BI237</f>
        <v>0</v>
      </c>
      <c r="D237" s="326" t="n">
        <f aca="false">C237+B237</f>
        <v>-179.04652196</v>
      </c>
      <c r="E237" s="327" t="n">
        <f aca="false" t="array" ref="E237:E237">SUM(IF(MONTH(NymexData!$A$12:$A$250)&amp;YEAR(NymexData!$A$12:$A$250)=MONTH(A237)&amp;YEAR(A237),NymexData!$B$12:$B$250))</f>
        <v>-0.39</v>
      </c>
      <c r="F237" s="327" t="n">
        <f aca="false">G237-E237</f>
        <v>0</v>
      </c>
      <c r="G237" s="328" t="n">
        <f aca="false" t="array" ref="G237:G237">IF(NymexData!$H$12="",GasPosn!E237,SUM(IF(MONTH(NymexData!$H$12:$H$250)&amp;YEAR(NymexData!$H$12:$H$250)=MONTH(A237)&amp;YEAR(A237),NymexData!$I$12:$I$250)))</f>
        <v>-0.39</v>
      </c>
      <c r="H237" s="115" t="n">
        <f aca="false">B237*10000*F237</f>
        <v>-0</v>
      </c>
      <c r="I237" s="119" t="n">
        <f aca="false">(((G237-Q237)*P237+(G237-S237)*R237+(G237-U237)*T237+(G237-W237)*V237+(G237-Y237)*X237+(G237-AA237)*Z237+(G237-AC237)*AB237+(G237-AE237)*AD237+(G237-AG237)*AF237+(G237-AI237)*AH237+(G237-AK237)*AJ237+(G237-AM237)*AL237+(G237-AO237)*AN237+(G237-AQ237)*AP237+(G237-AS237)*AR237+(G237-AU237)*AT237+(G237-AW237)*AV237+(G237-AY237)*AX237+(G237-BA237)*AZ237+(G237-BC237)*BB237)*BJ237*BI237)*10000</f>
        <v>-0</v>
      </c>
      <c r="J237" s="119" t="n">
        <f aca="false">H237+I237</f>
        <v>-0</v>
      </c>
      <c r="O237" s="95" t="n">
        <f aca="false">A237</f>
        <v>38322</v>
      </c>
      <c r="BD237" s="100" t="n">
        <f aca="false">(P237+R237+T237+V237+X237+Z237+AB237+AD237+AF237+AH237+AJ237+AL237+AN237+AP237+AR237+AT237+AV237+AX237+AZ237+BB237)</f>
        <v>0</v>
      </c>
      <c r="BE237" s="322" t="n">
        <f aca="false">IF(AND(BD237=0,BH237=0),0,(ABS(P237)*Q237+ABS(R237)*S237+ABS(T237)*U237+ABS(V237)*W237+ABS(X237)*Y237+ABS(Z237)*AA237+ABS(AB237)*AC237+ABS(AD237)*AE237+ABS(AF237)*AG237+ABS(AH237)*AI237+ABS(AJ237)*AK237+ABS(AL237)*AM237+ABS(AN237)*AO237+ABS(AP237)*AQ237+ABS(AR237)*AS237+ABS(AT237)*AU237+ABS(AV237)*AW237+ABS(AX237)*AY237+ABS(AZ237)*BA237+ABS(BB237)*BC237)/BH237)</f>
        <v>0</v>
      </c>
      <c r="BG237" s="103" t="n">
        <f aca="false">O237</f>
        <v>38322</v>
      </c>
      <c r="BH237" s="323" t="n">
        <f aca="false">(ABS(P237)+ABS(R237)+ABS(T237)+ABS(V237)+ABS(X237)+ABS(Z237)+ABS(AB237)+ABS(AD237)+ABS(AF237)+ABS(AH237)+ABS(AJ237)+ABS(AL237)+ABS(AN237)+ABS(AP237)+ABS(AR237)+ABS(AT237)+ABS(AV237)+ABS(AX237)+ABS(AZ237)+ABS(BB237))</f>
        <v>0</v>
      </c>
      <c r="BI237" s="104" t="n">
        <f aca="false">VLOOKUP(GasPosn!A237,'Pricing Summary'!$AB$12:$AD$250,3)</f>
        <v>31</v>
      </c>
      <c r="BJ237" s="102" t="n">
        <f aca="false">VLOOKUP(A237,Interest!$AF$8:$AK$367,6)</f>
        <v>0.8847011422324</v>
      </c>
      <c r="BL237" s="0" t="n">
        <f aca="false">J237*VLOOKUP(A237,NymexData!$J$12:$K$244,2)</f>
        <v>-0</v>
      </c>
      <c r="BO237" s="0" t="n">
        <f aca="false">BO49</f>
        <v>0.8847011422324</v>
      </c>
      <c r="BP237" s="0" t="n">
        <f aca="false">G237*BO237</f>
        <v>-0.345033445470636</v>
      </c>
      <c r="BQ237" s="0" t="n">
        <f aca="false">IF(AND(A237&gt;=$B$191,A237&lt;=$B$192),1,0)</f>
        <v>0</v>
      </c>
      <c r="BR237" s="0" t="n">
        <f aca="false">BO237*BQ237</f>
        <v>0</v>
      </c>
      <c r="BS237" s="0" t="n">
        <f aca="false">BP237*BQ237</f>
        <v>-0</v>
      </c>
    </row>
    <row r="238" customFormat="false" ht="18" hidden="false" customHeight="false" outlineLevel="0" collapsed="false">
      <c r="A238" s="75" t="n">
        <f aca="false">A50</f>
        <v>38353</v>
      </c>
      <c r="B238" s="317" t="n">
        <f aca="false" t="array" ref="B238:B238">SUM(IF(MONTH(NymexData!$AL$12:$AL$250)&amp;YEAR(NymexData!$AL$12:$AL$250)=MONTH(A238)&amp;YEAR(A238),NymexData!$AM$12:$AM$250))</f>
        <v>-164.5597753</v>
      </c>
      <c r="C238" s="317" t="n">
        <f aca="false">BD238*BJ238*BI238</f>
        <v>0</v>
      </c>
      <c r="D238" s="319" t="n">
        <f aca="false">C238+B238</f>
        <v>-164.5597753</v>
      </c>
      <c r="E238" s="320" t="n">
        <f aca="false" t="array" ref="E238:E238">SUM(IF(MONTH(NymexData!$A$12:$A$250)&amp;YEAR(NymexData!$A$12:$A$250)=MONTH(A238)&amp;YEAR(A238),NymexData!$B$12:$B$250))</f>
        <v>-0.39</v>
      </c>
      <c r="F238" s="320" t="n">
        <f aca="false">G238-E238</f>
        <v>0</v>
      </c>
      <c r="G238" s="321" t="n">
        <f aca="false" t="array" ref="G238:G238">IF(NymexData!$H$12="",GasPosn!E238,SUM(IF(MONTH(NymexData!$H$12:$H$250)&amp;YEAR(NymexData!$H$12:$H$250)=MONTH(A238)&amp;YEAR(A238),NymexData!$I$12:$I$250)))</f>
        <v>-0.39</v>
      </c>
      <c r="H238" s="76" t="n">
        <f aca="false">B238*10000*F238</f>
        <v>-0</v>
      </c>
      <c r="I238" s="82" t="n">
        <f aca="false">(((G238-Q238)*P238+(G238-S238)*R238+(G238-U238)*T238+(G238-W238)*V238+(G238-Y238)*X238+(G238-AA238)*Z238+(G238-AC238)*AB238+(G238-AE238)*AD238+(G238-AG238)*AF238+(G238-AI238)*AH238+(G238-AK238)*AJ238+(G238-AM238)*AL238+(G238-AO238)*AN238+(G238-AQ238)*AP238+(G238-AS238)*AR238+(G238-AU238)*AT238+(G238-AW238)*AV238+(G238-AY238)*AX238+(G238-BA238)*AZ238+(G238-BC238)*BB238)*BJ238*BI238)*10000</f>
        <v>-0</v>
      </c>
      <c r="J238" s="82" t="n">
        <f aca="false">H238+I238</f>
        <v>-0</v>
      </c>
      <c r="O238" s="95" t="n">
        <f aca="false">A238</f>
        <v>38353</v>
      </c>
      <c r="BD238" s="100" t="n">
        <f aca="false">(P238+R238+T238+V238+X238+Z238+AB238+AD238+AF238+AH238+AJ238+AL238+AN238+AP238+AR238+AT238+AV238+AX238+AZ238+BB238)</f>
        <v>0</v>
      </c>
      <c r="BE238" s="322" t="n">
        <f aca="false">IF(AND(BD238=0,BH238=0),0,(ABS(P238)*Q238+ABS(R238)*S238+ABS(T238)*U238+ABS(V238)*W238+ABS(X238)*Y238+ABS(Z238)*AA238+ABS(AB238)*AC238+ABS(AD238)*AE238+ABS(AF238)*AG238+ABS(AH238)*AI238+ABS(AJ238)*AK238+ABS(AL238)*AM238+ABS(AN238)*AO238+ABS(AP238)*AQ238+ABS(AR238)*AS238+ABS(AT238)*AU238+ABS(AV238)*AW238+ABS(AX238)*AY238+ABS(AZ238)*BA238+ABS(BB238)*BC238)/BH238)</f>
        <v>0</v>
      </c>
      <c r="BG238" s="103" t="n">
        <f aca="false">O238</f>
        <v>38353</v>
      </c>
      <c r="BH238" s="323" t="n">
        <f aca="false">(ABS(P238)+ABS(R238)+ABS(T238)+ABS(V238)+ABS(X238)+ABS(Z238)+ABS(AB238)+ABS(AD238)+ABS(AF238)+ABS(AH238)+ABS(AJ238)+ABS(AL238)+ABS(AN238)+ABS(AP238)+ABS(AR238)+ABS(AT238)+ABS(AV238)+ABS(AX238)+ABS(AZ238)+ABS(BB238))</f>
        <v>0</v>
      </c>
      <c r="BI238" s="104" t="n">
        <f aca="false">VLOOKUP(GasPosn!A238,'Pricing Summary'!$AB$12:$AD$250,3)</f>
        <v>31</v>
      </c>
      <c r="BJ238" s="102" t="n">
        <f aca="false">VLOOKUP(A238,Interest!$AF$8:$AK$367,6)</f>
        <v>0.880579750985831</v>
      </c>
      <c r="BL238" s="0" t="n">
        <f aca="false">J238*VLOOKUP(A238,NymexData!$J$12:$K$244,2)</f>
        <v>-0</v>
      </c>
      <c r="BO238" s="0" t="n">
        <f aca="false">BO50</f>
        <v>0.880579750985831</v>
      </c>
      <c r="BP238" s="0" t="n">
        <f aca="false">G238*BO238</f>
        <v>-0.343426102884474</v>
      </c>
      <c r="BQ238" s="0" t="n">
        <f aca="false">IF(AND(A238&gt;=$B$191,A238&lt;=$B$192),1,0)</f>
        <v>0</v>
      </c>
      <c r="BR238" s="0" t="n">
        <f aca="false">BO238*BQ238</f>
        <v>0</v>
      </c>
      <c r="BS238" s="0" t="n">
        <f aca="false">BP238*BQ238</f>
        <v>-0</v>
      </c>
    </row>
    <row r="239" customFormat="false" ht="18" hidden="false" customHeight="false" outlineLevel="0" collapsed="false">
      <c r="A239" s="112" t="n">
        <f aca="false">A51</f>
        <v>38384</v>
      </c>
      <c r="B239" s="324" t="n">
        <f aca="false" t="array" ref="B239:B239">SUM(IF(MONTH(NymexData!$AL$12:$AL$250)&amp;YEAR(NymexData!$AL$12:$AL$250)=MONTH(A239)&amp;YEAR(A239),NymexData!$AM$12:$AM$250))</f>
        <v>-147.98394478</v>
      </c>
      <c r="C239" s="325" t="n">
        <f aca="false">BD239*BJ239*BI239</f>
        <v>0</v>
      </c>
      <c r="D239" s="326" t="n">
        <f aca="false">C239+B239</f>
        <v>-147.98394478</v>
      </c>
      <c r="E239" s="327" t="n">
        <f aca="false" t="array" ref="E239:E239">SUM(IF(MONTH(NymexData!$A$12:$A$250)&amp;YEAR(NymexData!$A$12:$A$250)=MONTH(A239)&amp;YEAR(A239),NymexData!$B$12:$B$250))</f>
        <v>-0.39</v>
      </c>
      <c r="F239" s="327" t="n">
        <f aca="false">G239-E239</f>
        <v>0</v>
      </c>
      <c r="G239" s="328" t="n">
        <f aca="false" t="array" ref="G239:G239">IF(NymexData!$H$12="",GasPosn!E239,SUM(IF(MONTH(NymexData!$H$12:$H$250)&amp;YEAR(NymexData!$H$12:$H$250)=MONTH(A239)&amp;YEAR(A239),NymexData!$I$12:$I$250)))</f>
        <v>-0.39</v>
      </c>
      <c r="H239" s="115" t="n">
        <f aca="false">B239*10000*F239</f>
        <v>-0</v>
      </c>
      <c r="I239" s="119" t="n">
        <f aca="false">(((G239-Q239)*P239+(G239-S239)*R239+(G239-U239)*T239+(G239-W239)*V239+(G239-Y239)*X239+(G239-AA239)*Z239+(G239-AC239)*AB239+(G239-AE239)*AD239+(G239-AG239)*AF239+(G239-AI239)*AH239+(G239-AK239)*AJ239+(G239-AM239)*AL239+(G239-AO239)*AN239+(G239-AQ239)*AP239+(G239-AS239)*AR239+(G239-AU239)*AT239+(G239-AW239)*AV239+(G239-AY239)*AX239+(G239-BA239)*AZ239+(G239-BC239)*BB239)*BJ239*BI239)*10000</f>
        <v>-0</v>
      </c>
      <c r="J239" s="119" t="n">
        <f aca="false">H239+I239</f>
        <v>-0</v>
      </c>
      <c r="O239" s="95" t="n">
        <f aca="false">A239</f>
        <v>38384</v>
      </c>
      <c r="BD239" s="100" t="n">
        <f aca="false">(P239+R239+T239+V239+X239+Z239+AB239+AD239+AF239+AH239+AJ239+AL239+AN239+AP239+AR239+AT239+AV239+AX239+AZ239+BB239)</f>
        <v>0</v>
      </c>
      <c r="BE239" s="322" t="n">
        <f aca="false">IF(AND(BD239=0,BH239=0),0,(ABS(P239)*Q239+ABS(R239)*S239+ABS(T239)*U239+ABS(V239)*W239+ABS(X239)*Y239+ABS(Z239)*AA239+ABS(AB239)*AC239+ABS(AD239)*AE239+ABS(AF239)*AG239+ABS(AH239)*AI239+ABS(AJ239)*AK239+ABS(AL239)*AM239+ABS(AN239)*AO239+ABS(AP239)*AQ239+ABS(AR239)*AS239+ABS(AT239)*AU239+ABS(AV239)*AW239+ABS(AX239)*AY239+ABS(AZ239)*BA239+ABS(BB239)*BC239)/BH239)</f>
        <v>0</v>
      </c>
      <c r="BG239" s="103" t="n">
        <f aca="false">O239</f>
        <v>38384</v>
      </c>
      <c r="BH239" s="323" t="n">
        <f aca="false">(ABS(P239)+ABS(R239)+ABS(T239)+ABS(V239)+ABS(X239)+ABS(Z239)+ABS(AB239)+ABS(AD239)+ABS(AF239)+ABS(AH239)+ABS(AJ239)+ABS(AL239)+ABS(AN239)+ABS(AP239)+ABS(AR239)+ABS(AT239)+ABS(AV239)+ABS(AX239)+ABS(AZ239)+ABS(BB239))</f>
        <v>0</v>
      </c>
      <c r="BI239" s="104" t="n">
        <f aca="false">VLOOKUP(GasPosn!A239,'Pricing Summary'!$AB$12:$AD$250,3)</f>
        <v>28</v>
      </c>
      <c r="BJ239" s="102" t="n">
        <f aca="false">VLOOKUP(A239,Interest!$AF$8:$AK$367,6)</f>
        <v>0.87672383052938</v>
      </c>
      <c r="BL239" s="0" t="n">
        <f aca="false">J239*VLOOKUP(A239,NymexData!$J$12:$K$244,2)</f>
        <v>-0</v>
      </c>
      <c r="BO239" s="0" t="n">
        <f aca="false">BO51</f>
        <v>0.87672383052938</v>
      </c>
      <c r="BP239" s="0" t="n">
        <f aca="false">G239*BO239</f>
        <v>-0.341922293906458</v>
      </c>
      <c r="BQ239" s="0" t="n">
        <f aca="false">IF(AND(A239&gt;=$B$191,A239&lt;=$B$192),1,0)</f>
        <v>0</v>
      </c>
      <c r="BR239" s="0" t="n">
        <f aca="false">BO239*BQ239</f>
        <v>0</v>
      </c>
      <c r="BS239" s="0" t="n">
        <f aca="false">BP239*BQ239</f>
        <v>-0</v>
      </c>
    </row>
    <row r="240" customFormat="false" ht="18" hidden="false" customHeight="false" outlineLevel="0" collapsed="false">
      <c r="A240" s="75" t="n">
        <f aca="false">A52</f>
        <v>38412</v>
      </c>
      <c r="B240" s="317" t="n">
        <f aca="false" t="array" ref="B240:B240">SUM(IF(MONTH(NymexData!$AL$12:$AL$250)&amp;YEAR(NymexData!$AL$12:$AL$250)=MONTH(A240)&amp;YEAR(A240),NymexData!$AM$12:$AM$250))</f>
        <v>-163.1832102</v>
      </c>
      <c r="C240" s="317" t="n">
        <f aca="false">BD240*BJ240*BI240</f>
        <v>0</v>
      </c>
      <c r="D240" s="319" t="n">
        <f aca="false">C240+B240</f>
        <v>-163.1832102</v>
      </c>
      <c r="E240" s="320" t="n">
        <f aca="false" t="array" ref="E240:E240">SUM(IF(MONTH(NymexData!$A$12:$A$250)&amp;YEAR(NymexData!$A$12:$A$250)=MONTH(A240)&amp;YEAR(A240),NymexData!$B$12:$B$250))</f>
        <v>-0.39</v>
      </c>
      <c r="F240" s="320" t="n">
        <f aca="false">G240-E240</f>
        <v>0</v>
      </c>
      <c r="G240" s="321" t="n">
        <f aca="false" t="array" ref="G240:G240">IF(NymexData!$H$12="",GasPosn!E240,SUM(IF(MONTH(NymexData!$H$12:$H$250)&amp;YEAR(NymexData!$H$12:$H$250)=MONTH(A240)&amp;YEAR(A240),NymexData!$I$12:$I$250)))</f>
        <v>-0.39</v>
      </c>
      <c r="H240" s="76" t="n">
        <f aca="false">B240*10000*F240</f>
        <v>-0</v>
      </c>
      <c r="I240" s="82" t="n">
        <f aca="false">(((G240-Q240)*P240+(G240-S240)*R240+(G240-U240)*T240+(G240-W240)*V240+(G240-Y240)*X240+(G240-AA240)*Z240+(G240-AC240)*AB240+(G240-AE240)*AD240+(G240-AG240)*AF240+(G240-AI240)*AH240+(G240-AK240)*AJ240+(G240-AM240)*AL240+(G240-AO240)*AN240+(G240-AQ240)*AP240+(G240-AS240)*AR240+(G240-AU240)*AT240+(G240-AW240)*AV240+(G240-AY240)*AX240+(G240-BA240)*AZ240+(G240-BC240)*BB240)*BJ240*BI240)*10000</f>
        <v>-0</v>
      </c>
      <c r="J240" s="82" t="n">
        <f aca="false">H240+I240</f>
        <v>-0</v>
      </c>
      <c r="O240" s="95" t="n">
        <f aca="false">A240</f>
        <v>38412</v>
      </c>
      <c r="BD240" s="100" t="n">
        <f aca="false">(P240+R240+T240+V240+X240+Z240+AB240+AD240+AF240+AH240+AJ240+AL240+AN240+AP240+AR240+AT240+AV240+AX240+AZ240+BB240)</f>
        <v>0</v>
      </c>
      <c r="BE240" s="322" t="n">
        <f aca="false">IF(AND(BD240=0,BH240=0),0,(ABS(P240)*Q240+ABS(R240)*S240+ABS(T240)*U240+ABS(V240)*W240+ABS(X240)*Y240+ABS(Z240)*AA240+ABS(AB240)*AC240+ABS(AD240)*AE240+ABS(AF240)*AG240+ABS(AH240)*AI240+ABS(AJ240)*AK240+ABS(AL240)*AM240+ABS(AN240)*AO240+ABS(AP240)*AQ240+ABS(AR240)*AS240+ABS(AT240)*AU240+ABS(AV240)*AW240+ABS(AX240)*AY240+ABS(AZ240)*BA240+ABS(BB240)*BC240)/BH240)</f>
        <v>0</v>
      </c>
      <c r="BG240" s="103" t="n">
        <f aca="false">O240</f>
        <v>38412</v>
      </c>
      <c r="BH240" s="323" t="n">
        <f aca="false">(ABS(P240)+ABS(R240)+ABS(T240)+ABS(V240)+ABS(X240)+ABS(Z240)+ABS(AB240)+ABS(AD240)+ABS(AF240)+ABS(AH240)+ABS(AJ240)+ABS(AL240)+ABS(AN240)+ABS(AP240)+ABS(AR240)+ABS(AT240)+ABS(AV240)+ABS(AX240)+ABS(AZ240)+ABS(BB240))</f>
        <v>0</v>
      </c>
      <c r="BI240" s="104" t="n">
        <f aca="false">VLOOKUP(GasPosn!A240,'Pricing Summary'!$AB$12:$AD$250,3)</f>
        <v>31</v>
      </c>
      <c r="BJ240" s="102" t="n">
        <f aca="false">VLOOKUP(A240,Interest!$AF$8:$AK$367,6)</f>
        <v>0.872667587646565</v>
      </c>
      <c r="BL240" s="0" t="n">
        <f aca="false">J240*VLOOKUP(A240,NymexData!$J$12:$K$244,2)</f>
        <v>-0</v>
      </c>
      <c r="BO240" s="0" t="n">
        <f aca="false">BO52</f>
        <v>0.872667587646565</v>
      </c>
      <c r="BP240" s="0" t="n">
        <f aca="false">G240*BO240</f>
        <v>-0.34034035918216</v>
      </c>
      <c r="BQ240" s="0" t="n">
        <f aca="false">IF(AND(A240&gt;=$B$191,A240&lt;=$B$192),1,0)</f>
        <v>0</v>
      </c>
      <c r="BR240" s="0" t="n">
        <f aca="false">BO240*BQ240</f>
        <v>0</v>
      </c>
      <c r="BS240" s="0" t="n">
        <f aca="false">BP240*BQ240</f>
        <v>-0</v>
      </c>
    </row>
    <row r="241" customFormat="false" ht="18" hidden="false" customHeight="false" outlineLevel="0" collapsed="false">
      <c r="A241" s="112" t="n">
        <f aca="false">A53</f>
        <v>38443</v>
      </c>
      <c r="B241" s="324" t="n">
        <f aca="false" t="array" ref="B241:B241">SUM(IF(MONTH(NymexData!$AL$12:$AL$250)&amp;YEAR(NymexData!$AL$12:$AL$250)=MONTH(A241)&amp;YEAR(A241),NymexData!$AM$12:$AM$250))</f>
        <v>-157.21045606</v>
      </c>
      <c r="C241" s="325" t="n">
        <f aca="false">BD241*BJ241*BI241</f>
        <v>0</v>
      </c>
      <c r="D241" s="326" t="n">
        <f aca="false">C241+B241</f>
        <v>-157.21045606</v>
      </c>
      <c r="E241" s="327" t="n">
        <f aca="false" t="array" ref="E241:E241">SUM(IF(MONTH(NymexData!$A$12:$A$250)&amp;YEAR(NymexData!$A$12:$A$250)=MONTH(A241)&amp;YEAR(A241),NymexData!$B$12:$B$250))</f>
        <v>-0.44</v>
      </c>
      <c r="F241" s="327" t="n">
        <f aca="false">G241-E241</f>
        <v>0</v>
      </c>
      <c r="G241" s="328" t="n">
        <f aca="false" t="array" ref="G241:G241">IF(NymexData!$H$12="",GasPosn!E241,SUM(IF(MONTH(NymexData!$H$12:$H$250)&amp;YEAR(NymexData!$H$12:$H$250)=MONTH(A241)&amp;YEAR(A241),NymexData!$I$12:$I$250)))</f>
        <v>-0.44</v>
      </c>
      <c r="H241" s="115" t="n">
        <f aca="false">B241*10000*F241</f>
        <v>-0</v>
      </c>
      <c r="I241" s="119" t="n">
        <f aca="false">(((G241-Q241)*P241+(G241-S241)*R241+(G241-U241)*T241+(G241-W241)*V241+(G241-Y241)*X241+(G241-AA241)*Z241+(G241-AC241)*AB241+(G241-AE241)*AD241+(G241-AG241)*AF241+(G241-AI241)*AH241+(G241-AK241)*AJ241+(G241-AM241)*AL241+(G241-AO241)*AN241+(G241-AQ241)*AP241+(G241-AS241)*AR241+(G241-AU241)*AT241+(G241-AW241)*AV241+(G241-AY241)*AX241+(G241-BA241)*AZ241+(G241-BC241)*BB241)*BJ241*BI241)*10000</f>
        <v>-0</v>
      </c>
      <c r="J241" s="119" t="n">
        <f aca="false">H241+I241</f>
        <v>-0</v>
      </c>
      <c r="O241" s="95" t="n">
        <f aca="false">A241</f>
        <v>38443</v>
      </c>
      <c r="BD241" s="100" t="n">
        <f aca="false">(P241+R241+T241+V241+X241+Z241+AB241+AD241+AF241+AH241+AJ241+AL241+AN241+AP241+AR241+AT241+AV241+AX241+AZ241+BB241)</f>
        <v>0</v>
      </c>
      <c r="BE241" s="322" t="n">
        <f aca="false">IF(AND(BD241=0,BH241=0),0,(ABS(P241)*Q241+ABS(R241)*S241+ABS(T241)*U241+ABS(V241)*W241+ABS(X241)*Y241+ABS(Z241)*AA241+ABS(AB241)*AC241+ABS(AD241)*AE241+ABS(AF241)*AG241+ABS(AH241)*AI241+ABS(AJ241)*AK241+ABS(AL241)*AM241+ABS(AN241)*AO241+ABS(AP241)*AQ241+ABS(AR241)*AS241+ABS(AT241)*AU241+ABS(AV241)*AW241+ABS(AX241)*AY241+ABS(AZ241)*BA241+ABS(BB241)*BC241)/BH241)</f>
        <v>0</v>
      </c>
      <c r="BG241" s="103" t="n">
        <f aca="false">O241</f>
        <v>38443</v>
      </c>
      <c r="BH241" s="323" t="n">
        <f aca="false">(ABS(P241)+ABS(R241)+ABS(T241)+ABS(V241)+ABS(X241)+ABS(Z241)+ABS(AB241)+ABS(AD241)+ABS(AF241)+ABS(AH241)+ABS(AJ241)+ABS(AL241)+ABS(AN241)+ABS(AP241)+ABS(AR241)+ABS(AT241)+ABS(AV241)+ABS(AX241)+ABS(AZ241)+ABS(BB241))</f>
        <v>0</v>
      </c>
      <c r="BI241" s="104" t="n">
        <f aca="false">VLOOKUP(GasPosn!A241,'Pricing Summary'!$AB$12:$AD$250,3)</f>
        <v>30</v>
      </c>
      <c r="BJ241" s="102" t="n">
        <f aca="false">VLOOKUP(A241,Interest!$AF$8:$AK$367,6)</f>
        <v>0.868631738927956</v>
      </c>
      <c r="BL241" s="0" t="n">
        <f aca="false">J241*VLOOKUP(A241,NymexData!$J$12:$K$244,2)</f>
        <v>-0</v>
      </c>
      <c r="BO241" s="0" t="n">
        <f aca="false">BO53</f>
        <v>0.868631738927956</v>
      </c>
      <c r="BP241" s="0" t="n">
        <f aca="false">G241*BO241</f>
        <v>-0.382197965128301</v>
      </c>
      <c r="BQ241" s="0" t="n">
        <f aca="false">IF(AND(A241&gt;=$B$191,A241&lt;=$B$192),1,0)</f>
        <v>0</v>
      </c>
      <c r="BR241" s="0" t="n">
        <f aca="false">BO241*BQ241</f>
        <v>0</v>
      </c>
      <c r="BS241" s="0" t="n">
        <f aca="false">BP241*BQ241</f>
        <v>-0</v>
      </c>
    </row>
    <row r="242" customFormat="false" ht="18" hidden="false" customHeight="false" outlineLevel="0" collapsed="false">
      <c r="A242" s="75" t="n">
        <f aca="false">A54</f>
        <v>38473</v>
      </c>
      <c r="B242" s="317" t="n">
        <f aca="false" t="array" ref="B242:B242">SUM(IF(MONTH(NymexData!$AL$12:$AL$250)&amp;YEAR(NymexData!$AL$12:$AL$250)=MONTH(A242)&amp;YEAR(A242),NymexData!$AM$12:$AM$250))</f>
        <v>-161.7361813</v>
      </c>
      <c r="C242" s="317" t="n">
        <f aca="false">BD242*BJ242*BI242</f>
        <v>0</v>
      </c>
      <c r="D242" s="319" t="n">
        <f aca="false">C242+B242</f>
        <v>-161.7361813</v>
      </c>
      <c r="E242" s="320" t="n">
        <f aca="false" t="array" ref="E242:E242">SUM(IF(MONTH(NymexData!$A$12:$A$250)&amp;YEAR(NymexData!$A$12:$A$250)=MONTH(A242)&amp;YEAR(A242),NymexData!$B$12:$B$250))</f>
        <v>-0.44</v>
      </c>
      <c r="F242" s="320" t="n">
        <f aca="false">G242-E242</f>
        <v>0</v>
      </c>
      <c r="G242" s="321" t="n">
        <f aca="false" t="array" ref="G242:G242">IF(NymexData!$H$12="",GasPosn!E242,SUM(IF(MONTH(NymexData!$H$12:$H$250)&amp;YEAR(NymexData!$H$12:$H$250)=MONTH(A242)&amp;YEAR(A242),NymexData!$I$12:$I$250)))</f>
        <v>-0.44</v>
      </c>
      <c r="H242" s="76" t="n">
        <f aca="false">B242*10000*F242</f>
        <v>-0</v>
      </c>
      <c r="I242" s="82" t="n">
        <f aca="false">(((G242-Q242)*P242+(G242-S242)*R242+(G242-U242)*T242+(G242-W242)*V242+(G242-Y242)*X242+(G242-AA242)*Z242+(G242-AC242)*AB242+(G242-AE242)*AD242+(G242-AG242)*AF242+(G242-AI242)*AH242+(G242-AK242)*AJ242+(G242-AM242)*AL242+(G242-AO242)*AN242+(G242-AQ242)*AP242+(G242-AS242)*AR242+(G242-AU242)*AT242+(G242-AW242)*AV242+(G242-AY242)*AX242+(G242-BA242)*AZ242+(G242-BC242)*BB242)*BJ242*BI242)*10000</f>
        <v>-0</v>
      </c>
      <c r="J242" s="82" t="n">
        <f aca="false">H242+I242</f>
        <v>-0</v>
      </c>
      <c r="O242" s="95" t="n">
        <f aca="false">A242</f>
        <v>38473</v>
      </c>
      <c r="BD242" s="100" t="n">
        <f aca="false">(P242+R242+T242+V242+X242+Z242+AB242+AD242+AF242+AH242+AJ242+AL242+AN242+AP242+AR242+AT242+AV242+AX242+AZ242+BB242)</f>
        <v>0</v>
      </c>
      <c r="BE242" s="322" t="n">
        <f aca="false">IF(AND(BD242=0,BH242=0),0,(ABS(P242)*Q242+ABS(R242)*S242+ABS(T242)*U242+ABS(V242)*W242+ABS(X242)*Y242+ABS(Z242)*AA242+ABS(AB242)*AC242+ABS(AD242)*AE242+ABS(AF242)*AG242+ABS(AH242)*AI242+ABS(AJ242)*AK242+ABS(AL242)*AM242+ABS(AN242)*AO242+ABS(AP242)*AQ242+ABS(AR242)*AS242+ABS(AT242)*AU242+ABS(AV242)*AW242+ABS(AX242)*AY242+ABS(AZ242)*BA242+ABS(BB242)*BC242)/BH242)</f>
        <v>0</v>
      </c>
      <c r="BG242" s="103" t="n">
        <f aca="false">O242</f>
        <v>38473</v>
      </c>
      <c r="BH242" s="323" t="n">
        <f aca="false">(ABS(P242)+ABS(R242)+ABS(T242)+ABS(V242)+ABS(X242)+ABS(Z242)+ABS(AB242)+ABS(AD242)+ABS(AF242)+ABS(AH242)+ABS(AJ242)+ABS(AL242)+ABS(AN242)+ABS(AP242)+ABS(AR242)+ABS(AT242)+ABS(AV242)+ABS(AX242)+ABS(AZ242)+ABS(BB242))</f>
        <v>0</v>
      </c>
      <c r="BI242" s="104" t="n">
        <f aca="false">VLOOKUP(GasPosn!A242,'Pricing Summary'!$AB$12:$AD$250,3)</f>
        <v>31</v>
      </c>
      <c r="BJ242" s="102" t="n">
        <f aca="false">VLOOKUP(A242,Interest!$AF$8:$AK$367,6)</f>
        <v>0.864580900722143</v>
      </c>
      <c r="BL242" s="0" t="n">
        <f aca="false">J242*VLOOKUP(A242,NymexData!$J$12:$K$244,2)</f>
        <v>-0</v>
      </c>
      <c r="BO242" s="0" t="n">
        <f aca="false">BO54</f>
        <v>0.864580900722143</v>
      </c>
      <c r="BP242" s="0" t="n">
        <f aca="false">G242*BO242</f>
        <v>-0.380415596317743</v>
      </c>
      <c r="BQ242" s="0" t="n">
        <f aca="false">IF(AND(A242&gt;=$B$191,A242&lt;=$B$192),1,0)</f>
        <v>0</v>
      </c>
      <c r="BR242" s="0" t="n">
        <f aca="false">BO242*BQ242</f>
        <v>0</v>
      </c>
      <c r="BS242" s="0" t="n">
        <f aca="false">BP242*BQ242</f>
        <v>-0</v>
      </c>
    </row>
    <row r="243" customFormat="false" ht="18" hidden="false" customHeight="false" outlineLevel="0" collapsed="false">
      <c r="A243" s="112" t="n">
        <f aca="false">A55</f>
        <v>38504</v>
      </c>
      <c r="B243" s="324" t="n">
        <f aca="false" t="array" ref="B243:B243">SUM(IF(MONTH(NymexData!$AL$12:$AL$250)&amp;YEAR(NymexData!$AL$12:$AL$250)=MONTH(A243)&amp;YEAR(A243),NymexData!$AM$12:$AM$250))</f>
        <v>-155.79852754</v>
      </c>
      <c r="C243" s="325" t="n">
        <f aca="false">BD243*BJ243*BI243</f>
        <v>0</v>
      </c>
      <c r="D243" s="326" t="n">
        <f aca="false">C243+B243</f>
        <v>-155.79852754</v>
      </c>
      <c r="E243" s="327" t="n">
        <f aca="false" t="array" ref="E243:E243">SUM(IF(MONTH(NymexData!$A$12:$A$250)&amp;YEAR(NymexData!$A$12:$A$250)=MONTH(A243)&amp;YEAR(A243),NymexData!$B$12:$B$250))</f>
        <v>-0.44</v>
      </c>
      <c r="F243" s="327" t="n">
        <f aca="false">G243-E243</f>
        <v>0</v>
      </c>
      <c r="G243" s="328" t="n">
        <f aca="false" t="array" ref="G243:G243">IF(NymexData!$H$12="",GasPosn!E243,SUM(IF(MONTH(NymexData!$H$12:$H$250)&amp;YEAR(NymexData!$H$12:$H$250)=MONTH(A243)&amp;YEAR(A243),NymexData!$I$12:$I$250)))</f>
        <v>-0.44</v>
      </c>
      <c r="H243" s="115" t="n">
        <f aca="false">B243*10000*F243</f>
        <v>-0</v>
      </c>
      <c r="I243" s="119" t="n">
        <f aca="false">(((G243-Q243)*P243+(G243-S243)*R243+(G243-U243)*T243+(G243-W243)*V243+(G243-Y243)*X243+(G243-AA243)*Z243+(G243-AC243)*AB243+(G243-AE243)*AD243+(G243-AG243)*AF243+(G243-AI243)*AH243+(G243-AK243)*AJ243+(G243-AM243)*AL243+(G243-AO243)*AN243+(G243-AQ243)*AP243+(G243-AS243)*AR243+(G243-AU243)*AT243+(G243-AW243)*AV243+(G243-AY243)*AX243+(G243-BA243)*AZ243+(G243-BC243)*BB243)*BJ243*BI243)*10000</f>
        <v>-0</v>
      </c>
      <c r="J243" s="119" t="n">
        <f aca="false">H243+I243</f>
        <v>-0</v>
      </c>
      <c r="O243" s="95" t="n">
        <f aca="false">A243</f>
        <v>38504</v>
      </c>
      <c r="BD243" s="100" t="n">
        <f aca="false">(P243+R243+T243+V243+X243+Z243+AB243+AD243+AF243+AH243+AJ243+AL243+AN243+AP243+AR243+AT243+AV243+AX243+AZ243+BB243)</f>
        <v>0</v>
      </c>
      <c r="BE243" s="322" t="n">
        <f aca="false">IF(AND(BD243=0,BH243=0),0,(ABS(P243)*Q243+ABS(R243)*S243+ABS(T243)*U243+ABS(V243)*W243+ABS(X243)*Y243+ABS(Z243)*AA243+ABS(AB243)*AC243+ABS(AD243)*AE243+ABS(AF243)*AG243+ABS(AH243)*AI243+ABS(AJ243)*AK243+ABS(AL243)*AM243+ABS(AN243)*AO243+ABS(AP243)*AQ243+ABS(AR243)*AS243+ABS(AT243)*AU243+ABS(AV243)*AW243+ABS(AX243)*AY243+ABS(AZ243)*BA243+ABS(BB243)*BC243)/BH243)</f>
        <v>0</v>
      </c>
      <c r="BG243" s="103" t="n">
        <f aca="false">O243</f>
        <v>38504</v>
      </c>
      <c r="BH243" s="323" t="n">
        <f aca="false">(ABS(P243)+ABS(R243)+ABS(T243)+ABS(V243)+ABS(X243)+ABS(Z243)+ABS(AB243)+ABS(AD243)+ABS(AF243)+ABS(AH243)+ABS(AJ243)+ABS(AL243)+ABS(AN243)+ABS(AP243)+ABS(AR243)+ABS(AT243)+ABS(AV243)+ABS(AX243)+ABS(AZ243)+ABS(BB243))</f>
        <v>0</v>
      </c>
      <c r="BI243" s="104" t="n">
        <f aca="false">VLOOKUP(GasPosn!A243,'Pricing Summary'!$AB$12:$AD$250,3)</f>
        <v>30</v>
      </c>
      <c r="BJ243" s="102" t="n">
        <f aca="false">VLOOKUP(A243,Interest!$AF$8:$AK$367,6)</f>
        <v>0.860555281711277</v>
      </c>
      <c r="BL243" s="0" t="n">
        <f aca="false">J243*VLOOKUP(A243,NymexData!$J$12:$K$244,2)</f>
        <v>-0</v>
      </c>
      <c r="BO243" s="0" t="n">
        <f aca="false">BO55</f>
        <v>0.860555281711277</v>
      </c>
      <c r="BP243" s="0" t="n">
        <f aca="false">G243*BO243</f>
        <v>-0.378644323952962</v>
      </c>
      <c r="BQ243" s="0" t="n">
        <f aca="false">IF(AND(A243&gt;=$B$191,A243&lt;=$B$192),1,0)</f>
        <v>0</v>
      </c>
      <c r="BR243" s="0" t="n">
        <f aca="false">BO243*BQ243</f>
        <v>0</v>
      </c>
      <c r="BS243" s="0" t="n">
        <f aca="false">BP243*BQ243</f>
        <v>-0</v>
      </c>
    </row>
    <row r="244" customFormat="false" ht="18" hidden="false" customHeight="false" outlineLevel="0" collapsed="false">
      <c r="A244" s="75" t="n">
        <f aca="false">A56</f>
        <v>38534</v>
      </c>
      <c r="B244" s="317" t="n">
        <f aca="false" t="array" ref="B244:B244">SUM(IF(MONTH(NymexData!$AL$12:$AL$250)&amp;YEAR(NymexData!$AL$12:$AL$250)=MONTH(A244)&amp;YEAR(A244),NymexData!$AM$12:$AM$250))</f>
        <v>-160.26582864</v>
      </c>
      <c r="C244" s="318" t="n">
        <f aca="false">BD244*BJ244*BI244</f>
        <v>0</v>
      </c>
      <c r="D244" s="319" t="n">
        <f aca="false">C244+B244</f>
        <v>-160.26582864</v>
      </c>
      <c r="E244" s="320" t="n">
        <f aca="false" t="array" ref="E244:E244">SUM(IF(MONTH(NymexData!$A$12:$A$250)&amp;YEAR(NymexData!$A$12:$A$250)=MONTH(A244)&amp;YEAR(A244),NymexData!$B$12:$B$250))</f>
        <v>-0.44</v>
      </c>
      <c r="F244" s="320" t="n">
        <f aca="false">G244-E244</f>
        <v>0</v>
      </c>
      <c r="G244" s="321" t="n">
        <f aca="false" t="array" ref="G244:G244">IF(NymexData!$H$12="",GasPosn!E244,SUM(IF(MONTH(NymexData!$H$12:$H$250)&amp;YEAR(NymexData!$H$12:$H$250)=MONTH(A244)&amp;YEAR(A244),NymexData!$I$12:$I$250)))</f>
        <v>-0.44</v>
      </c>
      <c r="H244" s="76" t="n">
        <f aca="false">B244*10000*F244</f>
        <v>-0</v>
      </c>
      <c r="I244" s="82" t="n">
        <f aca="false">(((G244-Q244)*P244+(G244-S244)*R244+(G244-U244)*T244+(G244-W244)*V244+(G244-Y244)*X244+(G244-AA244)*Z244+(G244-AC244)*AB244+(G244-AE244)*AD244+(G244-AG244)*AF244+(G244-AI244)*AH244+(G244-AK244)*AJ244+(G244-AM244)*AL244+(G244-AO244)*AN244+(G244-AQ244)*AP244+(G244-AS244)*AR244+(G244-AU244)*AT244+(G244-AW244)*AV244+(G244-AY244)*AX244+(G244-BA244)*AZ244+(G244-BC244)*BB244)*BJ244*BI244)*10000</f>
        <v>-0</v>
      </c>
      <c r="J244" s="82" t="n">
        <f aca="false">H244+I244</f>
        <v>-0</v>
      </c>
      <c r="O244" s="95" t="n">
        <f aca="false">A244</f>
        <v>38534</v>
      </c>
      <c r="BD244" s="100" t="n">
        <f aca="false">(P244+R244+T244+V244+X244+Z244+AB244+AD244+AF244+AH244+AJ244+AL244+AN244+AP244+AR244+AT244+AV244+AX244+AZ244+BB244)</f>
        <v>0</v>
      </c>
      <c r="BE244" s="322" t="n">
        <f aca="false">IF(AND(BD244=0,BH244=0),0,(ABS(P244)*Q244+ABS(R244)*S244+ABS(T244)*U244+ABS(V244)*W244+ABS(X244)*Y244+ABS(Z244)*AA244+ABS(AB244)*AC244+ABS(AD244)*AE244+ABS(AF244)*AG244+ABS(AH244)*AI244+ABS(AJ244)*AK244+ABS(AL244)*AM244+ABS(AN244)*AO244+ABS(AP244)*AQ244+ABS(AR244)*AS244+ABS(AT244)*AU244+ABS(AV244)*AW244+ABS(AX244)*AY244+ABS(AZ244)*BA244+ABS(BB244)*BC244)/BH244)</f>
        <v>0</v>
      </c>
      <c r="BG244" s="103" t="n">
        <f aca="false">O244</f>
        <v>38534</v>
      </c>
      <c r="BH244" s="323" t="n">
        <f aca="false">(ABS(P244)+ABS(R244)+ABS(T244)+ABS(V244)+ABS(X244)+ABS(Z244)+ABS(AB244)+ABS(AD244)+ABS(AF244)+ABS(AH244)+ABS(AJ244)+ABS(AL244)+ABS(AN244)+ABS(AP244)+ABS(AR244)+ABS(AT244)+ABS(AV244)+ABS(AX244)+ABS(AZ244)+ABS(BB244))</f>
        <v>0</v>
      </c>
      <c r="BI244" s="104" t="n">
        <f aca="false">VLOOKUP(GasPosn!A244,'Pricing Summary'!$AB$12:$AD$250,3)</f>
        <v>31</v>
      </c>
      <c r="BJ244" s="102" t="n">
        <f aca="false">VLOOKUP(A244,Interest!$AF$8:$AK$367,6)</f>
        <v>0.856483326701183</v>
      </c>
      <c r="BL244" s="0" t="n">
        <f aca="false">J244*VLOOKUP(A244,NymexData!$J$12:$K$244,2)</f>
        <v>-0</v>
      </c>
      <c r="BO244" s="0" t="n">
        <f aca="false">BO56</f>
        <v>0.856483326701183</v>
      </c>
      <c r="BP244" s="0" t="n">
        <f aca="false">G244*BO244</f>
        <v>-0.37685266374852</v>
      </c>
      <c r="BQ244" s="0" t="n">
        <f aca="false">IF(AND(A244&gt;=$B$191,A244&lt;=$B$192),1,0)</f>
        <v>0</v>
      </c>
      <c r="BR244" s="0" t="n">
        <f aca="false">BO244*BQ244</f>
        <v>0</v>
      </c>
      <c r="BS244" s="0" t="n">
        <f aca="false">BP244*BQ244</f>
        <v>-0</v>
      </c>
    </row>
    <row r="245" customFormat="false" ht="18" hidden="false" customHeight="false" outlineLevel="0" collapsed="false">
      <c r="A245" s="112" t="n">
        <f aca="false">A57</f>
        <v>38565</v>
      </c>
      <c r="B245" s="324" t="n">
        <f aca="false" t="array" ref="B245:B245">SUM(IF(MONTH(NymexData!$AL$12:$AL$250)&amp;YEAR(NymexData!$AL$12:$AL$250)=MONTH(A245)&amp;YEAR(A245),NymexData!$AM$12:$AM$250))</f>
        <v>-159.50994694</v>
      </c>
      <c r="C245" s="325" t="n">
        <f aca="false">BD245*BJ245*BI245</f>
        <v>0</v>
      </c>
      <c r="D245" s="326" t="n">
        <f aca="false">C245+B245</f>
        <v>-159.50994694</v>
      </c>
      <c r="E245" s="327" t="n">
        <f aca="false" t="array" ref="E245:E245">SUM(IF(MONTH(NymexData!$A$12:$A$250)&amp;YEAR(NymexData!$A$12:$A$250)=MONTH(A245)&amp;YEAR(A245),NymexData!$B$12:$B$250))</f>
        <v>-0.44</v>
      </c>
      <c r="F245" s="327" t="n">
        <f aca="false">G245-E245</f>
        <v>0</v>
      </c>
      <c r="G245" s="328" t="n">
        <f aca="false" t="array" ref="G245:G245">IF(NymexData!$H$12="",GasPosn!E245,SUM(IF(MONTH(NymexData!$H$12:$H$250)&amp;YEAR(NymexData!$H$12:$H$250)=MONTH(A245)&amp;YEAR(A245),NymexData!$I$12:$I$250)))</f>
        <v>-0.44</v>
      </c>
      <c r="H245" s="115" t="n">
        <f aca="false">B245*10000*F245</f>
        <v>-0</v>
      </c>
      <c r="I245" s="119" t="n">
        <f aca="false">(((G245-Q245)*P245+(G245-S245)*R245+(G245-U245)*T245+(G245-W245)*V245+(G245-Y245)*X245+(G245-AA245)*Z245+(G245-AC245)*AB245+(G245-AE245)*AD245+(G245-AG245)*AF245+(G245-AI245)*AH245+(G245-AK245)*AJ245+(G245-AM245)*AL245+(G245-AO245)*AN245+(G245-AQ245)*AP245+(G245-AS245)*AR245+(G245-AU245)*AT245+(G245-AW245)*AV245+(G245-AY245)*AX245+(G245-BA245)*AZ245+(G245-BC245)*BB245)*BJ245*BI245)*10000</f>
        <v>-0</v>
      </c>
      <c r="J245" s="119" t="n">
        <f aca="false">H245+I245</f>
        <v>-0</v>
      </c>
      <c r="O245" s="95" t="n">
        <f aca="false">A245</f>
        <v>38565</v>
      </c>
      <c r="BD245" s="100" t="n">
        <f aca="false">(P245+R245+T245+V245+X245+Z245+AB245+AD245+AF245+AH245+AJ245+AL245+AN245+AP245+AR245+AT245+AV245+AX245+AZ245+BB245)</f>
        <v>0</v>
      </c>
      <c r="BE245" s="322" t="n">
        <f aca="false">IF(AND(BD245=0,BH245=0),0,(ABS(P245)*Q245+ABS(R245)*S245+ABS(T245)*U245+ABS(V245)*W245+ABS(X245)*Y245+ABS(Z245)*AA245+ABS(AB245)*AC245+ABS(AD245)*AE245+ABS(AF245)*AG245+ABS(AH245)*AI245+ABS(AJ245)*AK245+ABS(AL245)*AM245+ABS(AN245)*AO245+ABS(AP245)*AQ245+ABS(AR245)*AS245+ABS(AT245)*AU245+ABS(AV245)*AW245+ABS(AX245)*AY245+ABS(AZ245)*BA245+ABS(BB245)*BC245)/BH245)</f>
        <v>0</v>
      </c>
      <c r="BG245" s="103" t="n">
        <f aca="false">O245</f>
        <v>38565</v>
      </c>
      <c r="BH245" s="323" t="n">
        <f aca="false">(ABS(P245)+ABS(R245)+ABS(T245)+ABS(V245)+ABS(X245)+ABS(Z245)+ABS(AB245)+ABS(AD245)+ABS(AF245)+ABS(AH245)+ABS(AJ245)+ABS(AL245)+ABS(AN245)+ABS(AP245)+ABS(AR245)+ABS(AT245)+ABS(AV245)+ABS(AX245)+ABS(AZ245)+ABS(BB245))</f>
        <v>0</v>
      </c>
      <c r="BI245" s="104" t="n">
        <f aca="false">VLOOKUP(GasPosn!A245,'Pricing Summary'!$AB$12:$AD$250,3)</f>
        <v>31</v>
      </c>
      <c r="BJ245" s="102" t="n">
        <f aca="false">VLOOKUP(A245,Interest!$AF$8:$AK$367,6)</f>
        <v>0.852387171908071</v>
      </c>
      <c r="BL245" s="0" t="n">
        <f aca="false">J245*VLOOKUP(A245,NymexData!$J$12:$K$244,2)</f>
        <v>-0</v>
      </c>
      <c r="BO245" s="0" t="n">
        <f aca="false">BO57</f>
        <v>0.852387171908071</v>
      </c>
      <c r="BP245" s="0" t="n">
        <f aca="false">G245*BO245</f>
        <v>-0.375050355639551</v>
      </c>
      <c r="BQ245" s="0" t="n">
        <f aca="false">IF(AND(A245&gt;=$B$191,A245&lt;=$B$192),1,0)</f>
        <v>0</v>
      </c>
      <c r="BR245" s="0" t="n">
        <f aca="false">BO245*BQ245</f>
        <v>0</v>
      </c>
      <c r="BS245" s="0" t="n">
        <f aca="false">BP245*BQ245</f>
        <v>-0</v>
      </c>
    </row>
    <row r="246" customFormat="false" ht="18" hidden="false" customHeight="false" outlineLevel="0" collapsed="false">
      <c r="A246" s="75" t="n">
        <f aca="false">A58</f>
        <v>38596</v>
      </c>
      <c r="B246" s="317" t="n">
        <f aca="false" t="array" ref="B246:B246">SUM(IF(MONTH(NymexData!$AL$12:$AL$250)&amp;YEAR(NymexData!$AL$12:$AL$250)=MONTH(A246)&amp;YEAR(A246),NymexData!$AM$12:$AM$250))</f>
        <v>-153.62747316</v>
      </c>
      <c r="C246" s="317" t="n">
        <f aca="false">BD246*BJ246*BI246</f>
        <v>0</v>
      </c>
      <c r="D246" s="319" t="n">
        <f aca="false">C246+B246</f>
        <v>-153.62747316</v>
      </c>
      <c r="E246" s="320" t="n">
        <f aca="false" t="array" ref="E246:E246">SUM(IF(MONTH(NymexData!$A$12:$A$250)&amp;YEAR(NymexData!$A$12:$A$250)=MONTH(A246)&amp;YEAR(A246),NymexData!$B$12:$B$250))</f>
        <v>-0.44</v>
      </c>
      <c r="F246" s="320" t="n">
        <f aca="false">G246-E246</f>
        <v>0</v>
      </c>
      <c r="G246" s="321" t="n">
        <f aca="false" t="array" ref="G246:G246">IF(NymexData!$H$12="",GasPosn!E246,SUM(IF(MONTH(NymexData!$H$12:$H$250)&amp;YEAR(NymexData!$H$12:$H$250)=MONTH(A246)&amp;YEAR(A246),NymexData!$I$12:$I$250)))</f>
        <v>-0.44</v>
      </c>
      <c r="H246" s="76" t="n">
        <f aca="false">B246*10000*F246</f>
        <v>-0</v>
      </c>
      <c r="I246" s="82" t="n">
        <f aca="false">(((G246-Q246)*P246+(G246-S246)*R246+(G246-U246)*T246+(G246-W246)*V246+(G246-Y246)*X246+(G246-AA246)*Z246+(G246-AC246)*AB246+(G246-AE246)*AD246+(G246-AG246)*AF246+(G246-AI246)*AH246+(G246-AK246)*AJ246+(G246-AM246)*AL246+(G246-AO246)*AN246+(G246-AQ246)*AP246+(G246-AS246)*AR246+(G246-AU246)*AT246+(G246-AW246)*AV246+(G246-AY246)*AX246+(G246-BA246)*AZ246+(G246-BC246)*BB246)*BJ246*BI246)*10000</f>
        <v>-0</v>
      </c>
      <c r="J246" s="82" t="n">
        <f aca="false">H246+I246</f>
        <v>-0</v>
      </c>
      <c r="O246" s="95" t="n">
        <f aca="false">A246</f>
        <v>38596</v>
      </c>
      <c r="BD246" s="100" t="n">
        <f aca="false">(P246+R246+T246+V246+X246+Z246+AB246+AD246+AF246+AH246+AJ246+AL246+AN246+AP246+AR246+AT246+AV246+AX246+AZ246+BB246)</f>
        <v>0</v>
      </c>
      <c r="BE246" s="322" t="n">
        <f aca="false">IF(AND(BD246=0,BH246=0),0,(ABS(P246)*Q246+ABS(R246)*S246+ABS(T246)*U246+ABS(V246)*W246+ABS(X246)*Y246+ABS(Z246)*AA246+ABS(AB246)*AC246+ABS(AD246)*AE246+ABS(AF246)*AG246+ABS(AH246)*AI246+ABS(AJ246)*AK246+ABS(AL246)*AM246+ABS(AN246)*AO246+ABS(AP246)*AQ246+ABS(AR246)*AS246+ABS(AT246)*AU246+ABS(AV246)*AW246+ABS(AX246)*AY246+ABS(AZ246)*BA246+ABS(BB246)*BC246)/BH246)</f>
        <v>0</v>
      </c>
      <c r="BG246" s="103" t="n">
        <f aca="false">O246</f>
        <v>38596</v>
      </c>
      <c r="BH246" s="323" t="n">
        <f aca="false">(ABS(P246)+ABS(R246)+ABS(T246)+ABS(V246)+ABS(X246)+ABS(Z246)+ABS(AB246)+ABS(AD246)+ABS(AF246)+ABS(AH246)+ABS(AJ246)+ABS(AL246)+ABS(AN246)+ABS(AP246)+ABS(AR246)+ABS(AT246)+ABS(AV246)+ABS(AX246)+ABS(AZ246)+ABS(BB246))</f>
        <v>0</v>
      </c>
      <c r="BI246" s="104" t="n">
        <f aca="false">VLOOKUP(GasPosn!A246,'Pricing Summary'!$AB$12:$AD$250,3)</f>
        <v>30</v>
      </c>
      <c r="BJ246" s="102" t="n">
        <f aca="false">VLOOKUP(A246,Interest!$AF$8:$AK$367,6)</f>
        <v>0.84835863810767</v>
      </c>
      <c r="BL246" s="0" t="n">
        <f aca="false">J246*VLOOKUP(A246,NymexData!$J$12:$K$244,2)</f>
        <v>-0</v>
      </c>
      <c r="BO246" s="0" t="n">
        <f aca="false">BO58</f>
        <v>0.84835863810767</v>
      </c>
      <c r="BP246" s="0" t="n">
        <f aca="false">G246*BO246</f>
        <v>-0.373277800767375</v>
      </c>
      <c r="BQ246" s="0" t="n">
        <f aca="false">IF(AND(A246&gt;=$B$191,A246&lt;=$B$192),1,0)</f>
        <v>0</v>
      </c>
      <c r="BR246" s="0" t="n">
        <f aca="false">BO246*BQ246</f>
        <v>0</v>
      </c>
      <c r="BS246" s="0" t="n">
        <f aca="false">BP246*BQ246</f>
        <v>-0</v>
      </c>
    </row>
    <row r="247" customFormat="false" ht="18" hidden="false" customHeight="false" outlineLevel="0" collapsed="false">
      <c r="A247" s="112" t="n">
        <f aca="false">A59</f>
        <v>38626</v>
      </c>
      <c r="B247" s="324" t="n">
        <f aca="false" t="array" ref="B247:B247">SUM(IF(MONTH(NymexData!$AL$12:$AL$250)&amp;YEAR(NymexData!$AL$12:$AL$250)=MONTH(A247)&amp;YEAR(A247),NymexData!$AM$12:$AM$250))</f>
        <v>-158.00610384</v>
      </c>
      <c r="C247" s="325" t="n">
        <f aca="false">BD247*BJ247*BI247</f>
        <v>0</v>
      </c>
      <c r="D247" s="326" t="n">
        <f aca="false">C247+B247</f>
        <v>-158.00610384</v>
      </c>
      <c r="E247" s="327" t="n">
        <f aca="false" t="array" ref="E247:E247">SUM(IF(MONTH(NymexData!$A$12:$A$250)&amp;YEAR(NymexData!$A$12:$A$250)=MONTH(A247)&amp;YEAR(A247),NymexData!$B$12:$B$250))</f>
        <v>-0.44</v>
      </c>
      <c r="F247" s="327" t="n">
        <f aca="false">G247-E247</f>
        <v>0</v>
      </c>
      <c r="G247" s="328" t="n">
        <f aca="false" t="array" ref="G247:G247">IF(NymexData!$H$12="",GasPosn!E247,SUM(IF(MONTH(NymexData!$H$12:$H$250)&amp;YEAR(NymexData!$H$12:$H$250)=MONTH(A247)&amp;YEAR(A247),NymexData!$I$12:$I$250)))</f>
        <v>-0.44</v>
      </c>
      <c r="H247" s="115" t="n">
        <f aca="false">B247*10000*F247</f>
        <v>-0</v>
      </c>
      <c r="I247" s="119" t="n">
        <f aca="false">(((G247-Q247)*P247+(G247-S247)*R247+(G247-U247)*T247+(G247-W247)*V247+(G247-Y247)*X247+(G247-AA247)*Z247+(G247-AC247)*AB247+(G247-AE247)*AD247+(G247-AG247)*AF247+(G247-AI247)*AH247+(G247-AK247)*AJ247+(G247-AM247)*AL247+(G247-AO247)*AN247+(G247-AQ247)*AP247+(G247-AS247)*AR247+(G247-AU247)*AT247+(G247-AW247)*AV247+(G247-AY247)*AX247+(G247-BA247)*AZ247+(G247-BC247)*BB247)*BJ247*BI247)*10000</f>
        <v>-0</v>
      </c>
      <c r="J247" s="119" t="n">
        <f aca="false">H247+I247</f>
        <v>-0</v>
      </c>
      <c r="O247" s="95" t="n">
        <f aca="false">A247</f>
        <v>38626</v>
      </c>
      <c r="BD247" s="100" t="n">
        <f aca="false">(P247+R247+T247+V247+X247+Z247+AB247+AD247+AF247+AH247+AJ247+AL247+AN247+AP247+AR247+AT247+AV247+AX247+AZ247+BB247)</f>
        <v>0</v>
      </c>
      <c r="BE247" s="322" t="n">
        <f aca="false">IF(AND(BD247=0,BH247=0),0,(ABS(P247)*Q247+ABS(R247)*S247+ABS(T247)*U247+ABS(V247)*W247+ABS(X247)*Y247+ABS(Z247)*AA247+ABS(AB247)*AC247+ABS(AD247)*AE247+ABS(AF247)*AG247+ABS(AH247)*AI247+ABS(AJ247)*AK247+ABS(AL247)*AM247+ABS(AN247)*AO247+ABS(AP247)*AQ247+ABS(AR247)*AS247+ABS(AT247)*AU247+ABS(AV247)*AW247+ABS(AX247)*AY247+ABS(AZ247)*BA247+ABS(BB247)*BC247)/BH247)</f>
        <v>0</v>
      </c>
      <c r="BG247" s="103" t="n">
        <f aca="false">O247</f>
        <v>38626</v>
      </c>
      <c r="BH247" s="323" t="n">
        <f aca="false">(ABS(P247)+ABS(R247)+ABS(T247)+ABS(V247)+ABS(X247)+ABS(Z247)+ABS(AB247)+ABS(AD247)+ABS(AF247)+ABS(AH247)+ABS(AJ247)+ABS(AL247)+ABS(AN247)+ABS(AP247)+ABS(AR247)+ABS(AT247)+ABS(AV247)+ABS(AX247)+ABS(AZ247)+ABS(BB247))</f>
        <v>0</v>
      </c>
      <c r="BI247" s="104" t="n">
        <f aca="false">VLOOKUP(GasPosn!A247,'Pricing Summary'!$AB$12:$AD$250,3)</f>
        <v>31</v>
      </c>
      <c r="BJ247" s="102" t="n">
        <f aca="false">VLOOKUP(A247,Interest!$AF$8:$AK$367,6)</f>
        <v>0.844271662341034</v>
      </c>
      <c r="BL247" s="0" t="n">
        <f aca="false">J247*VLOOKUP(A247,NymexData!$J$12:$K$244,2)</f>
        <v>-0</v>
      </c>
      <c r="BO247" s="0" t="n">
        <f aca="false">BO59</f>
        <v>0.844271662341034</v>
      </c>
      <c r="BP247" s="0" t="n">
        <f aca="false">G247*BO247</f>
        <v>-0.371479531430055</v>
      </c>
      <c r="BQ247" s="0" t="n">
        <f aca="false">IF(AND(A247&gt;=$B$191,A247&lt;=$B$192),1,0)</f>
        <v>0</v>
      </c>
      <c r="BR247" s="0" t="n">
        <f aca="false">BO247*BQ247</f>
        <v>0</v>
      </c>
      <c r="BS247" s="0" t="n">
        <f aca="false">BP247*BQ247</f>
        <v>-0</v>
      </c>
    </row>
    <row r="248" customFormat="false" ht="18" hidden="false" customHeight="false" outlineLevel="0" collapsed="false">
      <c r="A248" s="75" t="n">
        <f aca="false">A60</f>
        <v>38657</v>
      </c>
      <c r="B248" s="317" t="n">
        <f aca="false" t="array" ref="B248:B248">SUM(IF(MONTH(NymexData!$AL$12:$AL$250)&amp;YEAR(NymexData!$AL$12:$AL$250)=MONTH(A248)&amp;YEAR(A248),NymexData!$AM$12:$AM$250))</f>
        <v>-139.48152671</v>
      </c>
      <c r="C248" s="317" t="n">
        <f aca="false">BD248*BJ248*BI248</f>
        <v>0</v>
      </c>
      <c r="D248" s="319" t="n">
        <f aca="false">C248+B248</f>
        <v>-139.48152671</v>
      </c>
      <c r="E248" s="320" t="n">
        <f aca="false" t="array" ref="E248:E248">SUM(IF(MONTH(NymexData!$A$12:$A$250)&amp;YEAR(NymexData!$A$12:$A$250)=MONTH(A248)&amp;YEAR(A248),NymexData!$B$12:$B$250))</f>
        <v>-0.395</v>
      </c>
      <c r="F248" s="320" t="n">
        <f aca="false">G248-E248</f>
        <v>0</v>
      </c>
      <c r="G248" s="321" t="n">
        <f aca="false" t="array" ref="G248:G248">IF(NymexData!$H$12="",GasPosn!E248,SUM(IF(MONTH(NymexData!$H$12:$H$250)&amp;YEAR(NymexData!$H$12:$H$250)=MONTH(A248)&amp;YEAR(A248),NymexData!$I$12:$I$250)))</f>
        <v>-0.395</v>
      </c>
      <c r="H248" s="76" t="n">
        <f aca="false">B248*10000*F248</f>
        <v>-0</v>
      </c>
      <c r="I248" s="82" t="n">
        <f aca="false">(((G248-Q248)*P248+(G248-S248)*R248+(G248-U248)*T248+(G248-W248)*V248+(G248-Y248)*X248+(G248-AA248)*Z248+(G248-AC248)*AB248+(G248-AE248)*AD248+(G248-AG248)*AF248+(G248-AI248)*AH248+(G248-AK248)*AJ248+(G248-AM248)*AL248+(G248-AO248)*AN248+(G248-AQ248)*AP248+(G248-AS248)*AR248+(G248-AU248)*AT248+(G248-AW248)*AV248+(G248-AY248)*AX248+(G248-BA248)*AZ248+(G248-BC248)*BB248)*BJ248*BI248)*10000</f>
        <v>-0</v>
      </c>
      <c r="J248" s="82" t="n">
        <f aca="false">H248+I248</f>
        <v>-0</v>
      </c>
      <c r="O248" s="95" t="n">
        <f aca="false">A248</f>
        <v>38657</v>
      </c>
      <c r="BD248" s="100" t="n">
        <f aca="false">(P248+R248+T248+V248+X248+Z248+AB248+AD248+AF248+AH248+AJ248+AL248+AN248+AP248+AR248+AT248+AV248+AX248+AZ248+BB248)</f>
        <v>0</v>
      </c>
      <c r="BE248" s="322" t="n">
        <f aca="false">IF(AND(BD248=0,BH248=0),0,(ABS(P248)*Q248+ABS(R248)*S248+ABS(T248)*U248+ABS(V248)*W248+ABS(X248)*Y248+ABS(Z248)*AA248+ABS(AB248)*AC248+ABS(AD248)*AE248+ABS(AF248)*AG248+ABS(AH248)*AI248+ABS(AJ248)*AK248+ABS(AL248)*AM248+ABS(AN248)*AO248+ABS(AP248)*AQ248+ABS(AR248)*AS248+ABS(AT248)*AU248+ABS(AV248)*AW248+ABS(AX248)*AY248+ABS(AZ248)*BA248+ABS(BB248)*BC248)/BH248)</f>
        <v>0</v>
      </c>
      <c r="BG248" s="103" t="n">
        <f aca="false">O248</f>
        <v>38657</v>
      </c>
      <c r="BH248" s="323" t="n">
        <f aca="false">(ABS(P248)+ABS(R248)+ABS(T248)+ABS(V248)+ABS(X248)+ABS(Z248)+ABS(AB248)+ABS(AD248)+ABS(AF248)+ABS(AH248)+ABS(AJ248)+ABS(AL248)+ABS(AN248)+ABS(AP248)+ABS(AR248)+ABS(AT248)+ABS(AV248)+ABS(AX248)+ABS(AZ248)+ABS(BB248))</f>
        <v>0</v>
      </c>
      <c r="BI248" s="104" t="n">
        <f aca="false">VLOOKUP(GasPosn!A248,'Pricing Summary'!$AB$12:$AD$250,3)</f>
        <v>30</v>
      </c>
      <c r="BJ248" s="102" t="n">
        <f aca="false">VLOOKUP(A248,Interest!$AF$8:$AK$367,6)</f>
        <v>0.840284509808529</v>
      </c>
      <c r="BL248" s="0" t="n">
        <f aca="false">J248*VLOOKUP(A248,NymexData!$J$12:$K$244,2)</f>
        <v>-0</v>
      </c>
      <c r="BO248" s="0" t="n">
        <f aca="false">BO60</f>
        <v>0.840284509808529</v>
      </c>
      <c r="BP248" s="0" t="n">
        <f aca="false">G248*BO248</f>
        <v>-0.331912381374369</v>
      </c>
      <c r="BQ248" s="0" t="n">
        <f aca="false">IF(AND(A248&gt;=$B$191,A248&lt;=$B$192),1,0)</f>
        <v>0</v>
      </c>
      <c r="BR248" s="0" t="n">
        <f aca="false">BO248*BQ248</f>
        <v>0</v>
      </c>
      <c r="BS248" s="0" t="n">
        <f aca="false">BP248*BQ248</f>
        <v>-0</v>
      </c>
    </row>
    <row r="249" customFormat="false" ht="18" hidden="false" customHeight="false" outlineLevel="0" collapsed="false">
      <c r="A249" s="112" t="n">
        <f aca="false">A61</f>
        <v>38687</v>
      </c>
      <c r="B249" s="324" t="n">
        <f aca="false" t="array" ref="B249:B249">SUM(IF(MONTH(NymexData!$AL$12:$AL$250)&amp;YEAR(NymexData!$AL$12:$AL$250)=MONTH(A249)&amp;YEAR(A249),NymexData!$AM$12:$AM$250))</f>
        <v>-143.44108372</v>
      </c>
      <c r="C249" s="325" t="n">
        <f aca="false">BD249*BJ249*BI249</f>
        <v>0</v>
      </c>
      <c r="D249" s="326" t="n">
        <f aca="false">C249+B249</f>
        <v>-143.44108372</v>
      </c>
      <c r="E249" s="327" t="n">
        <f aca="false" t="array" ref="E249:E249">SUM(IF(MONTH(NymexData!$A$12:$A$250)&amp;YEAR(NymexData!$A$12:$A$250)=MONTH(A249)&amp;YEAR(A249),NymexData!$B$12:$B$250))</f>
        <v>-0.395</v>
      </c>
      <c r="F249" s="327" t="n">
        <f aca="false">G249-E249</f>
        <v>0</v>
      </c>
      <c r="G249" s="328" t="n">
        <f aca="false" t="array" ref="G249:G249">IF(NymexData!$H$12="",GasPosn!E249,SUM(IF(MONTH(NymexData!$H$12:$H$250)&amp;YEAR(NymexData!$H$12:$H$250)=MONTH(A249)&amp;YEAR(A249),NymexData!$I$12:$I$250)))</f>
        <v>-0.395</v>
      </c>
      <c r="H249" s="115" t="n">
        <f aca="false">B249*10000*F249</f>
        <v>-0</v>
      </c>
      <c r="I249" s="119" t="n">
        <f aca="false">(((G249-Q249)*P249+(G249-S249)*R249+(G249-U249)*T249+(G249-W249)*V249+(G249-Y249)*X249+(G249-AA249)*Z249+(G249-AC249)*AB249+(G249-AE249)*AD249+(G249-AG249)*AF249+(G249-AI249)*AH249+(G249-AK249)*AJ249+(G249-AM249)*AL249+(G249-AO249)*AN249+(G249-AQ249)*AP249+(G249-AS249)*AR249+(G249-AU249)*AT249+(G249-AW249)*AV249+(G249-AY249)*AX249+(G249-BA249)*AZ249+(G249-BC249)*BB249)*BJ249*BI249)*10000</f>
        <v>-0</v>
      </c>
      <c r="J249" s="119" t="n">
        <f aca="false">H249+I249</f>
        <v>-0</v>
      </c>
      <c r="O249" s="95" t="n">
        <f aca="false">A249</f>
        <v>38687</v>
      </c>
      <c r="BD249" s="100" t="n">
        <f aca="false">(P249+R249+T249+V249+X249+Z249+AB249+AD249+AF249+AH249+AJ249+AL249+AN249+AP249+AR249+AT249+AV249+AX249+AZ249+BB249)</f>
        <v>0</v>
      </c>
      <c r="BE249" s="322" t="n">
        <f aca="false">IF(AND(BD249=0,BH249=0),0,(ABS(P249)*Q249+ABS(R249)*S249+ABS(T249)*U249+ABS(V249)*W249+ABS(X249)*Y249+ABS(Z249)*AA249+ABS(AB249)*AC249+ABS(AD249)*AE249+ABS(AF249)*AG249+ABS(AH249)*AI249+ABS(AJ249)*AK249+ABS(AL249)*AM249+ABS(AN249)*AO249+ABS(AP249)*AQ249+ABS(AR249)*AS249+ABS(AT249)*AU249+ABS(AV249)*AW249+ABS(AX249)*AY249+ABS(AZ249)*BA249+ABS(BB249)*BC249)/BH249)</f>
        <v>0</v>
      </c>
      <c r="BG249" s="103" t="n">
        <f aca="false">O249</f>
        <v>38687</v>
      </c>
      <c r="BH249" s="323" t="n">
        <f aca="false">(ABS(P249)+ABS(R249)+ABS(T249)+ABS(V249)+ABS(X249)+ABS(Z249)+ABS(AB249)+ABS(AD249)+ABS(AF249)+ABS(AH249)+ABS(AJ249)+ABS(AL249)+ABS(AN249)+ABS(AP249)+ABS(AR249)+ABS(AT249)+ABS(AV249)+ABS(AX249)+ABS(AZ249)+ABS(BB249))</f>
        <v>0</v>
      </c>
      <c r="BI249" s="104" t="n">
        <f aca="false">VLOOKUP(GasPosn!A249,'Pricing Summary'!$AB$12:$AD$250,3)</f>
        <v>31</v>
      </c>
      <c r="BJ249" s="102" t="n">
        <f aca="false">VLOOKUP(A249,Interest!$AF$8:$AK$367,6)</f>
        <v>0.836211209785273</v>
      </c>
      <c r="BL249" s="0" t="n">
        <f aca="false">J249*VLOOKUP(A249,NymexData!$J$12:$K$244,2)</f>
        <v>-0</v>
      </c>
      <c r="BO249" s="0" t="n">
        <f aca="false">BO61</f>
        <v>0.836211209785273</v>
      </c>
      <c r="BP249" s="0" t="n">
        <f aca="false">G249*BO249</f>
        <v>-0.330303427865183</v>
      </c>
      <c r="BQ249" s="0" t="n">
        <f aca="false">IF(AND(A249&gt;=$B$191,A249&lt;=$B$192),1,0)</f>
        <v>0</v>
      </c>
      <c r="BR249" s="0" t="n">
        <f aca="false">BO249*BQ249</f>
        <v>0</v>
      </c>
      <c r="BS249" s="0" t="n">
        <f aca="false">BP249*BQ249</f>
        <v>-0</v>
      </c>
    </row>
    <row r="250" customFormat="false" ht="18" hidden="false" customHeight="false" outlineLevel="0" collapsed="false">
      <c r="A250" s="75" t="n">
        <f aca="false">A62</f>
        <v>38718</v>
      </c>
      <c r="B250" s="317" t="n">
        <f aca="false" t="array" ref="B250:B250">SUM(IF(MONTH(NymexData!$AL$12:$AL$250)&amp;YEAR(NymexData!$AL$12:$AL$250)=MONTH(A250)&amp;YEAR(A250),NymexData!$AM$12:$AM$250))</f>
        <v>-116.77382541</v>
      </c>
      <c r="C250" s="317" t="n">
        <f aca="false">BD250*BJ250*BI250</f>
        <v>0</v>
      </c>
      <c r="D250" s="319" t="n">
        <f aca="false">C250+B250</f>
        <v>-116.77382541</v>
      </c>
      <c r="E250" s="320" t="n">
        <f aca="false" t="array" ref="E250:E250">SUM(IF(MONTH(NymexData!$A$12:$A$250)&amp;YEAR(NymexData!$A$12:$A$250)=MONTH(A250)&amp;YEAR(A250),NymexData!$B$12:$B$250))</f>
        <v>-0.395</v>
      </c>
      <c r="F250" s="320" t="n">
        <f aca="false">G250-E250</f>
        <v>0</v>
      </c>
      <c r="G250" s="321" t="n">
        <f aca="false" t="array" ref="G250:G250">IF(NymexData!$H$12="",GasPosn!E250,SUM(IF(MONTH(NymexData!$H$12:$H$250)&amp;YEAR(NymexData!$H$12:$H$250)=MONTH(A250)&amp;YEAR(A250),NymexData!$I$12:$I$250)))</f>
        <v>-0.395</v>
      </c>
      <c r="H250" s="76" t="n">
        <f aca="false">B250*10000*F250</f>
        <v>-0</v>
      </c>
      <c r="I250" s="82" t="n">
        <f aca="false">(((G250-Q250)*P250+(G250-S250)*R250+(G250-U250)*T250+(G250-W250)*V250+(G250-Y250)*X250+(G250-AA250)*Z250+(G250-AC250)*AB250+(G250-AE250)*AD250+(G250-AG250)*AF250+(G250-AI250)*AH250+(G250-AK250)*AJ250+(G250-AM250)*AL250+(G250-AO250)*AN250+(G250-AQ250)*AP250+(G250-AS250)*AR250+(G250-AU250)*AT250+(G250-AW250)*AV250+(G250-AY250)*AX250+(G250-BA250)*AZ250+(G250-BC250)*BB250)*BJ250*BI250)*10000</f>
        <v>-0</v>
      </c>
      <c r="J250" s="82" t="n">
        <f aca="false">H250+I250</f>
        <v>-0</v>
      </c>
      <c r="O250" s="95" t="n">
        <f aca="false">A250</f>
        <v>38718</v>
      </c>
      <c r="BD250" s="100" t="n">
        <f aca="false">(P250+R250+T250+V250+X250+Z250+AB250+AD250+AF250+AH250+AJ250+AL250+AN250+AP250+AR250+AT250+AV250+AX250+AZ250+BB250)</f>
        <v>0</v>
      </c>
      <c r="BE250" s="322" t="n">
        <f aca="false">IF(AND(BD250=0,BH250=0),0,(ABS(P250)*Q250+ABS(R250)*S250+ABS(T250)*U250+ABS(V250)*W250+ABS(X250)*Y250+ABS(Z250)*AA250+ABS(AB250)*AC250+ABS(AD250)*AE250+ABS(AF250)*AG250+ABS(AH250)*AI250+ABS(AJ250)*AK250+ABS(AL250)*AM250+ABS(AN250)*AO250+ABS(AP250)*AQ250+ABS(AR250)*AS250+ABS(AT250)*AU250+ABS(AV250)*AW250+ABS(AX250)*AY250+ABS(AZ250)*BA250+ABS(BB250)*BC250)/BH250)</f>
        <v>0</v>
      </c>
      <c r="BG250" s="103" t="n">
        <f aca="false">O250</f>
        <v>38718</v>
      </c>
      <c r="BH250" s="323" t="n">
        <f aca="false">(ABS(P250)+ABS(R250)+ABS(T250)+ABS(V250)+ABS(X250)+ABS(Z250)+ABS(AB250)+ABS(AD250)+ABS(AF250)+ABS(AH250)+ABS(AJ250)+ABS(AL250)+ABS(AN250)+ABS(AP250)+ABS(AR250)+ABS(AT250)+ABS(AV250)+ABS(AX250)+ABS(AZ250)+ABS(BB250))</f>
        <v>0</v>
      </c>
      <c r="BI250" s="104" t="n">
        <f aca="false">VLOOKUP(GasPosn!A250,'Pricing Summary'!$AB$12:$AD$250,3)</f>
        <v>31</v>
      </c>
      <c r="BJ250" s="102" t="n">
        <f aca="false">VLOOKUP(A250,Interest!$AF$8:$AK$367,6)</f>
        <v>0.832150625982754</v>
      </c>
      <c r="BL250" s="0" t="n">
        <f aca="false">J250*VLOOKUP(A250,NymexData!$J$12:$K$244,2)</f>
        <v>-0</v>
      </c>
      <c r="BO250" s="0" t="n">
        <f aca="false">BO62</f>
        <v>0.832150625982754</v>
      </c>
      <c r="BP250" s="0" t="n">
        <f aca="false">G250*BO250</f>
        <v>-0.328699497263188</v>
      </c>
      <c r="BQ250" s="0" t="n">
        <f aca="false">IF(AND(A250&gt;=$B$191,A250&lt;=$B$192),1,0)</f>
        <v>0</v>
      </c>
      <c r="BR250" s="0" t="n">
        <f aca="false">BO250*BQ250</f>
        <v>0</v>
      </c>
      <c r="BS250" s="0" t="n">
        <f aca="false">BP250*BQ250</f>
        <v>-0</v>
      </c>
    </row>
    <row r="251" customFormat="false" ht="18" hidden="false" customHeight="false" outlineLevel="0" collapsed="false">
      <c r="A251" s="112" t="n">
        <f aca="false">A63</f>
        <v>38749</v>
      </c>
      <c r="B251" s="324" t="n">
        <f aca="false" t="array" ref="B251:B251">SUM(IF(MONTH(NymexData!$AL$12:$AL$250)&amp;YEAR(NymexData!$AL$12:$AL$250)=MONTH(A251)&amp;YEAR(A251),NymexData!$AM$12:$AM$250))</f>
        <v>-104.93943498</v>
      </c>
      <c r="C251" s="325" t="n">
        <f aca="false">BD251*BJ251*BI251</f>
        <v>0</v>
      </c>
      <c r="D251" s="326" t="n">
        <f aca="false">C251+B251</f>
        <v>-104.93943498</v>
      </c>
      <c r="E251" s="327" t="n">
        <f aca="false" t="array" ref="E251:E251">SUM(IF(MONTH(NymexData!$A$12:$A$250)&amp;YEAR(NymexData!$A$12:$A$250)=MONTH(A251)&amp;YEAR(A251),NymexData!$B$12:$B$250))</f>
        <v>-0.395</v>
      </c>
      <c r="F251" s="327" t="n">
        <f aca="false">G251-E251</f>
        <v>0</v>
      </c>
      <c r="G251" s="328" t="n">
        <f aca="false" t="array" ref="G251:G251">IF(NymexData!$H$12="",GasPosn!E251,SUM(IF(MONTH(NymexData!$H$12:$H$250)&amp;YEAR(NymexData!$H$12:$H$250)=MONTH(A251)&amp;YEAR(A251),NymexData!$I$12:$I$250)))</f>
        <v>-0.395</v>
      </c>
      <c r="H251" s="115" t="n">
        <f aca="false">B251*10000*F251</f>
        <v>-0</v>
      </c>
      <c r="I251" s="119" t="n">
        <f aca="false">(((G251-Q251)*P251+(G251-S251)*R251+(G251-U251)*T251+(G251-W251)*V251+(G251-Y251)*X251+(G251-AA251)*Z251+(G251-AC251)*AB251+(G251-AE251)*AD251+(G251-AG251)*AF251+(G251-AI251)*AH251+(G251-AK251)*AJ251+(G251-AM251)*AL251+(G251-AO251)*AN251+(G251-AQ251)*AP251+(G251-AS251)*AR251+(G251-AU251)*AT251+(G251-AW251)*AV251+(G251-AY251)*AX251+(G251-BA251)*AZ251+(G251-BC251)*BB251)*BJ251*BI251)*10000</f>
        <v>-0</v>
      </c>
      <c r="J251" s="119" t="n">
        <f aca="false">H251+I251</f>
        <v>-0</v>
      </c>
      <c r="O251" s="95" t="n">
        <f aca="false">A251</f>
        <v>38749</v>
      </c>
      <c r="BD251" s="100" t="n">
        <f aca="false">(P251+R251+T251+V251+X251+Z251+AB251+AD251+AF251+AH251+AJ251+AL251+AN251+AP251+AR251+AT251+AV251+AX251+AZ251+BB251)</f>
        <v>0</v>
      </c>
      <c r="BE251" s="322" t="n">
        <f aca="false">IF(AND(BD251=0,BH251=0),0,(ABS(P251)*Q251+ABS(R251)*S251+ABS(T251)*U251+ABS(V251)*W251+ABS(X251)*Y251+ABS(Z251)*AA251+ABS(AB251)*AC251+ABS(AD251)*AE251+ABS(AF251)*AG251+ABS(AH251)*AI251+ABS(AJ251)*AK251+ABS(AL251)*AM251+ABS(AN251)*AO251+ABS(AP251)*AQ251+ABS(AR251)*AS251+ABS(AT251)*AU251+ABS(AV251)*AW251+ABS(AX251)*AY251+ABS(AZ251)*BA251+ABS(BB251)*BC251)/BH251)</f>
        <v>0</v>
      </c>
      <c r="BG251" s="103" t="n">
        <f aca="false">O251</f>
        <v>38749</v>
      </c>
      <c r="BH251" s="323" t="n">
        <f aca="false">(ABS(P251)+ABS(R251)+ABS(T251)+ABS(V251)+ABS(X251)+ABS(Z251)+ABS(AB251)+ABS(AD251)+ABS(AF251)+ABS(AH251)+ABS(AJ251)+ABS(AL251)+ABS(AN251)+ABS(AP251)+ABS(AR251)+ABS(AT251)+ABS(AV251)+ABS(AX251)+ABS(AZ251)+ABS(BB251))</f>
        <v>0</v>
      </c>
      <c r="BI251" s="104" t="n">
        <f aca="false">VLOOKUP(GasPosn!A251,'Pricing Summary'!$AB$12:$AD$250,3)</f>
        <v>28</v>
      </c>
      <c r="BJ251" s="102" t="n">
        <f aca="false">VLOOKUP(A251,Interest!$AF$8:$AK$367,6)</f>
        <v>0.828494182220687</v>
      </c>
      <c r="BL251" s="0" t="n">
        <f aca="false">J251*VLOOKUP(A251,NymexData!$J$12:$K$244,2)</f>
        <v>-0</v>
      </c>
      <c r="BO251" s="0" t="n">
        <f aca="false">BO63</f>
        <v>0.828494182220687</v>
      </c>
      <c r="BP251" s="0" t="n">
        <f aca="false">G251*BO251</f>
        <v>-0.327255201977172</v>
      </c>
      <c r="BQ251" s="0" t="n">
        <f aca="false">IF(AND(A251&gt;=$B$191,A251&lt;=$B$192),1,0)</f>
        <v>0</v>
      </c>
      <c r="BR251" s="0" t="n">
        <f aca="false">BO251*BQ251</f>
        <v>0</v>
      </c>
      <c r="BS251" s="0" t="n">
        <f aca="false">BP251*BQ251</f>
        <v>-0</v>
      </c>
    </row>
    <row r="252" customFormat="false" ht="18" hidden="false" customHeight="false" outlineLevel="0" collapsed="false">
      <c r="A252" s="75" t="n">
        <f aca="false">A64</f>
        <v>38777</v>
      </c>
      <c r="B252" s="317" t="n">
        <f aca="false" t="array" ref="B252:B252">SUM(IF(MONTH(NymexData!$AL$12:$AL$250)&amp;YEAR(NymexData!$AL$12:$AL$250)=MONTH(A252)&amp;YEAR(A252),NymexData!$AM$12:$AM$250))</f>
        <v>-115.6460409</v>
      </c>
      <c r="C252" s="317" t="n">
        <f aca="false">BD252*BJ252*BI252</f>
        <v>0</v>
      </c>
      <c r="D252" s="319" t="n">
        <f aca="false">C252+B252</f>
        <v>-115.6460409</v>
      </c>
      <c r="E252" s="320" t="n">
        <f aca="false" t="array" ref="E252:E252">SUM(IF(MONTH(NymexData!$A$12:$A$250)&amp;YEAR(NymexData!$A$12:$A$250)=MONTH(A252)&amp;YEAR(A252),NymexData!$B$12:$B$250))</f>
        <v>-0.395</v>
      </c>
      <c r="F252" s="320" t="n">
        <f aca="false">G252-E252</f>
        <v>0</v>
      </c>
      <c r="G252" s="321" t="n">
        <f aca="false" t="array" ref="G252:G252">IF(NymexData!$H$12="",GasPosn!E252,SUM(IF(MONTH(NymexData!$H$12:$H$250)&amp;YEAR(NymexData!$H$12:$H$250)=MONTH(A252)&amp;YEAR(A252),NymexData!$I$12:$I$250)))</f>
        <v>-0.395</v>
      </c>
      <c r="H252" s="76" t="n">
        <f aca="false">B252*10000*F252</f>
        <v>-0</v>
      </c>
      <c r="I252" s="82" t="n">
        <f aca="false">(((G252-Q252)*P252+(G252-S252)*R252+(G252-U252)*T252+(G252-W252)*V252+(G252-Y252)*X252+(G252-AA252)*Z252+(G252-AC252)*AB252+(G252-AE252)*AD252+(G252-AG252)*AF252+(G252-AI252)*AH252+(G252-AK252)*AJ252+(G252-AM252)*AL252+(G252-AO252)*AN252+(G252-AQ252)*AP252+(G252-AS252)*AR252+(G252-AU252)*AT252+(G252-AW252)*AV252+(G252-AY252)*AX252+(G252-BA252)*AZ252+(G252-BC252)*BB252)*BJ252*BI252)*10000</f>
        <v>-0</v>
      </c>
      <c r="J252" s="82" t="n">
        <f aca="false">H252+I252</f>
        <v>-0</v>
      </c>
      <c r="O252" s="95" t="n">
        <f aca="false">A252</f>
        <v>38777</v>
      </c>
      <c r="BD252" s="100" t="n">
        <f aca="false">(P252+R252+T252+V252+X252+Z252+AB252+AD252+AF252+AH252+AJ252+AL252+AN252+AP252+AR252+AT252+AV252+AX252+AZ252+BB252)</f>
        <v>0</v>
      </c>
      <c r="BE252" s="322" t="n">
        <f aca="false">IF(AND(BD252=0,BH252=0),0,(ABS(P252)*Q252+ABS(R252)*S252+ABS(T252)*U252+ABS(V252)*W252+ABS(X252)*Y252+ABS(Z252)*AA252+ABS(AB252)*AC252+ABS(AD252)*AE252+ABS(AF252)*AG252+ABS(AH252)*AI252+ABS(AJ252)*AK252+ABS(AL252)*AM252+ABS(AN252)*AO252+ABS(AP252)*AQ252+ABS(AR252)*AS252+ABS(AT252)*AU252+ABS(AV252)*AW252+ABS(AX252)*AY252+ABS(AZ252)*BA252+ABS(BB252)*BC252)/BH252)</f>
        <v>0</v>
      </c>
      <c r="BG252" s="103" t="n">
        <f aca="false">O252</f>
        <v>38777</v>
      </c>
      <c r="BH252" s="323" t="n">
        <f aca="false">(ABS(P252)+ABS(R252)+ABS(T252)+ABS(V252)+ABS(X252)+ABS(Z252)+ABS(AB252)+ABS(AD252)+ABS(AF252)+ABS(AH252)+ABS(AJ252)+ABS(AL252)+ABS(AN252)+ABS(AP252)+ABS(AR252)+ABS(AT252)+ABS(AV252)+ABS(AX252)+ABS(AZ252)+ABS(BB252))</f>
        <v>0</v>
      </c>
      <c r="BI252" s="104" t="n">
        <f aca="false">VLOOKUP(GasPosn!A252,'Pricing Summary'!$AB$12:$AD$250,3)</f>
        <v>31</v>
      </c>
      <c r="BJ252" s="102" t="n">
        <f aca="false">VLOOKUP(A252,Interest!$AF$8:$AK$367,6)</f>
        <v>0.824618102879487</v>
      </c>
      <c r="BL252" s="0" t="n">
        <f aca="false">J252*VLOOKUP(A252,NymexData!$J$12:$K$244,2)</f>
        <v>-0</v>
      </c>
      <c r="BO252" s="0" t="n">
        <f aca="false">BO64</f>
        <v>0.824618102879487</v>
      </c>
      <c r="BP252" s="0" t="n">
        <f aca="false">G252*BO252</f>
        <v>-0.325724150637398</v>
      </c>
      <c r="BQ252" s="0" t="n">
        <f aca="false">IF(AND(A252&gt;=$B$191,A252&lt;=$B$192),1,0)</f>
        <v>0</v>
      </c>
      <c r="BR252" s="0" t="n">
        <f aca="false">BO252*BQ252</f>
        <v>0</v>
      </c>
      <c r="BS252" s="0" t="n">
        <f aca="false">BP252*BQ252</f>
        <v>-0</v>
      </c>
    </row>
    <row r="253" customFormat="false" ht="18" hidden="false" customHeight="false" outlineLevel="0" collapsed="false">
      <c r="A253" s="112" t="n">
        <f aca="false">A65</f>
        <v>38808</v>
      </c>
      <c r="B253" s="324" t="n">
        <f aca="false" t="array" ref="B253:B253">SUM(IF(MONTH(NymexData!$AL$12:$AL$250)&amp;YEAR(NymexData!$AL$12:$AL$250)=MONTH(A253)&amp;YEAR(A253),NymexData!$AM$12:$AM$250))</f>
        <v>-111.33691156</v>
      </c>
      <c r="C253" s="325" t="n">
        <f aca="false">BD253*BJ253*BI253</f>
        <v>0</v>
      </c>
      <c r="D253" s="326" t="n">
        <f aca="false">C253+B253</f>
        <v>-111.33691156</v>
      </c>
      <c r="E253" s="327" t="n">
        <f aca="false" t="array" ref="E253:E253">SUM(IF(MONTH(NymexData!$A$12:$A$250)&amp;YEAR(NymexData!$A$12:$A$250)=MONTH(A253)&amp;YEAR(A253),NymexData!$B$12:$B$250))</f>
        <v>-0.44</v>
      </c>
      <c r="F253" s="327" t="n">
        <f aca="false">G253-E253</f>
        <v>0</v>
      </c>
      <c r="G253" s="328" t="n">
        <f aca="false" t="array" ref="G253:G253">IF(NymexData!$H$12="",GasPosn!E253,SUM(IF(MONTH(NymexData!$H$12:$H$250)&amp;YEAR(NymexData!$H$12:$H$250)=MONTH(A253)&amp;YEAR(A253),NymexData!$I$12:$I$250)))</f>
        <v>-0.44</v>
      </c>
      <c r="H253" s="115" t="n">
        <f aca="false">B253*10000*F253</f>
        <v>-0</v>
      </c>
      <c r="I253" s="119" t="n">
        <f aca="false">(((G253-Q253)*P253+(G253-S253)*R253+(G253-U253)*T253+(G253-W253)*V253+(G253-Y253)*X253+(G253-AA253)*Z253+(G253-AC253)*AB253+(G253-AE253)*AD253+(G253-AG253)*AF253+(G253-AI253)*AH253+(G253-AK253)*AJ253+(G253-AM253)*AL253+(G253-AO253)*AN253+(G253-AQ253)*AP253+(G253-AS253)*AR253+(G253-AU253)*AT253+(G253-AW253)*AV253+(G253-AY253)*AX253+(G253-BA253)*AZ253+(G253-BC253)*BB253)*BJ253*BI253)*10000</f>
        <v>-0</v>
      </c>
      <c r="J253" s="119" t="n">
        <f aca="false">H253+I253</f>
        <v>-0</v>
      </c>
      <c r="O253" s="95" t="n">
        <f aca="false">A253</f>
        <v>38808</v>
      </c>
      <c r="BD253" s="100" t="n">
        <f aca="false">(P253+R253+T253+V253+X253+Z253+AB253+AD253+AF253+AH253+AJ253+AL253+AN253+AP253+AR253+AT253+AV253+AX253+AZ253+BB253)</f>
        <v>0</v>
      </c>
      <c r="BE253" s="322" t="n">
        <f aca="false">IF(AND(BD253=0,BH253=0),0,(ABS(P253)*Q253+ABS(R253)*S253+ABS(T253)*U253+ABS(V253)*W253+ABS(X253)*Y253+ABS(Z253)*AA253+ABS(AB253)*AC253+ABS(AD253)*AE253+ABS(AF253)*AG253+ABS(AH253)*AI253+ABS(AJ253)*AK253+ABS(AL253)*AM253+ABS(AN253)*AO253+ABS(AP253)*AQ253+ABS(AR253)*AS253+ABS(AT253)*AU253+ABS(AV253)*AW253+ABS(AX253)*AY253+ABS(AZ253)*BA253+ABS(BB253)*BC253)/BH253)</f>
        <v>0</v>
      </c>
      <c r="BG253" s="103" t="n">
        <f aca="false">O253</f>
        <v>38808</v>
      </c>
      <c r="BH253" s="323" t="n">
        <f aca="false">(ABS(P253)+ABS(R253)+ABS(T253)+ABS(V253)+ABS(X253)+ABS(Z253)+ABS(AB253)+ABS(AD253)+ABS(AF253)+ABS(AH253)+ABS(AJ253)+ABS(AL253)+ABS(AN253)+ABS(AP253)+ABS(AR253)+ABS(AT253)+ABS(AV253)+ABS(AX253)+ABS(AZ253)+ABS(BB253))</f>
        <v>0</v>
      </c>
      <c r="BI253" s="104" t="n">
        <f aca="false">VLOOKUP(GasPosn!A253,'Pricing Summary'!$AB$12:$AD$250,3)</f>
        <v>30</v>
      </c>
      <c r="BJ253" s="102" t="n">
        <f aca="false">VLOOKUP(A253,Interest!$AF$8:$AK$367,6)</f>
        <v>0.820734271783372</v>
      </c>
      <c r="BL253" s="0" t="n">
        <f aca="false">J253*VLOOKUP(A253,NymexData!$J$12:$K$244,2)</f>
        <v>-0</v>
      </c>
      <c r="BO253" s="0" t="n">
        <f aca="false">BO65</f>
        <v>0.820734271783372</v>
      </c>
      <c r="BP253" s="0" t="n">
        <f aca="false">G253*BO253</f>
        <v>-0.361123079584684</v>
      </c>
      <c r="BQ253" s="0" t="n">
        <f aca="false">IF(AND(A253&gt;=$B$191,A253&lt;=$B$192),1,0)</f>
        <v>0</v>
      </c>
      <c r="BR253" s="0" t="n">
        <f aca="false">BO253*BQ253</f>
        <v>0</v>
      </c>
      <c r="BS253" s="0" t="n">
        <f aca="false">BP253*BQ253</f>
        <v>-0</v>
      </c>
    </row>
    <row r="254" customFormat="false" ht="18" hidden="false" customHeight="false" outlineLevel="0" collapsed="false">
      <c r="A254" s="75" t="n">
        <f aca="false">A66</f>
        <v>38838</v>
      </c>
      <c r="B254" s="317" t="n">
        <f aca="false" t="array" ref="B254:B254">SUM(IF(MONTH(NymexData!$AL$12:$AL$250)&amp;YEAR(NymexData!$AL$12:$AL$250)=MONTH(A254)&amp;YEAR(A254),NymexData!$AM$12:$AM$250))</f>
        <v>-114.46614171</v>
      </c>
      <c r="C254" s="317" t="n">
        <f aca="false">BD254*BJ254*BI254</f>
        <v>0</v>
      </c>
      <c r="D254" s="319" t="n">
        <f aca="false">C254+B254</f>
        <v>-114.46614171</v>
      </c>
      <c r="E254" s="320" t="n">
        <f aca="false" t="array" ref="E254:E254">SUM(IF(MONTH(NymexData!$A$12:$A$250)&amp;YEAR(NymexData!$A$12:$A$250)=MONTH(A254)&amp;YEAR(A254),NymexData!$B$12:$B$250))</f>
        <v>-0.44</v>
      </c>
      <c r="F254" s="320" t="n">
        <f aca="false">G254-E254</f>
        <v>0</v>
      </c>
      <c r="G254" s="321" t="n">
        <f aca="false" t="array" ref="G254:G254">IF(NymexData!$H$12="",GasPosn!E254,SUM(IF(MONTH(NymexData!$H$12:$H$250)&amp;YEAR(NymexData!$H$12:$H$250)=MONTH(A254)&amp;YEAR(A254),NymexData!$I$12:$I$250)))</f>
        <v>-0.44</v>
      </c>
      <c r="H254" s="76" t="n">
        <f aca="false">B254*10000*F254</f>
        <v>-0</v>
      </c>
      <c r="I254" s="82" t="n">
        <f aca="false">(((G254-Q254)*P254+(G254-S254)*R254+(G254-U254)*T254+(G254-W254)*V254+(G254-Y254)*X254+(G254-AA254)*Z254+(G254-AC254)*AB254+(G254-AE254)*AD254+(G254-AG254)*AF254+(G254-AI254)*AH254+(G254-AK254)*AJ254+(G254-AM254)*AL254+(G254-AO254)*AN254+(G254-AQ254)*AP254+(G254-AS254)*AR254+(G254-AU254)*AT254+(G254-AW254)*AV254+(G254-AY254)*AX254+(G254-BA254)*AZ254+(G254-BC254)*BB254)*BJ254*BI254)*10000</f>
        <v>-0</v>
      </c>
      <c r="J254" s="82" t="n">
        <f aca="false">H254+I254</f>
        <v>-0</v>
      </c>
      <c r="O254" s="95" t="n">
        <f aca="false">A254</f>
        <v>38838</v>
      </c>
      <c r="BD254" s="100" t="n">
        <f aca="false">(P254+R254+T254+V254+X254+Z254+AB254+AD254+AF254+AH254+AJ254+AL254+AN254+AP254+AR254+AT254+AV254+AX254+AZ254+BB254)</f>
        <v>0</v>
      </c>
      <c r="BE254" s="322" t="n">
        <f aca="false">IF(AND(BD254=0,BH254=0),0,(ABS(P254)*Q254+ABS(R254)*S254+ABS(T254)*U254+ABS(V254)*W254+ABS(X254)*Y254+ABS(Z254)*AA254+ABS(AB254)*AC254+ABS(AD254)*AE254+ABS(AF254)*AG254+ABS(AH254)*AI254+ABS(AJ254)*AK254+ABS(AL254)*AM254+ABS(AN254)*AO254+ABS(AP254)*AQ254+ABS(AR254)*AS254+ABS(AT254)*AU254+ABS(AV254)*AW254+ABS(AX254)*AY254+ABS(AZ254)*BA254+ABS(BB254)*BC254)/BH254)</f>
        <v>0</v>
      </c>
      <c r="BG254" s="103" t="n">
        <f aca="false">O254</f>
        <v>38838</v>
      </c>
      <c r="BH254" s="323" t="n">
        <f aca="false">(ABS(P254)+ABS(R254)+ABS(T254)+ABS(V254)+ABS(X254)+ABS(Z254)+ABS(AB254)+ABS(AD254)+ABS(AF254)+ABS(AH254)+ABS(AJ254)+ABS(AL254)+ABS(AN254)+ABS(AP254)+ABS(AR254)+ABS(AT254)+ABS(AV254)+ABS(AX254)+ABS(AZ254)+ABS(BB254))</f>
        <v>0</v>
      </c>
      <c r="BI254" s="104" t="n">
        <f aca="false">VLOOKUP(GasPosn!A254,'Pricing Summary'!$AB$12:$AD$250,3)</f>
        <v>31</v>
      </c>
      <c r="BJ254" s="102" t="n">
        <f aca="false">VLOOKUP(A254,Interest!$AF$8:$AK$367,6)</f>
        <v>0.816767412940281</v>
      </c>
      <c r="BL254" s="0" t="n">
        <f aca="false">J254*VLOOKUP(A254,NymexData!$J$12:$K$244,2)</f>
        <v>-0</v>
      </c>
      <c r="BO254" s="0" t="n">
        <f aca="false">BO66</f>
        <v>0.816767412940281</v>
      </c>
      <c r="BP254" s="0" t="n">
        <f aca="false">G254*BO254</f>
        <v>-0.359377661693724</v>
      </c>
      <c r="BQ254" s="0" t="n">
        <f aca="false">IF(AND(A254&gt;=$B$191,A254&lt;=$B$192),1,0)</f>
        <v>0</v>
      </c>
      <c r="BR254" s="0" t="n">
        <f aca="false">BO254*BQ254</f>
        <v>0</v>
      </c>
      <c r="BS254" s="0" t="n">
        <f aca="false">BP254*BQ254</f>
        <v>-0</v>
      </c>
    </row>
    <row r="255" customFormat="false" ht="18" hidden="false" customHeight="false" outlineLevel="0" collapsed="false">
      <c r="A255" s="112" t="n">
        <f aca="false">A67</f>
        <v>38869</v>
      </c>
      <c r="B255" s="324" t="n">
        <f aca="false" t="array" ref="B255:B255">SUM(IF(MONTH(NymexData!$AL$12:$AL$250)&amp;YEAR(NymexData!$AL$12:$AL$250)=MONTH(A255)&amp;YEAR(A255),NymexData!$AM$12:$AM$250))</f>
        <v>-110.18838168</v>
      </c>
      <c r="C255" s="325" t="n">
        <f aca="false">BD255*BJ255*BI255</f>
        <v>0</v>
      </c>
      <c r="D255" s="326" t="n">
        <f aca="false">C255+B255</f>
        <v>-110.18838168</v>
      </c>
      <c r="E255" s="327" t="n">
        <f aca="false" t="array" ref="E255:E255">SUM(IF(MONTH(NymexData!$A$12:$A$250)&amp;YEAR(NymexData!$A$12:$A$250)=MONTH(A255)&amp;YEAR(A255),NymexData!$B$12:$B$250))</f>
        <v>-0.44</v>
      </c>
      <c r="F255" s="327" t="n">
        <f aca="false">G255-E255</f>
        <v>0</v>
      </c>
      <c r="G255" s="328" t="n">
        <f aca="false" t="array" ref="G255:G255">IF(NymexData!$H$12="",GasPosn!E255,SUM(IF(MONTH(NymexData!$H$12:$H$250)&amp;YEAR(NymexData!$H$12:$H$250)=MONTH(A255)&amp;YEAR(A255),NymexData!$I$12:$I$250)))</f>
        <v>-0.44</v>
      </c>
      <c r="H255" s="115" t="n">
        <f aca="false">B255*10000*F255</f>
        <v>-0</v>
      </c>
      <c r="I255" s="119" t="n">
        <f aca="false">(((G255-Q255)*P255+(G255-S255)*R255+(G255-U255)*T255+(G255-W255)*V255+(G255-Y255)*X255+(G255-AA255)*Z255+(G255-AC255)*AB255+(G255-AE255)*AD255+(G255-AG255)*AF255+(G255-AI255)*AH255+(G255-AK255)*AJ255+(G255-AM255)*AL255+(G255-AO255)*AN255+(G255-AQ255)*AP255+(G255-AS255)*AR255+(G255-AU255)*AT255+(G255-AW255)*AV255+(G255-AY255)*AX255+(G255-BA255)*AZ255+(G255-BC255)*BB255)*BJ255*BI255)*10000</f>
        <v>-0</v>
      </c>
      <c r="J255" s="119" t="n">
        <f aca="false">H255+I255</f>
        <v>-0</v>
      </c>
      <c r="O255" s="95" t="n">
        <f aca="false">A255</f>
        <v>38869</v>
      </c>
      <c r="BD255" s="100" t="n">
        <f aca="false">(P255+R255+T255+V255+X255+Z255+AB255+AD255+AF255+AH255+AJ255+AL255+AN255+AP255+AR255+AT255+AV255+AX255+AZ255+BB255)</f>
        <v>0</v>
      </c>
      <c r="BE255" s="322" t="n">
        <f aca="false">IF(AND(BD255=0,BH255=0),0,(ABS(P255)*Q255+ABS(R255)*S255+ABS(T255)*U255+ABS(V255)*W255+ABS(X255)*Y255+ABS(Z255)*AA255+ABS(AB255)*AC255+ABS(AD255)*AE255+ABS(AF255)*AG255+ABS(AH255)*AI255+ABS(AJ255)*AK255+ABS(AL255)*AM255+ABS(AN255)*AO255+ABS(AP255)*AQ255+ABS(AR255)*AS255+ABS(AT255)*AU255+ABS(AV255)*AW255+ABS(AX255)*AY255+ABS(AZ255)*BA255+ABS(BB255)*BC255)/BH255)</f>
        <v>0</v>
      </c>
      <c r="BG255" s="103" t="n">
        <f aca="false">O255</f>
        <v>38869</v>
      </c>
      <c r="BH255" s="323" t="n">
        <f aca="false">(ABS(P255)+ABS(R255)+ABS(T255)+ABS(V255)+ABS(X255)+ABS(Z255)+ABS(AB255)+ABS(AD255)+ABS(AF255)+ABS(AH255)+ABS(AJ255)+ABS(AL255)+ABS(AN255)+ABS(AP255)+ABS(AR255)+ABS(AT255)+ABS(AV255)+ABS(AX255)+ABS(AZ255)+ABS(BB255))</f>
        <v>0</v>
      </c>
      <c r="BI255" s="104" t="n">
        <f aca="false">VLOOKUP(GasPosn!A255,'Pricing Summary'!$AB$12:$AD$250,3)</f>
        <v>30</v>
      </c>
      <c r="BJ255" s="102" t="n">
        <f aca="false">VLOOKUP(A255,Interest!$AF$8:$AK$367,6)</f>
        <v>0.812852535184464</v>
      </c>
      <c r="BL255" s="0" t="n">
        <f aca="false">J255*VLOOKUP(A255,NymexData!$J$12:$K$244,2)</f>
        <v>-0</v>
      </c>
      <c r="BO255" s="0" t="n">
        <f aca="false">BO67</f>
        <v>0.812852535184464</v>
      </c>
      <c r="BP255" s="0" t="n">
        <f aca="false">G255*BO255</f>
        <v>-0.357655115481164</v>
      </c>
      <c r="BQ255" s="0" t="n">
        <f aca="false">IF(AND(A255&gt;=$B$191,A255&lt;=$B$192),1,0)</f>
        <v>0</v>
      </c>
      <c r="BR255" s="0" t="n">
        <f aca="false">BO255*BQ255</f>
        <v>0</v>
      </c>
      <c r="BS255" s="0" t="n">
        <f aca="false">BP255*BQ255</f>
        <v>-0</v>
      </c>
    </row>
    <row r="256" customFormat="false" ht="18" hidden="false" customHeight="false" outlineLevel="0" collapsed="false">
      <c r="A256" s="75" t="n">
        <f aca="false">A68</f>
        <v>38899</v>
      </c>
      <c r="B256" s="317" t="n">
        <f aca="false" t="array" ref="B256:B256">SUM(IF(MONTH(NymexData!$AL$12:$AL$250)&amp;YEAR(NymexData!$AL$12:$AL$250)=MONTH(A256)&amp;YEAR(A256),NymexData!$AM$12:$AM$250))</f>
        <v>-113.27280426</v>
      </c>
      <c r="C256" s="317" t="n">
        <f aca="false">BD256*BJ256*BI256</f>
        <v>0</v>
      </c>
      <c r="D256" s="319" t="n">
        <f aca="false">C256+B256</f>
        <v>-113.27280426</v>
      </c>
      <c r="E256" s="320" t="n">
        <f aca="false" t="array" ref="E256:E256">SUM(IF(MONTH(NymexData!$A$12:$A$250)&amp;YEAR(NymexData!$A$12:$A$250)=MONTH(A256)&amp;YEAR(A256),NymexData!$B$12:$B$250))</f>
        <v>-0.44</v>
      </c>
      <c r="F256" s="320" t="n">
        <f aca="false">G256-E256</f>
        <v>0</v>
      </c>
      <c r="G256" s="321" t="n">
        <f aca="false" t="array" ref="G256:G256">IF(NymexData!$H$12="",GasPosn!E256,SUM(IF(MONTH(NymexData!$H$12:$H$250)&amp;YEAR(NymexData!$H$12:$H$250)=MONTH(A256)&amp;YEAR(A256),NymexData!$I$12:$I$250)))</f>
        <v>-0.44</v>
      </c>
      <c r="H256" s="76" t="n">
        <f aca="false">B256*10000*F256</f>
        <v>-0</v>
      </c>
      <c r="I256" s="82" t="n">
        <f aca="false">(((G256-Q256)*P256+(G256-S256)*R256+(G256-U256)*T256+(G256-W256)*V256+(G256-Y256)*X256+(G256-AA256)*Z256+(G256-AC256)*AB256+(G256-AE256)*AD256+(G256-AG256)*AF256+(G256-AI256)*AH256+(G256-AK256)*AJ256+(G256-AM256)*AL256+(G256-AO256)*AN256+(G256-AQ256)*AP256+(G256-AS256)*AR256+(G256-AU256)*AT256+(G256-AW256)*AV256+(G256-AY256)*AX256+(G256-BA256)*AZ256+(G256-BC256)*BB256)*BJ256*BI256)*10000</f>
        <v>-0</v>
      </c>
      <c r="J256" s="82" t="n">
        <f aca="false">H256+I256</f>
        <v>-0</v>
      </c>
      <c r="O256" s="95" t="n">
        <f aca="false">A256</f>
        <v>38899</v>
      </c>
      <c r="BD256" s="100" t="n">
        <f aca="false">(P256+R256+T256+V256+X256+Z256+AB256+AD256+AF256+AH256+AJ256+AL256+AN256+AP256+AR256+AT256+AV256+AX256+AZ256+BB256)</f>
        <v>0</v>
      </c>
      <c r="BE256" s="322" t="n">
        <f aca="false">IF(AND(BD256=0,BH256=0),0,(ABS(P256)*Q256+ABS(R256)*S256+ABS(T256)*U256+ABS(V256)*W256+ABS(X256)*Y256+ABS(Z256)*AA256+ABS(AB256)*AC256+ABS(AD256)*AE256+ABS(AF256)*AG256+ABS(AH256)*AI256+ABS(AJ256)*AK256+ABS(AL256)*AM256+ABS(AN256)*AO256+ABS(AP256)*AQ256+ABS(AR256)*AS256+ABS(AT256)*AU256+ABS(AV256)*AW256+ABS(AX256)*AY256+ABS(AZ256)*BA256+ABS(BB256)*BC256)/BH256)</f>
        <v>0</v>
      </c>
      <c r="BG256" s="103" t="n">
        <f aca="false">O256</f>
        <v>38899</v>
      </c>
      <c r="BH256" s="323" t="n">
        <f aca="false">(ABS(P256)+ABS(R256)+ABS(T256)+ABS(V256)+ABS(X256)+ABS(Z256)+ABS(AB256)+ABS(AD256)+ABS(AF256)+ABS(AH256)+ABS(AJ256)+ABS(AL256)+ABS(AN256)+ABS(AP256)+ABS(AR256)+ABS(AT256)+ABS(AV256)+ABS(AX256)+ABS(AZ256)+ABS(BB256))</f>
        <v>0</v>
      </c>
      <c r="BI256" s="104" t="n">
        <f aca="false">VLOOKUP(GasPosn!A256,'Pricing Summary'!$AB$12:$AD$250,3)</f>
        <v>31</v>
      </c>
      <c r="BJ256" s="102" t="n">
        <f aca="false">VLOOKUP(A256,Interest!$AF$8:$AK$367,6)</f>
        <v>0.808856088364466</v>
      </c>
      <c r="BL256" s="0" t="n">
        <f aca="false">J256*VLOOKUP(A256,NymexData!$J$12:$K$244,2)</f>
        <v>-0</v>
      </c>
      <c r="BO256" s="0" t="n">
        <f aca="false">BO68</f>
        <v>0.808856088364466</v>
      </c>
      <c r="BP256" s="0" t="n">
        <f aca="false">G256*BO256</f>
        <v>-0.355896678880365</v>
      </c>
      <c r="BQ256" s="0" t="n">
        <f aca="false">IF(AND(A256&gt;=$B$191,A256&lt;=$B$192),1,0)</f>
        <v>0</v>
      </c>
      <c r="BR256" s="0" t="n">
        <f aca="false">BO256*BQ256</f>
        <v>0</v>
      </c>
      <c r="BS256" s="0" t="n">
        <f aca="false">BP256*BQ256</f>
        <v>-0</v>
      </c>
    </row>
    <row r="257" customFormat="false" ht="18" hidden="false" customHeight="false" outlineLevel="0" collapsed="false">
      <c r="A257" s="112" t="n">
        <f aca="false">A69</f>
        <v>38930</v>
      </c>
      <c r="B257" s="324" t="n">
        <f aca="false" t="array" ref="B257:B257">SUM(IF(MONTH(NymexData!$AL$12:$AL$250)&amp;YEAR(NymexData!$AL$12:$AL$250)=MONTH(A257)&amp;YEAR(A257),NymexData!$AM$12:$AM$250))</f>
        <v>-112.66142408</v>
      </c>
      <c r="C257" s="325" t="n">
        <f aca="false">BD257*BJ257*BI257</f>
        <v>0</v>
      </c>
      <c r="D257" s="326" t="n">
        <f aca="false">C257+B257</f>
        <v>-112.66142408</v>
      </c>
      <c r="E257" s="327" t="n">
        <f aca="false" t="array" ref="E257:E257">SUM(IF(MONTH(NymexData!$A$12:$A$250)&amp;YEAR(NymexData!$A$12:$A$250)=MONTH(A257)&amp;YEAR(A257),NymexData!$B$12:$B$250))</f>
        <v>-0.44</v>
      </c>
      <c r="F257" s="327" t="n">
        <f aca="false">G257-E257</f>
        <v>0</v>
      </c>
      <c r="G257" s="328" t="n">
        <f aca="false" t="array" ref="G257:G257">IF(NymexData!$H$12="",GasPosn!E257,SUM(IF(MONTH(NymexData!$H$12:$H$250)&amp;YEAR(NymexData!$H$12:$H$250)=MONTH(A257)&amp;YEAR(A257),NymexData!$I$12:$I$250)))</f>
        <v>-0.44</v>
      </c>
      <c r="H257" s="115" t="n">
        <f aca="false">B257*10000*F257</f>
        <v>-0</v>
      </c>
      <c r="I257" s="119" t="n">
        <f aca="false">(((G257-Q257)*P257+(G257-S257)*R257+(G257-U257)*T257+(G257-W257)*V257+(G257-Y257)*X257+(G257-AA257)*Z257+(G257-AC257)*AB257+(G257-AE257)*AD257+(G257-AG257)*AF257+(G257-AI257)*AH257+(G257-AK257)*AJ257+(G257-AM257)*AL257+(G257-AO257)*AN257+(G257-AQ257)*AP257+(G257-AS257)*AR257+(G257-AU257)*AT257+(G257-AW257)*AV257+(G257-AY257)*AX257+(G257-BA257)*AZ257+(G257-BC257)*BB257)*BJ257*BI257)*10000</f>
        <v>-0</v>
      </c>
      <c r="J257" s="119" t="n">
        <f aca="false">H257+I257</f>
        <v>-0</v>
      </c>
      <c r="O257" s="95" t="n">
        <f aca="false">A257</f>
        <v>38930</v>
      </c>
      <c r="BD257" s="100" t="n">
        <f aca="false">(P257+R257+T257+V257+X257+Z257+AB257+AD257+AF257+AH257+AJ257+AL257+AN257+AP257+AR257+AT257+AV257+AX257+AZ257+BB257)</f>
        <v>0</v>
      </c>
      <c r="BE257" s="322" t="n">
        <f aca="false">IF(AND(BD257=0,BH257=0),0,(ABS(P257)*Q257+ABS(R257)*S257+ABS(T257)*U257+ABS(V257)*W257+ABS(X257)*Y257+ABS(Z257)*AA257+ABS(AB257)*AC257+ABS(AD257)*AE257+ABS(AF257)*AG257+ABS(AH257)*AI257+ABS(AJ257)*AK257+ABS(AL257)*AM257+ABS(AN257)*AO257+ABS(AP257)*AQ257+ABS(AR257)*AS257+ABS(AT257)*AU257+ABS(AV257)*AW257+ABS(AX257)*AY257+ABS(AZ257)*BA257+ABS(BB257)*BC257)/BH257)</f>
        <v>0</v>
      </c>
      <c r="BG257" s="103" t="n">
        <f aca="false">O257</f>
        <v>38930</v>
      </c>
      <c r="BH257" s="323" t="n">
        <f aca="false">(ABS(P257)+ABS(R257)+ABS(T257)+ABS(V257)+ABS(X257)+ABS(Z257)+ABS(AB257)+ABS(AD257)+ABS(AF257)+ABS(AH257)+ABS(AJ257)+ABS(AL257)+ABS(AN257)+ABS(AP257)+ABS(AR257)+ABS(AT257)+ABS(AV257)+ABS(AX257)+ABS(AZ257)+ABS(BB257))</f>
        <v>0</v>
      </c>
      <c r="BI257" s="104" t="n">
        <f aca="false">VLOOKUP(GasPosn!A257,'Pricing Summary'!$AB$12:$AD$250,3)</f>
        <v>31</v>
      </c>
      <c r="BJ257" s="102" t="n">
        <f aca="false">VLOOKUP(A257,Interest!$AF$8:$AK$367,6)</f>
        <v>0.804813390873511</v>
      </c>
      <c r="BL257" s="0" t="n">
        <f aca="false">J257*VLOOKUP(A257,NymexData!$J$12:$K$244,2)</f>
        <v>-0</v>
      </c>
      <c r="BO257" s="0" t="n">
        <f aca="false">BO69</f>
        <v>0.804813390873511</v>
      </c>
      <c r="BP257" s="0" t="n">
        <f aca="false">G257*BO257</f>
        <v>-0.354117891984345</v>
      </c>
      <c r="BQ257" s="0" t="n">
        <f aca="false">IF(AND(A257&gt;=$B$191,A257&lt;=$B$192),1,0)</f>
        <v>0</v>
      </c>
      <c r="BR257" s="0" t="n">
        <f aca="false">BO257*BQ257</f>
        <v>0</v>
      </c>
      <c r="BS257" s="0" t="n">
        <f aca="false">BP257*BQ257</f>
        <v>-0</v>
      </c>
    </row>
    <row r="258" customFormat="false" ht="18" hidden="false" customHeight="false" outlineLevel="0" collapsed="false">
      <c r="A258" s="75" t="n">
        <f aca="false">A70</f>
        <v>38961</v>
      </c>
      <c r="B258" s="317" t="n">
        <f aca="false" t="array" ref="B258:B258">SUM(IF(MONTH(NymexData!$AL$12:$AL$250)&amp;YEAR(NymexData!$AL$12:$AL$250)=MONTH(A258)&amp;YEAR(A258),NymexData!$AM$12:$AM$250))</f>
        <v>-108.4324266</v>
      </c>
      <c r="C258" s="317" t="n">
        <f aca="false">BD258*BJ258*BI258</f>
        <v>0</v>
      </c>
      <c r="D258" s="319" t="n">
        <f aca="false">C258+B258</f>
        <v>-108.4324266</v>
      </c>
      <c r="E258" s="320" t="n">
        <f aca="false" t="array" ref="E258:E258">SUM(IF(MONTH(NymexData!$A$12:$A$250)&amp;YEAR(NymexData!$A$12:$A$250)=MONTH(A258)&amp;YEAR(A258),NymexData!$B$12:$B$250))</f>
        <v>-0.44</v>
      </c>
      <c r="F258" s="320" t="n">
        <f aca="false">G258-E258</f>
        <v>0</v>
      </c>
      <c r="G258" s="321" t="n">
        <f aca="false" t="array" ref="G258:G258">IF(NymexData!$H$12="",GasPosn!E258,SUM(IF(MONTH(NymexData!$H$12:$H$250)&amp;YEAR(NymexData!$H$12:$H$250)=MONTH(A258)&amp;YEAR(A258),NymexData!$I$12:$I$250)))</f>
        <v>-0.44</v>
      </c>
      <c r="H258" s="76" t="n">
        <f aca="false">B258*10000*F258</f>
        <v>-0</v>
      </c>
      <c r="I258" s="82" t="n">
        <f aca="false">(((G258-Q258)*P258+(G258-S258)*R258+(G258-U258)*T258+(G258-W258)*V258+(G258-Y258)*X258+(G258-AA258)*Z258+(G258-AC258)*AB258+(G258-AE258)*AD258+(G258-AG258)*AF258+(G258-AI258)*AH258+(G258-AK258)*AJ258+(G258-AM258)*AL258+(G258-AO258)*AN258+(G258-AQ258)*AP258+(G258-AS258)*AR258+(G258-AU258)*AT258+(G258-AW258)*AV258+(G258-AY258)*AX258+(G258-BA258)*AZ258+(G258-BC258)*BB258)*BJ258*BI258)*10000</f>
        <v>-0</v>
      </c>
      <c r="J258" s="82" t="n">
        <f aca="false">H258+I258</f>
        <v>-0</v>
      </c>
      <c r="O258" s="95" t="n">
        <f aca="false">A258</f>
        <v>38961</v>
      </c>
      <c r="BD258" s="100" t="n">
        <f aca="false">(P258+R258+T258+V258+X258+Z258+AB258+AD258+AF258+AH258+AJ258+AL258+AN258+AP258+AR258+AT258+AV258+AX258+AZ258+BB258)</f>
        <v>0</v>
      </c>
      <c r="BE258" s="322" t="n">
        <f aca="false">IF(AND(BD258=0,BH258=0),0,(ABS(P258)*Q258+ABS(R258)*S258+ABS(T258)*U258+ABS(V258)*W258+ABS(X258)*Y258+ABS(Z258)*AA258+ABS(AB258)*AC258+ABS(AD258)*AE258+ABS(AF258)*AG258+ABS(AH258)*AI258+ABS(AJ258)*AK258+ABS(AL258)*AM258+ABS(AN258)*AO258+ABS(AP258)*AQ258+ABS(AR258)*AS258+ABS(AT258)*AU258+ABS(AV258)*AW258+ABS(AX258)*AY258+ABS(AZ258)*BA258+ABS(BB258)*BC258)/BH258)</f>
        <v>0</v>
      </c>
      <c r="BG258" s="103" t="n">
        <f aca="false">O258</f>
        <v>38961</v>
      </c>
      <c r="BH258" s="323" t="n">
        <f aca="false">(ABS(P258)+ABS(R258)+ABS(T258)+ABS(V258)+ABS(X258)+ABS(Z258)+ABS(AB258)+ABS(AD258)+ABS(AF258)+ABS(AH258)+ABS(AJ258)+ABS(AL258)+ABS(AN258)+ABS(AP258)+ABS(AR258)+ABS(AT258)+ABS(AV258)+ABS(AX258)+ABS(AZ258)+ABS(BB258))</f>
        <v>0</v>
      </c>
      <c r="BI258" s="104" t="n">
        <f aca="false">VLOOKUP(GasPosn!A258,'Pricing Summary'!$AB$12:$AD$250,3)</f>
        <v>30</v>
      </c>
      <c r="BJ258" s="102" t="n">
        <f aca="false">VLOOKUP(A258,Interest!$AF$8:$AK$367,6)</f>
        <v>0.800854779478237</v>
      </c>
      <c r="BL258" s="0" t="n">
        <f aca="false">J258*VLOOKUP(A258,NymexData!$J$12:$K$244,2)</f>
        <v>-0</v>
      </c>
      <c r="BO258" s="0" t="n">
        <f aca="false">BO70</f>
        <v>0.800854779478237</v>
      </c>
      <c r="BP258" s="0" t="n">
        <f aca="false">G258*BO258</f>
        <v>-0.352376102970424</v>
      </c>
      <c r="BQ258" s="0" t="n">
        <f aca="false">IF(AND(A258&gt;=$B$191,A258&lt;=$B$192),1,0)</f>
        <v>0</v>
      </c>
      <c r="BR258" s="0" t="n">
        <f aca="false">BO258*BQ258</f>
        <v>0</v>
      </c>
      <c r="BS258" s="0" t="n">
        <f aca="false">BP258*BQ258</f>
        <v>-0</v>
      </c>
    </row>
    <row r="259" customFormat="false" ht="18" hidden="false" customHeight="false" outlineLevel="0" collapsed="false">
      <c r="A259" s="112" t="n">
        <f aca="false">A71</f>
        <v>38991</v>
      </c>
      <c r="B259" s="324" t="n">
        <f aca="false" t="array" ref="B259:B259">SUM(IF(MONTH(NymexData!$AL$12:$AL$250)&amp;YEAR(NymexData!$AL$12:$AL$250)=MONTH(A259)&amp;YEAR(A259),NymexData!$AM$12:$AM$250))</f>
        <v>-111.44911814</v>
      </c>
      <c r="C259" s="325" t="n">
        <f aca="false">BD259*BJ259*BI259</f>
        <v>0</v>
      </c>
      <c r="D259" s="326" t="n">
        <f aca="false">C259+B259</f>
        <v>-111.44911814</v>
      </c>
      <c r="E259" s="327" t="n">
        <f aca="false" t="array" ref="E259:E259">SUM(IF(MONTH(NymexData!$A$12:$A$250)&amp;YEAR(NymexData!$A$12:$A$250)=MONTH(A259)&amp;YEAR(A259),NymexData!$B$12:$B$250))</f>
        <v>-0.44</v>
      </c>
      <c r="F259" s="327" t="n">
        <f aca="false">G259-E259</f>
        <v>0</v>
      </c>
      <c r="G259" s="328" t="n">
        <f aca="false" t="array" ref="G259:G259">IF(NymexData!$H$12="",GasPosn!E259,SUM(IF(MONTH(NymexData!$H$12:$H$250)&amp;YEAR(NymexData!$H$12:$H$250)=MONTH(A259)&amp;YEAR(A259),NymexData!$I$12:$I$250)))</f>
        <v>-0.44</v>
      </c>
      <c r="H259" s="115" t="n">
        <f aca="false">B259*10000*F259</f>
        <v>-0</v>
      </c>
      <c r="I259" s="119" t="n">
        <f aca="false">(((G259-Q259)*P259+(G259-S259)*R259+(G259-U259)*T259+(G259-W259)*V259+(G259-Y259)*X259+(G259-AA259)*Z259+(G259-AC259)*AB259+(G259-AE259)*AD259+(G259-AG259)*AF259+(G259-AI259)*AH259+(G259-AK259)*AJ259+(G259-AM259)*AL259+(G259-AO259)*AN259+(G259-AQ259)*AP259+(G259-AS259)*AR259+(G259-AU259)*AT259+(G259-AW259)*AV259+(G259-AY259)*AX259+(G259-BA259)*AZ259+(G259-BC259)*BB259)*BJ259*BI259)*10000</f>
        <v>-0</v>
      </c>
      <c r="J259" s="119" t="n">
        <f aca="false">H259+I259</f>
        <v>-0</v>
      </c>
      <c r="O259" s="95" t="n">
        <f aca="false">A259</f>
        <v>38991</v>
      </c>
      <c r="BD259" s="100" t="n">
        <f aca="false">(P259+R259+T259+V259+X259+Z259+AB259+AD259+AF259+AH259+AJ259+AL259+AN259+AP259+AR259+AT259+AV259+AX259+AZ259+BB259)</f>
        <v>0</v>
      </c>
      <c r="BE259" s="322" t="n">
        <f aca="false">IF(AND(BD259=0,BH259=0),0,(ABS(P259)*Q259+ABS(R259)*S259+ABS(T259)*U259+ABS(V259)*W259+ABS(X259)*Y259+ABS(Z259)*AA259+ABS(AB259)*AC259+ABS(AD259)*AE259+ABS(AF259)*AG259+ABS(AH259)*AI259+ABS(AJ259)*AK259+ABS(AL259)*AM259+ABS(AN259)*AO259+ABS(AP259)*AQ259+ABS(AR259)*AS259+ABS(AT259)*AU259+ABS(AV259)*AW259+ABS(AX259)*AY259+ABS(AZ259)*BA259+ABS(BB259)*BC259)/BH259)</f>
        <v>0</v>
      </c>
      <c r="BG259" s="103" t="n">
        <f aca="false">O259</f>
        <v>38991</v>
      </c>
      <c r="BH259" s="323" t="n">
        <f aca="false">(ABS(P259)+ABS(R259)+ABS(T259)+ABS(V259)+ABS(X259)+ABS(Z259)+ABS(AB259)+ABS(AD259)+ABS(AF259)+ABS(AH259)+ABS(AJ259)+ABS(AL259)+ABS(AN259)+ABS(AP259)+ABS(AR259)+ABS(AT259)+ABS(AV259)+ABS(AX259)+ABS(AZ259)+ABS(BB259))</f>
        <v>0</v>
      </c>
      <c r="BI259" s="104" t="n">
        <f aca="false">VLOOKUP(GasPosn!A259,'Pricing Summary'!$AB$12:$AD$250,3)</f>
        <v>31</v>
      </c>
      <c r="BJ259" s="102" t="n">
        <f aca="false">VLOOKUP(A259,Interest!$AF$8:$AK$367,6)</f>
        <v>0.796816805901599</v>
      </c>
      <c r="BL259" s="0" t="n">
        <f aca="false">J259*VLOOKUP(A259,NymexData!$J$12:$K$244,2)</f>
        <v>-0</v>
      </c>
      <c r="BO259" s="0" t="n">
        <f aca="false">BO71</f>
        <v>0.796816805901599</v>
      </c>
      <c r="BP259" s="0" t="n">
        <f aca="false">G259*BO259</f>
        <v>-0.350599394596704</v>
      </c>
      <c r="BQ259" s="0" t="n">
        <f aca="false">IF(AND(A259&gt;=$B$191,A259&lt;=$B$192),1,0)</f>
        <v>0</v>
      </c>
      <c r="BR259" s="0" t="n">
        <f aca="false">BO259*BQ259</f>
        <v>0</v>
      </c>
      <c r="BS259" s="0" t="n">
        <f aca="false">BP259*BQ259</f>
        <v>-0</v>
      </c>
    </row>
    <row r="260" customFormat="false" ht="18" hidden="false" customHeight="false" outlineLevel="0" collapsed="false">
      <c r="A260" s="75" t="n">
        <f aca="false">A72</f>
        <v>39022</v>
      </c>
      <c r="B260" s="317" t="n">
        <f aca="false" t="array" ref="B260:B260">SUM(IF(MONTH(NymexData!$AL$12:$AL$250)&amp;YEAR(NymexData!$AL$12:$AL$250)=MONTH(A260)&amp;YEAR(A260),NymexData!$AM$12:$AM$250))</f>
        <v>-107.27592021</v>
      </c>
      <c r="C260" s="317" t="n">
        <f aca="false">BD260*BJ260*BI260</f>
        <v>0</v>
      </c>
      <c r="D260" s="319" t="n">
        <f aca="false">C260+B260</f>
        <v>-107.27592021</v>
      </c>
      <c r="E260" s="320" t="n">
        <f aca="false" t="array" ref="E260:E260">SUM(IF(MONTH(NymexData!$A$12:$A$250)&amp;YEAR(NymexData!$A$12:$A$250)=MONTH(A260)&amp;YEAR(A260),NymexData!$B$12:$B$250))</f>
        <v>-0.4</v>
      </c>
      <c r="F260" s="320" t="n">
        <f aca="false">G260-E260</f>
        <v>0</v>
      </c>
      <c r="G260" s="321" t="n">
        <f aca="false" t="array" ref="G260:G260">IF(NymexData!$H$12="",GasPosn!E260,SUM(IF(MONTH(NymexData!$H$12:$H$250)&amp;YEAR(NymexData!$H$12:$H$250)=MONTH(A260)&amp;YEAR(A260),NymexData!$I$12:$I$250)))</f>
        <v>-0.4</v>
      </c>
      <c r="H260" s="76" t="n">
        <f aca="false">B260*10000*F260</f>
        <v>-0</v>
      </c>
      <c r="I260" s="82" t="n">
        <f aca="false">(((G260-Q260)*P260+(G260-S260)*R260+(G260-U260)*T260+(G260-W260)*V260+(G260-Y260)*X260+(G260-AA260)*Z260+(G260-AC260)*AB260+(G260-AE260)*AD260+(G260-AG260)*AF260+(G260-AI260)*AH260+(G260-AK260)*AJ260+(G260-AM260)*AL260+(G260-AO260)*AN260+(G260-AQ260)*AP260+(G260-AS260)*AR260+(G260-AU260)*AT260+(G260-AW260)*AV260+(G260-AY260)*AX260+(G260-BA260)*AZ260+(G260-BC260)*BB260)*BJ260*BI260)*10000</f>
        <v>-0</v>
      </c>
      <c r="J260" s="82" t="n">
        <f aca="false">H260+I260</f>
        <v>-0</v>
      </c>
      <c r="O260" s="95" t="n">
        <f aca="false">A260</f>
        <v>39022</v>
      </c>
      <c r="BD260" s="100" t="n">
        <f aca="false">(P260+R260+T260+V260+X260+Z260+AB260+AD260+AF260+AH260+AJ260+AL260+AN260+AP260+AR260+AT260+AV260+AX260+AZ260+BB260)</f>
        <v>0</v>
      </c>
      <c r="BE260" s="322" t="n">
        <f aca="false">IF(AND(BD260=0,BH260=0),0,(ABS(P260)*Q260+ABS(R260)*S260+ABS(T260)*U260+ABS(V260)*W260+ABS(X260)*Y260+ABS(Z260)*AA260+ABS(AB260)*AC260+ABS(AD260)*AE260+ABS(AF260)*AG260+ABS(AH260)*AI260+ABS(AJ260)*AK260+ABS(AL260)*AM260+ABS(AN260)*AO260+ABS(AP260)*AQ260+ABS(AR260)*AS260+ABS(AT260)*AU260+ABS(AV260)*AW260+ABS(AX260)*AY260+ABS(AZ260)*BA260+ABS(BB260)*BC260)/BH260)</f>
        <v>0</v>
      </c>
      <c r="BG260" s="103" t="n">
        <f aca="false">O260</f>
        <v>39022</v>
      </c>
      <c r="BH260" s="323" t="n">
        <f aca="false">(ABS(P260)+ABS(R260)+ABS(T260)+ABS(V260)+ABS(X260)+ABS(Z260)+ABS(AB260)+ABS(AD260)+ABS(AF260)+ABS(AH260)+ABS(AJ260)+ABS(AL260)+ABS(AN260)+ABS(AP260)+ABS(AR260)+ABS(AT260)+ABS(AV260)+ABS(AX260)+ABS(AZ260)+ABS(BB260))</f>
        <v>0</v>
      </c>
      <c r="BI260" s="104" t="n">
        <f aca="false">VLOOKUP(GasPosn!A260,'Pricing Summary'!$AB$12:$AD$250,3)</f>
        <v>30</v>
      </c>
      <c r="BJ260" s="102" t="n">
        <f aca="false">VLOOKUP(A260,Interest!$AF$8:$AK$367,6)</f>
        <v>0.79288469694292</v>
      </c>
      <c r="BL260" s="0" t="n">
        <f aca="false">J260*VLOOKUP(A260,NymexData!$J$12:$K$244,2)</f>
        <v>-0</v>
      </c>
      <c r="BO260" s="0" t="n">
        <f aca="false">BO72</f>
        <v>0.79288469694292</v>
      </c>
      <c r="BP260" s="0" t="n">
        <f aca="false">G260*BO260</f>
        <v>-0.317153878777168</v>
      </c>
      <c r="BQ260" s="0" t="n">
        <f aca="false">IF(AND(A260&gt;=$B$191,A260&lt;=$B$192),1,0)</f>
        <v>0</v>
      </c>
      <c r="BR260" s="0" t="n">
        <f aca="false">BO260*BQ260</f>
        <v>0</v>
      </c>
      <c r="BS260" s="0" t="n">
        <f aca="false">BP260*BQ260</f>
        <v>-0</v>
      </c>
    </row>
    <row r="261" customFormat="false" ht="18" hidden="false" customHeight="false" outlineLevel="0" collapsed="false">
      <c r="A261" s="112" t="n">
        <f aca="false">A73</f>
        <v>39052</v>
      </c>
      <c r="B261" s="324" t="n">
        <f aca="false" t="array" ref="B261:B261">SUM(IF(MONTH(NymexData!$AL$12:$AL$250)&amp;YEAR(NymexData!$AL$12:$AL$250)=MONTH(A261)&amp;YEAR(A261),NymexData!$AM$12:$AM$250))</f>
        <v>-110.33694648</v>
      </c>
      <c r="C261" s="325" t="n">
        <f aca="false">BD261*BJ261*BI261</f>
        <v>0</v>
      </c>
      <c r="D261" s="326" t="n">
        <f aca="false">C261+B261</f>
        <v>-110.33694648</v>
      </c>
      <c r="E261" s="327" t="n">
        <f aca="false" t="array" ref="E261:E261">SUM(IF(MONTH(NymexData!$A$12:$A$250)&amp;YEAR(NymexData!$A$12:$A$250)=MONTH(A261)&amp;YEAR(A261),NymexData!$B$12:$B$250))</f>
        <v>-0.4</v>
      </c>
      <c r="F261" s="327" t="n">
        <f aca="false">G261-E261</f>
        <v>0</v>
      </c>
      <c r="G261" s="328" t="n">
        <f aca="false" t="array" ref="G261:G261">IF(NymexData!$H$12="",GasPosn!E261,SUM(IF(MONTH(NymexData!$H$12:$H$250)&amp;YEAR(NymexData!$H$12:$H$250)=MONTH(A261)&amp;YEAR(A261),NymexData!$I$12:$I$250)))</f>
        <v>-0.4</v>
      </c>
      <c r="H261" s="115" t="n">
        <f aca="false">B261*10000*F261</f>
        <v>-0</v>
      </c>
      <c r="I261" s="119" t="n">
        <f aca="false">(((G261-Q261)*P261+(G261-S261)*R261+(G261-U261)*T261+(G261-W261)*V261+(G261-Y261)*X261+(G261-AA261)*Z261+(G261-AC261)*AB261+(G261-AE261)*AD261+(G261-AG261)*AF261+(G261-AI261)*AH261+(G261-AK261)*AJ261+(G261-AM261)*AL261+(G261-AO261)*AN261+(G261-AQ261)*AP261+(G261-AS261)*AR261+(G261-AU261)*AT261+(G261-AW261)*AV261+(G261-AY261)*AX261+(G261-BA261)*AZ261+(G261-BC261)*BB261)*BJ261*BI261)*10000</f>
        <v>-0</v>
      </c>
      <c r="J261" s="119" t="n">
        <f aca="false">H261+I261</f>
        <v>-0</v>
      </c>
      <c r="O261" s="95" t="n">
        <f aca="false">A261</f>
        <v>39052</v>
      </c>
      <c r="BD261" s="100" t="n">
        <f aca="false">(P261+R261+T261+V261+X261+Z261+AB261+AD261+AF261+AH261+AJ261+AL261+AN261+AP261+AR261+AT261+AV261+AX261+AZ261+BB261)</f>
        <v>0</v>
      </c>
      <c r="BE261" s="322" t="n">
        <f aca="false">IF(AND(BD261=0,BH261=0),0,(ABS(P261)*Q261+ABS(R261)*S261+ABS(T261)*U261+ABS(V261)*W261+ABS(X261)*Y261+ABS(Z261)*AA261+ABS(AB261)*AC261+ABS(AD261)*AE261+ABS(AF261)*AG261+ABS(AH261)*AI261+ABS(AJ261)*AK261+ABS(AL261)*AM261+ABS(AN261)*AO261+ABS(AP261)*AQ261+ABS(AR261)*AS261+ABS(AT261)*AU261+ABS(AV261)*AW261+ABS(AX261)*AY261+ABS(AZ261)*BA261+ABS(BB261)*BC261)/BH261)</f>
        <v>0</v>
      </c>
      <c r="BG261" s="103" t="n">
        <f aca="false">O261</f>
        <v>39052</v>
      </c>
      <c r="BH261" s="323" t="n">
        <f aca="false">(ABS(P261)+ABS(R261)+ABS(T261)+ABS(V261)+ABS(X261)+ABS(Z261)+ABS(AB261)+ABS(AD261)+ABS(AF261)+ABS(AH261)+ABS(AJ261)+ABS(AL261)+ABS(AN261)+ABS(AP261)+ABS(AR261)+ABS(AT261)+ABS(AV261)+ABS(AX261)+ABS(AZ261)+ABS(BB261))</f>
        <v>0</v>
      </c>
      <c r="BI261" s="104" t="n">
        <f aca="false">VLOOKUP(GasPosn!A261,'Pricing Summary'!$AB$12:$AD$250,3)</f>
        <v>31</v>
      </c>
      <c r="BJ261" s="102" t="n">
        <f aca="false">VLOOKUP(A261,Interest!$AF$8:$AK$367,6)</f>
        <v>0.789092182819624</v>
      </c>
      <c r="BL261" s="0" t="n">
        <f aca="false">J261*VLOOKUP(A261,NymexData!$J$12:$K$244,2)</f>
        <v>-0</v>
      </c>
      <c r="BO261" s="0" t="n">
        <f aca="false">BO73</f>
        <v>0.789092182819624</v>
      </c>
      <c r="BP261" s="0" t="n">
        <f aca="false">G261*BO261</f>
        <v>-0.31563687312785</v>
      </c>
      <c r="BQ261" s="0" t="n">
        <f aca="false">IF(AND(A261&gt;=$B$191,A261&lt;=$B$192),1,0)</f>
        <v>0</v>
      </c>
      <c r="BR261" s="0" t="n">
        <f aca="false">BO261*BQ261</f>
        <v>0</v>
      </c>
      <c r="BS261" s="0" t="n">
        <f aca="false">BP261*BQ261</f>
        <v>-0</v>
      </c>
    </row>
    <row r="262" customFormat="false" ht="18" hidden="false" customHeight="false" outlineLevel="0" collapsed="false">
      <c r="A262" s="75" t="n">
        <f aca="false">A74</f>
        <v>39083</v>
      </c>
      <c r="B262" s="317" t="n">
        <f aca="false" t="array" ref="B262:B262">SUM(IF(MONTH(NymexData!$AL$12:$AL$250)&amp;YEAR(NymexData!$AL$12:$AL$250)=MONTH(A262)&amp;YEAR(A262),NymexData!$AM$12:$AM$250))</f>
        <v>-97.60368448</v>
      </c>
      <c r="C262" s="317" t="n">
        <f aca="false">BD262*BJ262*BI262</f>
        <v>0</v>
      </c>
      <c r="D262" s="319" t="n">
        <f aca="false">C262+B262</f>
        <v>-97.60368448</v>
      </c>
      <c r="E262" s="320" t="n">
        <f aca="false" t="array" ref="E262:E262">SUM(IF(MONTH(NymexData!$A$12:$A$250)&amp;YEAR(NymexData!$A$12:$A$250)=MONTH(A262)&amp;YEAR(A262),NymexData!$B$12:$B$250))</f>
        <v>-0.4</v>
      </c>
      <c r="F262" s="320" t="n">
        <f aca="false">G262-E262</f>
        <v>0</v>
      </c>
      <c r="G262" s="321" t="n">
        <f aca="false" t="array" ref="G262:G262">IF(NymexData!$H$12="",GasPosn!E262,SUM(IF(MONTH(NymexData!$H$12:$H$250)&amp;YEAR(NymexData!$H$12:$H$250)=MONTH(A262)&amp;YEAR(A262),NymexData!$I$12:$I$250)))</f>
        <v>-0.4</v>
      </c>
      <c r="H262" s="76" t="n">
        <f aca="false">B262*10000*F262</f>
        <v>-0</v>
      </c>
      <c r="I262" s="82" t="n">
        <f aca="false">(((G262-Q262)*P262+(G262-S262)*R262+(G262-U262)*T262+(G262-W262)*V262+(G262-Y262)*X262+(G262-AA262)*Z262+(G262-AC262)*AB262+(G262-AE262)*AD262+(G262-AG262)*AF262+(G262-AI262)*AH262+(G262-AK262)*AJ262+(G262-AM262)*AL262+(G262-AO262)*AN262+(G262-AQ262)*AP262+(G262-AS262)*AR262+(G262-AU262)*AT262+(G262-AW262)*AV262+(G262-AY262)*AX262+(G262-BA262)*AZ262+(G262-BC262)*BB262)*BJ262*BI262)*10000</f>
        <v>-0</v>
      </c>
      <c r="J262" s="82" t="n">
        <f aca="false">H262+I262</f>
        <v>-0</v>
      </c>
      <c r="O262" s="95" t="n">
        <f aca="false">A262</f>
        <v>39083</v>
      </c>
      <c r="BD262" s="100" t="n">
        <f aca="false">(P262+R262+T262+V262+X262+Z262+AB262+AD262+AF262+AH262+AJ262+AL262+AN262+AP262+AR262+AT262+AV262+AX262+AZ262+BB262)</f>
        <v>0</v>
      </c>
      <c r="BE262" s="322" t="n">
        <f aca="false">IF(AND(BD262=0,BH262=0),0,(ABS(P262)*Q262+ABS(R262)*S262+ABS(T262)*U262+ABS(V262)*W262+ABS(X262)*Y262+ABS(Z262)*AA262+ABS(AB262)*AC262+ABS(AD262)*AE262+ABS(AF262)*AG262+ABS(AH262)*AI262+ABS(AJ262)*AK262+ABS(AL262)*AM262+ABS(AN262)*AO262+ABS(AP262)*AQ262+ABS(AR262)*AS262+ABS(AT262)*AU262+ABS(AV262)*AW262+ABS(AX262)*AY262+ABS(AZ262)*BA262+ABS(BB262)*BC262)/BH262)</f>
        <v>0</v>
      </c>
      <c r="BG262" s="103" t="n">
        <f aca="false">O262</f>
        <v>39083</v>
      </c>
      <c r="BH262" s="323" t="n">
        <f aca="false">(ABS(P262)+ABS(R262)+ABS(T262)+ABS(V262)+ABS(X262)+ABS(Z262)+ABS(AB262)+ABS(AD262)+ABS(AF262)+ABS(AH262)+ABS(AJ262)+ABS(AL262)+ABS(AN262)+ABS(AP262)+ABS(AR262)+ABS(AT262)+ABS(AV262)+ABS(AX262)+ABS(AZ262)+ABS(BB262))</f>
        <v>0</v>
      </c>
      <c r="BI262" s="104" t="n">
        <f aca="false">VLOOKUP(GasPosn!A262,'Pricing Summary'!$AB$12:$AD$250,3)</f>
        <v>31</v>
      </c>
      <c r="BJ262" s="102" t="n">
        <f aca="false">VLOOKUP(A262,Interest!$AF$8:$AK$367,6)</f>
        <v>0.785268696455368</v>
      </c>
      <c r="BL262" s="0" t="n">
        <f aca="false">J262*VLOOKUP(A262,NymexData!$J$12:$K$244,2)</f>
        <v>-0</v>
      </c>
      <c r="BO262" s="0" t="n">
        <f aca="false">BO74</f>
        <v>0.785268696455368</v>
      </c>
      <c r="BP262" s="0" t="n">
        <f aca="false">G262*BO262</f>
        <v>-0.314107478582147</v>
      </c>
      <c r="BQ262" s="0" t="n">
        <f aca="false">IF(AND(A262&gt;=$B$191,A262&lt;=$B$192),1,0)</f>
        <v>0</v>
      </c>
      <c r="BR262" s="0" t="n">
        <f aca="false">BO262*BQ262</f>
        <v>0</v>
      </c>
      <c r="BS262" s="0" t="n">
        <f aca="false">BP262*BQ262</f>
        <v>-0</v>
      </c>
    </row>
    <row r="263" customFormat="false" ht="18" hidden="false" customHeight="false" outlineLevel="0" collapsed="false">
      <c r="A263" s="112" t="n">
        <f aca="false">A75</f>
        <v>39114</v>
      </c>
      <c r="B263" s="324" t="n">
        <f aca="false" t="array" ref="B263:B263">SUM(IF(MONTH(NymexData!$AL$12:$AL$250)&amp;YEAR(NymexData!$AL$12:$AL$250)=MONTH(A263)&amp;YEAR(A263),NymexData!$AM$12:$AM$250))</f>
        <v>-87.72977232</v>
      </c>
      <c r="C263" s="325" t="n">
        <f aca="false">BD263*BJ263*BI263</f>
        <v>0</v>
      </c>
      <c r="D263" s="326" t="n">
        <f aca="false">C263+B263</f>
        <v>-87.72977232</v>
      </c>
      <c r="E263" s="327" t="n">
        <f aca="false" t="array" ref="E263:E263">SUM(IF(MONTH(NymexData!$A$12:$A$250)&amp;YEAR(NymexData!$A$12:$A$250)=MONTH(A263)&amp;YEAR(A263),NymexData!$B$12:$B$250))</f>
        <v>-0.4</v>
      </c>
      <c r="F263" s="327" t="n">
        <f aca="false">G263-E263</f>
        <v>0</v>
      </c>
      <c r="G263" s="328" t="n">
        <f aca="false" t="array" ref="G263:G263">IF(NymexData!$H$12="",GasPosn!E263,SUM(IF(MONTH(NymexData!$H$12:$H$250)&amp;YEAR(NymexData!$H$12:$H$250)=MONTH(A263)&amp;YEAR(A263),NymexData!$I$12:$I$250)))</f>
        <v>-0.4</v>
      </c>
      <c r="H263" s="115" t="n">
        <f aca="false">B263*10000*F263</f>
        <v>-0</v>
      </c>
      <c r="I263" s="119" t="n">
        <f aca="false">(((G263-Q263)*P263+(G263-S263)*R263+(G263-U263)*T263+(G263-W263)*V263+(G263-Y263)*X263+(G263-AA263)*Z263+(G263-AC263)*AB263+(G263-AE263)*AD263+(G263-AG263)*AF263+(G263-AI263)*AH263+(G263-AK263)*AJ263+(G263-AM263)*AL263+(G263-AO263)*AN263+(G263-AQ263)*AP263+(G263-AS263)*AR263+(G263-AU263)*AT263+(G263-AW263)*AV263+(G263-AY263)*AX263+(G263-BA263)*AZ263+(G263-BC263)*BB263)*BJ263*BI263)*10000</f>
        <v>-0</v>
      </c>
      <c r="J263" s="119" t="n">
        <f aca="false">H263+I263</f>
        <v>-0</v>
      </c>
      <c r="O263" s="95" t="n">
        <f aca="false">A263</f>
        <v>39114</v>
      </c>
      <c r="BD263" s="100" t="n">
        <f aca="false">(P263+R263+T263+V263+X263+Z263+AB263+AD263+AF263+AH263+AJ263+AL263+AN263+AP263+AR263+AT263+AV263+AX263+AZ263+BB263)</f>
        <v>0</v>
      </c>
      <c r="BE263" s="322" t="n">
        <f aca="false">IF(AND(BD263=0,BH263=0),0,(ABS(P263)*Q263+ABS(R263)*S263+ABS(T263)*U263+ABS(V263)*W263+ABS(X263)*Y263+ABS(Z263)*AA263+ABS(AB263)*AC263+ABS(AD263)*AE263+ABS(AF263)*AG263+ABS(AH263)*AI263+ABS(AJ263)*AK263+ABS(AL263)*AM263+ABS(AN263)*AO263+ABS(AP263)*AQ263+ABS(AR263)*AS263+ABS(AT263)*AU263+ABS(AV263)*AW263+ABS(AX263)*AY263+ABS(AZ263)*BA263+ABS(BB263)*BC263)/BH263)</f>
        <v>0</v>
      </c>
      <c r="BG263" s="103" t="n">
        <f aca="false">O263</f>
        <v>39114</v>
      </c>
      <c r="BH263" s="323" t="n">
        <f aca="false">(ABS(P263)+ABS(R263)+ABS(T263)+ABS(V263)+ABS(X263)+ABS(Z263)+ABS(AB263)+ABS(AD263)+ABS(AF263)+ABS(AH263)+ABS(AJ263)+ABS(AL263)+ABS(AN263)+ABS(AP263)+ABS(AR263)+ABS(AT263)+ABS(AV263)+ABS(AX263)+ABS(AZ263)+ABS(BB263))</f>
        <v>0</v>
      </c>
      <c r="BI263" s="104" t="n">
        <f aca="false">VLOOKUP(GasPosn!A263,'Pricing Summary'!$AB$12:$AD$250,3)</f>
        <v>28</v>
      </c>
      <c r="BJ263" s="102" t="n">
        <f aca="false">VLOOKUP(A263,Interest!$AF$8:$AK$367,6)</f>
        <v>0.781734016081202</v>
      </c>
      <c r="BL263" s="0" t="n">
        <f aca="false">J263*VLOOKUP(A263,NymexData!$J$12:$K$244,2)</f>
        <v>-0</v>
      </c>
      <c r="BO263" s="0" t="n">
        <f aca="false">BO75</f>
        <v>0.781734016081202</v>
      </c>
      <c r="BP263" s="0" t="n">
        <f aca="false">G263*BO263</f>
        <v>-0.312693606432481</v>
      </c>
      <c r="BQ263" s="0" t="n">
        <f aca="false">IF(AND(A263&gt;=$B$191,A263&lt;=$B$192),1,0)</f>
        <v>0</v>
      </c>
      <c r="BR263" s="0" t="n">
        <f aca="false">BO263*BQ263</f>
        <v>0</v>
      </c>
      <c r="BS263" s="0" t="n">
        <f aca="false">BP263*BQ263</f>
        <v>-0</v>
      </c>
    </row>
    <row r="264" customFormat="false" ht="18" hidden="false" customHeight="false" outlineLevel="0" collapsed="false">
      <c r="A264" s="75" t="n">
        <f aca="false">A76</f>
        <v>39142</v>
      </c>
      <c r="B264" s="317" t="n">
        <f aca="false" t="array" ref="B264:B264">SUM(IF(MONTH(NymexData!$AL$12:$AL$250)&amp;YEAR(NymexData!$AL$12:$AL$250)=MONTH(A264)&amp;YEAR(A264),NymexData!$AM$12:$AM$250))</f>
        <v>-96.70042857</v>
      </c>
      <c r="C264" s="317" t="n">
        <f aca="false">BD264*BJ264*BI264</f>
        <v>0</v>
      </c>
      <c r="D264" s="319" t="n">
        <f aca="false">C264+B264</f>
        <v>-96.70042857</v>
      </c>
      <c r="E264" s="320" t="n">
        <f aca="false" t="array" ref="E264:E264">SUM(IF(MONTH(NymexData!$A$12:$A$250)&amp;YEAR(NymexData!$A$12:$A$250)=MONTH(A264)&amp;YEAR(A264),NymexData!$B$12:$B$250))</f>
        <v>-0.4</v>
      </c>
      <c r="F264" s="320" t="n">
        <f aca="false">G264-E264</f>
        <v>0</v>
      </c>
      <c r="G264" s="321" t="n">
        <f aca="false" t="array" ref="G264:G264">IF(NymexData!$H$12="",GasPosn!E264,SUM(IF(MONTH(NymexData!$H$12:$H$250)&amp;YEAR(NymexData!$H$12:$H$250)=MONTH(A264)&amp;YEAR(A264),NymexData!$I$12:$I$250)))</f>
        <v>-0.4</v>
      </c>
      <c r="H264" s="76" t="n">
        <f aca="false">B264*10000*F264</f>
        <v>-0</v>
      </c>
      <c r="I264" s="82" t="n">
        <f aca="false">(((G264-Q264)*P264+(G264-S264)*R264+(G264-U264)*T264+(G264-W264)*V264+(G264-Y264)*X264+(G264-AA264)*Z264+(G264-AC264)*AB264+(G264-AE264)*AD264+(G264-AG264)*AF264+(G264-AI264)*AH264+(G264-AK264)*AJ264+(G264-AM264)*AL264+(G264-AO264)*AN264+(G264-AQ264)*AP264+(G264-AS264)*AR264+(G264-AU264)*AT264+(G264-AW264)*AV264+(G264-AY264)*AX264+(G264-BA264)*AZ264+(G264-BC264)*BB264)*BJ264*BI264)*10000</f>
        <v>-0</v>
      </c>
      <c r="J264" s="82" t="n">
        <f aca="false">H264+I264</f>
        <v>-0</v>
      </c>
      <c r="O264" s="95" t="n">
        <f aca="false">A264</f>
        <v>39142</v>
      </c>
      <c r="BD264" s="100" t="n">
        <f aca="false">(P264+R264+T264+V264+X264+Z264+AB264+AD264+AF264+AH264+AJ264+AL264+AN264+AP264+AR264+AT264+AV264+AX264+AZ264+BB264)</f>
        <v>0</v>
      </c>
      <c r="BE264" s="322" t="n">
        <f aca="false">IF(AND(BD264=0,BH264=0),0,(ABS(P264)*Q264+ABS(R264)*S264+ABS(T264)*U264+ABS(V264)*W264+ABS(X264)*Y264+ABS(Z264)*AA264+ABS(AB264)*AC264+ABS(AD264)*AE264+ABS(AF264)*AG264+ABS(AH264)*AI264+ABS(AJ264)*AK264+ABS(AL264)*AM264+ABS(AN264)*AO264+ABS(AP264)*AQ264+ABS(AR264)*AS264+ABS(AT264)*AU264+ABS(AV264)*AW264+ABS(AX264)*AY264+ABS(AZ264)*BA264+ABS(BB264)*BC264)/BH264)</f>
        <v>0</v>
      </c>
      <c r="BG264" s="103" t="n">
        <f aca="false">O264</f>
        <v>39142</v>
      </c>
      <c r="BH264" s="323" t="n">
        <f aca="false">(ABS(P264)+ABS(R264)+ABS(T264)+ABS(V264)+ABS(X264)+ABS(Z264)+ABS(AB264)+ABS(AD264)+ABS(AF264)+ABS(AH264)+ABS(AJ264)+ABS(AL264)+ABS(AN264)+ABS(AP264)+ABS(AR264)+ABS(AT264)+ABS(AV264)+ABS(AX264)+ABS(AZ264)+ABS(BB264))</f>
        <v>0</v>
      </c>
      <c r="BI264" s="104" t="n">
        <f aca="false">VLOOKUP(GasPosn!A264,'Pricing Summary'!$AB$12:$AD$250,3)</f>
        <v>31</v>
      </c>
      <c r="BJ264" s="102" t="n">
        <f aca="false">VLOOKUP(A264,Interest!$AF$8:$AK$367,6)</f>
        <v>0.777974770387315</v>
      </c>
      <c r="BL264" s="0" t="n">
        <f aca="false">J264*VLOOKUP(A264,NymexData!$J$12:$K$244,2)</f>
        <v>-0</v>
      </c>
      <c r="BO264" s="0" t="n">
        <f aca="false">BO76</f>
        <v>0.777974770387315</v>
      </c>
      <c r="BP264" s="0" t="n">
        <f aca="false">G264*BO264</f>
        <v>-0.311189908154926</v>
      </c>
      <c r="BQ264" s="0" t="n">
        <f aca="false">IF(AND(A264&gt;=$B$191,A264&lt;=$B$192),1,0)</f>
        <v>0</v>
      </c>
      <c r="BR264" s="0" t="n">
        <f aca="false">BO264*BQ264</f>
        <v>0</v>
      </c>
      <c r="BS264" s="0" t="n">
        <f aca="false">BP264*BQ264</f>
        <v>-0</v>
      </c>
    </row>
    <row r="265" customFormat="false" ht="18" hidden="false" customHeight="false" outlineLevel="0" collapsed="false">
      <c r="A265" s="112" t="n">
        <f aca="false">A77</f>
        <v>39173</v>
      </c>
      <c r="B265" s="324" t="n">
        <f aca="false" t="array" ref="B265:B265">SUM(IF(MONTH(NymexData!$AL$12:$AL$250)&amp;YEAR(NymexData!$AL$12:$AL$250)=MONTH(A265)&amp;YEAR(A265),NymexData!$AM$12:$AM$250))</f>
        <v>-93.12087824</v>
      </c>
      <c r="C265" s="325" t="n">
        <f aca="false">BD265*BJ265*BI265</f>
        <v>0</v>
      </c>
      <c r="D265" s="326" t="n">
        <f aca="false">C265+B265</f>
        <v>-93.12087824</v>
      </c>
      <c r="E265" s="327" t="n">
        <f aca="false" t="array" ref="E265:E265">SUM(IF(MONTH(NymexData!$A$12:$A$250)&amp;YEAR(NymexData!$A$12:$A$250)=MONTH(A265)&amp;YEAR(A265),NymexData!$B$12:$B$250))</f>
        <v>-0.45</v>
      </c>
      <c r="F265" s="327" t="n">
        <f aca="false">G265-E265</f>
        <v>0</v>
      </c>
      <c r="G265" s="328" t="n">
        <f aca="false" t="array" ref="G265:G265">IF(NymexData!$H$12="",GasPosn!E265,SUM(IF(MONTH(NymexData!$H$12:$H$250)&amp;YEAR(NymexData!$H$12:$H$250)=MONTH(A265)&amp;YEAR(A265),NymexData!$I$12:$I$250)))</f>
        <v>-0.45</v>
      </c>
      <c r="H265" s="115" t="n">
        <f aca="false">B265*10000*F265</f>
        <v>-0</v>
      </c>
      <c r="I265" s="119" t="n">
        <f aca="false">(((G265-Q265)*P265+(G265-S265)*R265+(G265-U265)*T265+(G265-W265)*V265+(G265-Y265)*X265+(G265-AA265)*Z265+(G265-AC265)*AB265+(G265-AE265)*AD265+(G265-AG265)*AF265+(G265-AI265)*AH265+(G265-AK265)*AJ265+(G265-AM265)*AL265+(G265-AO265)*AN265+(G265-AQ265)*AP265+(G265-AS265)*AR265+(G265-AU265)*AT265+(G265-AW265)*AV265+(G265-AY265)*AX265+(G265-BA265)*AZ265+(G265-BC265)*BB265)*BJ265*BI265)*10000</f>
        <v>-0</v>
      </c>
      <c r="J265" s="119" t="n">
        <f aca="false">H265+I265</f>
        <v>-0</v>
      </c>
      <c r="O265" s="95" t="n">
        <f aca="false">A265</f>
        <v>39173</v>
      </c>
      <c r="BD265" s="100" t="n">
        <f aca="false">(P265+R265+T265+V265+X265+Z265+AB265+AD265+AF265+AH265+AJ265+AL265+AN265+AP265+AR265+AT265+AV265+AX265+AZ265+BB265)</f>
        <v>0</v>
      </c>
      <c r="BE265" s="322" t="n">
        <f aca="false">IF(AND(BD265=0,BH265=0),0,(ABS(P265)*Q265+ABS(R265)*S265+ABS(T265)*U265+ABS(V265)*W265+ABS(X265)*Y265+ABS(Z265)*AA265+ABS(AB265)*AC265+ABS(AD265)*AE265+ABS(AF265)*AG265+ABS(AH265)*AI265+ABS(AJ265)*AK265+ABS(AL265)*AM265+ABS(AN265)*AO265+ABS(AP265)*AQ265+ABS(AR265)*AS265+ABS(AT265)*AU265+ABS(AV265)*AW265+ABS(AX265)*AY265+ABS(AZ265)*BA265+ABS(BB265)*BC265)/BH265)</f>
        <v>0</v>
      </c>
      <c r="BG265" s="103" t="n">
        <f aca="false">O265</f>
        <v>39173</v>
      </c>
      <c r="BH265" s="323" t="n">
        <f aca="false">(ABS(P265)+ABS(R265)+ABS(T265)+ABS(V265)+ABS(X265)+ABS(Z265)+ABS(AB265)+ABS(AD265)+ABS(AF265)+ABS(AH265)+ABS(AJ265)+ABS(AL265)+ABS(AN265)+ABS(AP265)+ABS(AR265)+ABS(AT265)+ABS(AV265)+ABS(AX265)+ABS(AZ265)+ABS(BB265))</f>
        <v>0</v>
      </c>
      <c r="BI265" s="104" t="n">
        <f aca="false">VLOOKUP(GasPosn!A265,'Pricing Summary'!$AB$12:$AD$250,3)</f>
        <v>30</v>
      </c>
      <c r="BJ265" s="102" t="n">
        <f aca="false">VLOOKUP(A265,Interest!$AF$8:$AK$367,6)</f>
        <v>0.774232140134311</v>
      </c>
      <c r="BL265" s="0" t="n">
        <f aca="false">J265*VLOOKUP(A265,NymexData!$J$12:$K$244,2)</f>
        <v>-0</v>
      </c>
      <c r="BO265" s="0" t="n">
        <f aca="false">BO77</f>
        <v>0.774232140134311</v>
      </c>
      <c r="BP265" s="0" t="n">
        <f aca="false">G265*BO265</f>
        <v>-0.34840446306044</v>
      </c>
      <c r="BQ265" s="0" t="n">
        <f aca="false">IF(AND(A265&gt;=$B$191,A265&lt;=$B$192),1,0)</f>
        <v>0</v>
      </c>
      <c r="BR265" s="0" t="n">
        <f aca="false">BO265*BQ265</f>
        <v>0</v>
      </c>
      <c r="BS265" s="0" t="n">
        <f aca="false">BP265*BQ265</f>
        <v>-0</v>
      </c>
    </row>
    <row r="266" customFormat="false" ht="18" hidden="false" customHeight="false" outlineLevel="0" collapsed="false">
      <c r="A266" s="75" t="n">
        <f aca="false">A78</f>
        <v>39203</v>
      </c>
      <c r="B266" s="317" t="n">
        <f aca="false" t="array" ref="B266:B266">SUM(IF(MONTH(NymexData!$AL$12:$AL$250)&amp;YEAR(NymexData!$AL$12:$AL$250)=MONTH(A266)&amp;YEAR(A266),NymexData!$AM$12:$AM$250))</f>
        <v>-95.76415657</v>
      </c>
      <c r="C266" s="318" t="n">
        <f aca="false">BD266*BJ266*BI266</f>
        <v>0</v>
      </c>
      <c r="D266" s="319" t="n">
        <f aca="false">C266+B266</f>
        <v>-95.76415657</v>
      </c>
      <c r="E266" s="320" t="n">
        <f aca="false" t="array" ref="E266:E266">SUM(IF(MONTH(NymexData!$A$12:$A$250)&amp;YEAR(NymexData!$A$12:$A$250)=MONTH(A266)&amp;YEAR(A266),NymexData!$B$12:$B$250))</f>
        <v>-0.45</v>
      </c>
      <c r="F266" s="320" t="n">
        <f aca="false">G266-E266</f>
        <v>0</v>
      </c>
      <c r="G266" s="321" t="n">
        <f aca="false" t="array" ref="G266:G266">IF(NymexData!$H$12="",GasPosn!E266,SUM(IF(MONTH(NymexData!$H$12:$H$250)&amp;YEAR(NymexData!$H$12:$H$250)=MONTH(A266)&amp;YEAR(A266),NymexData!$I$12:$I$250)))</f>
        <v>-0.45</v>
      </c>
      <c r="H266" s="76" t="n">
        <f aca="false">B266*10000*F266</f>
        <v>-0</v>
      </c>
      <c r="I266" s="82" t="n">
        <f aca="false">(((G266-Q266)*P266+(G266-S266)*R266+(G266-U266)*T266+(G266-W266)*V266+(G266-Y266)*X266+(G266-AA266)*Z266+(G266-AC266)*AB266+(G266-AE266)*AD266+(G266-AG266)*AF266+(G266-AI266)*AH266+(G266-AK266)*AJ266+(G266-AM266)*AL266+(G266-AO266)*AN266+(G266-AQ266)*AP266+(G266-AS266)*AR266+(G266-AU266)*AT266+(G266-AW266)*AV266+(G266-AY266)*AX266+(G266-BA266)*AZ266+(G266-BC266)*BB266)*BJ266*BI266)*10000</f>
        <v>-0</v>
      </c>
      <c r="J266" s="82" t="n">
        <f aca="false">H266+I266</f>
        <v>-0</v>
      </c>
      <c r="O266" s="95" t="n">
        <f aca="false">A266</f>
        <v>39203</v>
      </c>
      <c r="BD266" s="100" t="n">
        <f aca="false">(P266+R266+T266+V266+X266+Z266+AB266+AD266+AF266+AH266+AJ266+AL266+AN266+AP266+AR266+AT266+AV266+AX266+AZ266+BB266)</f>
        <v>0</v>
      </c>
      <c r="BE266" s="322" t="n">
        <f aca="false">IF(AND(BD266=0,BH266=0),0,(ABS(P266)*Q266+ABS(R266)*S266+ABS(T266)*U266+ABS(V266)*W266+ABS(X266)*Y266+ABS(Z266)*AA266+ABS(AB266)*AC266+ABS(AD266)*AE266+ABS(AF266)*AG266+ABS(AH266)*AI266+ABS(AJ266)*AK266+ABS(AL266)*AM266+ABS(AN266)*AO266+ABS(AP266)*AQ266+ABS(AR266)*AS266+ABS(AT266)*AU266+ABS(AV266)*AW266+ABS(AX266)*AY266+ABS(AZ266)*BA266+ABS(BB266)*BC266)/BH266)</f>
        <v>0</v>
      </c>
      <c r="BG266" s="103" t="n">
        <f aca="false">O266</f>
        <v>39203</v>
      </c>
      <c r="BH266" s="323" t="n">
        <f aca="false">(ABS(P266)+ABS(R266)+ABS(T266)+ABS(V266)+ABS(X266)+ABS(Z266)+ABS(AB266)+ABS(AD266)+ABS(AF266)+ABS(AH266)+ABS(AJ266)+ABS(AL266)+ABS(AN266)+ABS(AP266)+ABS(AR266)+ABS(AT266)+ABS(AV266)+ABS(AX266)+ABS(AZ266)+ABS(BB266))</f>
        <v>0</v>
      </c>
      <c r="BI266" s="104" t="n">
        <f aca="false">VLOOKUP(GasPosn!A266,'Pricing Summary'!$AB$12:$AD$250,3)</f>
        <v>31</v>
      </c>
      <c r="BJ266" s="102" t="n">
        <f aca="false">VLOOKUP(A266,Interest!$AF$8:$AK$367,6)</f>
        <v>0.77041190341347</v>
      </c>
      <c r="BL266" s="0" t="n">
        <f aca="false">J266*VLOOKUP(A266,NymexData!$J$12:$K$244,2)</f>
        <v>-0</v>
      </c>
      <c r="BO266" s="0" t="n">
        <f aca="false">BO78</f>
        <v>0.77041190341347</v>
      </c>
      <c r="BP266" s="0" t="n">
        <f aca="false">G266*BO266</f>
        <v>-0.346685356536062</v>
      </c>
      <c r="BQ266" s="0" t="n">
        <f aca="false">IF(AND(A266&gt;=$B$191,A266&lt;=$B$192),1,0)</f>
        <v>0</v>
      </c>
      <c r="BR266" s="0" t="n">
        <f aca="false">BO266*BQ266</f>
        <v>0</v>
      </c>
      <c r="BS266" s="0" t="n">
        <f aca="false">BP266*BQ266</f>
        <v>-0</v>
      </c>
    </row>
    <row r="267" customFormat="false" ht="18" hidden="false" customHeight="false" outlineLevel="0" collapsed="false">
      <c r="A267" s="112" t="n">
        <f aca="false">A79</f>
        <v>39234</v>
      </c>
      <c r="B267" s="324" t="n">
        <f aca="false" t="array" ref="B267:B267">SUM(IF(MONTH(NymexData!$AL$12:$AL$250)&amp;YEAR(NymexData!$AL$12:$AL$250)=MONTH(A267)&amp;YEAR(A267),NymexData!$AM$12:$AM$250))</f>
        <v>-92.21370064</v>
      </c>
      <c r="C267" s="325" t="n">
        <f aca="false">BD267*BJ267*BI267</f>
        <v>0</v>
      </c>
      <c r="D267" s="326" t="n">
        <f aca="false">C267+B267</f>
        <v>-92.21370064</v>
      </c>
      <c r="E267" s="327" t="n">
        <f aca="false" t="array" ref="E267:E267">SUM(IF(MONTH(NymexData!$A$12:$A$250)&amp;YEAR(NymexData!$A$12:$A$250)=MONTH(A267)&amp;YEAR(A267),NymexData!$B$12:$B$250))</f>
        <v>-0.45</v>
      </c>
      <c r="F267" s="327" t="n">
        <f aca="false">G267-E267</f>
        <v>0</v>
      </c>
      <c r="G267" s="328" t="n">
        <f aca="false" t="array" ref="G267:G267">IF(NymexData!$H$12="",GasPosn!E267,SUM(IF(MONTH(NymexData!$H$12:$H$250)&amp;YEAR(NymexData!$H$12:$H$250)=MONTH(A267)&amp;YEAR(A267),NymexData!$I$12:$I$250)))</f>
        <v>-0.45</v>
      </c>
      <c r="H267" s="115" t="n">
        <f aca="false">B267*10000*F267</f>
        <v>-0</v>
      </c>
      <c r="I267" s="119" t="n">
        <f aca="false">(((G267-Q267)*P267+(G267-S267)*R267+(G267-U267)*T267+(G267-W267)*V267+(G267-Y267)*X267+(G267-AA267)*Z267+(G267-AC267)*AB267+(G267-AE267)*AD267+(G267-AG267)*AF267+(G267-AI267)*AH267+(G267-AK267)*AJ267+(G267-AM267)*AL267+(G267-AO267)*AN267+(G267-AQ267)*AP267+(G267-AS267)*AR267+(G267-AU267)*AT267+(G267-AW267)*AV267+(G267-AY267)*AX267+(G267-BA267)*AZ267+(G267-BC267)*BB267)*BJ267*BI267)*10000</f>
        <v>-0</v>
      </c>
      <c r="J267" s="119" t="n">
        <f aca="false">H267+I267</f>
        <v>-0</v>
      </c>
      <c r="O267" s="95" t="n">
        <f aca="false">A267</f>
        <v>39234</v>
      </c>
      <c r="BD267" s="100" t="n">
        <f aca="false">(P267+R267+T267+V267+X267+Z267+AB267+AD267+AF267+AH267+AJ267+AL267+AN267+AP267+AR267+AT267+AV267+AX267+AZ267+BB267)</f>
        <v>0</v>
      </c>
      <c r="BE267" s="322" t="n">
        <f aca="false">IF(AND(BD267=0,BH267=0),0,(ABS(P267)*Q267+ABS(R267)*S267+ABS(T267)*U267+ABS(V267)*W267+ABS(X267)*Y267+ABS(Z267)*AA267+ABS(AB267)*AC267+ABS(AD267)*AE267+ABS(AF267)*AG267+ABS(AH267)*AI267+ABS(AJ267)*AK267+ABS(AL267)*AM267+ABS(AN267)*AO267+ABS(AP267)*AQ267+ABS(AR267)*AS267+ABS(AT267)*AU267+ABS(AV267)*AW267+ABS(AX267)*AY267+ABS(AZ267)*BA267+ABS(BB267)*BC267)/BH267)</f>
        <v>0</v>
      </c>
      <c r="BG267" s="103" t="n">
        <f aca="false">O267</f>
        <v>39234</v>
      </c>
      <c r="BH267" s="323" t="n">
        <f aca="false">(ABS(P267)+ABS(R267)+ABS(T267)+ABS(V267)+ABS(X267)+ABS(Z267)+ABS(AB267)+ABS(AD267)+ABS(AF267)+ABS(AH267)+ABS(AJ267)+ABS(AL267)+ABS(AN267)+ABS(AP267)+ABS(AR267)+ABS(AT267)+ABS(AV267)+ABS(AX267)+ABS(AZ267)+ABS(BB267))</f>
        <v>0</v>
      </c>
      <c r="BI267" s="104" t="n">
        <f aca="false">VLOOKUP(GasPosn!A267,'Pricing Summary'!$AB$12:$AD$250,3)</f>
        <v>30</v>
      </c>
      <c r="BJ267" s="102" t="n">
        <f aca="false">VLOOKUP(A267,Interest!$AF$8:$AK$367,6)</f>
        <v>0.766658667910148</v>
      </c>
      <c r="BL267" s="0" t="n">
        <f aca="false">J267*VLOOKUP(A267,NymexData!$J$12:$K$244,2)</f>
        <v>-0</v>
      </c>
      <c r="BO267" s="0" t="n">
        <f aca="false">BO79</f>
        <v>0.766658667910148</v>
      </c>
      <c r="BP267" s="0" t="n">
        <f aca="false">G267*BO267</f>
        <v>-0.344996400559566</v>
      </c>
      <c r="BQ267" s="0" t="n">
        <f aca="false">IF(AND(A267&gt;=$B$191,A267&lt;=$B$192),1,0)</f>
        <v>0</v>
      </c>
      <c r="BR267" s="0" t="n">
        <f aca="false">BO267*BQ267</f>
        <v>0</v>
      </c>
      <c r="BS267" s="0" t="n">
        <f aca="false">BP267*BQ267</f>
        <v>-0</v>
      </c>
    </row>
    <row r="268" customFormat="false" ht="18" hidden="false" customHeight="false" outlineLevel="0" collapsed="false">
      <c r="A268" s="75" t="n">
        <f aca="false">A80</f>
        <v>39264</v>
      </c>
      <c r="B268" s="317" t="n">
        <f aca="false" t="array" ref="B268:B268">SUM(IF(MONTH(NymexData!$AL$12:$AL$250)&amp;YEAR(NymexData!$AL$12:$AL$250)=MONTH(A268)&amp;YEAR(A268),NymexData!$AM$12:$AM$250))</f>
        <v>-94.82569256</v>
      </c>
      <c r="C268" s="317" t="n">
        <f aca="false">BD268*BJ268*BI268</f>
        <v>0</v>
      </c>
      <c r="D268" s="319" t="n">
        <f aca="false">C268+B268</f>
        <v>-94.82569256</v>
      </c>
      <c r="E268" s="320" t="n">
        <f aca="false" t="array" ref="E268:E268">SUM(IF(MONTH(NymexData!$A$12:$A$250)&amp;YEAR(NymexData!$A$12:$A$250)=MONTH(A268)&amp;YEAR(A268),NymexData!$B$12:$B$250))</f>
        <v>-0.45</v>
      </c>
      <c r="F268" s="320" t="n">
        <f aca="false">G268-E268</f>
        <v>0</v>
      </c>
      <c r="G268" s="321" t="n">
        <f aca="false" t="array" ref="G268:G268">IF(NymexData!$H$12="",GasPosn!E268,SUM(IF(MONTH(NymexData!$H$12:$H$250)&amp;YEAR(NymexData!$H$12:$H$250)=MONTH(A268)&amp;YEAR(A268),NymexData!$I$12:$I$250)))</f>
        <v>-0.45</v>
      </c>
      <c r="H268" s="76" t="n">
        <f aca="false">B268*10000*F268</f>
        <v>-0</v>
      </c>
      <c r="I268" s="82" t="n">
        <f aca="false">(((G268-Q268)*P268+(G268-S268)*R268+(G268-U268)*T268+(G268-W268)*V268+(G268-Y268)*X268+(G268-AA268)*Z268+(G268-AC268)*AB268+(G268-AE268)*AD268+(G268-AG268)*AF268+(G268-AI268)*AH268+(G268-AK268)*AJ268+(G268-AM268)*AL268+(G268-AO268)*AN268+(G268-AQ268)*AP268+(G268-AS268)*AR268+(G268-AU268)*AT268+(G268-AW268)*AV268+(G268-AY268)*AX268+(G268-BA268)*AZ268+(G268-BC268)*BB268)*BJ268*BI268)*10000</f>
        <v>-0</v>
      </c>
      <c r="J268" s="82" t="n">
        <f aca="false">H268+I268</f>
        <v>-0</v>
      </c>
      <c r="O268" s="95" t="n">
        <f aca="false">A268</f>
        <v>39264</v>
      </c>
      <c r="BD268" s="100" t="n">
        <f aca="false">(P268+R268+T268+V268+X268+Z268+AB268+AD268+AF268+AH268+AJ268+AL268+AN268+AP268+AR268+AT268+AV268+AX268+AZ268+BB268)</f>
        <v>0</v>
      </c>
      <c r="BE268" s="322" t="n">
        <f aca="false">IF(AND(BD268=0,BH268=0),0,(ABS(P268)*Q268+ABS(R268)*S268+ABS(T268)*U268+ABS(V268)*W268+ABS(X268)*Y268+ABS(Z268)*AA268+ABS(AB268)*AC268+ABS(AD268)*AE268+ABS(AF268)*AG268+ABS(AH268)*AI268+ABS(AJ268)*AK268+ABS(AL268)*AM268+ABS(AN268)*AO268+ABS(AP268)*AQ268+ABS(AR268)*AS268+ABS(AT268)*AU268+ABS(AV268)*AW268+ABS(AX268)*AY268+ABS(AZ268)*BA268+ABS(BB268)*BC268)/BH268)</f>
        <v>0</v>
      </c>
      <c r="BG268" s="103" t="n">
        <f aca="false">O268</f>
        <v>39264</v>
      </c>
      <c r="BH268" s="323" t="n">
        <f aca="false">(ABS(P268)+ABS(R268)+ABS(T268)+ABS(V268)+ABS(X268)+ABS(Z268)+ABS(AB268)+ABS(AD268)+ABS(AF268)+ABS(AH268)+ABS(AJ268)+ABS(AL268)+ABS(AN268)+ABS(AP268)+ABS(AR268)+ABS(AT268)+ABS(AV268)+ABS(AX268)+ABS(AZ268)+ABS(BB268))</f>
        <v>0</v>
      </c>
      <c r="BI268" s="104" t="n">
        <f aca="false">VLOOKUP(GasPosn!A268,'Pricing Summary'!$AB$12:$AD$250,3)</f>
        <v>31</v>
      </c>
      <c r="BJ268" s="102" t="n">
        <f aca="false">VLOOKUP(A268,Interest!$AF$8:$AK$367,6)</f>
        <v>0.7628290486285</v>
      </c>
      <c r="BL268" s="0" t="n">
        <f aca="false">J268*VLOOKUP(A268,NymexData!$J$12:$K$244,2)</f>
        <v>-0</v>
      </c>
      <c r="BO268" s="0" t="n">
        <f aca="false">BO80</f>
        <v>0.7628290486285</v>
      </c>
      <c r="BP268" s="0" t="n">
        <f aca="false">G268*BO268</f>
        <v>-0.343273071882825</v>
      </c>
      <c r="BQ268" s="0" t="n">
        <f aca="false">IF(AND(A268&gt;=$B$191,A268&lt;=$B$192),1,0)</f>
        <v>0</v>
      </c>
      <c r="BR268" s="0" t="n">
        <f aca="false">BO268*BQ268</f>
        <v>0</v>
      </c>
      <c r="BS268" s="0" t="n">
        <f aca="false">BP268*BQ268</f>
        <v>-0</v>
      </c>
    </row>
    <row r="269" customFormat="false" ht="18" hidden="false" customHeight="false" outlineLevel="0" collapsed="false">
      <c r="A269" s="112" t="n">
        <f aca="false">A81</f>
        <v>39295</v>
      </c>
      <c r="B269" s="324" t="n">
        <f aca="false" t="array" ref="B269:B269">SUM(IF(MONTH(NymexData!$AL$12:$AL$250)&amp;YEAR(NymexData!$AL$12:$AL$250)=MONTH(A269)&amp;YEAR(A269),NymexData!$AM$12:$AM$250))</f>
        <v>-94.34800712</v>
      </c>
      <c r="C269" s="325" t="n">
        <f aca="false">BD269*BJ269*BI269</f>
        <v>0</v>
      </c>
      <c r="D269" s="326" t="n">
        <f aca="false">C269+B269</f>
        <v>-94.34800712</v>
      </c>
      <c r="E269" s="327" t="n">
        <f aca="false" t="array" ref="E269:E269">SUM(IF(MONTH(NymexData!$A$12:$A$250)&amp;YEAR(NymexData!$A$12:$A$250)=MONTH(A269)&amp;YEAR(A269),NymexData!$B$12:$B$250))</f>
        <v>-0.45</v>
      </c>
      <c r="F269" s="327" t="n">
        <f aca="false">G269-E269</f>
        <v>0</v>
      </c>
      <c r="G269" s="328" t="n">
        <f aca="false" t="array" ref="G269:G269">IF(NymexData!$H$12="",GasPosn!E269,SUM(IF(MONTH(NymexData!$H$12:$H$250)&amp;YEAR(NymexData!$H$12:$H$250)=MONTH(A269)&amp;YEAR(A269),NymexData!$I$12:$I$250)))</f>
        <v>-0.45</v>
      </c>
      <c r="H269" s="115" t="n">
        <f aca="false">B269*10000*F269</f>
        <v>-0</v>
      </c>
      <c r="I269" s="119" t="n">
        <f aca="false">(((G269-Q269)*P269+(G269-S269)*R269+(G269-U269)*T269+(G269-W269)*V269+(G269-Y269)*X269+(G269-AA269)*Z269+(G269-AC269)*AB269+(G269-AE269)*AD269+(G269-AG269)*AF269+(G269-AI269)*AH269+(G269-AK269)*AJ269+(G269-AM269)*AL269+(G269-AO269)*AN269+(G269-AQ269)*AP269+(G269-AS269)*AR269+(G269-AU269)*AT269+(G269-AW269)*AV269+(G269-AY269)*AX269+(G269-BA269)*AZ269+(G269-BC269)*BB269)*BJ269*BI269)*10000</f>
        <v>-0</v>
      </c>
      <c r="J269" s="119" t="n">
        <f aca="false">H269+I269</f>
        <v>-0</v>
      </c>
      <c r="O269" s="95" t="n">
        <f aca="false">A269</f>
        <v>39295</v>
      </c>
      <c r="BD269" s="100" t="n">
        <f aca="false">(P269+R269+T269+V269+X269+Z269+AB269+AD269+AF269+AH269+AJ269+AL269+AN269+AP269+AR269+AT269+AV269+AX269+AZ269+BB269)</f>
        <v>0</v>
      </c>
      <c r="BE269" s="322" t="n">
        <f aca="false">IF(AND(BD269=0,BH269=0),0,(ABS(P269)*Q269+ABS(R269)*S269+ABS(T269)*U269+ABS(V269)*W269+ABS(X269)*Y269+ABS(Z269)*AA269+ABS(AB269)*AC269+ABS(AD269)*AE269+ABS(AF269)*AG269+ABS(AH269)*AI269+ABS(AJ269)*AK269+ABS(AL269)*AM269+ABS(AN269)*AO269+ABS(AP269)*AQ269+ABS(AR269)*AS269+ABS(AT269)*AU269+ABS(AV269)*AW269+ABS(AX269)*AY269+ABS(AZ269)*BA269+ABS(BB269)*BC269)/BH269)</f>
        <v>0</v>
      </c>
      <c r="BG269" s="103" t="n">
        <f aca="false">O269</f>
        <v>39295</v>
      </c>
      <c r="BH269" s="323" t="n">
        <f aca="false">(ABS(P269)+ABS(R269)+ABS(T269)+ABS(V269)+ABS(X269)+ABS(Z269)+ABS(AB269)+ABS(AD269)+ABS(AF269)+ABS(AH269)+ABS(AJ269)+ABS(AL269)+ABS(AN269)+ABS(AP269)+ABS(AR269)+ABS(AT269)+ABS(AV269)+ABS(AX269)+ABS(AZ269)+ABS(BB269))</f>
        <v>0</v>
      </c>
      <c r="BI269" s="104" t="n">
        <f aca="false">VLOOKUP(GasPosn!A269,'Pricing Summary'!$AB$12:$AD$250,3)</f>
        <v>31</v>
      </c>
      <c r="BJ269" s="102" t="n">
        <f aca="false">VLOOKUP(A269,Interest!$AF$8:$AK$367,6)</f>
        <v>0.758968471168259</v>
      </c>
      <c r="BL269" s="0" t="n">
        <f aca="false">J269*VLOOKUP(A269,NymexData!$J$12:$K$244,2)</f>
        <v>-0</v>
      </c>
      <c r="BO269" s="0" t="n">
        <f aca="false">BO81</f>
        <v>0.758968471168259</v>
      </c>
      <c r="BP269" s="0" t="n">
        <f aca="false">G269*BO269</f>
        <v>-0.341535812025716</v>
      </c>
      <c r="BQ269" s="0" t="n">
        <f aca="false">IF(AND(A269&gt;=$B$191,A269&lt;=$B$192),1,0)</f>
        <v>0</v>
      </c>
      <c r="BR269" s="0" t="n">
        <f aca="false">BO269*BQ269</f>
        <v>0</v>
      </c>
      <c r="BS269" s="0" t="n">
        <f aca="false">BP269*BQ269</f>
        <v>-0</v>
      </c>
    </row>
    <row r="270" customFormat="false" ht="18" hidden="false" customHeight="false" outlineLevel="0" collapsed="false">
      <c r="A270" s="75" t="n">
        <f aca="false">A82</f>
        <v>39326</v>
      </c>
      <c r="B270" s="317" t="n">
        <f aca="false" t="array" ref="B270:B270">SUM(IF(MONTH(NymexData!$AL$12:$AL$250)&amp;YEAR(NymexData!$AL$12:$AL$250)=MONTH(A270)&amp;YEAR(A270),NymexData!$AM$12:$AM$250))</f>
        <v>-90.84179153</v>
      </c>
      <c r="C270" s="317" t="n">
        <f aca="false">BD270*BJ270*BI270</f>
        <v>0</v>
      </c>
      <c r="D270" s="319" t="n">
        <f aca="false">C270+B270</f>
        <v>-90.84179153</v>
      </c>
      <c r="E270" s="320" t="n">
        <f aca="false" t="array" ref="E270:E270">SUM(IF(MONTH(NymexData!$A$12:$A$250)&amp;YEAR(NymexData!$A$12:$A$250)=MONTH(A270)&amp;YEAR(A270),NymexData!$B$12:$B$250))</f>
        <v>-0.45</v>
      </c>
      <c r="F270" s="320" t="n">
        <f aca="false">G270-E270</f>
        <v>0</v>
      </c>
      <c r="G270" s="321" t="n">
        <f aca="false" t="array" ref="G270:G270">IF(NymexData!$H$12="",GasPosn!E270,SUM(IF(MONTH(NymexData!$H$12:$H$250)&amp;YEAR(NymexData!$H$12:$H$250)=MONTH(A270)&amp;YEAR(A270),NymexData!$I$12:$I$250)))</f>
        <v>-0.45</v>
      </c>
      <c r="H270" s="76" t="n">
        <f aca="false">B270*10000*F270</f>
        <v>-0</v>
      </c>
      <c r="I270" s="82" t="n">
        <f aca="false">(((G270-Q270)*P270+(G270-S270)*R270+(G270-U270)*T270+(G270-W270)*V270+(G270-Y270)*X270+(G270-AA270)*Z270+(G270-AC270)*AB270+(G270-AE270)*AD270+(G270-AG270)*AF270+(G270-AI270)*AH270+(G270-AK270)*AJ270+(G270-AM270)*AL270+(G270-AO270)*AN270+(G270-AQ270)*AP270+(G270-AS270)*AR270+(G270-AU270)*AT270+(G270-AW270)*AV270+(G270-AY270)*AX270+(G270-BA270)*AZ270+(G270-BC270)*BB270)*BJ270*BI270)*10000</f>
        <v>-0</v>
      </c>
      <c r="J270" s="82" t="n">
        <f aca="false">H270+I270</f>
        <v>-0</v>
      </c>
      <c r="O270" s="95" t="n">
        <f aca="false">A270</f>
        <v>39326</v>
      </c>
      <c r="BD270" s="100" t="n">
        <f aca="false">(P270+R270+T270+V270+X270+Z270+AB270+AD270+AF270+AH270+AJ270+AL270+AN270+AP270+AR270+AT270+AV270+AX270+AZ270+BB270)</f>
        <v>0</v>
      </c>
      <c r="BE270" s="322" t="n">
        <f aca="false">IF(AND(BD270=0,BH270=0),0,(ABS(P270)*Q270+ABS(R270)*S270+ABS(T270)*U270+ABS(V270)*W270+ABS(X270)*Y270+ABS(Z270)*AA270+ABS(AB270)*AC270+ABS(AD270)*AE270+ABS(AF270)*AG270+ABS(AH270)*AI270+ABS(AJ270)*AK270+ABS(AL270)*AM270+ABS(AN270)*AO270+ABS(AP270)*AQ270+ABS(AR270)*AS270+ABS(AT270)*AU270+ABS(AV270)*AW270+ABS(AX270)*AY270+ABS(AZ270)*BA270+ABS(BB270)*BC270)/BH270)</f>
        <v>0</v>
      </c>
      <c r="BG270" s="103" t="n">
        <f aca="false">O270</f>
        <v>39326</v>
      </c>
      <c r="BH270" s="323" t="n">
        <f aca="false">(ABS(P270)+ABS(R270)+ABS(T270)+ABS(V270)+ABS(X270)+ABS(Z270)+ABS(AB270)+ABS(AD270)+ABS(AF270)+ABS(AH270)+ABS(AJ270)+ABS(AL270)+ABS(AN270)+ABS(AP270)+ABS(AR270)+ABS(AT270)+ABS(AV270)+ABS(AX270)+ABS(AZ270)+ABS(BB270))</f>
        <v>0</v>
      </c>
      <c r="BI270" s="104" t="n">
        <f aca="false">VLOOKUP(GasPosn!A270,'Pricing Summary'!$AB$12:$AD$250,3)</f>
        <v>30</v>
      </c>
      <c r="BJ270" s="102" t="n">
        <f aca="false">VLOOKUP(A270,Interest!$AF$8:$AK$367,6)</f>
        <v>0.755201199742492</v>
      </c>
      <c r="BL270" s="0" t="n">
        <f aca="false">J270*VLOOKUP(A270,NymexData!$J$12:$K$244,2)</f>
        <v>-0</v>
      </c>
      <c r="BO270" s="0" t="n">
        <f aca="false">BO82</f>
        <v>0.755201199742492</v>
      </c>
      <c r="BP270" s="0" t="n">
        <f aca="false">G270*BO270</f>
        <v>-0.339840539884121</v>
      </c>
      <c r="BQ270" s="0" t="n">
        <f aca="false">IF(AND(A270&gt;=$B$191,A270&lt;=$B$192),1,0)</f>
        <v>0</v>
      </c>
      <c r="BR270" s="0" t="n">
        <f aca="false">BO270*BQ270</f>
        <v>0</v>
      </c>
      <c r="BS270" s="0" t="n">
        <f aca="false">BP270*BQ270</f>
        <v>-0</v>
      </c>
    </row>
    <row r="271" customFormat="false" ht="18" hidden="false" customHeight="false" outlineLevel="0" collapsed="false">
      <c r="A271" s="112" t="n">
        <f aca="false">A83</f>
        <v>39356</v>
      </c>
      <c r="B271" s="324" t="n">
        <f aca="false" t="array" ref="B271:B271">SUM(IF(MONTH(NymexData!$AL$12:$AL$250)&amp;YEAR(NymexData!$AL$12:$AL$250)=MONTH(A271)&amp;YEAR(A271),NymexData!$AM$12:$AM$250))</f>
        <v>-93.40670208</v>
      </c>
      <c r="C271" s="325" t="n">
        <f aca="false">BD271*BJ271*BI271</f>
        <v>0</v>
      </c>
      <c r="D271" s="326" t="n">
        <f aca="false">C271+B271</f>
        <v>-93.40670208</v>
      </c>
      <c r="E271" s="327" t="n">
        <f aca="false" t="array" ref="E271:E271">SUM(IF(MONTH(NymexData!$A$12:$A$250)&amp;YEAR(NymexData!$A$12:$A$250)=MONTH(A271)&amp;YEAR(A271),NymexData!$B$12:$B$250))</f>
        <v>-0.45</v>
      </c>
      <c r="F271" s="327" t="n">
        <f aca="false">G271-E271</f>
        <v>0</v>
      </c>
      <c r="G271" s="328" t="n">
        <f aca="false" t="array" ref="G271:G271">IF(NymexData!$H$12="",GasPosn!E271,SUM(IF(MONTH(NymexData!$H$12:$H$250)&amp;YEAR(NymexData!$H$12:$H$250)=MONTH(A271)&amp;YEAR(A271),NymexData!$I$12:$I$250)))</f>
        <v>-0.45</v>
      </c>
      <c r="H271" s="115" t="n">
        <f aca="false">B271*10000*F271</f>
        <v>-0</v>
      </c>
      <c r="I271" s="119" t="n">
        <f aca="false">(((G271-Q271)*P271+(G271-S271)*R271+(G271-U271)*T271+(G271-W271)*V271+(G271-Y271)*X271+(G271-AA271)*Z271+(G271-AC271)*AB271+(G271-AE271)*AD271+(G271-AG271)*AF271+(G271-AI271)*AH271+(G271-AK271)*AJ271+(G271-AM271)*AL271+(G271-AO271)*AN271+(G271-AQ271)*AP271+(G271-AS271)*AR271+(G271-AU271)*AT271+(G271-AW271)*AV271+(G271-AY271)*AX271+(G271-BA271)*AZ271+(G271-BC271)*BB271)*BJ271*BI271)*10000</f>
        <v>-0</v>
      </c>
      <c r="J271" s="119" t="n">
        <f aca="false">H271+I271</f>
        <v>-0</v>
      </c>
      <c r="O271" s="95" t="n">
        <f aca="false">A271</f>
        <v>39356</v>
      </c>
      <c r="BD271" s="100" t="n">
        <f aca="false">(P271+R271+T271+V271+X271+Z271+AB271+AD271+AF271+AH271+AJ271+AL271+AN271+AP271+AR271+AT271+AV271+AX271+AZ271+BB271)</f>
        <v>0</v>
      </c>
      <c r="BE271" s="322" t="n">
        <f aca="false">IF(AND(BD271=0,BH271=0),0,(ABS(P271)*Q271+ABS(R271)*S271+ABS(T271)*U271+ABS(V271)*W271+ABS(X271)*Y271+ABS(Z271)*AA271+ABS(AB271)*AC271+ABS(AD271)*AE271+ABS(AF271)*AG271+ABS(AH271)*AI271+ABS(AJ271)*AK271+ABS(AL271)*AM271+ABS(AN271)*AO271+ABS(AP271)*AQ271+ABS(AR271)*AS271+ABS(AT271)*AU271+ABS(AV271)*AW271+ABS(AX271)*AY271+ABS(AZ271)*BA271+ABS(BB271)*BC271)/BH271)</f>
        <v>0</v>
      </c>
      <c r="BG271" s="103" t="n">
        <f aca="false">O271</f>
        <v>39356</v>
      </c>
      <c r="BH271" s="323" t="n">
        <f aca="false">(ABS(P271)+ABS(R271)+ABS(T271)+ABS(V271)+ABS(X271)+ABS(Z271)+ABS(AB271)+ABS(AD271)+ABS(AF271)+ABS(AH271)+ABS(AJ271)+ABS(AL271)+ABS(AN271)+ABS(AP271)+ABS(AR271)+ABS(AT271)+ABS(AV271)+ABS(AX271)+ABS(AZ271)+ABS(BB271))</f>
        <v>0</v>
      </c>
      <c r="BI271" s="104" t="n">
        <f aca="false">VLOOKUP(GasPosn!A271,'Pricing Summary'!$AB$12:$AD$250,3)</f>
        <v>31</v>
      </c>
      <c r="BJ271" s="102" t="n">
        <f aca="false">VLOOKUP(A271,Interest!$AF$8:$AK$367,6)</f>
        <v>0.751359384964995</v>
      </c>
      <c r="BL271" s="0" t="n">
        <f aca="false">J271*VLOOKUP(A271,NymexData!$J$12:$K$244,2)</f>
        <v>-0</v>
      </c>
      <c r="BO271" s="0" t="n">
        <f aca="false">BO83</f>
        <v>0.751359384964995</v>
      </c>
      <c r="BP271" s="0" t="n">
        <f aca="false">G271*BO271</f>
        <v>-0.338111723234248</v>
      </c>
      <c r="BQ271" s="0" t="n">
        <f aca="false">IF(AND(A271&gt;=$B$191,A271&lt;=$B$192),1,0)</f>
        <v>0</v>
      </c>
      <c r="BR271" s="0" t="n">
        <f aca="false">BO271*BQ271</f>
        <v>0</v>
      </c>
      <c r="BS271" s="0" t="n">
        <f aca="false">BP271*BQ271</f>
        <v>-0</v>
      </c>
    </row>
    <row r="272" customFormat="false" ht="18" hidden="false" customHeight="false" outlineLevel="0" collapsed="false">
      <c r="A272" s="75" t="n">
        <f aca="false">A84</f>
        <v>39387</v>
      </c>
      <c r="B272" s="317" t="n">
        <f aca="false" t="array" ref="B272:B272">SUM(IF(MONTH(NymexData!$AL$12:$AL$250)&amp;YEAR(NymexData!$AL$12:$AL$250)=MONTH(A272)&amp;YEAR(A272),NymexData!$AM$12:$AM$250))</f>
        <v>-89.93004576</v>
      </c>
      <c r="C272" s="317" t="n">
        <f aca="false">BD272*BJ272*BI272</f>
        <v>0</v>
      </c>
      <c r="D272" s="319" t="n">
        <f aca="false">C272+B272</f>
        <v>-89.93004576</v>
      </c>
      <c r="E272" s="320" t="n">
        <f aca="false" t="array" ref="E272:E272">SUM(IF(MONTH(NymexData!$A$12:$A$250)&amp;YEAR(NymexData!$A$12:$A$250)=MONTH(A272)&amp;YEAR(A272),NymexData!$B$12:$B$250))</f>
        <v>-0.41</v>
      </c>
      <c r="F272" s="320" t="n">
        <f aca="false">G272-E272</f>
        <v>0</v>
      </c>
      <c r="G272" s="321" t="n">
        <f aca="false" t="array" ref="G272:G272">IF(NymexData!$H$12="",GasPosn!E272,SUM(IF(MONTH(NymexData!$H$12:$H$250)&amp;YEAR(NymexData!$H$12:$H$250)=MONTH(A272)&amp;YEAR(A272),NymexData!$I$12:$I$250)))</f>
        <v>-0.41</v>
      </c>
      <c r="H272" s="76" t="n">
        <f aca="false">B272*10000*F272</f>
        <v>-0</v>
      </c>
      <c r="I272" s="82" t="n">
        <f aca="false">(((G272-Q272)*P272+(G272-S272)*R272+(G272-U272)*T272+(G272-W272)*V272+(G272-Y272)*X272+(G272-AA272)*Z272+(G272-AC272)*AB272+(G272-AE272)*AD272+(G272-AG272)*AF272+(G272-AI272)*AH272+(G272-AK272)*AJ272+(G272-AM272)*AL272+(G272-AO272)*AN272+(G272-AQ272)*AP272+(G272-AS272)*AR272+(G272-AU272)*AT272+(G272-AW272)*AV272+(G272-AY272)*AX272+(G272-BA272)*AZ272+(G272-BC272)*BB272)*BJ272*BI272)*10000</f>
        <v>-0</v>
      </c>
      <c r="J272" s="82" t="n">
        <f aca="false">H272+I272</f>
        <v>-0</v>
      </c>
      <c r="O272" s="95" t="n">
        <f aca="false">A272</f>
        <v>39387</v>
      </c>
      <c r="BD272" s="100" t="n">
        <f aca="false">(P272+R272+T272+V272+X272+Z272+AB272+AD272+AF272+AH272+AJ272+AL272+AN272+AP272+AR272+AT272+AV272+AX272+AZ272+BB272)</f>
        <v>0</v>
      </c>
      <c r="BE272" s="322" t="n">
        <f aca="false">IF(AND(BD272=0,BH272=0),0,(ABS(P272)*Q272+ABS(R272)*S272+ABS(T272)*U272+ABS(V272)*W272+ABS(X272)*Y272+ABS(Z272)*AA272+ABS(AB272)*AC272+ABS(AD272)*AE272+ABS(AF272)*AG272+ABS(AH272)*AI272+ABS(AJ272)*AK272+ABS(AL272)*AM272+ABS(AN272)*AO272+ABS(AP272)*AQ272+ABS(AR272)*AS272+ABS(AT272)*AU272+ABS(AV272)*AW272+ABS(AX272)*AY272+ABS(AZ272)*BA272+ABS(BB272)*BC272)/BH272)</f>
        <v>0</v>
      </c>
      <c r="BG272" s="103" t="n">
        <f aca="false">O272</f>
        <v>39387</v>
      </c>
      <c r="BH272" s="323" t="n">
        <f aca="false">(ABS(P272)+ABS(R272)+ABS(T272)+ABS(V272)+ABS(X272)+ABS(Z272)+ABS(AB272)+ABS(AD272)+ABS(AF272)+ABS(AH272)+ABS(AJ272)+ABS(AL272)+ABS(AN272)+ABS(AP272)+ABS(AR272)+ABS(AT272)+ABS(AV272)+ABS(AX272)+ABS(AZ272)+ABS(BB272))</f>
        <v>0</v>
      </c>
      <c r="BI272" s="104" t="n">
        <f aca="false">VLOOKUP(GasPosn!A272,'Pricing Summary'!$AB$12:$AD$250,3)</f>
        <v>30</v>
      </c>
      <c r="BJ272" s="102" t="n">
        <f aca="false">VLOOKUP(A272,Interest!$AF$8:$AK$367,6)</f>
        <v>0.747584095261325</v>
      </c>
      <c r="BL272" s="0" t="n">
        <f aca="false">J272*VLOOKUP(A272,NymexData!$J$12:$K$244,2)</f>
        <v>-0</v>
      </c>
      <c r="BO272" s="0" t="n">
        <f aca="false">BO84</f>
        <v>0.747584095261325</v>
      </c>
      <c r="BP272" s="0" t="n">
        <f aca="false">G272*BO272</f>
        <v>-0.306509479057143</v>
      </c>
      <c r="BQ272" s="0" t="n">
        <f aca="false">IF(AND(A272&gt;=$B$191,A272&lt;=$B$192),1,0)</f>
        <v>0</v>
      </c>
      <c r="BR272" s="0" t="n">
        <f aca="false">BO272*BQ272</f>
        <v>0</v>
      </c>
      <c r="BS272" s="0" t="n">
        <f aca="false">BP272*BQ272</f>
        <v>-0</v>
      </c>
    </row>
    <row r="273" customFormat="false" ht="18" hidden="false" customHeight="false" outlineLevel="0" collapsed="false">
      <c r="A273" s="112" t="n">
        <f aca="false">A85</f>
        <v>39417</v>
      </c>
      <c r="B273" s="324" t="n">
        <f aca="false" t="array" ref="B273:B273">SUM(IF(MONTH(NymexData!$AL$12:$AL$250)&amp;YEAR(NymexData!$AL$12:$AL$250)=MONTH(A273)&amp;YEAR(A273),NymexData!$AM$12:$AM$250))</f>
        <v>-92.46381896</v>
      </c>
      <c r="C273" s="325" t="n">
        <f aca="false">BD273*BJ273*BI273</f>
        <v>0</v>
      </c>
      <c r="D273" s="326" t="n">
        <f aca="false">C273+B273</f>
        <v>-92.46381896</v>
      </c>
      <c r="E273" s="327" t="n">
        <f aca="false" t="array" ref="E273:E273">SUM(IF(MONTH(NymexData!$A$12:$A$250)&amp;YEAR(NymexData!$A$12:$A$250)=MONTH(A273)&amp;YEAR(A273),NymexData!$B$12:$B$250))</f>
        <v>-0.41</v>
      </c>
      <c r="F273" s="327" t="n">
        <f aca="false">G273-E273</f>
        <v>0</v>
      </c>
      <c r="G273" s="328" t="n">
        <f aca="false" t="array" ref="G273:G273">IF(NymexData!$H$12="",GasPosn!E273,SUM(IF(MONTH(NymexData!$H$12:$H$250)&amp;YEAR(NymexData!$H$12:$H$250)=MONTH(A273)&amp;YEAR(A273),NymexData!$I$12:$I$250)))</f>
        <v>-0.41</v>
      </c>
      <c r="H273" s="115" t="n">
        <f aca="false">B273*10000*F273</f>
        <v>-0</v>
      </c>
      <c r="I273" s="119" t="n">
        <f aca="false">(((G273-Q273)*P273+(G273-S273)*R273+(G273-U273)*T273+(G273-W273)*V273+(G273-Y273)*X273+(G273-AA273)*Z273+(G273-AC273)*AB273+(G273-AE273)*AD273+(G273-AG273)*AF273+(G273-AI273)*AH273+(G273-AK273)*AJ273+(G273-AM273)*AL273+(G273-AO273)*AN273+(G273-AQ273)*AP273+(G273-AS273)*AR273+(G273-AU273)*AT273+(G273-AW273)*AV273+(G273-AY273)*AX273+(G273-BA273)*AZ273+(G273-BC273)*BB273)*BJ273*BI273)*10000</f>
        <v>-0</v>
      </c>
      <c r="J273" s="119" t="n">
        <f aca="false">H273+I273</f>
        <v>-0</v>
      </c>
      <c r="O273" s="95" t="n">
        <f aca="false">A273</f>
        <v>39417</v>
      </c>
      <c r="BD273" s="100" t="n">
        <f aca="false">(P273+R273+T273+V273+X273+Z273+AB273+AD273+AF273+AH273+AJ273+AL273+AN273+AP273+AR273+AT273+AV273+AX273+AZ273+BB273)</f>
        <v>0</v>
      </c>
      <c r="BE273" s="322" t="n">
        <f aca="false">IF(AND(BD273=0,BH273=0),0,(ABS(P273)*Q273+ABS(R273)*S273+ABS(T273)*U273+ABS(V273)*W273+ABS(X273)*Y273+ABS(Z273)*AA273+ABS(AB273)*AC273+ABS(AD273)*AE273+ABS(AF273)*AG273+ABS(AH273)*AI273+ABS(AJ273)*AK273+ABS(AL273)*AM273+ABS(AN273)*AO273+ABS(AP273)*AQ273+ABS(AR273)*AS273+ABS(AT273)*AU273+ABS(AV273)*AW273+ABS(AX273)*AY273+ABS(AZ273)*BA273+ABS(BB273)*BC273)/BH273)</f>
        <v>0</v>
      </c>
      <c r="BG273" s="103" t="n">
        <f aca="false">O273</f>
        <v>39417</v>
      </c>
      <c r="BH273" s="323" t="n">
        <f aca="false">(ABS(P273)+ABS(R273)+ABS(T273)+ABS(V273)+ABS(X273)+ABS(Z273)+ABS(AB273)+ABS(AD273)+ABS(AF273)+ABS(AH273)+ABS(AJ273)+ABS(AL273)+ABS(AN273)+ABS(AP273)+ABS(AR273)+ABS(AT273)+ABS(AV273)+ABS(AX273)+ABS(AZ273)+ABS(BB273))</f>
        <v>0</v>
      </c>
      <c r="BI273" s="104" t="n">
        <f aca="false">VLOOKUP(GasPosn!A273,'Pricing Summary'!$AB$12:$AD$250,3)</f>
        <v>31</v>
      </c>
      <c r="BJ273" s="102" t="n">
        <f aca="false">VLOOKUP(A273,Interest!$AF$8:$AK$367,6)</f>
        <v>0.743735479489769</v>
      </c>
      <c r="BL273" s="0" t="n">
        <f aca="false">J273*VLOOKUP(A273,NymexData!$J$12:$K$244,2)</f>
        <v>-0</v>
      </c>
      <c r="BO273" s="0" t="n">
        <f aca="false">BO85</f>
        <v>0.743735479489769</v>
      </c>
      <c r="BP273" s="0" t="n">
        <f aca="false">G273*BO273</f>
        <v>-0.304931546590805</v>
      </c>
      <c r="BQ273" s="0" t="n">
        <f aca="false">IF(AND(A273&gt;=$B$191,A273&lt;=$B$192),1,0)</f>
        <v>0</v>
      </c>
      <c r="BR273" s="0" t="n">
        <f aca="false">BO273*BQ273</f>
        <v>0</v>
      </c>
      <c r="BS273" s="0" t="n">
        <f aca="false">BP273*BQ273</f>
        <v>-0</v>
      </c>
    </row>
    <row r="274" customFormat="false" ht="18" hidden="false" customHeight="false" outlineLevel="0" collapsed="false">
      <c r="A274" s="75" t="n">
        <f aca="false">A86</f>
        <v>39448</v>
      </c>
      <c r="B274" s="317" t="n">
        <f aca="false" t="array" ref="B274:B274">SUM(IF(MONTH(NymexData!$AL$12:$AL$250)&amp;YEAR(NymexData!$AL$12:$AL$250)=MONTH(A274)&amp;YEAR(A274),NymexData!$AM$12:$AM$250))</f>
        <v>-91.98412145</v>
      </c>
      <c r="C274" s="317" t="n">
        <f aca="false">BD274*BJ274*BI274</f>
        <v>0</v>
      </c>
      <c r="D274" s="319" t="n">
        <f aca="false">C274+B274</f>
        <v>-91.98412145</v>
      </c>
      <c r="E274" s="320" t="n">
        <f aca="false" t="array" ref="E274:E274">SUM(IF(MONTH(NymexData!$A$12:$A$250)&amp;YEAR(NymexData!$A$12:$A$250)=MONTH(A274)&amp;YEAR(A274),NymexData!$B$12:$B$250))</f>
        <v>-0.41</v>
      </c>
      <c r="F274" s="320" t="n">
        <f aca="false">G274-E274</f>
        <v>0</v>
      </c>
      <c r="G274" s="321" t="n">
        <f aca="false" t="array" ref="G274:G274">IF(NymexData!$H$12="",GasPosn!E274,SUM(IF(MONTH(NymexData!$H$12:$H$250)&amp;YEAR(NymexData!$H$12:$H$250)=MONTH(A274)&amp;YEAR(A274),NymexData!$I$12:$I$250)))</f>
        <v>-0.41</v>
      </c>
      <c r="H274" s="76" t="n">
        <f aca="false">B274*10000*F274</f>
        <v>-0</v>
      </c>
      <c r="I274" s="82" t="n">
        <f aca="false">(((G274-Q274)*P274+(G274-S274)*R274+(G274-U274)*T274+(G274-W274)*V274+(G274-Y274)*X274+(G274-AA274)*Z274+(G274-AC274)*AB274+(G274-AE274)*AD274+(G274-AG274)*AF274+(G274-AI274)*AH274+(G274-AK274)*AJ274+(G274-AM274)*AL274+(G274-AO274)*AN274+(G274-AQ274)*AP274+(G274-AS274)*AR274+(G274-AU274)*AT274+(G274-AW274)*AV274+(G274-AY274)*AX274+(G274-BA274)*AZ274+(G274-BC274)*BB274)*BJ274*BI274)*10000</f>
        <v>-0</v>
      </c>
      <c r="J274" s="82" t="n">
        <f aca="false">H274+I274</f>
        <v>-0</v>
      </c>
      <c r="O274" s="95" t="n">
        <f aca="false">A274</f>
        <v>39448</v>
      </c>
      <c r="BD274" s="100" t="n">
        <f aca="false">(P274+R274+T274+V274+X274+Z274+AB274+AD274+AF274+AH274+AJ274+AL274+AN274+AP274+AR274+AT274+AV274+AX274+AZ274+BB274)</f>
        <v>0</v>
      </c>
      <c r="BE274" s="322" t="n">
        <f aca="false">IF(AND(BD274=0,BH274=0),0,(ABS(P274)*Q274+ABS(R274)*S274+ABS(T274)*U274+ABS(V274)*W274+ABS(X274)*Y274+ABS(Z274)*AA274+ABS(AB274)*AC274+ABS(AD274)*AE274+ABS(AF274)*AG274+ABS(AH274)*AI274+ABS(AJ274)*AK274+ABS(AL274)*AM274+ABS(AN274)*AO274+ABS(AP274)*AQ274+ABS(AR274)*AS274+ABS(AT274)*AU274+ABS(AV274)*AW274+ABS(AX274)*AY274+ABS(AZ274)*BA274+ABS(BB274)*BC274)/BH274)</f>
        <v>0</v>
      </c>
      <c r="BG274" s="103" t="n">
        <f aca="false">O274</f>
        <v>39448</v>
      </c>
      <c r="BH274" s="323" t="n">
        <f aca="false">(ABS(P274)+ABS(R274)+ABS(T274)+ABS(V274)+ABS(X274)+ABS(Z274)+ABS(AB274)+ABS(AD274)+ABS(AF274)+ABS(AH274)+ABS(AJ274)+ABS(AL274)+ABS(AN274)+ABS(AP274)+ABS(AR274)+ABS(AT274)+ABS(AV274)+ABS(AX274)+ABS(AZ274)+ABS(BB274))</f>
        <v>0</v>
      </c>
      <c r="BI274" s="104" t="n">
        <f aca="false">VLOOKUP(GasPosn!A274,'Pricing Summary'!$AB$12:$AD$250,3)</f>
        <v>31</v>
      </c>
      <c r="BJ274" s="102" t="n">
        <f aca="false">VLOOKUP(A274,Interest!$AF$8:$AK$367,6)</f>
        <v>0.739856008662002</v>
      </c>
      <c r="BL274" s="0" t="n">
        <f aca="false">J274*VLOOKUP(A274,NymexData!$J$12:$K$244,2)</f>
        <v>-0</v>
      </c>
      <c r="BO274" s="0" t="n">
        <f aca="false">BO86</f>
        <v>0.739856008662002</v>
      </c>
      <c r="BP274" s="0" t="n">
        <f aca="false">G274*BO274</f>
        <v>-0.303340963551421</v>
      </c>
      <c r="BQ274" s="0" t="n">
        <f aca="false">IF(AND(A274&gt;=$B$191,A274&lt;=$B$192),1,0)</f>
        <v>0</v>
      </c>
      <c r="BR274" s="0" t="n">
        <f aca="false">BO274*BQ274</f>
        <v>0</v>
      </c>
      <c r="BS274" s="0" t="n">
        <f aca="false">BP274*BQ274</f>
        <v>-0</v>
      </c>
    </row>
    <row r="275" customFormat="false" ht="18" hidden="false" customHeight="false" outlineLevel="0" collapsed="false">
      <c r="A275" s="112" t="n">
        <f aca="false">A87</f>
        <v>39479</v>
      </c>
      <c r="B275" s="324" t="n">
        <f aca="false" t="array" ref="B275:B275">SUM(IF(MONTH(NymexData!$AL$12:$AL$250)&amp;YEAR(NymexData!$AL$12:$AL$250)=MONTH(A275)&amp;YEAR(A275),NymexData!$AM$12:$AM$250))</f>
        <v>-85.60061928</v>
      </c>
      <c r="C275" s="325" t="n">
        <f aca="false">BD275*BJ275*BI275</f>
        <v>0</v>
      </c>
      <c r="D275" s="326" t="n">
        <f aca="false">C275+B275</f>
        <v>-85.60061928</v>
      </c>
      <c r="E275" s="327" t="n">
        <f aca="false" t="array" ref="E275:E275">SUM(IF(MONTH(NymexData!$A$12:$A$250)&amp;YEAR(NymexData!$A$12:$A$250)=MONTH(A275)&amp;YEAR(A275),NymexData!$B$12:$B$250))</f>
        <v>-0.41</v>
      </c>
      <c r="F275" s="327" t="n">
        <f aca="false">G275-E275</f>
        <v>0</v>
      </c>
      <c r="G275" s="328" t="n">
        <f aca="false" t="array" ref="G275:G275">IF(NymexData!$H$12="",GasPosn!E275,SUM(IF(MONTH(NymexData!$H$12:$H$250)&amp;YEAR(NymexData!$H$12:$H$250)=MONTH(A275)&amp;YEAR(A275),NymexData!$I$12:$I$250)))</f>
        <v>-0.41</v>
      </c>
      <c r="H275" s="115" t="n">
        <f aca="false">B275*10000*F275</f>
        <v>-0</v>
      </c>
      <c r="I275" s="119" t="n">
        <f aca="false">(((G275-Q275)*P275+(G275-S275)*R275+(G275-U275)*T275+(G275-W275)*V275+(G275-Y275)*X275+(G275-AA275)*Z275+(G275-AC275)*AB275+(G275-AE275)*AD275+(G275-AG275)*AF275+(G275-AI275)*AH275+(G275-AK275)*AJ275+(G275-AM275)*AL275+(G275-AO275)*AN275+(G275-AQ275)*AP275+(G275-AS275)*AR275+(G275-AU275)*AT275+(G275-AW275)*AV275+(G275-AY275)*AX275+(G275-BA275)*AZ275+(G275-BC275)*BB275)*BJ275*BI275)*10000</f>
        <v>-0</v>
      </c>
      <c r="J275" s="119" t="n">
        <f aca="false">H275+I275</f>
        <v>-0</v>
      </c>
      <c r="O275" s="95" t="n">
        <f aca="false">A275</f>
        <v>39479</v>
      </c>
      <c r="BD275" s="100" t="n">
        <f aca="false">(P275+R275+T275+V275+X275+Z275+AB275+AD275+AF275+AH275+AJ275+AL275+AN275+AP275+AR275+AT275+AV275+AX275+AZ275+BB275)</f>
        <v>0</v>
      </c>
      <c r="BE275" s="322" t="n">
        <f aca="false">IF(AND(BD275=0,BH275=0),0,(ABS(P275)*Q275+ABS(R275)*S275+ABS(T275)*U275+ABS(V275)*W275+ABS(X275)*Y275+ABS(Z275)*AA275+ABS(AB275)*AC275+ABS(AD275)*AE275+ABS(AF275)*AG275+ABS(AH275)*AI275+ABS(AJ275)*AK275+ABS(AL275)*AM275+ABS(AN275)*AO275+ABS(AP275)*AQ275+ABS(AR275)*AS275+ABS(AT275)*AU275+ABS(AV275)*AW275+ABS(AX275)*AY275+ABS(AZ275)*BA275+ABS(BB275)*BC275)/BH275)</f>
        <v>0</v>
      </c>
      <c r="BG275" s="103" t="n">
        <f aca="false">O275</f>
        <v>39479</v>
      </c>
      <c r="BH275" s="323" t="n">
        <f aca="false">(ABS(P275)+ABS(R275)+ABS(T275)+ABS(V275)+ABS(X275)+ABS(Z275)+ABS(AB275)+ABS(AD275)+ABS(AF275)+ABS(AH275)+ABS(AJ275)+ABS(AL275)+ABS(AN275)+ABS(AP275)+ABS(AR275)+ABS(AT275)+ABS(AV275)+ABS(AX275)+ABS(AZ275)+ABS(BB275))</f>
        <v>0</v>
      </c>
      <c r="BI275" s="104" t="n">
        <f aca="false">VLOOKUP(GasPosn!A275,'Pricing Summary'!$AB$12:$AD$250,3)</f>
        <v>29</v>
      </c>
      <c r="BJ275" s="102" t="n">
        <f aca="false">VLOOKUP(A275,Interest!$AF$8:$AK$367,6)</f>
        <v>0.736167609246348</v>
      </c>
      <c r="BL275" s="0" t="n">
        <f aca="false">J275*VLOOKUP(A275,NymexData!$J$12:$K$244,2)</f>
        <v>-0</v>
      </c>
      <c r="BO275" s="0" t="n">
        <f aca="false">BO87</f>
        <v>0.736167609246348</v>
      </c>
      <c r="BP275" s="0" t="n">
        <f aca="false">G275*BO275</f>
        <v>-0.301828719791003</v>
      </c>
      <c r="BQ275" s="0" t="n">
        <f aca="false">IF(AND(A275&gt;=$B$191,A275&lt;=$B$192),1,0)</f>
        <v>0</v>
      </c>
      <c r="BR275" s="0" t="n">
        <f aca="false">BO275*BQ275</f>
        <v>0</v>
      </c>
      <c r="BS275" s="0" t="n">
        <f aca="false">BP275*BQ275</f>
        <v>-0</v>
      </c>
    </row>
    <row r="276" customFormat="false" ht="18" hidden="false" customHeight="false" outlineLevel="0" collapsed="false">
      <c r="A276" s="75" t="n">
        <f aca="false">A88</f>
        <v>39508</v>
      </c>
      <c r="B276" s="317" t="n">
        <f aca="false" t="array" ref="B276:B276">SUM(IF(MONTH(NymexData!$AL$12:$AL$250)&amp;YEAR(NymexData!$AL$12:$AL$250)=MONTH(A276)&amp;YEAR(A276),NymexData!$AM$12:$AM$250))</f>
        <v>-91.05481129</v>
      </c>
      <c r="C276" s="317" t="n">
        <f aca="false">BD276*BJ276*BI276</f>
        <v>0</v>
      </c>
      <c r="D276" s="319" t="n">
        <f aca="false">C276+B276</f>
        <v>-91.05481129</v>
      </c>
      <c r="E276" s="320" t="n">
        <f aca="false" t="array" ref="E276:E276">SUM(IF(MONTH(NymexData!$A$12:$A$250)&amp;YEAR(NymexData!$A$12:$A$250)=MONTH(A276)&amp;YEAR(A276),NymexData!$B$12:$B$250))</f>
        <v>-0.41</v>
      </c>
      <c r="F276" s="320" t="n">
        <f aca="false">G276-E276</f>
        <v>0</v>
      </c>
      <c r="G276" s="321" t="n">
        <f aca="false" t="array" ref="G276:G276">IF(NymexData!$H$12="",GasPosn!E276,SUM(IF(MONTH(NymexData!$H$12:$H$250)&amp;YEAR(NymexData!$H$12:$H$250)=MONTH(A276)&amp;YEAR(A276),NymexData!$I$12:$I$250)))</f>
        <v>-0.41</v>
      </c>
      <c r="H276" s="76" t="n">
        <f aca="false">B276*10000*F276</f>
        <v>-0</v>
      </c>
      <c r="I276" s="82" t="n">
        <f aca="false">(((G276-Q276)*P276+(G276-S276)*R276+(G276-U276)*T276+(G276-W276)*V276+(G276-Y276)*X276+(G276-AA276)*Z276+(G276-AC276)*AB276+(G276-AE276)*AD276+(G276-AG276)*AF276+(G276-AI276)*AH276+(G276-AK276)*AJ276+(G276-AM276)*AL276+(G276-AO276)*AN276+(G276-AQ276)*AP276+(G276-AS276)*AR276+(G276-AU276)*AT276+(G276-AW276)*AV276+(G276-AY276)*AX276+(G276-BA276)*AZ276+(G276-BC276)*BB276)*BJ276*BI276)*10000</f>
        <v>-0</v>
      </c>
      <c r="J276" s="82" t="n">
        <f aca="false">H276+I276</f>
        <v>-0</v>
      </c>
      <c r="O276" s="95" t="n">
        <f aca="false">A276</f>
        <v>39508</v>
      </c>
      <c r="BD276" s="100" t="n">
        <f aca="false">(P276+R276+T276+V276+X276+Z276+AB276+AD276+AF276+AH276+AJ276+AL276+AN276+AP276+AR276+AT276+AV276+AX276+AZ276+BB276)</f>
        <v>0</v>
      </c>
      <c r="BE276" s="322" t="n">
        <f aca="false">IF(AND(BD276=0,BH276=0),0,(ABS(P276)*Q276+ABS(R276)*S276+ABS(T276)*U276+ABS(V276)*W276+ABS(X276)*Y276+ABS(Z276)*AA276+ABS(AB276)*AC276+ABS(AD276)*AE276+ABS(AF276)*AG276+ABS(AH276)*AI276+ABS(AJ276)*AK276+ABS(AL276)*AM276+ABS(AN276)*AO276+ABS(AP276)*AQ276+ABS(AR276)*AS276+ABS(AT276)*AU276+ABS(AV276)*AW276+ABS(AX276)*AY276+ABS(AZ276)*BA276+ABS(BB276)*BC276)/BH276)</f>
        <v>0</v>
      </c>
      <c r="BG276" s="103" t="n">
        <f aca="false">O276</f>
        <v>39508</v>
      </c>
      <c r="BH276" s="323" t="n">
        <f aca="false">(ABS(P276)+ABS(R276)+ABS(T276)+ABS(V276)+ABS(X276)+ABS(Z276)+ABS(AB276)+ABS(AD276)+ABS(AF276)+ABS(AH276)+ABS(AJ276)+ABS(AL276)+ABS(AN276)+ABS(AP276)+ABS(AR276)+ABS(AT276)+ABS(AV276)+ABS(AX276)+ABS(AZ276)+ABS(BB276))</f>
        <v>0</v>
      </c>
      <c r="BI276" s="104" t="n">
        <f aca="false">VLOOKUP(GasPosn!A276,'Pricing Summary'!$AB$12:$AD$250,3)</f>
        <v>31</v>
      </c>
      <c r="BJ276" s="102" t="n">
        <f aca="false">VLOOKUP(A276,Interest!$AF$8:$AK$367,6)</f>
        <v>0.73233896283891</v>
      </c>
      <c r="BL276" s="0" t="n">
        <f aca="false">J276*VLOOKUP(A276,NymexData!$J$12:$K$244,2)</f>
        <v>-0</v>
      </c>
      <c r="BO276" s="0" t="n">
        <f aca="false">BO88</f>
        <v>0.73233896283891</v>
      </c>
      <c r="BP276" s="0" t="n">
        <f aca="false">G276*BO276</f>
        <v>-0.300258974763953</v>
      </c>
      <c r="BQ276" s="0" t="n">
        <f aca="false">IF(AND(A276&gt;=$B$191,A276&lt;=$B$192),1,0)</f>
        <v>0</v>
      </c>
      <c r="BR276" s="0" t="n">
        <f aca="false">BO276*BQ276</f>
        <v>0</v>
      </c>
      <c r="BS276" s="0" t="n">
        <f aca="false">BP276*BQ276</f>
        <v>-0</v>
      </c>
    </row>
    <row r="277" customFormat="false" ht="18" hidden="false" customHeight="false" outlineLevel="0" collapsed="false">
      <c r="A277" s="112" t="n">
        <f aca="false">A89</f>
        <v>39539</v>
      </c>
      <c r="B277" s="324" t="n">
        <f aca="false" t="array" ref="B277:B277">SUM(IF(MONTH(NymexData!$AL$12:$AL$250)&amp;YEAR(NymexData!$AL$12:$AL$250)=MONTH(A277)&amp;YEAR(A277),NymexData!$AM$12:$AM$250))</f>
        <v>-87.6525308</v>
      </c>
      <c r="C277" s="325" t="n">
        <f aca="false">BD277*BJ277*BI277</f>
        <v>0</v>
      </c>
      <c r="D277" s="326" t="n">
        <f aca="false">C277+B277</f>
        <v>-87.6525308</v>
      </c>
      <c r="E277" s="327" t="n">
        <f aca="false" t="array" ref="E277:E277">SUM(IF(MONTH(NymexData!$A$12:$A$250)&amp;YEAR(NymexData!$A$12:$A$250)=MONTH(A277)&amp;YEAR(A277),NymexData!$B$12:$B$250))</f>
        <v>-0.465</v>
      </c>
      <c r="F277" s="327" t="n">
        <f aca="false">G277-E277</f>
        <v>0</v>
      </c>
      <c r="G277" s="328" t="n">
        <f aca="false" t="array" ref="G277:G277">IF(NymexData!$H$12="",GasPosn!E277,SUM(IF(MONTH(NymexData!$H$12:$H$250)&amp;YEAR(NymexData!$H$12:$H$250)=MONTH(A277)&amp;YEAR(A277),NymexData!$I$12:$I$250)))</f>
        <v>-0.465</v>
      </c>
      <c r="H277" s="115" t="n">
        <f aca="false">B277*10000*F277</f>
        <v>-0</v>
      </c>
      <c r="I277" s="119" t="n">
        <f aca="false">(((G277-Q277)*P277+(G277-S277)*R277+(G277-U277)*T277+(G277-W277)*V277+(G277-Y277)*X277+(G277-AA277)*Z277+(G277-AC277)*AB277+(G277-AE277)*AD277+(G277-AG277)*AF277+(G277-AI277)*AH277+(G277-AK277)*AJ277+(G277-AM277)*AL277+(G277-AO277)*AN277+(G277-AQ277)*AP277+(G277-AS277)*AR277+(G277-AU277)*AT277+(G277-AW277)*AV277+(G277-AY277)*AX277+(G277-BA277)*AZ277+(G277-BC277)*BB277)*BJ277*BI277)*10000</f>
        <v>-0</v>
      </c>
      <c r="J277" s="119" t="n">
        <f aca="false">H277+I277</f>
        <v>-0</v>
      </c>
      <c r="O277" s="95" t="n">
        <f aca="false">A277</f>
        <v>39539</v>
      </c>
      <c r="BD277" s="100" t="n">
        <f aca="false">(P277+R277+T277+V277+X277+Z277+AB277+AD277+AF277+AH277+AJ277+AL277+AN277+AP277+AR277+AT277+AV277+AX277+AZ277+BB277)</f>
        <v>0</v>
      </c>
      <c r="BE277" s="322" t="n">
        <f aca="false">IF(AND(BD277=0,BH277=0),0,(ABS(P277)*Q277+ABS(R277)*S277+ABS(T277)*U277+ABS(V277)*W277+ABS(X277)*Y277+ABS(Z277)*AA277+ABS(AB277)*AC277+ABS(AD277)*AE277+ABS(AF277)*AG277+ABS(AH277)*AI277+ABS(AJ277)*AK277+ABS(AL277)*AM277+ABS(AN277)*AO277+ABS(AP277)*AQ277+ABS(AR277)*AS277+ABS(AT277)*AU277+ABS(AV277)*AW277+ABS(AX277)*AY277+ABS(AZ277)*BA277+ABS(BB277)*BC277)/BH277)</f>
        <v>0</v>
      </c>
      <c r="BG277" s="103" t="n">
        <f aca="false">O277</f>
        <v>39539</v>
      </c>
      <c r="BH277" s="323" t="n">
        <f aca="false">(ABS(P277)+ABS(R277)+ABS(T277)+ABS(V277)+ABS(X277)+ABS(Z277)+ABS(AB277)+ABS(AD277)+ABS(AF277)+ABS(AH277)+ABS(AJ277)+ABS(AL277)+ABS(AN277)+ABS(AP277)+ABS(AR277)+ABS(AT277)+ABS(AV277)+ABS(AX277)+ABS(AZ277)+ABS(BB277))</f>
        <v>0</v>
      </c>
      <c r="BI277" s="104" t="n">
        <f aca="false">VLOOKUP(GasPosn!A277,'Pricing Summary'!$AB$12:$AD$250,3)</f>
        <v>30</v>
      </c>
      <c r="BJ277" s="102" t="n">
        <f aca="false">VLOOKUP(A277,Interest!$AF$8:$AK$367,6)</f>
        <v>0.728548104309011</v>
      </c>
      <c r="BL277" s="0" t="n">
        <f aca="false">J277*VLOOKUP(A277,NymexData!$J$12:$K$244,2)</f>
        <v>-0</v>
      </c>
      <c r="BO277" s="0" t="n">
        <f aca="false">BO89</f>
        <v>0.728548104309011</v>
      </c>
      <c r="BP277" s="0" t="n">
        <f aca="false">G277*BO277</f>
        <v>-0.33877486850369</v>
      </c>
      <c r="BQ277" s="0" t="n">
        <f aca="false">IF(AND(A277&gt;=$B$191,A277&lt;=$B$192),1,0)</f>
        <v>0</v>
      </c>
      <c r="BR277" s="0" t="n">
        <f aca="false">BO277*BQ277</f>
        <v>0</v>
      </c>
      <c r="BS277" s="0" t="n">
        <f aca="false">BP277*BQ277</f>
        <v>-0</v>
      </c>
    </row>
    <row r="278" customFormat="false" ht="18" hidden="false" customHeight="false" outlineLevel="0" collapsed="false">
      <c r="A278" s="75" t="n">
        <f aca="false">A90</f>
        <v>39569</v>
      </c>
      <c r="B278" s="317" t="n">
        <f aca="false" t="array" ref="B278:B278">SUM(IF(MONTH(NymexData!$AL$12:$AL$250)&amp;YEAR(NymexData!$AL$12:$AL$250)=MONTH(A278)&amp;YEAR(A278),NymexData!$AM$12:$AM$250))</f>
        <v>-90.10904145</v>
      </c>
      <c r="C278" s="317" t="n">
        <f aca="false">BD278*BJ278*BI278</f>
        <v>0</v>
      </c>
      <c r="D278" s="319" t="n">
        <f aca="false">C278+B278</f>
        <v>-90.10904145</v>
      </c>
      <c r="E278" s="320" t="n">
        <f aca="false" t="array" ref="E278:E278">SUM(IF(MONTH(NymexData!$A$12:$A$250)&amp;YEAR(NymexData!$A$12:$A$250)=MONTH(A278)&amp;YEAR(A278),NymexData!$B$12:$B$250))</f>
        <v>-0.465</v>
      </c>
      <c r="F278" s="320" t="n">
        <f aca="false">G278-E278</f>
        <v>0</v>
      </c>
      <c r="G278" s="321" t="n">
        <f aca="false" t="array" ref="G278:G278">IF(NymexData!$H$12="",GasPosn!E278,SUM(IF(MONTH(NymexData!$H$12:$H$250)&amp;YEAR(NymexData!$H$12:$H$250)=MONTH(A278)&amp;YEAR(A278),NymexData!$I$12:$I$250)))</f>
        <v>-0.465</v>
      </c>
      <c r="H278" s="76" t="n">
        <f aca="false">B278*10000*F278</f>
        <v>-0</v>
      </c>
      <c r="I278" s="82" t="n">
        <f aca="false">(((G278-Q278)*P278+(G278-S278)*R278+(G278-U278)*T278+(G278-W278)*V278+(G278-Y278)*X278+(G278-AA278)*Z278+(G278-AC278)*AB278+(G278-AE278)*AD278+(G278-AG278)*AF278+(G278-AI278)*AH278+(G278-AK278)*AJ278+(G278-AM278)*AL278+(G278-AO278)*AN278+(G278-AQ278)*AP278+(G278-AS278)*AR278+(G278-AU278)*AT278+(G278-AW278)*AV278+(G278-AY278)*AX278+(G278-BA278)*AZ278+(G278-BC278)*BB278)*BJ278*BI278)*10000</f>
        <v>-0</v>
      </c>
      <c r="J278" s="82" t="n">
        <f aca="false">H278+I278</f>
        <v>-0</v>
      </c>
      <c r="O278" s="95" t="n">
        <f aca="false">A278</f>
        <v>39569</v>
      </c>
      <c r="BD278" s="100" t="n">
        <f aca="false">(P278+R278+T278+V278+X278+Z278+AB278+AD278+AF278+AH278+AJ278+AL278+AN278+AP278+AR278+AT278+AV278+AX278+AZ278+BB278)</f>
        <v>0</v>
      </c>
      <c r="BE278" s="322" t="n">
        <f aca="false">IF(AND(BD278=0,BH278=0),0,(ABS(P278)*Q278+ABS(R278)*S278+ABS(T278)*U278+ABS(V278)*W278+ABS(X278)*Y278+ABS(Z278)*AA278+ABS(AB278)*AC278+ABS(AD278)*AE278+ABS(AF278)*AG278+ABS(AH278)*AI278+ABS(AJ278)*AK278+ABS(AL278)*AM278+ABS(AN278)*AO278+ABS(AP278)*AQ278+ABS(AR278)*AS278+ABS(AT278)*AU278+ABS(AV278)*AW278+ABS(AX278)*AY278+ABS(AZ278)*BA278+ABS(BB278)*BC278)/BH278)</f>
        <v>0</v>
      </c>
      <c r="BG278" s="103" t="n">
        <f aca="false">O278</f>
        <v>39569</v>
      </c>
      <c r="BH278" s="323" t="n">
        <f aca="false">(ABS(P278)+ABS(R278)+ABS(T278)+ABS(V278)+ABS(X278)+ABS(Z278)+ABS(AB278)+ABS(AD278)+ABS(AF278)+ABS(AH278)+ABS(AJ278)+ABS(AL278)+ABS(AN278)+ABS(AP278)+ABS(AR278)+ABS(AT278)+ABS(AV278)+ABS(AX278)+ABS(AZ278)+ABS(BB278))</f>
        <v>0</v>
      </c>
      <c r="BI278" s="104" t="n">
        <f aca="false">VLOOKUP(GasPosn!A278,'Pricing Summary'!$AB$12:$AD$250,3)</f>
        <v>31</v>
      </c>
      <c r="BJ278" s="102" t="n">
        <f aca="false">VLOOKUP(A278,Interest!$AF$8:$AK$367,6)</f>
        <v>0.724686939677706</v>
      </c>
      <c r="BL278" s="0" t="n">
        <f aca="false">J278*VLOOKUP(A278,NymexData!$J$12:$K$244,2)</f>
        <v>-0</v>
      </c>
      <c r="BO278" s="0" t="n">
        <f aca="false">BO90</f>
        <v>0.724686939677706</v>
      </c>
      <c r="BP278" s="0" t="n">
        <f aca="false">G278*BO278</f>
        <v>-0.336979426950133</v>
      </c>
      <c r="BQ278" s="0" t="n">
        <f aca="false">IF(AND(A278&gt;=$B$191,A278&lt;=$B$192),1,0)</f>
        <v>0</v>
      </c>
      <c r="BR278" s="0" t="n">
        <f aca="false">BO278*BQ278</f>
        <v>0</v>
      </c>
      <c r="BS278" s="0" t="n">
        <f aca="false">BP278*BQ278</f>
        <v>-0</v>
      </c>
    </row>
    <row r="279" customFormat="false" ht="18" hidden="false" customHeight="false" outlineLevel="0" collapsed="false">
      <c r="A279" s="112" t="n">
        <f aca="false">A91</f>
        <v>39600</v>
      </c>
      <c r="B279" s="324" t="n">
        <f aca="false" t="array" ref="B279:B279">SUM(IF(MONTH(NymexData!$AL$12:$AL$250)&amp;YEAR(NymexData!$AL$12:$AL$250)=MONTH(A279)&amp;YEAR(A279),NymexData!$AM$12:$AM$250))</f>
        <v>-86.73687513</v>
      </c>
      <c r="C279" s="325" t="n">
        <f aca="false">BD279*BJ279*BI279</f>
        <v>0</v>
      </c>
      <c r="D279" s="326" t="n">
        <f aca="false">C279+B279</f>
        <v>-86.73687513</v>
      </c>
      <c r="E279" s="327" t="n">
        <f aca="false" t="array" ref="E279:E279">SUM(IF(MONTH(NymexData!$A$12:$A$250)&amp;YEAR(NymexData!$A$12:$A$250)=MONTH(A279)&amp;YEAR(A279),NymexData!$B$12:$B$250))</f>
        <v>-0.465</v>
      </c>
      <c r="F279" s="327" t="n">
        <f aca="false">G279-E279</f>
        <v>0</v>
      </c>
      <c r="G279" s="328" t="n">
        <f aca="false" t="array" ref="G279:G279">IF(NymexData!$H$12="",GasPosn!E279,SUM(IF(MONTH(NymexData!$H$12:$H$250)&amp;YEAR(NymexData!$H$12:$H$250)=MONTH(A279)&amp;YEAR(A279),NymexData!$I$12:$I$250)))</f>
        <v>-0.465</v>
      </c>
      <c r="H279" s="115" t="n">
        <f aca="false">B279*10000*F279</f>
        <v>-0</v>
      </c>
      <c r="I279" s="119" t="n">
        <f aca="false">(((G279-Q279)*P279+(G279-S279)*R279+(G279-U279)*T279+(G279-W279)*V279+(G279-Y279)*X279+(G279-AA279)*Z279+(G279-AC279)*AB279+(G279-AE279)*AD279+(G279-AG279)*AF279+(G279-AI279)*AH279+(G279-AK279)*AJ279+(G279-AM279)*AL279+(G279-AO279)*AN279+(G279-AQ279)*AP279+(G279-AS279)*AR279+(G279-AU279)*AT279+(G279-AW279)*AV279+(G279-AY279)*AX279+(G279-BA279)*AZ279+(G279-BC279)*BB279)*BJ279*BI279)*10000</f>
        <v>-0</v>
      </c>
      <c r="J279" s="119" t="n">
        <f aca="false">H279+I279</f>
        <v>-0</v>
      </c>
      <c r="O279" s="95" t="n">
        <f aca="false">A279</f>
        <v>39600</v>
      </c>
      <c r="BD279" s="100" t="n">
        <f aca="false">(P279+R279+T279+V279+X279+Z279+AB279+AD279+AF279+AH279+AJ279+AL279+AN279+AP279+AR279+AT279+AV279+AX279+AZ279+BB279)</f>
        <v>0</v>
      </c>
      <c r="BE279" s="322" t="n">
        <f aca="false">IF(AND(BD279=0,BH279=0),0,(ABS(P279)*Q279+ABS(R279)*S279+ABS(T279)*U279+ABS(V279)*W279+ABS(X279)*Y279+ABS(Z279)*AA279+ABS(AB279)*AC279+ABS(AD279)*AE279+ABS(AF279)*AG279+ABS(AH279)*AI279+ABS(AJ279)*AK279+ABS(AL279)*AM279+ABS(AN279)*AO279+ABS(AP279)*AQ279+ABS(AR279)*AS279+ABS(AT279)*AU279+ABS(AV279)*AW279+ABS(AX279)*AY279+ABS(AZ279)*BA279+ABS(BB279)*BC279)/BH279)</f>
        <v>0</v>
      </c>
      <c r="BG279" s="103" t="n">
        <f aca="false">O279</f>
        <v>39600</v>
      </c>
      <c r="BH279" s="323" t="n">
        <f aca="false">(ABS(P279)+ABS(R279)+ABS(T279)+ABS(V279)+ABS(X279)+ABS(Z279)+ABS(AB279)+ABS(AD279)+ABS(AF279)+ABS(AH279)+ABS(AJ279)+ABS(AL279)+ABS(AN279)+ABS(AP279)+ABS(AR279)+ABS(AT279)+ABS(AV279)+ABS(AX279)+ABS(AZ279)+ABS(BB279))</f>
        <v>0</v>
      </c>
      <c r="BI279" s="104" t="n">
        <f aca="false">VLOOKUP(GasPosn!A279,'Pricing Summary'!$AB$12:$AD$250,3)</f>
        <v>30</v>
      </c>
      <c r="BJ279" s="102" t="n">
        <f aca="false">VLOOKUP(A279,Interest!$AF$8:$AK$367,6)</f>
        <v>0.720891581071059</v>
      </c>
      <c r="BL279" s="0" t="n">
        <f aca="false">J279*VLOOKUP(A279,NymexData!$J$12:$K$244,2)</f>
        <v>-0</v>
      </c>
      <c r="BO279" s="0" t="n">
        <f aca="false">BO91</f>
        <v>0.720891581071059</v>
      </c>
      <c r="BP279" s="0" t="n">
        <f aca="false">G279*BO279</f>
        <v>-0.335214585198043</v>
      </c>
      <c r="BQ279" s="0" t="n">
        <f aca="false">IF(AND(A279&gt;=$B$191,A279&lt;=$B$192),1,0)</f>
        <v>0</v>
      </c>
      <c r="BR279" s="0" t="n">
        <f aca="false">BO279*BQ279</f>
        <v>0</v>
      </c>
      <c r="BS279" s="0" t="n">
        <f aca="false">BP279*BQ279</f>
        <v>-0</v>
      </c>
    </row>
    <row r="280" customFormat="false" ht="18" hidden="false" customHeight="false" outlineLevel="0" collapsed="false">
      <c r="A280" s="75" t="n">
        <f aca="false">A92</f>
        <v>39630</v>
      </c>
      <c r="B280" s="317" t="n">
        <f aca="false" t="array" ref="B280:B280">SUM(IF(MONTH(NymexData!$AL$12:$AL$250)&amp;YEAR(NymexData!$AL$12:$AL$250)=MONTH(A280)&amp;YEAR(A280),NymexData!$AM$12:$AM$250))</f>
        <v>-89.1625272</v>
      </c>
      <c r="C280" s="317" t="n">
        <f aca="false">BD280*BJ280*BI280</f>
        <v>0</v>
      </c>
      <c r="D280" s="319" t="n">
        <f aca="false">C280+B280</f>
        <v>-89.1625272</v>
      </c>
      <c r="E280" s="320" t="n">
        <f aca="false" t="array" ref="E280:E280">SUM(IF(MONTH(NymexData!$A$12:$A$250)&amp;YEAR(NymexData!$A$12:$A$250)=MONTH(A280)&amp;YEAR(A280),NymexData!$B$12:$B$250))</f>
        <v>-0.465</v>
      </c>
      <c r="F280" s="320" t="n">
        <f aca="false">G280-E280</f>
        <v>0</v>
      </c>
      <c r="G280" s="321" t="n">
        <f aca="false" t="array" ref="G280:G280">IF(NymexData!$H$12="",GasPosn!E280,SUM(IF(MONTH(NymexData!$H$12:$H$250)&amp;YEAR(NymexData!$H$12:$H$250)=MONTH(A280)&amp;YEAR(A280),NymexData!$I$12:$I$250)))</f>
        <v>-0.465</v>
      </c>
      <c r="H280" s="76" t="n">
        <f aca="false">B280*10000*F280</f>
        <v>-0</v>
      </c>
      <c r="I280" s="82" t="n">
        <f aca="false">(((G280-Q280)*P280+(G280-S280)*R280+(G280-U280)*T280+(G280-W280)*V280+(G280-Y280)*X280+(G280-AA280)*Z280+(G280-AC280)*AB280+(G280-AE280)*AD280+(G280-AG280)*AF280+(G280-AI280)*AH280+(G280-AK280)*AJ280+(G280-AM280)*AL280+(G280-AO280)*AN280+(G280-AQ280)*AP280+(G280-AS280)*AR280+(G280-AU280)*AT280+(G280-AW280)*AV280+(G280-AY280)*AX280+(G280-BA280)*AZ280+(G280-BC280)*BB280)*BJ280*BI280)*10000</f>
        <v>-0</v>
      </c>
      <c r="J280" s="82" t="n">
        <f aca="false">H280+I280</f>
        <v>-0</v>
      </c>
      <c r="O280" s="95" t="n">
        <f aca="false">A280</f>
        <v>39630</v>
      </c>
      <c r="BD280" s="100" t="n">
        <f aca="false">(P280+R280+T280+V280+X280+Z280+AB280+AD280+AF280+AH280+AJ280+AL280+AN280+AP280+AR280+AT280+AV280+AX280+AZ280+BB280)</f>
        <v>0</v>
      </c>
      <c r="BE280" s="322" t="n">
        <f aca="false">IF(AND(BD280=0,BH280=0),0,(ABS(P280)*Q280+ABS(R280)*S280+ABS(T280)*U280+ABS(V280)*W280+ABS(X280)*Y280+ABS(Z280)*AA280+ABS(AB280)*AC280+ABS(AD280)*AE280+ABS(AF280)*AG280+ABS(AH280)*AI280+ABS(AJ280)*AK280+ABS(AL280)*AM280+ABS(AN280)*AO280+ABS(AP280)*AQ280+ABS(AR280)*AS280+ABS(AT280)*AU280+ABS(AV280)*AW280+ABS(AX280)*AY280+ABS(AZ280)*BA280+ABS(BB280)*BC280)/BH280)</f>
        <v>0</v>
      </c>
      <c r="BG280" s="103" t="n">
        <f aca="false">O280</f>
        <v>39630</v>
      </c>
      <c r="BH280" s="323" t="n">
        <f aca="false">(ABS(P280)+ABS(R280)+ABS(T280)+ABS(V280)+ABS(X280)+ABS(Z280)+ABS(AB280)+ABS(AD280)+ABS(AF280)+ABS(AH280)+ABS(AJ280)+ABS(AL280)+ABS(AN280)+ABS(AP280)+ABS(AR280)+ABS(AT280)+ABS(AV280)+ABS(AX280)+ABS(AZ280)+ABS(BB280))</f>
        <v>0</v>
      </c>
      <c r="BI280" s="104" t="n">
        <f aca="false">VLOOKUP(GasPosn!A280,'Pricing Summary'!$AB$12:$AD$250,3)</f>
        <v>31</v>
      </c>
      <c r="BJ280" s="102" t="n">
        <f aca="false">VLOOKUP(A280,Interest!$AF$8:$AK$367,6)</f>
        <v>0.717027121992884</v>
      </c>
      <c r="BL280" s="0" t="n">
        <f aca="false">J280*VLOOKUP(A280,NymexData!$J$12:$K$244,2)</f>
        <v>-0</v>
      </c>
      <c r="BO280" s="0" t="n">
        <f aca="false">BO92</f>
        <v>0.717027121992884</v>
      </c>
      <c r="BP280" s="0" t="n">
        <f aca="false">G280*BO280</f>
        <v>-0.333417611726691</v>
      </c>
      <c r="BQ280" s="0" t="n">
        <f aca="false">IF(AND(A280&gt;=$B$191,A280&lt;=$B$192),1,0)</f>
        <v>0</v>
      </c>
      <c r="BR280" s="0" t="n">
        <f aca="false">BO280*BQ280</f>
        <v>0</v>
      </c>
      <c r="BS280" s="0" t="n">
        <f aca="false">BP280*BQ280</f>
        <v>-0</v>
      </c>
    </row>
    <row r="281" customFormat="false" ht="18" hidden="false" customHeight="false" outlineLevel="0" collapsed="false">
      <c r="A281" s="112" t="n">
        <f aca="false">A93</f>
        <v>39661</v>
      </c>
      <c r="B281" s="324" t="n">
        <f aca="false" t="array" ref="B281:B281">SUM(IF(MONTH(NymexData!$AL$12:$AL$250)&amp;YEAR(NymexData!$AL$12:$AL$250)=MONTH(A281)&amp;YEAR(A281),NymexData!$AM$12:$AM$250))</f>
        <v>-88.68130145</v>
      </c>
      <c r="C281" s="325" t="n">
        <f aca="false">BD281*BJ281*BI281</f>
        <v>0</v>
      </c>
      <c r="D281" s="326" t="n">
        <f aca="false">C281+B281</f>
        <v>-88.68130145</v>
      </c>
      <c r="E281" s="327" t="n">
        <f aca="false" t="array" ref="E281:E281">SUM(IF(MONTH(NymexData!$A$12:$A$250)&amp;YEAR(NymexData!$A$12:$A$250)=MONTH(A281)&amp;YEAR(A281),NymexData!$B$12:$B$250))</f>
        <v>-0.465</v>
      </c>
      <c r="F281" s="327" t="n">
        <f aca="false">G281-E281</f>
        <v>0</v>
      </c>
      <c r="G281" s="328" t="n">
        <f aca="false" t="array" ref="G281:G281">IF(NymexData!$H$12="",GasPosn!E281,SUM(IF(MONTH(NymexData!$H$12:$H$250)&amp;YEAR(NymexData!$H$12:$H$250)=MONTH(A281)&amp;YEAR(A281),NymexData!$I$12:$I$250)))</f>
        <v>-0.465</v>
      </c>
      <c r="H281" s="115" t="n">
        <f aca="false">B281*10000*F281</f>
        <v>-0</v>
      </c>
      <c r="I281" s="119" t="n">
        <f aca="false">(((G281-Q281)*P281+(G281-S281)*R281+(G281-U281)*T281+(G281-W281)*V281+(G281-Y281)*X281+(G281-AA281)*Z281+(G281-AC281)*AB281+(G281-AE281)*AD281+(G281-AG281)*AF281+(G281-AI281)*AH281+(G281-AK281)*AJ281+(G281-AM281)*AL281+(G281-AO281)*AN281+(G281-AQ281)*AP281+(G281-AS281)*AR281+(G281-AU281)*AT281+(G281-AW281)*AV281+(G281-AY281)*AX281+(G281-BA281)*AZ281+(G281-BC281)*BB281)*BJ281*BI281)*10000</f>
        <v>-0</v>
      </c>
      <c r="J281" s="119" t="n">
        <f aca="false">H281+I281</f>
        <v>-0</v>
      </c>
      <c r="O281" s="95" t="n">
        <f aca="false">A281</f>
        <v>39661</v>
      </c>
      <c r="BD281" s="100" t="n">
        <f aca="false">(P281+R281+T281+V281+X281+Z281+AB281+AD281+AF281+AH281+AJ281+AL281+AN281+AP281+AR281+AT281+AV281+AX281+AZ281+BB281)</f>
        <v>0</v>
      </c>
      <c r="BE281" s="322" t="n">
        <f aca="false">IF(AND(BD281=0,BH281=0),0,(ABS(P281)*Q281+ABS(R281)*S281+ABS(T281)*U281+ABS(V281)*W281+ABS(X281)*Y281+ABS(Z281)*AA281+ABS(AB281)*AC281+ABS(AD281)*AE281+ABS(AF281)*AG281+ABS(AH281)*AI281+ABS(AJ281)*AK281+ABS(AL281)*AM281+ABS(AN281)*AO281+ABS(AP281)*AQ281+ABS(AR281)*AS281+ABS(AT281)*AU281+ABS(AV281)*AW281+ABS(AX281)*AY281+ABS(AZ281)*BA281+ABS(BB281)*BC281)/BH281)</f>
        <v>0</v>
      </c>
      <c r="BG281" s="103" t="n">
        <f aca="false">O281</f>
        <v>39661</v>
      </c>
      <c r="BH281" s="323" t="n">
        <f aca="false">(ABS(P281)+ABS(R281)+ABS(T281)+ABS(V281)+ABS(X281)+ABS(Z281)+ABS(AB281)+ABS(AD281)+ABS(AF281)+ABS(AH281)+ABS(AJ281)+ABS(AL281)+ABS(AN281)+ABS(AP281)+ABS(AR281)+ABS(AT281)+ABS(AV281)+ABS(AX281)+ABS(AZ281)+ABS(BB281))</f>
        <v>0</v>
      </c>
      <c r="BI281" s="104" t="n">
        <f aca="false">VLOOKUP(GasPosn!A281,'Pricing Summary'!$AB$12:$AD$250,3)</f>
        <v>31</v>
      </c>
      <c r="BJ281" s="102" t="n">
        <f aca="false">VLOOKUP(A281,Interest!$AF$8:$AK$367,6)</f>
        <v>0.713132072922188</v>
      </c>
      <c r="BL281" s="0" t="n">
        <f aca="false">J281*VLOOKUP(A281,NymexData!$J$12:$K$244,2)</f>
        <v>-0</v>
      </c>
      <c r="BO281" s="0" t="n">
        <f aca="false">BO93</f>
        <v>0.713132072922188</v>
      </c>
      <c r="BP281" s="0" t="n">
        <f aca="false">G281*BO281</f>
        <v>-0.331606413908818</v>
      </c>
      <c r="BQ281" s="0" t="n">
        <f aca="false">IF(AND(A281&gt;=$B$191,A281&lt;=$B$192),1,0)</f>
        <v>0</v>
      </c>
      <c r="BR281" s="0" t="n">
        <f aca="false">BO281*BQ281</f>
        <v>0</v>
      </c>
      <c r="BS281" s="0" t="n">
        <f aca="false">BP281*BQ281</f>
        <v>-0</v>
      </c>
    </row>
    <row r="282" customFormat="false" ht="18" hidden="false" customHeight="false" outlineLevel="0" collapsed="false">
      <c r="A282" s="75" t="n">
        <f aca="false">A94</f>
        <v>39692</v>
      </c>
      <c r="B282" s="317" t="n">
        <f aca="false" t="array" ref="B282:B282">SUM(IF(MONTH(NymexData!$AL$12:$AL$250)&amp;YEAR(NymexData!$AL$12:$AL$250)=MONTH(A282)&amp;YEAR(A282),NymexData!$AM$12:$AM$250))</f>
        <v>-85.35481385</v>
      </c>
      <c r="C282" s="317" t="n">
        <f aca="false">BD282*BJ282*BI282</f>
        <v>0</v>
      </c>
      <c r="D282" s="319" t="n">
        <f aca="false">C282+B282</f>
        <v>-85.35481385</v>
      </c>
      <c r="E282" s="320" t="n">
        <f aca="false" t="array" ref="E282:E282">SUM(IF(MONTH(NymexData!$A$12:$A$250)&amp;YEAR(NymexData!$A$12:$A$250)=MONTH(A282)&amp;YEAR(A282),NymexData!$B$12:$B$250))</f>
        <v>-0.465</v>
      </c>
      <c r="F282" s="320" t="n">
        <f aca="false">G282-E282</f>
        <v>0</v>
      </c>
      <c r="G282" s="321" t="n">
        <f aca="false" t="array" ref="G282:G282">IF(NymexData!$H$12="",GasPosn!E282,SUM(IF(MONTH(NymexData!$H$12:$H$250)&amp;YEAR(NymexData!$H$12:$H$250)=MONTH(A282)&amp;YEAR(A282),NymexData!$I$12:$I$250)))</f>
        <v>-0.465</v>
      </c>
      <c r="H282" s="76" t="n">
        <f aca="false">B282*10000*F282</f>
        <v>-0</v>
      </c>
      <c r="I282" s="82" t="n">
        <f aca="false">(((G282-Q282)*P282+(G282-S282)*R282+(G282-U282)*T282+(G282-W282)*V282+(G282-Y282)*X282+(G282-AA282)*Z282+(G282-AC282)*AB282+(G282-AE282)*AD282+(G282-AG282)*AF282+(G282-AI282)*AH282+(G282-AK282)*AJ282+(G282-AM282)*AL282+(G282-AO282)*AN282+(G282-AQ282)*AP282+(G282-AS282)*AR282+(G282-AU282)*AT282+(G282-AW282)*AV282+(G282-AY282)*AX282+(G282-BA282)*AZ282+(G282-BC282)*BB282)*BJ282*BI282)*10000</f>
        <v>-0</v>
      </c>
      <c r="J282" s="82" t="n">
        <f aca="false">H282+I282</f>
        <v>-0</v>
      </c>
      <c r="O282" s="95" t="n">
        <f aca="false">A282</f>
        <v>39692</v>
      </c>
      <c r="BD282" s="100" t="n">
        <f aca="false">(P282+R282+T282+V282+X282+Z282+AB282+AD282+AF282+AH282+AJ282+AL282+AN282+AP282+AR282+AT282+AV282+AX282+AZ282+BB282)</f>
        <v>0</v>
      </c>
      <c r="BE282" s="322" t="n">
        <f aca="false">IF(AND(BD282=0,BH282=0),0,(ABS(P282)*Q282+ABS(R282)*S282+ABS(T282)*U282+ABS(V282)*W282+ABS(X282)*Y282+ABS(Z282)*AA282+ABS(AB282)*AC282+ABS(AD282)*AE282+ABS(AF282)*AG282+ABS(AH282)*AI282+ABS(AJ282)*AK282+ABS(AL282)*AM282+ABS(AN282)*AO282+ABS(AP282)*AQ282+ABS(AR282)*AS282+ABS(AT282)*AU282+ABS(AV282)*AW282+ABS(AX282)*AY282+ABS(AZ282)*BA282+ABS(BB282)*BC282)/BH282)</f>
        <v>0</v>
      </c>
      <c r="BG282" s="103" t="n">
        <f aca="false">O282</f>
        <v>39692</v>
      </c>
      <c r="BH282" s="323" t="n">
        <f aca="false">(ABS(P282)+ABS(R282)+ABS(T282)+ABS(V282)+ABS(X282)+ABS(Z282)+ABS(AB282)+ABS(AD282)+ABS(AF282)+ABS(AH282)+ABS(AJ282)+ABS(AL282)+ABS(AN282)+ABS(AP282)+ABS(AR282)+ABS(AT282)+ABS(AV282)+ABS(AX282)+ABS(AZ282)+ABS(BB282))</f>
        <v>0</v>
      </c>
      <c r="BI282" s="104" t="n">
        <f aca="false">VLOOKUP(GasPosn!A282,'Pricing Summary'!$AB$12:$AD$250,3)</f>
        <v>30</v>
      </c>
      <c r="BJ282" s="102" t="n">
        <f aca="false">VLOOKUP(A282,Interest!$AF$8:$AK$367,6)</f>
        <v>0.709331792142431</v>
      </c>
      <c r="BL282" s="0" t="n">
        <f aca="false">J282*VLOOKUP(A282,NymexData!$J$12:$K$244,2)</f>
        <v>-0</v>
      </c>
      <c r="BO282" s="0" t="n">
        <f aca="false">BO94</f>
        <v>0.709331792142431</v>
      </c>
      <c r="BP282" s="0" t="n">
        <f aca="false">G282*BO282</f>
        <v>-0.32983928334623</v>
      </c>
      <c r="BQ282" s="0" t="n">
        <f aca="false">IF(AND(A282&gt;=$B$191,A282&lt;=$B$192),1,0)</f>
        <v>0</v>
      </c>
      <c r="BR282" s="0" t="n">
        <f aca="false">BO282*BQ282</f>
        <v>0</v>
      </c>
      <c r="BS282" s="0" t="n">
        <f aca="false">BP282*BQ282</f>
        <v>-0</v>
      </c>
    </row>
    <row r="283" customFormat="false" ht="18" hidden="false" customHeight="false" outlineLevel="0" collapsed="false">
      <c r="A283" s="112" t="n">
        <f aca="false">A95</f>
        <v>39722</v>
      </c>
      <c r="B283" s="324" t="n">
        <f aca="false" t="array" ref="B283:B283">SUM(IF(MONTH(NymexData!$AL$12:$AL$250)&amp;YEAR(NymexData!$AL$12:$AL$250)=MONTH(A283)&amp;YEAR(A283),NymexData!$AM$12:$AM$250))</f>
        <v>-87.73410585</v>
      </c>
      <c r="C283" s="325" t="n">
        <f aca="false">BD283*BJ283*BI283</f>
        <v>0</v>
      </c>
      <c r="D283" s="326" t="n">
        <f aca="false">C283+B283</f>
        <v>-87.73410585</v>
      </c>
      <c r="E283" s="327" t="n">
        <f aca="false" t="array" ref="E283:E283">SUM(IF(MONTH(NymexData!$A$12:$A$250)&amp;YEAR(NymexData!$A$12:$A$250)=MONTH(A283)&amp;YEAR(A283),NymexData!$B$12:$B$250))</f>
        <v>-0.465</v>
      </c>
      <c r="F283" s="327" t="n">
        <f aca="false">G283-E283</f>
        <v>0</v>
      </c>
      <c r="G283" s="328" t="n">
        <f aca="false" t="array" ref="G283:G283">IF(NymexData!$H$12="",GasPosn!E283,SUM(IF(MONTH(NymexData!$H$12:$H$250)&amp;YEAR(NymexData!$H$12:$H$250)=MONTH(A283)&amp;YEAR(A283),NymexData!$I$12:$I$250)))</f>
        <v>-0.465</v>
      </c>
      <c r="H283" s="115" t="n">
        <f aca="false">B283*10000*F283</f>
        <v>-0</v>
      </c>
      <c r="I283" s="119" t="n">
        <f aca="false">(((G283-Q283)*P283+(G283-S283)*R283+(G283-U283)*T283+(G283-W283)*V283+(G283-Y283)*X283+(G283-AA283)*Z283+(G283-AC283)*AB283+(G283-AE283)*AD283+(G283-AG283)*AF283+(G283-AI283)*AH283+(G283-AK283)*AJ283+(G283-AM283)*AL283+(G283-AO283)*AN283+(G283-AQ283)*AP283+(G283-AS283)*AR283+(G283-AU283)*AT283+(G283-AW283)*AV283+(G283-AY283)*AX283+(G283-BA283)*AZ283+(G283-BC283)*BB283)*BJ283*BI283)*10000</f>
        <v>-0</v>
      </c>
      <c r="J283" s="119" t="n">
        <f aca="false">H283+I283</f>
        <v>-0</v>
      </c>
      <c r="O283" s="95" t="n">
        <f aca="false">A283</f>
        <v>39722</v>
      </c>
      <c r="BD283" s="100" t="n">
        <f aca="false">(P283+R283+T283+V283+X283+Z283+AB283+AD283+AF283+AH283+AJ283+AL283+AN283+AP283+AR283+AT283+AV283+AX283+AZ283+BB283)</f>
        <v>0</v>
      </c>
      <c r="BE283" s="322" t="n">
        <f aca="false">IF(AND(BD283=0,BH283=0),0,(ABS(P283)*Q283+ABS(R283)*S283+ABS(T283)*U283+ABS(V283)*W283+ABS(X283)*Y283+ABS(Z283)*AA283+ABS(AB283)*AC283+ABS(AD283)*AE283+ABS(AF283)*AG283+ABS(AH283)*AI283+ABS(AJ283)*AK283+ABS(AL283)*AM283+ABS(AN283)*AO283+ABS(AP283)*AQ283+ABS(AR283)*AS283+ABS(AT283)*AU283+ABS(AV283)*AW283+ABS(AX283)*AY283+ABS(AZ283)*BA283+ABS(BB283)*BC283)/BH283)</f>
        <v>0</v>
      </c>
      <c r="BG283" s="103" t="n">
        <f aca="false">O283</f>
        <v>39722</v>
      </c>
      <c r="BH283" s="323" t="n">
        <f aca="false">(ABS(P283)+ABS(R283)+ABS(T283)+ABS(V283)+ABS(X283)+ABS(Z283)+ABS(AB283)+ABS(AD283)+ABS(AF283)+ABS(AH283)+ABS(AJ283)+ABS(AL283)+ABS(AN283)+ABS(AP283)+ABS(AR283)+ABS(AT283)+ABS(AV283)+ABS(AX283)+ABS(AZ283)+ABS(BB283))</f>
        <v>0</v>
      </c>
      <c r="BI283" s="104" t="n">
        <f aca="false">VLOOKUP(GasPosn!A283,'Pricing Summary'!$AB$12:$AD$250,3)</f>
        <v>31</v>
      </c>
      <c r="BJ283" s="102" t="n">
        <f aca="false">VLOOKUP(A283,Interest!$AF$8:$AK$367,6)</f>
        <v>0.705464221177491</v>
      </c>
      <c r="BL283" s="0" t="n">
        <f aca="false">J283*VLOOKUP(A283,NymexData!$J$12:$K$244,2)</f>
        <v>-0</v>
      </c>
      <c r="BO283" s="0" t="n">
        <f aca="false">BO95</f>
        <v>0.705464221177491</v>
      </c>
      <c r="BP283" s="0" t="n">
        <f aca="false">G283*BO283</f>
        <v>-0.328040862847534</v>
      </c>
      <c r="BQ283" s="0" t="n">
        <f aca="false">IF(AND(A283&gt;=$B$191,A283&lt;=$B$192),1,0)</f>
        <v>0</v>
      </c>
      <c r="BR283" s="0" t="n">
        <f aca="false">BO283*BQ283</f>
        <v>0</v>
      </c>
      <c r="BS283" s="0" t="n">
        <f aca="false">BP283*BQ283</f>
        <v>-0</v>
      </c>
    </row>
    <row r="284" customFormat="false" ht="18" hidden="false" customHeight="false" outlineLevel="0" collapsed="false">
      <c r="A284" s="75" t="n">
        <f aca="false">A96</f>
        <v>39753</v>
      </c>
      <c r="B284" s="317" t="n">
        <f aca="false" t="array" ref="B284:B284">SUM(IF(MONTH(NymexData!$AL$12:$AL$250)&amp;YEAR(NymexData!$AL$12:$AL$250)=MONTH(A284)&amp;YEAR(A284),NymexData!$AM$12:$AM$250))</f>
        <v>-84.43806529</v>
      </c>
      <c r="C284" s="317" t="n">
        <f aca="false">BD284*BJ284*BI284</f>
        <v>0</v>
      </c>
      <c r="D284" s="319" t="n">
        <f aca="false">C284+B284</f>
        <v>-84.43806529</v>
      </c>
      <c r="E284" s="320" t="n">
        <f aca="false" t="array" ref="E284:E284">SUM(IF(MONTH(NymexData!$A$12:$A$250)&amp;YEAR(NymexData!$A$12:$A$250)=MONTH(A284)&amp;YEAR(A284),NymexData!$B$12:$B$250))</f>
        <v>-0.44</v>
      </c>
      <c r="F284" s="320" t="n">
        <f aca="false">G284-E284</f>
        <v>0</v>
      </c>
      <c r="G284" s="321" t="n">
        <f aca="false" t="array" ref="G284:G284">IF(NymexData!$H$12="",GasPosn!E284,SUM(IF(MONTH(NymexData!$H$12:$H$250)&amp;YEAR(NymexData!$H$12:$H$250)=MONTH(A284)&amp;YEAR(A284),NymexData!$I$12:$I$250)))</f>
        <v>-0.44</v>
      </c>
      <c r="H284" s="76" t="n">
        <f aca="false">B284*10000*F284</f>
        <v>-0</v>
      </c>
      <c r="I284" s="82" t="n">
        <f aca="false">(((G284-Q284)*P284+(G284-S284)*R284+(G284-U284)*T284+(G284-W284)*V284+(G284-Y284)*X284+(G284-AA284)*Z284+(G284-AC284)*AB284+(G284-AE284)*AD284+(G284-AG284)*AF284+(G284-AI284)*AH284+(G284-AK284)*AJ284+(G284-AM284)*AL284+(G284-AO284)*AN284+(G284-AQ284)*AP284+(G284-AS284)*AR284+(G284-AU284)*AT284+(G284-AW284)*AV284+(G284-AY284)*AX284+(G284-BA284)*AZ284+(G284-BC284)*BB284)*BJ284*BI284)*10000</f>
        <v>-0</v>
      </c>
      <c r="J284" s="82" t="n">
        <f aca="false">H284+I284</f>
        <v>-0</v>
      </c>
      <c r="O284" s="95" t="n">
        <f aca="false">A284</f>
        <v>39753</v>
      </c>
      <c r="BD284" s="100" t="n">
        <f aca="false">(P284+R284+T284+V284+X284+Z284+AB284+AD284+AF284+AH284+AJ284+AL284+AN284+AP284+AR284+AT284+AV284+AX284+AZ284+BB284)</f>
        <v>0</v>
      </c>
      <c r="BE284" s="322" t="n">
        <f aca="false">IF(AND(BD284=0,BH284=0),0,(ABS(P284)*Q284+ABS(R284)*S284+ABS(T284)*U284+ABS(V284)*W284+ABS(X284)*Y284+ABS(Z284)*AA284+ABS(AB284)*AC284+ABS(AD284)*AE284+ABS(AF284)*AG284+ABS(AH284)*AI284+ABS(AJ284)*AK284+ABS(AL284)*AM284+ABS(AN284)*AO284+ABS(AP284)*AQ284+ABS(AR284)*AS284+ABS(AT284)*AU284+ABS(AV284)*AW284+ABS(AX284)*AY284+ABS(AZ284)*BA284+ABS(BB284)*BC284)/BH284)</f>
        <v>0</v>
      </c>
      <c r="BG284" s="103" t="n">
        <f aca="false">O284</f>
        <v>39753</v>
      </c>
      <c r="BH284" s="323" t="n">
        <f aca="false">(ABS(P284)+ABS(R284)+ABS(T284)+ABS(V284)+ABS(X284)+ABS(Z284)+ABS(AB284)+ABS(AD284)+ABS(AF284)+ABS(AH284)+ABS(AJ284)+ABS(AL284)+ABS(AN284)+ABS(AP284)+ABS(AR284)+ABS(AT284)+ABS(AV284)+ABS(AX284)+ABS(AZ284)+ABS(BB284))</f>
        <v>0</v>
      </c>
      <c r="BI284" s="104" t="n">
        <f aca="false">VLOOKUP(GasPosn!A284,'Pricing Summary'!$AB$12:$AD$250,3)</f>
        <v>30</v>
      </c>
      <c r="BJ284" s="102" t="n">
        <f aca="false">VLOOKUP(A284,Interest!$AF$8:$AK$367,6)</f>
        <v>0.701727112178413</v>
      </c>
      <c r="BL284" s="0" t="n">
        <f aca="false">J284*VLOOKUP(A284,NymexData!$J$12:$K$244,2)</f>
        <v>-0</v>
      </c>
      <c r="BO284" s="0" t="n">
        <f aca="false">BO96</f>
        <v>0.701727112178413</v>
      </c>
      <c r="BP284" s="0" t="n">
        <f aca="false">G284*BO284</f>
        <v>-0.308759929358502</v>
      </c>
      <c r="BQ284" s="0" t="n">
        <f aca="false">IF(AND(A284&gt;=$B$191,A284&lt;=$B$192),1,0)</f>
        <v>0</v>
      </c>
      <c r="BR284" s="0" t="n">
        <f aca="false">BO284*BQ284</f>
        <v>0</v>
      </c>
      <c r="BS284" s="0" t="n">
        <f aca="false">BP284*BQ284</f>
        <v>-0</v>
      </c>
    </row>
    <row r="285" customFormat="false" ht="18" hidden="false" customHeight="false" outlineLevel="0" collapsed="false">
      <c r="A285" s="112" t="n">
        <f aca="false">A97</f>
        <v>39783</v>
      </c>
      <c r="B285" s="324" t="n">
        <f aca="false" t="array" ref="B285:B285">SUM(IF(MONTH(NymexData!$AL$12:$AL$250)&amp;YEAR(NymexData!$AL$12:$AL$250)=MONTH(A285)&amp;YEAR(A285),NymexData!$AM$12:$AM$250))</f>
        <v>-86.78674768</v>
      </c>
      <c r="C285" s="325" t="n">
        <f aca="false">BD285*BJ285*BI285</f>
        <v>0</v>
      </c>
      <c r="D285" s="326" t="n">
        <f aca="false">C285+B285</f>
        <v>-86.78674768</v>
      </c>
      <c r="E285" s="327" t="n">
        <f aca="false" t="array" ref="E285:E285">SUM(IF(MONTH(NymexData!$A$12:$A$250)&amp;YEAR(NymexData!$A$12:$A$250)=MONTH(A285)&amp;YEAR(A285),NymexData!$B$12:$B$250))</f>
        <v>-0.44</v>
      </c>
      <c r="F285" s="327" t="n">
        <f aca="false">G285-E285</f>
        <v>0</v>
      </c>
      <c r="G285" s="328" t="n">
        <f aca="false" t="array" ref="G285:G285">IF(NymexData!$H$12="",GasPosn!E285,SUM(IF(MONTH(NymexData!$H$12:$H$250)&amp;YEAR(NymexData!$H$12:$H$250)=MONTH(A285)&amp;YEAR(A285),NymexData!$I$12:$I$250)))</f>
        <v>-0.44</v>
      </c>
      <c r="H285" s="115" t="n">
        <f aca="false">B285*10000*F285</f>
        <v>-0</v>
      </c>
      <c r="I285" s="119" t="n">
        <f aca="false">(((G285-Q285)*P285+(G285-S285)*R285+(G285-U285)*T285+(G285-W285)*V285+(G285-Y285)*X285+(G285-AA285)*Z285+(G285-AC285)*AB285+(G285-AE285)*AD285+(G285-AG285)*AF285+(G285-AI285)*AH285+(G285-AK285)*AJ285+(G285-AM285)*AL285+(G285-AO285)*AN285+(G285-AQ285)*AP285+(G285-AS285)*AR285+(G285-AU285)*AT285+(G285-AW285)*AV285+(G285-AY285)*AX285+(G285-BA285)*AZ285+(G285-BC285)*BB285)*BJ285*BI285)*10000</f>
        <v>-0</v>
      </c>
      <c r="J285" s="119" t="n">
        <f aca="false">H285+I285</f>
        <v>-0</v>
      </c>
      <c r="O285" s="95" t="n">
        <f aca="false">A285</f>
        <v>39783</v>
      </c>
      <c r="BD285" s="100" t="n">
        <f aca="false">(P285+R285+T285+V285+X285+Z285+AB285+AD285+AF285+AH285+AJ285+AL285+AN285+AP285+AR285+AT285+AV285+AX285+AZ285+BB285)</f>
        <v>0</v>
      </c>
      <c r="BE285" s="322" t="n">
        <f aca="false">IF(AND(BD285=0,BH285=0),0,(ABS(P285)*Q285+ABS(R285)*S285+ABS(T285)*U285+ABS(V285)*W285+ABS(X285)*Y285+ABS(Z285)*AA285+ABS(AB285)*AC285+ABS(AD285)*AE285+ABS(AF285)*AG285+ABS(AH285)*AI285+ABS(AJ285)*AK285+ABS(AL285)*AM285+ABS(AN285)*AO285+ABS(AP285)*AQ285+ABS(AR285)*AS285+ABS(AT285)*AU285+ABS(AV285)*AW285+ABS(AX285)*AY285+ABS(AZ285)*BA285+ABS(BB285)*BC285)/BH285)</f>
        <v>0</v>
      </c>
      <c r="BG285" s="103" t="n">
        <f aca="false">O285</f>
        <v>39783</v>
      </c>
      <c r="BH285" s="323" t="n">
        <f aca="false">(ABS(P285)+ABS(R285)+ABS(T285)+ABS(V285)+ABS(X285)+ABS(Z285)+ABS(AB285)+ABS(AD285)+ABS(AF285)+ABS(AH285)+ABS(AJ285)+ABS(AL285)+ABS(AN285)+ABS(AP285)+ABS(AR285)+ABS(AT285)+ABS(AV285)+ABS(AX285)+ABS(AZ285)+ABS(BB285))</f>
        <v>0</v>
      </c>
      <c r="BI285" s="104" t="n">
        <f aca="false">VLOOKUP(GasPosn!A285,'Pricing Summary'!$AB$12:$AD$250,3)</f>
        <v>31</v>
      </c>
      <c r="BJ285" s="102" t="n">
        <f aca="false">VLOOKUP(A285,Interest!$AF$8:$AK$367,6)</f>
        <v>0.698252970929119</v>
      </c>
      <c r="BL285" s="0" t="n">
        <f aca="false">J285*VLOOKUP(A285,NymexData!$J$12:$K$244,2)</f>
        <v>-0</v>
      </c>
      <c r="BO285" s="0" t="n">
        <f aca="false">BO97</f>
        <v>0.698252970929119</v>
      </c>
      <c r="BP285" s="0" t="n">
        <f aca="false">G285*BO285</f>
        <v>-0.307231307208812</v>
      </c>
      <c r="BQ285" s="0" t="n">
        <f aca="false">IF(AND(A285&gt;=$B$191,A285&lt;=$B$192),1,0)</f>
        <v>0</v>
      </c>
      <c r="BR285" s="0" t="n">
        <f aca="false">BO285*BQ285</f>
        <v>0</v>
      </c>
      <c r="BS285" s="0" t="n">
        <f aca="false">BP285*BQ285</f>
        <v>-0</v>
      </c>
    </row>
    <row r="286" customFormat="false" ht="18" hidden="false" customHeight="false" outlineLevel="0" collapsed="false">
      <c r="A286" s="75" t="n">
        <f aca="false">A98</f>
        <v>39814</v>
      </c>
      <c r="B286" s="317" t="n">
        <f aca="false" t="array" ref="B286:B286">SUM(IF(MONTH(NymexData!$AL$12:$AL$250)&amp;YEAR(NymexData!$AL$12:$AL$250)=MONTH(A286)&amp;YEAR(A286),NymexData!$AM$12:$AM$250))</f>
        <v>-86.30531407</v>
      </c>
      <c r="C286" s="317" t="n">
        <f aca="false">BD286*BJ286*BI286</f>
        <v>0</v>
      </c>
      <c r="D286" s="319" t="n">
        <f aca="false">C286+B286</f>
        <v>-86.30531407</v>
      </c>
      <c r="E286" s="320" t="n">
        <f aca="false" t="array" ref="E286:E286">SUM(IF(MONTH(NymexData!$A$12:$A$250)&amp;YEAR(NymexData!$A$12:$A$250)=MONTH(A286)&amp;YEAR(A286),NymexData!$B$12:$B$250))</f>
        <v>-0.44</v>
      </c>
      <c r="F286" s="320" t="n">
        <f aca="false">G286-E286</f>
        <v>0</v>
      </c>
      <c r="G286" s="321" t="n">
        <f aca="false" t="array" ref="G286:G286">IF(NymexData!$H$12="",GasPosn!E286,SUM(IF(MONTH(NymexData!$H$12:$H$250)&amp;YEAR(NymexData!$H$12:$H$250)=MONTH(A286)&amp;YEAR(A286),NymexData!$I$12:$I$250)))</f>
        <v>-0.44</v>
      </c>
      <c r="H286" s="76" t="n">
        <f aca="false">B286*10000*F286</f>
        <v>-0</v>
      </c>
      <c r="I286" s="82" t="n">
        <f aca="false">(((G286-Q286)*P286+(G286-S286)*R286+(G286-U286)*T286+(G286-W286)*V286+(G286-Y286)*X286+(G286-AA286)*Z286+(G286-AC286)*AB286+(G286-AE286)*AD286+(G286-AG286)*AF286+(G286-AI286)*AH286+(G286-AK286)*AJ286+(G286-AM286)*AL286+(G286-AO286)*AN286+(G286-AQ286)*AP286+(G286-AS286)*AR286+(G286-AU286)*AT286+(G286-AW286)*AV286+(G286-AY286)*AX286+(G286-BA286)*AZ286+(G286-BC286)*BB286)*BJ286*BI286)*10000</f>
        <v>-0</v>
      </c>
      <c r="J286" s="82" t="n">
        <f aca="false">H286+I286</f>
        <v>-0</v>
      </c>
      <c r="O286" s="95" t="n">
        <f aca="false">A286</f>
        <v>39814</v>
      </c>
      <c r="BD286" s="100" t="n">
        <f aca="false">(P286+R286+T286+V286+X286+Z286+AB286+AD286+AF286+AH286+AJ286+AL286+AN286+AP286+AR286+AT286+AV286+AX286+AZ286+BB286)</f>
        <v>0</v>
      </c>
      <c r="BE286" s="322" t="n">
        <f aca="false">IF(AND(BD286=0,BH286=0),0,(ABS(P286)*Q286+ABS(R286)*S286+ABS(T286)*U286+ABS(V286)*W286+ABS(X286)*Y286+ABS(Z286)*AA286+ABS(AB286)*AC286+ABS(AD286)*AE286+ABS(AF286)*AG286+ABS(AH286)*AI286+ABS(AJ286)*AK286+ABS(AL286)*AM286+ABS(AN286)*AO286+ABS(AP286)*AQ286+ABS(AR286)*AS286+ABS(AT286)*AU286+ABS(AV286)*AW286+ABS(AX286)*AY286+ABS(AZ286)*BA286+ABS(BB286)*BC286)/BH286)</f>
        <v>0</v>
      </c>
      <c r="BG286" s="103" t="n">
        <f aca="false">O286</f>
        <v>39814</v>
      </c>
      <c r="BH286" s="323" t="n">
        <f aca="false">(ABS(P286)+ABS(R286)+ABS(T286)+ABS(V286)+ABS(X286)+ABS(Z286)+ABS(AB286)+ABS(AD286)+ABS(AF286)+ABS(AH286)+ABS(AJ286)+ABS(AL286)+ABS(AN286)+ABS(AP286)+ABS(AR286)+ABS(AT286)+ABS(AV286)+ABS(AX286)+ABS(AZ286)+ABS(BB286))</f>
        <v>0</v>
      </c>
      <c r="BI286" s="104" t="n">
        <f aca="false">VLOOKUP(GasPosn!A286,'Pricing Summary'!$AB$12:$AD$250,3)</f>
        <v>31</v>
      </c>
      <c r="BJ286" s="102" t="n">
        <f aca="false">VLOOKUP(A286,Interest!$AF$8:$AK$367,6)</f>
        <v>0.694766727509116</v>
      </c>
      <c r="BL286" s="0" t="n">
        <f aca="false">J286*VLOOKUP(A286,NymexData!$J$12:$K$244,2)</f>
        <v>-0</v>
      </c>
      <c r="BO286" s="0" t="n">
        <f aca="false">BO98</f>
        <v>0.694766727509116</v>
      </c>
      <c r="BP286" s="0" t="n">
        <f aca="false">G286*BO286</f>
        <v>-0.305697360104011</v>
      </c>
      <c r="BQ286" s="0" t="n">
        <f aca="false">IF(AND(A286&gt;=$B$191,A286&lt;=$B$192),1,0)</f>
        <v>0</v>
      </c>
      <c r="BR286" s="0" t="n">
        <f aca="false">BO286*BQ286</f>
        <v>0</v>
      </c>
      <c r="BS286" s="0" t="n">
        <f aca="false">BP286*BQ286</f>
        <v>-0</v>
      </c>
    </row>
    <row r="287" customFormat="false" ht="18" hidden="false" customHeight="false" outlineLevel="0" collapsed="false">
      <c r="A287" s="112" t="n">
        <f aca="false">A99</f>
        <v>39845</v>
      </c>
      <c r="B287" s="324" t="n">
        <f aca="false" t="array" ref="B287:B287">SUM(IF(MONTH(NymexData!$AL$12:$AL$250)&amp;YEAR(NymexData!$AL$12:$AL$250)=MONTH(A287)&amp;YEAR(A287),NymexData!$AM$12:$AM$250))</f>
        <v>-77.5183856</v>
      </c>
      <c r="C287" s="325" t="n">
        <f aca="false">BD287*BJ287*BI287</f>
        <v>0</v>
      </c>
      <c r="D287" s="326" t="n">
        <f aca="false">C287+B287</f>
        <v>-77.5183856</v>
      </c>
      <c r="E287" s="327" t="n">
        <f aca="false" t="array" ref="E287:E287">SUM(IF(MONTH(NymexData!$A$12:$A$250)&amp;YEAR(NymexData!$A$12:$A$250)=MONTH(A287)&amp;YEAR(A287),NymexData!$B$12:$B$250))</f>
        <v>-0.44</v>
      </c>
      <c r="F287" s="327" t="n">
        <f aca="false">G287-E287</f>
        <v>0</v>
      </c>
      <c r="G287" s="328" t="n">
        <f aca="false" t="array" ref="G287:G287">IF(NymexData!$H$12="",GasPosn!E287,SUM(IF(MONTH(NymexData!$H$12:$H$250)&amp;YEAR(NymexData!$H$12:$H$250)=MONTH(A287)&amp;YEAR(A287),NymexData!$I$12:$I$250)))</f>
        <v>-0.44</v>
      </c>
      <c r="H287" s="115" t="n">
        <f aca="false">B287*10000*F287</f>
        <v>-0</v>
      </c>
      <c r="I287" s="119" t="n">
        <f aca="false">(((G287-Q287)*P287+(G287-S287)*R287+(G287-U287)*T287+(G287-W287)*V287+(G287-Y287)*X287+(G287-AA287)*Z287+(G287-AC287)*AB287+(G287-AE287)*AD287+(G287-AG287)*AF287+(G287-AI287)*AH287+(G287-AK287)*AJ287+(G287-AM287)*AL287+(G287-AO287)*AN287+(G287-AQ287)*AP287+(G287-AS287)*AR287+(G287-AU287)*AT287+(G287-AW287)*AV287+(G287-AY287)*AX287+(G287-BA287)*AZ287+(G287-BC287)*BB287)*BJ287*BI287)*10000</f>
        <v>-0</v>
      </c>
      <c r="J287" s="119" t="n">
        <f aca="false">H287+I287</f>
        <v>-0</v>
      </c>
      <c r="O287" s="95" t="n">
        <f aca="false">A287</f>
        <v>39845</v>
      </c>
      <c r="BD287" s="100" t="n">
        <f aca="false">(P287+R287+T287+V287+X287+Z287+AB287+AD287+AF287+AH287+AJ287+AL287+AN287+AP287+AR287+AT287+AV287+AX287+AZ287+BB287)</f>
        <v>0</v>
      </c>
      <c r="BE287" s="322" t="n">
        <f aca="false">IF(AND(BD287=0,BH287=0),0,(ABS(P287)*Q287+ABS(R287)*S287+ABS(T287)*U287+ABS(V287)*W287+ABS(X287)*Y287+ABS(Z287)*AA287+ABS(AB287)*AC287+ABS(AD287)*AE287+ABS(AF287)*AG287+ABS(AH287)*AI287+ABS(AJ287)*AK287+ABS(AL287)*AM287+ABS(AN287)*AO287+ABS(AP287)*AQ287+ABS(AR287)*AS287+ABS(AT287)*AU287+ABS(AV287)*AW287+ABS(AX287)*AY287+ABS(AZ287)*BA287+ABS(BB287)*BC287)/BH287)</f>
        <v>0</v>
      </c>
      <c r="BG287" s="103" t="n">
        <f aca="false">O287</f>
        <v>39845</v>
      </c>
      <c r="BH287" s="323" t="n">
        <f aca="false">(ABS(P287)+ABS(R287)+ABS(T287)+ABS(V287)+ABS(X287)+ABS(Z287)+ABS(AB287)+ABS(AD287)+ABS(AF287)+ABS(AH287)+ABS(AJ287)+ABS(AL287)+ABS(AN287)+ABS(AP287)+ABS(AR287)+ABS(AT287)+ABS(AV287)+ABS(AX287)+ABS(AZ287)+ABS(BB287))</f>
        <v>0</v>
      </c>
      <c r="BI287" s="104" t="n">
        <f aca="false">VLOOKUP(GasPosn!A287,'Pricing Summary'!$AB$12:$AD$250,3)</f>
        <v>28</v>
      </c>
      <c r="BJ287" s="102" t="n">
        <f aca="false">VLOOKUP(A287,Interest!$AF$8:$AK$367,6)</f>
        <v>0.691570099761067</v>
      </c>
      <c r="BL287" s="0" t="n">
        <f aca="false">J287*VLOOKUP(A287,NymexData!$J$12:$K$244,2)</f>
        <v>-0</v>
      </c>
      <c r="BO287" s="0" t="n">
        <f aca="false">BO99</f>
        <v>0.691570099761067</v>
      </c>
      <c r="BP287" s="0" t="n">
        <f aca="false">G287*BO287</f>
        <v>-0.304290843894869</v>
      </c>
      <c r="BQ287" s="0" t="n">
        <f aca="false">IF(AND(A287&gt;=$B$191,A287&lt;=$B$192),1,0)</f>
        <v>0</v>
      </c>
      <c r="BR287" s="0" t="n">
        <f aca="false">BO287*BQ287</f>
        <v>0</v>
      </c>
      <c r="BS287" s="0" t="n">
        <f aca="false">BP287*BQ287</f>
        <v>-0</v>
      </c>
    </row>
    <row r="288" customFormat="false" ht="18" hidden="false" customHeight="false" outlineLevel="0" collapsed="false">
      <c r="A288" s="75" t="n">
        <f aca="false">A100</f>
        <v>39873</v>
      </c>
      <c r="B288" s="317" t="n">
        <f aca="false" t="array" ref="B288:B288">SUM(IF(MONTH(NymexData!$AL$12:$AL$250)&amp;YEAR(NymexData!$AL$12:$AL$250)=MONTH(A288)&amp;YEAR(A288),NymexData!$AM$12:$AM$250))</f>
        <v>-85.38919001</v>
      </c>
      <c r="C288" s="317" t="n">
        <f aca="false">BD288*BJ288*BI288</f>
        <v>0</v>
      </c>
      <c r="D288" s="319" t="n">
        <f aca="false">C288+B288</f>
        <v>-85.38919001</v>
      </c>
      <c r="E288" s="320" t="n">
        <f aca="false" t="array" ref="E288:E288">SUM(IF(MONTH(NymexData!$A$12:$A$250)&amp;YEAR(NymexData!$A$12:$A$250)=MONTH(A288)&amp;YEAR(A288),NymexData!$B$12:$B$250))</f>
        <v>-0.44</v>
      </c>
      <c r="F288" s="320" t="n">
        <f aca="false">G288-E288</f>
        <v>0</v>
      </c>
      <c r="G288" s="321" t="n">
        <f aca="false" t="array" ref="G288:G288">IF(NymexData!$H$12="",GasPosn!E288,SUM(IF(MONTH(NymexData!$H$12:$H$250)&amp;YEAR(NymexData!$H$12:$H$250)=MONTH(A288)&amp;YEAR(A288),NymexData!$I$12:$I$250)))</f>
        <v>-0.44</v>
      </c>
      <c r="H288" s="76" t="n">
        <f aca="false">B288*10000*F288</f>
        <v>-0</v>
      </c>
      <c r="I288" s="82" t="n">
        <f aca="false">(((G288-Q288)*P288+(G288-S288)*R288+(G288-U288)*T288+(G288-W288)*V288+(G288-Y288)*X288+(G288-AA288)*Z288+(G288-AC288)*AB288+(G288-AE288)*AD288+(G288-AG288)*AF288+(G288-AI288)*AH288+(G288-AK288)*AJ288+(G288-AM288)*AL288+(G288-AO288)*AN288+(G288-AQ288)*AP288+(G288-AS288)*AR288+(G288-AU288)*AT288+(G288-AW288)*AV288+(G288-AY288)*AX288+(G288-BA288)*AZ288+(G288-BC288)*BB288)*BJ288*BI288)*10000</f>
        <v>-0</v>
      </c>
      <c r="J288" s="82" t="n">
        <f aca="false">H288+I288</f>
        <v>-0</v>
      </c>
      <c r="O288" s="95" t="n">
        <f aca="false">A288</f>
        <v>39873</v>
      </c>
      <c r="BD288" s="100" t="n">
        <f aca="false">(P288+R288+T288+V288+X288+Z288+AB288+AD288+AF288+AH288+AJ288+AL288+AN288+AP288+AR288+AT288+AV288+AX288+AZ288+BB288)</f>
        <v>0</v>
      </c>
      <c r="BE288" s="322" t="n">
        <f aca="false">IF(AND(BD288=0,BH288=0),0,(ABS(P288)*Q288+ABS(R288)*S288+ABS(T288)*U288+ABS(V288)*W288+ABS(X288)*Y288+ABS(Z288)*AA288+ABS(AB288)*AC288+ABS(AD288)*AE288+ABS(AF288)*AG288+ABS(AH288)*AI288+ABS(AJ288)*AK288+ABS(AL288)*AM288+ABS(AN288)*AO288+ABS(AP288)*AQ288+ABS(AR288)*AS288+ABS(AT288)*AU288+ABS(AV288)*AW288+ABS(AX288)*AY288+ABS(AZ288)*BA288+ABS(BB288)*BC288)/BH288)</f>
        <v>0</v>
      </c>
      <c r="BG288" s="103" t="n">
        <f aca="false">O288</f>
        <v>39873</v>
      </c>
      <c r="BH288" s="323" t="n">
        <f aca="false">(ABS(P288)+ABS(R288)+ABS(T288)+ABS(V288)+ABS(X288)+ABS(Z288)+ABS(AB288)+ABS(AD288)+ABS(AF288)+ABS(AH288)+ABS(AJ288)+ABS(AL288)+ABS(AN288)+ABS(AP288)+ABS(AR288)+ABS(AT288)+ABS(AV288)+ABS(AX288)+ABS(AZ288)+ABS(BB288))</f>
        <v>0</v>
      </c>
      <c r="BI288" s="104" t="n">
        <f aca="false">VLOOKUP(GasPosn!A288,'Pricing Summary'!$AB$12:$AD$250,3)</f>
        <v>31</v>
      </c>
      <c r="BJ288" s="102" t="n">
        <f aca="false">VLOOKUP(A288,Interest!$AF$8:$AK$367,6)</f>
        <v>0.6881455884701</v>
      </c>
      <c r="BL288" s="0" t="n">
        <f aca="false">J288*VLOOKUP(A288,NymexData!$J$12:$K$244,2)</f>
        <v>-0</v>
      </c>
      <c r="BO288" s="0" t="n">
        <f aca="false">BO100</f>
        <v>0.6881455884701</v>
      </c>
      <c r="BP288" s="0" t="n">
        <f aca="false">G288*BO288</f>
        <v>-0.302784058926844</v>
      </c>
      <c r="BQ288" s="0" t="n">
        <f aca="false">IF(AND(A288&gt;=$B$191,A288&lt;=$B$192),1,0)</f>
        <v>0</v>
      </c>
      <c r="BR288" s="0" t="n">
        <f aca="false">BO288*BQ288</f>
        <v>0</v>
      </c>
      <c r="BS288" s="0" t="n">
        <f aca="false">BP288*BQ288</f>
        <v>-0</v>
      </c>
    </row>
    <row r="289" customFormat="false" ht="18" hidden="false" customHeight="false" outlineLevel="0" collapsed="false">
      <c r="A289" s="112" t="n">
        <f aca="false">A101</f>
        <v>39904</v>
      </c>
      <c r="B289" s="324" t="n">
        <f aca="false" t="array" ref="B289:B289">SUM(IF(MONTH(NymexData!$AL$12:$AL$250)&amp;YEAR(NymexData!$AL$12:$AL$250)=MONTH(A289)&amp;YEAR(A289),NymexData!$AM$12:$AM$250))</f>
        <v>-82.16900568</v>
      </c>
      <c r="C289" s="325" t="n">
        <f aca="false">BD289*BJ289*BI289</f>
        <v>0</v>
      </c>
      <c r="D289" s="326" t="n">
        <f aca="false">C289+B289</f>
        <v>-82.16900568</v>
      </c>
      <c r="E289" s="327" t="n">
        <f aca="false" t="array" ref="E289:E289">SUM(IF(MONTH(NymexData!$A$12:$A$250)&amp;YEAR(NymexData!$A$12:$A$250)=MONTH(A289)&amp;YEAR(A289),NymexData!$B$12:$B$250))</f>
        <v>-0.53</v>
      </c>
      <c r="F289" s="327" t="n">
        <f aca="false">G289-E289</f>
        <v>0</v>
      </c>
      <c r="G289" s="328" t="n">
        <f aca="false" t="array" ref="G289:G289">IF(NymexData!$H$12="",GasPosn!E289,SUM(IF(MONTH(NymexData!$H$12:$H$250)&amp;YEAR(NymexData!$H$12:$H$250)=MONTH(A289)&amp;YEAR(A289),NymexData!$I$12:$I$250)))</f>
        <v>-0.53</v>
      </c>
      <c r="H289" s="115" t="n">
        <f aca="false">B289*10000*F289</f>
        <v>-0</v>
      </c>
      <c r="I289" s="119" t="n">
        <f aca="false">(((G289-Q289)*P289+(G289-S289)*R289+(G289-U289)*T289+(G289-W289)*V289+(G289-Y289)*X289+(G289-AA289)*Z289+(G289-AC289)*AB289+(G289-AE289)*AD289+(G289-AG289)*AF289+(G289-AI289)*AH289+(G289-AK289)*AJ289+(G289-AM289)*AL289+(G289-AO289)*AN289+(G289-AQ289)*AP289+(G289-AS289)*AR289+(G289-AU289)*AT289+(G289-AW289)*AV289+(G289-AY289)*AX289+(G289-BA289)*AZ289+(G289-BC289)*BB289)*BJ289*BI289)*10000</f>
        <v>-0</v>
      </c>
      <c r="J289" s="119" t="n">
        <f aca="false">H289+I289</f>
        <v>-0</v>
      </c>
      <c r="O289" s="95" t="n">
        <f aca="false">A289</f>
        <v>39904</v>
      </c>
      <c r="BD289" s="100" t="n">
        <f aca="false">(P289+R289+T289+V289+X289+Z289+AB289+AD289+AF289+AH289+AJ289+AL289+AN289+AP289+AR289+AT289+AV289+AX289+AZ289+BB289)</f>
        <v>0</v>
      </c>
      <c r="BE289" s="322" t="n">
        <f aca="false">IF(AND(BD289=0,BH289=0),0,(ABS(P289)*Q289+ABS(R289)*S289+ABS(T289)*U289+ABS(V289)*W289+ABS(X289)*Y289+ABS(Z289)*AA289+ABS(AB289)*AC289+ABS(AD289)*AE289+ABS(AF289)*AG289+ABS(AH289)*AI289+ABS(AJ289)*AK289+ABS(AL289)*AM289+ABS(AN289)*AO289+ABS(AP289)*AQ289+ABS(AR289)*AS289+ABS(AT289)*AU289+ABS(AV289)*AW289+ABS(AX289)*AY289+ABS(AZ289)*BA289+ABS(BB289)*BC289)/BH289)</f>
        <v>0</v>
      </c>
      <c r="BG289" s="103" t="n">
        <f aca="false">O289</f>
        <v>39904</v>
      </c>
      <c r="BH289" s="323" t="n">
        <f aca="false">(ABS(P289)+ABS(R289)+ABS(T289)+ABS(V289)+ABS(X289)+ABS(Z289)+ABS(AB289)+ABS(AD289)+ABS(AF289)+ABS(AH289)+ABS(AJ289)+ABS(AL289)+ABS(AN289)+ABS(AP289)+ABS(AR289)+ABS(AT289)+ABS(AV289)+ABS(AX289)+ABS(AZ289)+ABS(BB289))</f>
        <v>0</v>
      </c>
      <c r="BI289" s="104" t="n">
        <f aca="false">VLOOKUP(GasPosn!A289,'Pricing Summary'!$AB$12:$AD$250,3)</f>
        <v>30</v>
      </c>
      <c r="BJ289" s="102" t="n">
        <f aca="false">VLOOKUP(A289,Interest!$AF$8:$AK$367,6)</f>
        <v>0.684768533547132</v>
      </c>
      <c r="BL289" s="0" t="n">
        <f aca="false">J289*VLOOKUP(A289,NymexData!$J$12:$K$244,2)</f>
        <v>-0</v>
      </c>
      <c r="BO289" s="0" t="n">
        <f aca="false">BO101</f>
        <v>0.684768533547132</v>
      </c>
      <c r="BP289" s="0" t="n">
        <f aca="false">G289*BO289</f>
        <v>-0.36292732277998</v>
      </c>
      <c r="BQ289" s="0" t="n">
        <f aca="false">IF(AND(A289&gt;=$B$191,A289&lt;=$B$192),1,0)</f>
        <v>0</v>
      </c>
      <c r="BR289" s="0" t="n">
        <f aca="false">BO289*BQ289</f>
        <v>0</v>
      </c>
      <c r="BS289" s="0" t="n">
        <f aca="false">BP289*BQ289</f>
        <v>-0</v>
      </c>
    </row>
    <row r="290" customFormat="false" ht="18" hidden="false" customHeight="false" outlineLevel="0" collapsed="false">
      <c r="A290" s="75" t="n">
        <f aca="false">A102</f>
        <v>39934</v>
      </c>
      <c r="B290" s="317" t="n">
        <f aca="false" t="array" ref="B290:B290">SUM(IF(MONTH(NymexData!$AL$12:$AL$250)&amp;YEAR(NymexData!$AL$12:$AL$250)=MONTH(A290)&amp;YEAR(A290),NymexData!$AM$12:$AM$250))</f>
        <v>-84.44240304</v>
      </c>
      <c r="C290" s="317" t="n">
        <f aca="false">BD290*BJ290*BI290</f>
        <v>0</v>
      </c>
      <c r="D290" s="319" t="n">
        <f aca="false">C290+B290</f>
        <v>-84.44240304</v>
      </c>
      <c r="E290" s="320" t="n">
        <f aca="false" t="array" ref="E290:E290">SUM(IF(MONTH(NymexData!$A$12:$A$250)&amp;YEAR(NymexData!$A$12:$A$250)=MONTH(A290)&amp;YEAR(A290),NymexData!$B$12:$B$250))</f>
        <v>-0.53</v>
      </c>
      <c r="F290" s="320" t="n">
        <f aca="false">G290-E290</f>
        <v>0</v>
      </c>
      <c r="G290" s="321" t="n">
        <f aca="false" t="array" ref="G290:G290">IF(NymexData!$H$12="",GasPosn!E290,SUM(IF(MONTH(NymexData!$H$12:$H$250)&amp;YEAR(NymexData!$H$12:$H$250)=MONTH(A290)&amp;YEAR(A290),NymexData!$I$12:$I$250)))</f>
        <v>-0.53</v>
      </c>
      <c r="H290" s="76" t="n">
        <f aca="false">B290*10000*F290</f>
        <v>-0</v>
      </c>
      <c r="I290" s="82" t="n">
        <f aca="false">(((G290-Q290)*P290+(G290-S290)*R290+(G290-U290)*T290+(G290-W290)*V290+(G290-Y290)*X290+(G290-AA290)*Z290+(G290-AC290)*AB290+(G290-AE290)*AD290+(G290-AG290)*AF290+(G290-AI290)*AH290+(G290-AK290)*AJ290+(G290-AM290)*AL290+(G290-AO290)*AN290+(G290-AQ290)*AP290+(G290-AS290)*AR290+(G290-AU290)*AT290+(G290-AW290)*AV290+(G290-AY290)*AX290+(G290-BA290)*AZ290+(G290-BC290)*BB290)*BJ290*BI290)*10000</f>
        <v>-0</v>
      </c>
      <c r="J290" s="82" t="n">
        <f aca="false">H290+I290</f>
        <v>-0</v>
      </c>
      <c r="O290" s="95" t="n">
        <f aca="false">A290</f>
        <v>39934</v>
      </c>
      <c r="BD290" s="100" t="n">
        <f aca="false">(P290+R290+T290+V290+X290+Z290+AB290+AD290+AF290+AH290+AJ290+AL290+AN290+AP290+AR290+AT290+AV290+AX290+AZ290+BB290)</f>
        <v>0</v>
      </c>
      <c r="BE290" s="322" t="n">
        <f aca="false">IF(AND(BD290=0,BH290=0),0,(ABS(P290)*Q290+ABS(R290)*S290+ABS(T290)*U290+ABS(V290)*W290+ABS(X290)*Y290+ABS(Z290)*AA290+ABS(AB290)*AC290+ABS(AD290)*AE290+ABS(AF290)*AG290+ABS(AH290)*AI290+ABS(AJ290)*AK290+ABS(AL290)*AM290+ABS(AN290)*AO290+ABS(AP290)*AQ290+ABS(AR290)*AS290+ABS(AT290)*AU290+ABS(AV290)*AW290+ABS(AX290)*AY290+ABS(AZ290)*BA290+ABS(BB290)*BC290)/BH290)</f>
        <v>0</v>
      </c>
      <c r="BG290" s="103" t="n">
        <f aca="false">O290</f>
        <v>39934</v>
      </c>
      <c r="BH290" s="323" t="n">
        <f aca="false">(ABS(P290)+ABS(R290)+ABS(T290)+ABS(V290)+ABS(X290)+ABS(Z290)+ABS(AB290)+ABS(AD290)+ABS(AF290)+ABS(AH290)+ABS(AJ290)+ABS(AL290)+ABS(AN290)+ABS(AP290)+ABS(AR290)+ABS(AT290)+ABS(AV290)+ABS(AX290)+ABS(AZ290)+ABS(BB290))</f>
        <v>0</v>
      </c>
      <c r="BI290" s="104" t="n">
        <f aca="false">VLOOKUP(GasPosn!A290,'Pricing Summary'!$AB$12:$AD$250,3)</f>
        <v>31</v>
      </c>
      <c r="BJ290" s="102" t="n">
        <f aca="false">VLOOKUP(A290,Interest!$AF$8:$AK$367,6)</f>
        <v>0.681319877287582</v>
      </c>
      <c r="BL290" s="0" t="n">
        <f aca="false">J290*VLOOKUP(A290,NymexData!$J$12:$K$244,2)</f>
        <v>-0</v>
      </c>
      <c r="BO290" s="0" t="n">
        <f aca="false">BO102</f>
        <v>0.681319877287582</v>
      </c>
      <c r="BP290" s="0" t="n">
        <f aca="false">G290*BO290</f>
        <v>-0.361099534962419</v>
      </c>
      <c r="BQ290" s="0" t="n">
        <f aca="false">IF(AND(A290&gt;=$B$191,A290&lt;=$B$192),1,0)</f>
        <v>0</v>
      </c>
      <c r="BR290" s="0" t="n">
        <f aca="false">BO290*BQ290</f>
        <v>0</v>
      </c>
      <c r="BS290" s="0" t="n">
        <f aca="false">BP290*BQ290</f>
        <v>-0</v>
      </c>
    </row>
    <row r="291" customFormat="false" ht="18" hidden="false" customHeight="false" outlineLevel="0" collapsed="false">
      <c r="A291" s="112" t="n">
        <f aca="false">A103</f>
        <v>39965</v>
      </c>
      <c r="B291" s="324" t="n">
        <f aca="false" t="array" ref="B291:B291">SUM(IF(MONTH(NymexData!$AL$12:$AL$250)&amp;YEAR(NymexData!$AL$12:$AL$250)=MONTH(A291)&amp;YEAR(A291),NymexData!$AM$12:$AM$250))</f>
        <v>-81.2530372</v>
      </c>
      <c r="C291" s="325" t="n">
        <f aca="false">BD291*BJ291*BI291</f>
        <v>0</v>
      </c>
      <c r="D291" s="326" t="n">
        <f aca="false">C291+B291</f>
        <v>-81.2530372</v>
      </c>
      <c r="E291" s="327" t="n">
        <f aca="false" t="array" ref="E291:E291">SUM(IF(MONTH(NymexData!$A$12:$A$250)&amp;YEAR(NymexData!$A$12:$A$250)=MONTH(A291)&amp;YEAR(A291),NymexData!$B$12:$B$250))</f>
        <v>-0.53</v>
      </c>
      <c r="F291" s="327" t="n">
        <f aca="false">G291-E291</f>
        <v>0</v>
      </c>
      <c r="G291" s="328" t="n">
        <f aca="false" t="array" ref="G291:G291">IF(NymexData!$H$12="",GasPosn!E291,SUM(IF(MONTH(NymexData!$H$12:$H$250)&amp;YEAR(NymexData!$H$12:$H$250)=MONTH(A291)&amp;YEAR(A291),NymexData!$I$12:$I$250)))</f>
        <v>-0.53</v>
      </c>
      <c r="H291" s="115" t="n">
        <f aca="false">B291*10000*F291</f>
        <v>-0</v>
      </c>
      <c r="I291" s="119" t="n">
        <f aca="false">(((G291-Q291)*P291+(G291-S291)*R291+(G291-U291)*T291+(G291-W291)*V291+(G291-Y291)*X291+(G291-AA291)*Z291+(G291-AC291)*AB291+(G291-AE291)*AD291+(G291-AG291)*AF291+(G291-AI291)*AH291+(G291-AK291)*AJ291+(G291-AM291)*AL291+(G291-AO291)*AN291+(G291-AQ291)*AP291+(G291-AS291)*AR291+(G291-AU291)*AT291+(G291-AW291)*AV291+(G291-AY291)*AX291+(G291-BA291)*AZ291+(G291-BC291)*BB291)*BJ291*BI291)*10000</f>
        <v>-0</v>
      </c>
      <c r="J291" s="119" t="n">
        <f aca="false">H291+I291</f>
        <v>-0</v>
      </c>
      <c r="O291" s="95" t="n">
        <f aca="false">A291</f>
        <v>39965</v>
      </c>
      <c r="BD291" s="100" t="n">
        <f aca="false">(P291+R291+T291+V291+X291+Z291+AB291+AD291+AF291+AH291+AJ291+AL291+AN291+AP291+AR291+AT291+AV291+AX291+AZ291+BB291)</f>
        <v>0</v>
      </c>
      <c r="BE291" s="322" t="n">
        <f aca="false">IF(AND(BD291=0,BH291=0),0,(ABS(P291)*Q291+ABS(R291)*S291+ABS(T291)*U291+ABS(V291)*W291+ABS(X291)*Y291+ABS(Z291)*AA291+ABS(AB291)*AC291+ABS(AD291)*AE291+ABS(AF291)*AG291+ABS(AH291)*AI291+ABS(AJ291)*AK291+ABS(AL291)*AM291+ABS(AN291)*AO291+ABS(AP291)*AQ291+ABS(AR291)*AS291+ABS(AT291)*AU291+ABS(AV291)*AW291+ABS(AX291)*AY291+ABS(AZ291)*BA291+ABS(BB291)*BC291)/BH291)</f>
        <v>0</v>
      </c>
      <c r="BG291" s="103" t="n">
        <f aca="false">O291</f>
        <v>39965</v>
      </c>
      <c r="BH291" s="323" t="n">
        <f aca="false">(ABS(P291)+ABS(R291)+ABS(T291)+ABS(V291)+ABS(X291)+ABS(Z291)+ABS(AB291)+ABS(AD291)+ABS(AF291)+ABS(AH291)+ABS(AJ291)+ABS(AL291)+ABS(AN291)+ABS(AP291)+ABS(AR291)+ABS(AT291)+ABS(AV291)+ABS(AX291)+ABS(AZ291)+ABS(BB291))</f>
        <v>0</v>
      </c>
      <c r="BI291" s="104" t="n">
        <f aca="false">VLOOKUP(GasPosn!A291,'Pricing Summary'!$AB$12:$AD$250,3)</f>
        <v>30</v>
      </c>
      <c r="BJ291" s="102" t="n">
        <f aca="false">VLOOKUP(A291,Interest!$AF$8:$AK$367,6)</f>
        <v>0.677952820954559</v>
      </c>
      <c r="BL291" s="0" t="n">
        <f aca="false">J291*VLOOKUP(A291,NymexData!$J$12:$K$244,2)</f>
        <v>-0</v>
      </c>
      <c r="BO291" s="0" t="n">
        <f aca="false">BO103</f>
        <v>0.677952820954559</v>
      </c>
      <c r="BP291" s="0" t="n">
        <f aca="false">G291*BO291</f>
        <v>-0.359314995105917</v>
      </c>
      <c r="BQ291" s="0" t="n">
        <f aca="false">IF(AND(A291&gt;=$B$191,A291&lt;=$B$192),1,0)</f>
        <v>0</v>
      </c>
      <c r="BR291" s="0" t="n">
        <f aca="false">BO291*BQ291</f>
        <v>0</v>
      </c>
      <c r="BS291" s="0" t="n">
        <f aca="false">BP291*BQ291</f>
        <v>-0</v>
      </c>
    </row>
    <row r="292" customFormat="false" ht="18" hidden="false" customHeight="false" outlineLevel="0" collapsed="false">
      <c r="A292" s="75" t="n">
        <f aca="false">A104</f>
        <v>39995</v>
      </c>
      <c r="B292" s="317" t="n">
        <f aca="false" t="array" ref="B292:B292">SUM(IF(MONTH(NymexData!$AL$12:$AL$250)&amp;YEAR(NymexData!$AL$12:$AL$250)=MONTH(A292)&amp;YEAR(A292),NymexData!$AM$12:$AM$250))</f>
        <v>-83.49623335</v>
      </c>
      <c r="C292" s="317" t="n">
        <f aca="false">BD292*BJ292*BI292</f>
        <v>0</v>
      </c>
      <c r="D292" s="319" t="n">
        <f aca="false">C292+B292</f>
        <v>-83.49623335</v>
      </c>
      <c r="E292" s="320" t="n">
        <f aca="false" t="array" ref="E292:E292">SUM(IF(MONTH(NymexData!$A$12:$A$250)&amp;YEAR(NymexData!$A$12:$A$250)=MONTH(A292)&amp;YEAR(A292),NymexData!$B$12:$B$250))</f>
        <v>-0.53</v>
      </c>
      <c r="F292" s="320" t="n">
        <f aca="false">G292-E292</f>
        <v>0</v>
      </c>
      <c r="G292" s="321" t="n">
        <f aca="false" t="array" ref="G292:G292">IF(NymexData!$H$12="",GasPosn!E292,SUM(IF(MONTH(NymexData!$H$12:$H$250)&amp;YEAR(NymexData!$H$12:$H$250)=MONTH(A292)&amp;YEAR(A292),NymexData!$I$12:$I$250)))</f>
        <v>-0.53</v>
      </c>
      <c r="H292" s="76" t="n">
        <f aca="false">B292*10000*F292</f>
        <v>-0</v>
      </c>
      <c r="I292" s="82" t="n">
        <f aca="false">(((G292-Q292)*P292+(G292-S292)*R292+(G292-U292)*T292+(G292-W292)*V292+(G292-Y292)*X292+(G292-AA292)*Z292+(G292-AC292)*AB292+(G292-AE292)*AD292+(G292-AG292)*AF292+(G292-AI292)*AH292+(G292-AK292)*AJ292+(G292-AM292)*AL292+(G292-AO292)*AN292+(G292-AQ292)*AP292+(G292-AS292)*AR292+(G292-AU292)*AT292+(G292-AW292)*AV292+(G292-AY292)*AX292+(G292-BA292)*AZ292+(G292-BC292)*BB292)*BJ292*BI292)*10000</f>
        <v>-0</v>
      </c>
      <c r="J292" s="82" t="n">
        <f aca="false">H292+I292</f>
        <v>-0</v>
      </c>
      <c r="O292" s="95" t="n">
        <f aca="false">A292</f>
        <v>39995</v>
      </c>
      <c r="BD292" s="100" t="n">
        <f aca="false">(P292+R292+T292+V292+X292+Z292+AB292+AD292+AF292+AH292+AJ292+AL292+AN292+AP292+AR292+AT292+AV292+AX292+AZ292+BB292)</f>
        <v>0</v>
      </c>
      <c r="BE292" s="322" t="n">
        <f aca="false">IF(AND(BD292=0,BH292=0),0,(ABS(P292)*Q292+ABS(R292)*S292+ABS(T292)*U292+ABS(V292)*W292+ABS(X292)*Y292+ABS(Z292)*AA292+ABS(AB292)*AC292+ABS(AD292)*AE292+ABS(AF292)*AG292+ABS(AH292)*AI292+ABS(AJ292)*AK292+ABS(AL292)*AM292+ABS(AN292)*AO292+ABS(AP292)*AQ292+ABS(AR292)*AS292+ABS(AT292)*AU292+ABS(AV292)*AW292+ABS(AX292)*AY292+ABS(AZ292)*BA292+ABS(BB292)*BC292)/BH292)</f>
        <v>0</v>
      </c>
      <c r="BG292" s="103" t="n">
        <f aca="false">O292</f>
        <v>39995</v>
      </c>
      <c r="BH292" s="323" t="n">
        <f aca="false">(ABS(P292)+ABS(R292)+ABS(T292)+ABS(V292)+ABS(X292)+ABS(Z292)+ABS(AB292)+ABS(AD292)+ABS(AF292)+ABS(AH292)+ABS(AJ292)+ABS(AL292)+ABS(AN292)+ABS(AP292)+ABS(AR292)+ABS(AT292)+ABS(AV292)+ABS(AX292)+ABS(AZ292)+ABS(BB292))</f>
        <v>0</v>
      </c>
      <c r="BI292" s="104" t="n">
        <f aca="false">VLOOKUP(GasPosn!A292,'Pricing Summary'!$AB$12:$AD$250,3)</f>
        <v>31</v>
      </c>
      <c r="BJ292" s="102" t="n">
        <f aca="false">VLOOKUP(A292,Interest!$AF$8:$AK$367,6)</f>
        <v>0.67451511099681</v>
      </c>
      <c r="BL292" s="0" t="n">
        <f aca="false">J292*VLOOKUP(A292,NymexData!$J$12:$K$244,2)</f>
        <v>-0</v>
      </c>
      <c r="BO292" s="0" t="n">
        <f aca="false">BO104</f>
        <v>0.67451511099681</v>
      </c>
      <c r="BP292" s="0" t="n">
        <f aca="false">G292*BO292</f>
        <v>-0.357493008828309</v>
      </c>
      <c r="BQ292" s="0" t="n">
        <f aca="false">IF(AND(A292&gt;=$B$191,A292&lt;=$B$192),1,0)</f>
        <v>0</v>
      </c>
      <c r="BR292" s="0" t="n">
        <f aca="false">BO292*BQ292</f>
        <v>0</v>
      </c>
      <c r="BS292" s="0" t="n">
        <f aca="false">BP292*BQ292</f>
        <v>-0</v>
      </c>
    </row>
    <row r="293" customFormat="false" ht="18" hidden="false" customHeight="false" outlineLevel="0" collapsed="false">
      <c r="A293" s="112" t="n">
        <f aca="false">A105</f>
        <v>40026</v>
      </c>
      <c r="B293" s="324" t="n">
        <f aca="false" t="array" ref="B293:B293">SUM(IF(MONTH(NymexData!$AL$12:$AL$250)&amp;YEAR(NymexData!$AL$12:$AL$250)=MONTH(A293)&amp;YEAR(A293),NymexData!$AM$12:$AM$250))</f>
        <v>-83.0156996</v>
      </c>
      <c r="C293" s="325" t="n">
        <f aca="false">BD293*BJ293*BI293</f>
        <v>0</v>
      </c>
      <c r="D293" s="326" t="n">
        <f aca="false">C293+B293</f>
        <v>-83.0156996</v>
      </c>
      <c r="E293" s="327" t="n">
        <f aca="false" t="array" ref="E293:E293">SUM(IF(MONTH(NymexData!$A$12:$A$250)&amp;YEAR(NymexData!$A$12:$A$250)=MONTH(A293)&amp;YEAR(A293),NymexData!$B$12:$B$250))</f>
        <v>-0.53</v>
      </c>
      <c r="F293" s="327" t="n">
        <f aca="false">G293-E293</f>
        <v>0</v>
      </c>
      <c r="G293" s="328" t="n">
        <f aca="false" t="array" ref="G293:G293">IF(NymexData!$H$12="",GasPosn!E293,SUM(IF(MONTH(NymexData!$H$12:$H$250)&amp;YEAR(NymexData!$H$12:$H$250)=MONTH(A293)&amp;YEAR(A293),NymexData!$I$12:$I$250)))</f>
        <v>-0.53</v>
      </c>
      <c r="H293" s="115" t="n">
        <f aca="false">B293*10000*F293</f>
        <v>-0</v>
      </c>
      <c r="I293" s="119" t="n">
        <f aca="false">(((G293-Q293)*P293+(G293-S293)*R293+(G293-U293)*T293+(G293-W293)*V293+(G293-Y293)*X293+(G293-AA293)*Z293+(G293-AC293)*AB293+(G293-AE293)*AD293+(G293-AG293)*AF293+(G293-AI293)*AH293+(G293-AK293)*AJ293+(G293-AM293)*AL293+(G293-AO293)*AN293+(G293-AQ293)*AP293+(G293-AS293)*AR293+(G293-AU293)*AT293+(G293-AW293)*AV293+(G293-AY293)*AX293+(G293-BA293)*AZ293+(G293-BC293)*BB293)*BJ293*BI293)*10000</f>
        <v>-0</v>
      </c>
      <c r="J293" s="119" t="n">
        <f aca="false">H293+I293</f>
        <v>-0</v>
      </c>
      <c r="O293" s="95" t="n">
        <f aca="false">A293</f>
        <v>40026</v>
      </c>
      <c r="BD293" s="100" t="n">
        <f aca="false">(P293+R293+T293+V293+X293+Z293+AB293+AD293+AF293+AH293+AJ293+AL293+AN293+AP293+AR293+AT293+AV293+AX293+AZ293+BB293)</f>
        <v>0</v>
      </c>
      <c r="BE293" s="322" t="n">
        <f aca="false">IF(AND(BD293=0,BH293=0),0,(ABS(P293)*Q293+ABS(R293)*S293+ABS(T293)*U293+ABS(V293)*W293+ABS(X293)*Y293+ABS(Z293)*AA293+ABS(AB293)*AC293+ABS(AD293)*AE293+ABS(AF293)*AG293+ABS(AH293)*AI293+ABS(AJ293)*AK293+ABS(AL293)*AM293+ABS(AN293)*AO293+ABS(AP293)*AQ293+ABS(AR293)*AS293+ABS(AT293)*AU293+ABS(AV293)*AW293+ABS(AX293)*AY293+ABS(AZ293)*BA293+ABS(BB293)*BC293)/BH293)</f>
        <v>0</v>
      </c>
      <c r="BG293" s="103" t="n">
        <f aca="false">O293</f>
        <v>40026</v>
      </c>
      <c r="BH293" s="323" t="n">
        <f aca="false">(ABS(P293)+ABS(R293)+ABS(T293)+ABS(V293)+ABS(X293)+ABS(Z293)+ABS(AB293)+ABS(AD293)+ABS(AF293)+ABS(AH293)+ABS(AJ293)+ABS(AL293)+ABS(AN293)+ABS(AP293)+ABS(AR293)+ABS(AT293)+ABS(AV293)+ABS(AX293)+ABS(AZ293)+ABS(BB293))</f>
        <v>0</v>
      </c>
      <c r="BI293" s="104" t="n">
        <f aca="false">VLOOKUP(GasPosn!A293,'Pricing Summary'!$AB$12:$AD$250,3)</f>
        <v>31</v>
      </c>
      <c r="BJ293" s="102" t="n">
        <f aca="false">VLOOKUP(A293,Interest!$AF$8:$AK$367,6)</f>
        <v>0.671065214312622</v>
      </c>
      <c r="BL293" s="0" t="n">
        <f aca="false">J293*VLOOKUP(A293,NymexData!$J$12:$K$244,2)</f>
        <v>-0</v>
      </c>
      <c r="BO293" s="0" t="n">
        <f aca="false">BO105</f>
        <v>0.671065214312622</v>
      </c>
      <c r="BP293" s="0" t="n">
        <f aca="false">G293*BO293</f>
        <v>-0.35566456358569</v>
      </c>
      <c r="BQ293" s="0" t="n">
        <f aca="false">IF(AND(A293&gt;=$B$191,A293&lt;=$B$192),1,0)</f>
        <v>0</v>
      </c>
      <c r="BR293" s="0" t="n">
        <f aca="false">BO293*BQ293</f>
        <v>0</v>
      </c>
      <c r="BS293" s="0" t="n">
        <f aca="false">BP293*BQ293</f>
        <v>-0</v>
      </c>
    </row>
    <row r="294" customFormat="false" ht="18" hidden="false" customHeight="false" outlineLevel="0" collapsed="false">
      <c r="A294" s="75" t="n">
        <f aca="false">A106</f>
        <v>40057</v>
      </c>
      <c r="B294" s="317" t="n">
        <f aca="false" t="array" ref="B294:B294">SUM(IF(MONTH(NymexData!$AL$12:$AL$250)&amp;YEAR(NymexData!$AL$12:$AL$250)=MONTH(A294)&amp;YEAR(A294),NymexData!$AM$12:$AM$250))</f>
        <v>-79.87297752</v>
      </c>
      <c r="C294" s="317" t="n">
        <f aca="false">BD294*BJ294*BI294</f>
        <v>0</v>
      </c>
      <c r="D294" s="319" t="n">
        <f aca="false">C294+B294</f>
        <v>-79.87297752</v>
      </c>
      <c r="E294" s="320" t="n">
        <f aca="false" t="array" ref="E294:E294">SUM(IF(MONTH(NymexData!$A$12:$A$250)&amp;YEAR(NymexData!$A$12:$A$250)=MONTH(A294)&amp;YEAR(A294),NymexData!$B$12:$B$250))</f>
        <v>-0.53</v>
      </c>
      <c r="F294" s="320" t="n">
        <f aca="false">G294-E294</f>
        <v>0</v>
      </c>
      <c r="G294" s="321" t="n">
        <f aca="false" t="array" ref="G294:G294">IF(NymexData!$H$12="",GasPosn!E294,SUM(IF(MONTH(NymexData!$H$12:$H$250)&amp;YEAR(NymexData!$H$12:$H$250)=MONTH(A294)&amp;YEAR(A294),NymexData!$I$12:$I$250)))</f>
        <v>-0.53</v>
      </c>
      <c r="H294" s="76" t="n">
        <f aca="false">B294*10000*F294</f>
        <v>-0</v>
      </c>
      <c r="I294" s="82" t="n">
        <f aca="false">(((G294-Q294)*P294+(G294-S294)*R294+(G294-U294)*T294+(G294-W294)*V294+(G294-Y294)*X294+(G294-AA294)*Z294+(G294-AC294)*AB294+(G294-AE294)*AD294+(G294-AG294)*AF294+(G294-AI294)*AH294+(G294-AK294)*AJ294+(G294-AM294)*AL294+(G294-AO294)*AN294+(G294-AQ294)*AP294+(G294-AS294)*AR294+(G294-AU294)*AT294+(G294-AW294)*AV294+(G294-AY294)*AX294+(G294-BA294)*AZ294+(G294-BC294)*BB294)*BJ294*BI294)*10000</f>
        <v>-0</v>
      </c>
      <c r="J294" s="82" t="n">
        <f aca="false">H294+I294</f>
        <v>-0</v>
      </c>
      <c r="O294" s="95" t="n">
        <f aca="false">A294</f>
        <v>40057</v>
      </c>
      <c r="BD294" s="100" t="n">
        <f aca="false">(P294+R294+T294+V294+X294+Z294+AB294+AD294+AF294+AH294+AJ294+AL294+AN294+AP294+AR294+AT294+AV294+AX294+AZ294+BB294)</f>
        <v>0</v>
      </c>
      <c r="BE294" s="322" t="n">
        <f aca="false">IF(AND(BD294=0,BH294=0),0,(ABS(P294)*Q294+ABS(R294)*S294+ABS(T294)*U294+ABS(V294)*W294+ABS(X294)*Y294+ABS(Z294)*AA294+ABS(AB294)*AC294+ABS(AD294)*AE294+ABS(AF294)*AG294+ABS(AH294)*AI294+ABS(AJ294)*AK294+ABS(AL294)*AM294+ABS(AN294)*AO294+ABS(AP294)*AQ294+ABS(AR294)*AS294+ABS(AT294)*AU294+ABS(AV294)*AW294+ABS(AX294)*AY294+ABS(AZ294)*BA294+ABS(BB294)*BC294)/BH294)</f>
        <v>0</v>
      </c>
      <c r="BG294" s="103" t="n">
        <f aca="false">O294</f>
        <v>40057</v>
      </c>
      <c r="BH294" s="323" t="n">
        <f aca="false">(ABS(P294)+ABS(R294)+ABS(T294)+ABS(V294)+ABS(X294)+ABS(Z294)+ABS(AB294)+ABS(AD294)+ABS(AF294)+ABS(AH294)+ABS(AJ294)+ABS(AL294)+ABS(AN294)+ABS(AP294)+ABS(AR294)+ABS(AT294)+ABS(AV294)+ABS(AX294)+ABS(AZ294)+ABS(BB294))</f>
        <v>0</v>
      </c>
      <c r="BI294" s="104" t="n">
        <f aca="false">VLOOKUP(GasPosn!A294,'Pricing Summary'!$AB$12:$AD$250,3)</f>
        <v>30</v>
      </c>
      <c r="BJ294" s="102" t="n">
        <f aca="false">VLOOKUP(A294,Interest!$AF$8:$AK$367,6)</f>
        <v>0.667713937714318</v>
      </c>
      <c r="BL294" s="0" t="n">
        <f aca="false">J294*VLOOKUP(A294,NymexData!$J$12:$K$244,2)</f>
        <v>-0</v>
      </c>
      <c r="BO294" s="0" t="n">
        <f aca="false">BO106</f>
        <v>0.667713937714318</v>
      </c>
      <c r="BP294" s="0" t="n">
        <f aca="false">G294*BO294</f>
        <v>-0.353888386988589</v>
      </c>
      <c r="BQ294" s="0" t="n">
        <f aca="false">IF(AND(A294&gt;=$B$191,A294&lt;=$B$192),1,0)</f>
        <v>0</v>
      </c>
      <c r="BR294" s="0" t="n">
        <f aca="false">BO294*BQ294</f>
        <v>0</v>
      </c>
      <c r="BS294" s="0" t="n">
        <f aca="false">BP294*BQ294</f>
        <v>-0</v>
      </c>
    </row>
    <row r="295" customFormat="false" ht="18" hidden="false" customHeight="false" outlineLevel="0" collapsed="false">
      <c r="A295" s="112" t="n">
        <f aca="false">A107</f>
        <v>40087</v>
      </c>
      <c r="B295" s="324" t="n">
        <f aca="false" t="array" ref="B295:B295">SUM(IF(MONTH(NymexData!$AL$12:$AL$250)&amp;YEAR(NymexData!$AL$12:$AL$250)=MONTH(A295)&amp;YEAR(A295),NymexData!$AM$12:$AM$250))</f>
        <v>-82.07087289</v>
      </c>
      <c r="C295" s="325" t="n">
        <f aca="false">BD295*BJ295*BI295</f>
        <v>0</v>
      </c>
      <c r="D295" s="326" t="n">
        <f aca="false">C295+B295</f>
        <v>-82.07087289</v>
      </c>
      <c r="E295" s="327" t="n">
        <f aca="false" t="array" ref="E295:E295">SUM(IF(MONTH(NymexData!$A$12:$A$250)&amp;YEAR(NymexData!$A$12:$A$250)=MONTH(A295)&amp;YEAR(A295),NymexData!$B$12:$B$250))</f>
        <v>-0.53</v>
      </c>
      <c r="F295" s="327" t="n">
        <f aca="false">G295-E295</f>
        <v>0</v>
      </c>
      <c r="G295" s="328" t="n">
        <f aca="false" t="array" ref="G295:G295">IF(NymexData!$H$12="",GasPosn!E295,SUM(IF(MONTH(NymexData!$H$12:$H$250)&amp;YEAR(NymexData!$H$12:$H$250)=MONTH(A295)&amp;YEAR(A295),NymexData!$I$12:$I$250)))</f>
        <v>-0.53</v>
      </c>
      <c r="H295" s="115" t="n">
        <f aca="false">B295*10000*F295</f>
        <v>-0</v>
      </c>
      <c r="I295" s="119" t="n">
        <f aca="false">(((G295-Q295)*P295+(G295-S295)*R295+(G295-U295)*T295+(G295-W295)*V295+(G295-Y295)*X295+(G295-AA295)*Z295+(G295-AC295)*AB295+(G295-AE295)*AD295+(G295-AG295)*AF295+(G295-AI295)*AH295+(G295-AK295)*AJ295+(G295-AM295)*AL295+(G295-AO295)*AN295+(G295-AQ295)*AP295+(G295-AS295)*AR295+(G295-AU295)*AT295+(G295-AW295)*AV295+(G295-AY295)*AX295+(G295-BA295)*AZ295+(G295-BC295)*BB295)*BJ295*BI295)*10000</f>
        <v>-0</v>
      </c>
      <c r="J295" s="119" t="n">
        <f aca="false">H295+I295</f>
        <v>-0</v>
      </c>
      <c r="O295" s="95" t="n">
        <f aca="false">A295</f>
        <v>40087</v>
      </c>
      <c r="BD295" s="100" t="n">
        <f aca="false">(P295+R295+T295+V295+X295+Z295+AB295+AD295+AF295+AH295+AJ295+AL295+AN295+AP295+AR295+AT295+AV295+AX295+AZ295+BB295)</f>
        <v>0</v>
      </c>
      <c r="BE295" s="322" t="n">
        <f aca="false">IF(AND(BD295=0,BH295=0),0,(ABS(P295)*Q295+ABS(R295)*S295+ABS(T295)*U295+ABS(V295)*W295+ABS(X295)*Y295+ABS(Z295)*AA295+ABS(AB295)*AC295+ABS(AD295)*AE295+ABS(AF295)*AG295+ABS(AH295)*AI295+ABS(AJ295)*AK295+ABS(AL295)*AM295+ABS(AN295)*AO295+ABS(AP295)*AQ295+ABS(AR295)*AS295+ABS(AT295)*AU295+ABS(AV295)*AW295+ABS(AX295)*AY295+ABS(AZ295)*BA295+ABS(BB295)*BC295)/BH295)</f>
        <v>0</v>
      </c>
      <c r="BG295" s="103" t="n">
        <f aca="false">O295</f>
        <v>40087</v>
      </c>
      <c r="BH295" s="323" t="n">
        <f aca="false">(ABS(P295)+ABS(R295)+ABS(T295)+ABS(V295)+ABS(X295)+ABS(Z295)+ABS(AB295)+ABS(AD295)+ABS(AF295)+ABS(AH295)+ABS(AJ295)+ABS(AL295)+ABS(AN295)+ABS(AP295)+ABS(AR295)+ABS(AT295)+ABS(AV295)+ABS(AX295)+ABS(AZ295)+ABS(BB295))</f>
        <v>0</v>
      </c>
      <c r="BI295" s="104" t="n">
        <f aca="false">VLOOKUP(GasPosn!A295,'Pricing Summary'!$AB$12:$AD$250,3)</f>
        <v>31</v>
      </c>
      <c r="BJ295" s="102" t="n">
        <f aca="false">VLOOKUP(A295,Interest!$AF$8:$AK$367,6)</f>
        <v>0.664293426573601</v>
      </c>
      <c r="BL295" s="0" t="n">
        <f aca="false">J295*VLOOKUP(A295,NymexData!$J$12:$K$244,2)</f>
        <v>-0</v>
      </c>
      <c r="BO295" s="0" t="n">
        <f aca="false">BO107</f>
        <v>0.664293426573601</v>
      </c>
      <c r="BP295" s="0" t="n">
        <f aca="false">G295*BO295</f>
        <v>-0.352075516084008</v>
      </c>
      <c r="BQ295" s="0" t="n">
        <f aca="false">IF(AND(A295&gt;=$B$191,A295&lt;=$B$192),1,0)</f>
        <v>0</v>
      </c>
      <c r="BR295" s="0" t="n">
        <f aca="false">BO295*BQ295</f>
        <v>0</v>
      </c>
      <c r="BS295" s="0" t="n">
        <f aca="false">BP295*BQ295</f>
        <v>-0</v>
      </c>
    </row>
    <row r="296" customFormat="false" ht="18" hidden="false" customHeight="false" outlineLevel="0" collapsed="false">
      <c r="A296" s="75" t="n">
        <f aca="false">A108</f>
        <v>40118</v>
      </c>
      <c r="B296" s="317" t="n">
        <f aca="false" t="array" ref="B296:B296">SUM(IF(MONTH(NymexData!$AL$12:$AL$250)&amp;YEAR(NymexData!$AL$12:$AL$250)=MONTH(A296)&amp;YEAR(A296),NymexData!$AM$12:$AM$250))</f>
        <v>-78.95917367</v>
      </c>
      <c r="C296" s="317" t="n">
        <f aca="false">BD296*BJ296*BI296</f>
        <v>0</v>
      </c>
      <c r="D296" s="319" t="n">
        <f aca="false">C296+B296</f>
        <v>-78.95917367</v>
      </c>
      <c r="E296" s="320" t="n">
        <f aca="false" t="array" ref="E296:E296">SUM(IF(MONTH(NymexData!$A$12:$A$250)&amp;YEAR(NymexData!$A$12:$A$250)=MONTH(A296)&amp;YEAR(A296),NymexData!$B$12:$B$250))</f>
        <v>-0.47</v>
      </c>
      <c r="F296" s="320" t="n">
        <f aca="false">G296-E296</f>
        <v>0</v>
      </c>
      <c r="G296" s="321" t="n">
        <f aca="false" t="array" ref="G296:G296">IF(NymexData!$H$12="",GasPosn!E296,SUM(IF(MONTH(NymexData!$H$12:$H$250)&amp;YEAR(NymexData!$H$12:$H$250)=MONTH(A296)&amp;YEAR(A296),NymexData!$I$12:$I$250)))</f>
        <v>-0.47</v>
      </c>
      <c r="H296" s="76" t="n">
        <f aca="false">B296*10000*F296</f>
        <v>-0</v>
      </c>
      <c r="I296" s="82" t="n">
        <f aca="false">(((G296-Q296)*P296+(G296-S296)*R296+(G296-U296)*T296+(G296-W296)*V296+(G296-Y296)*X296+(G296-AA296)*Z296+(G296-AC296)*AB296+(G296-AE296)*AD296+(G296-AG296)*AF296+(G296-AI296)*AH296+(G296-AK296)*AJ296+(G296-AM296)*AL296+(G296-AO296)*AN296+(G296-AQ296)*AP296+(G296-AS296)*AR296+(G296-AU296)*AT296+(G296-AW296)*AV296+(G296-AY296)*AX296+(G296-BA296)*AZ296+(G296-BC296)*BB296)*BJ296*BI296)*10000</f>
        <v>-0</v>
      </c>
      <c r="J296" s="82" t="n">
        <f aca="false">H296+I296</f>
        <v>-0</v>
      </c>
      <c r="O296" s="95" t="n">
        <f aca="false">A296</f>
        <v>40118</v>
      </c>
      <c r="BD296" s="100" t="n">
        <f aca="false">(P296+R296+T296+V296+X296+Z296+AB296+AD296+AF296+AH296+AJ296+AL296+AN296+AP296+AR296+AT296+AV296+AX296+AZ296+BB296)</f>
        <v>0</v>
      </c>
      <c r="BE296" s="322" t="n">
        <f aca="false">IF(AND(BD296=0,BH296=0),0,(ABS(P296)*Q296+ABS(R296)*S296+ABS(T296)*U296+ABS(V296)*W296+ABS(X296)*Y296+ABS(Z296)*AA296+ABS(AB296)*AC296+ABS(AD296)*AE296+ABS(AF296)*AG296+ABS(AH296)*AI296+ABS(AJ296)*AK296+ABS(AL296)*AM296+ABS(AN296)*AO296+ABS(AP296)*AQ296+ABS(AR296)*AS296+ABS(AT296)*AU296+ABS(AV296)*AW296+ABS(AX296)*AY296+ABS(AZ296)*BA296+ABS(BB296)*BC296)/BH296)</f>
        <v>0</v>
      </c>
      <c r="BG296" s="103" t="n">
        <f aca="false">O296</f>
        <v>40118</v>
      </c>
      <c r="BH296" s="323" t="n">
        <f aca="false">(ABS(P296)+ABS(R296)+ABS(T296)+ABS(V296)+ABS(X296)+ABS(Z296)+ABS(AB296)+ABS(AD296)+ABS(AF296)+ABS(AH296)+ABS(AJ296)+ABS(AL296)+ABS(AN296)+ABS(AP296)+ABS(AR296)+ABS(AT296)+ABS(AV296)+ABS(AX296)+ABS(AZ296)+ABS(BB296))</f>
        <v>0</v>
      </c>
      <c r="BI296" s="104" t="n">
        <f aca="false">VLOOKUP(GasPosn!A296,'Pricing Summary'!$AB$12:$AD$250,3)</f>
        <v>30</v>
      </c>
      <c r="BJ296" s="102" t="n">
        <f aca="false">VLOOKUP(A296,Interest!$AF$8:$AK$367,6)</f>
        <v>0.660953067879895</v>
      </c>
      <c r="BL296" s="0" t="n">
        <f aca="false">J296*VLOOKUP(A296,NymexData!$J$12:$K$244,2)</f>
        <v>-0</v>
      </c>
      <c r="BO296" s="0" t="n">
        <f aca="false">BO108</f>
        <v>0.660953067879895</v>
      </c>
      <c r="BP296" s="0" t="n">
        <f aca="false">G296*BO296</f>
        <v>-0.31064794190355</v>
      </c>
      <c r="BQ296" s="0" t="n">
        <f aca="false">IF(AND(A296&gt;=$B$191,A296&lt;=$B$192),1,0)</f>
        <v>0</v>
      </c>
      <c r="BR296" s="0" t="n">
        <f aca="false">BO296*BQ296</f>
        <v>0</v>
      </c>
      <c r="BS296" s="0" t="n">
        <f aca="false">BP296*BQ296</f>
        <v>-0</v>
      </c>
    </row>
    <row r="297" customFormat="false" ht="18" hidden="false" customHeight="false" outlineLevel="0" collapsed="false">
      <c r="A297" s="112" t="n">
        <f aca="false">A109</f>
        <v>40148</v>
      </c>
      <c r="B297" s="324" t="n">
        <f aca="false" t="array" ref="B297:B297">SUM(IF(MONTH(NymexData!$AL$12:$AL$250)&amp;YEAR(NymexData!$AL$12:$AL$250)=MONTH(A297)&amp;YEAR(A297),NymexData!$AM$12:$AM$250))</f>
        <v>-81.12720569</v>
      </c>
      <c r="C297" s="325" t="n">
        <f aca="false">BD297*BJ297*BI297</f>
        <v>0</v>
      </c>
      <c r="D297" s="326" t="n">
        <f aca="false">C297+B297</f>
        <v>-81.12720569</v>
      </c>
      <c r="E297" s="327" t="n">
        <f aca="false" t="array" ref="E297:E297">SUM(IF(MONTH(NymexData!$A$12:$A$250)&amp;YEAR(NymexData!$A$12:$A$250)=MONTH(A297)&amp;YEAR(A297),NymexData!$B$12:$B$250))</f>
        <v>-0.47</v>
      </c>
      <c r="F297" s="327" t="n">
        <f aca="false">G297-E297</f>
        <v>0</v>
      </c>
      <c r="G297" s="328" t="n">
        <f aca="false" t="array" ref="G297:G297">IF(NymexData!$H$12="",GasPosn!E297,SUM(IF(MONTH(NymexData!$H$12:$H$250)&amp;YEAR(NymexData!$H$12:$H$250)=MONTH(A297)&amp;YEAR(A297),NymexData!$I$12:$I$250)))</f>
        <v>-0.47</v>
      </c>
      <c r="H297" s="115" t="n">
        <f aca="false">B297*10000*F297</f>
        <v>-0</v>
      </c>
      <c r="I297" s="119" t="n">
        <f aca="false">(((G297-Q297)*P297+(G297-S297)*R297+(G297-U297)*T297+(G297-W297)*V297+(G297-Y297)*X297+(G297-AA297)*Z297+(G297-AC297)*AB297+(G297-AE297)*AD297+(G297-AG297)*AF297+(G297-AI297)*AH297+(G297-AK297)*AJ297+(G297-AM297)*AL297+(G297-AO297)*AN297+(G297-AQ297)*AP297+(G297-AS297)*AR297+(G297-AU297)*AT297+(G297-AW297)*AV297+(G297-AY297)*AX297+(G297-BA297)*AZ297+(G297-BC297)*BB297)*BJ297*BI297)*10000</f>
        <v>-0</v>
      </c>
      <c r="J297" s="119" t="n">
        <f aca="false">H297+I297</f>
        <v>-0</v>
      </c>
      <c r="O297" s="95" t="n">
        <f aca="false">A297</f>
        <v>40148</v>
      </c>
      <c r="BD297" s="100" t="n">
        <f aca="false">(P297+R297+T297+V297+X297+Z297+AB297+AD297+AF297+AH297+AJ297+AL297+AN297+AP297+AR297+AT297+AV297+AX297+AZ297+BB297)</f>
        <v>0</v>
      </c>
      <c r="BE297" s="322" t="n">
        <f aca="false">IF(AND(BD297=0,BH297=0),0,(ABS(P297)*Q297+ABS(R297)*S297+ABS(T297)*U297+ABS(V297)*W297+ABS(X297)*Y297+ABS(Z297)*AA297+ABS(AB297)*AC297+ABS(AD297)*AE297+ABS(AF297)*AG297+ABS(AH297)*AI297+ABS(AJ297)*AK297+ABS(AL297)*AM297+ABS(AN297)*AO297+ABS(AP297)*AQ297+ABS(AR297)*AS297+ABS(AT297)*AU297+ABS(AV297)*AW297+ABS(AX297)*AY297+ABS(AZ297)*BA297+ABS(BB297)*BC297)/BH297)</f>
        <v>0</v>
      </c>
      <c r="BG297" s="103" t="n">
        <f aca="false">O297</f>
        <v>40148</v>
      </c>
      <c r="BH297" s="323" t="n">
        <f aca="false">(ABS(P297)+ABS(R297)+ABS(T297)+ABS(V297)+ABS(X297)+ABS(Z297)+ABS(AB297)+ABS(AD297)+ABS(AF297)+ABS(AH297)+ABS(AJ297)+ABS(AL297)+ABS(AN297)+ABS(AP297)+ABS(AR297)+ABS(AT297)+ABS(AV297)+ABS(AX297)+ABS(AZ297)+ABS(BB297))</f>
        <v>0</v>
      </c>
      <c r="BI297" s="104" t="n">
        <f aca="false">VLOOKUP(GasPosn!A297,'Pricing Summary'!$AB$12:$AD$250,3)</f>
        <v>31</v>
      </c>
      <c r="BJ297" s="102" t="n">
        <f aca="false">VLOOKUP(A297,Interest!$AF$8:$AK$367,6)</f>
        <v>0.657544408611758</v>
      </c>
      <c r="BL297" s="0" t="n">
        <f aca="false">J297*VLOOKUP(A297,NymexData!$J$12:$K$244,2)</f>
        <v>-0</v>
      </c>
      <c r="BO297" s="0" t="n">
        <f aca="false">BO109</f>
        <v>0.657544408611758</v>
      </c>
      <c r="BP297" s="0" t="n">
        <f aca="false">G297*BO297</f>
        <v>-0.309045872047526</v>
      </c>
      <c r="BQ297" s="0" t="n">
        <f aca="false">IF(AND(A297&gt;=$B$191,A297&lt;=$B$192),1,0)</f>
        <v>0</v>
      </c>
      <c r="BR297" s="0" t="n">
        <f aca="false">BO297*BQ297</f>
        <v>0</v>
      </c>
      <c r="BS297" s="0" t="n">
        <f aca="false">BP297*BQ297</f>
        <v>-0</v>
      </c>
    </row>
    <row r="298" customFormat="false" ht="18" hidden="false" customHeight="false" outlineLevel="0" collapsed="false">
      <c r="A298" s="75" t="n">
        <f aca="false">A110</f>
        <v>40179</v>
      </c>
      <c r="B298" s="317" t="n">
        <f aca="false" t="array" ref="B298:B298">SUM(IF(MONTH(NymexData!$AL$12:$AL$250)&amp;YEAR(NymexData!$AL$12:$AL$250)=MONTH(A298)&amp;YEAR(A298),NymexData!$AM$12:$AM$250))</f>
        <v>-80.64814927</v>
      </c>
      <c r="C298" s="317" t="n">
        <f aca="false">BD298*BJ298*BI298</f>
        <v>0</v>
      </c>
      <c r="D298" s="319" t="n">
        <f aca="false">C298+B298</f>
        <v>-80.64814927</v>
      </c>
      <c r="E298" s="320" t="n">
        <f aca="false" t="array" ref="E298:E298">SUM(IF(MONTH(NymexData!$A$12:$A$250)&amp;YEAR(NymexData!$A$12:$A$250)=MONTH(A298)&amp;YEAR(A298),NymexData!$B$12:$B$250))</f>
        <v>-0.47</v>
      </c>
      <c r="F298" s="320" t="n">
        <f aca="false">G298-E298</f>
        <v>0</v>
      </c>
      <c r="G298" s="321" t="n">
        <f aca="false" t="array" ref="G298:G298">IF(NymexData!$H$12="",GasPosn!E298,SUM(IF(MONTH(NymexData!$H$12:$H$250)&amp;YEAR(NymexData!$H$12:$H$250)=MONTH(A298)&amp;YEAR(A298),NymexData!$I$12:$I$250)))</f>
        <v>-0.47</v>
      </c>
      <c r="H298" s="76" t="n">
        <f aca="false">B298*10000*F298</f>
        <v>-0</v>
      </c>
      <c r="I298" s="82" t="n">
        <f aca="false">(((G298-Q298)*P298+(G298-S298)*R298+(G298-U298)*T298+(G298-W298)*V298+(G298-Y298)*X298+(G298-AA298)*Z298+(G298-AC298)*AB298+(G298-AE298)*AD298+(G298-AG298)*AF298+(G298-AI298)*AH298+(G298-AK298)*AJ298+(G298-AM298)*AL298+(G298-AO298)*AN298+(G298-AQ298)*AP298+(G298-AS298)*AR298+(G298-AU298)*AT298+(G298-AW298)*AV298+(G298-AY298)*AX298+(G298-BA298)*AZ298+(G298-BC298)*BB298)*BJ298*BI298)*10000</f>
        <v>-0</v>
      </c>
      <c r="J298" s="82" t="n">
        <f aca="false">H298+I298</f>
        <v>-0</v>
      </c>
      <c r="O298" s="95" t="n">
        <f aca="false">A298</f>
        <v>40179</v>
      </c>
      <c r="BD298" s="100" t="n">
        <f aca="false">(P298+R298+T298+V298+X298+Z298+AB298+AD298+AF298+AH298+AJ298+AL298+AN298+AP298+AR298+AT298+AV298+AX298+AZ298+BB298)</f>
        <v>0</v>
      </c>
      <c r="BE298" s="322" t="n">
        <f aca="false">IF(AND(BD298=0,BH298=0),0,(ABS(P298)*Q298+ABS(R298)*S298+ABS(T298)*U298+ABS(V298)*W298+ABS(X298)*Y298+ABS(Z298)*AA298+ABS(AB298)*AC298+ABS(AD298)*AE298+ABS(AF298)*AG298+ABS(AH298)*AI298+ABS(AJ298)*AK298+ABS(AL298)*AM298+ABS(AN298)*AO298+ABS(AP298)*AQ298+ABS(AR298)*AS298+ABS(AT298)*AU298+ABS(AV298)*AW298+ABS(AX298)*AY298+ABS(AZ298)*BA298+ABS(BB298)*BC298)/BH298)</f>
        <v>0</v>
      </c>
      <c r="BG298" s="103" t="n">
        <f aca="false">O298</f>
        <v>40179</v>
      </c>
      <c r="BH298" s="323" t="n">
        <f aca="false">(ABS(P298)+ABS(R298)+ABS(T298)+ABS(V298)+ABS(X298)+ABS(Z298)+ABS(AB298)+ABS(AD298)+ABS(AF298)+ABS(AH298)+ABS(AJ298)+ABS(AL298)+ABS(AN298)+ABS(AP298)+ABS(AR298)+ABS(AT298)+ABS(AV298)+ABS(AX298)+ABS(AZ298)+ABS(BB298))</f>
        <v>0</v>
      </c>
      <c r="BI298" s="104" t="n">
        <f aca="false">VLOOKUP(GasPosn!A298,'Pricing Summary'!$AB$12:$AD$250,3)</f>
        <v>31</v>
      </c>
      <c r="BJ298" s="102" t="n">
        <f aca="false">VLOOKUP(A298,Interest!$AF$8:$AK$367,6)</f>
        <v>0.65412353264284</v>
      </c>
      <c r="BL298" s="0" t="n">
        <f aca="false">J298*VLOOKUP(A298,NymexData!$J$12:$K$244,2)</f>
        <v>-0</v>
      </c>
      <c r="BO298" s="0" t="n">
        <f aca="false">BO110</f>
        <v>0.65412353264284</v>
      </c>
      <c r="BP298" s="0" t="n">
        <f aca="false">G298*BO298</f>
        <v>-0.307438060342135</v>
      </c>
      <c r="BQ298" s="0" t="n">
        <f aca="false">IF(AND(A298&gt;=$B$191,A298&lt;=$B$192),1,0)</f>
        <v>0</v>
      </c>
      <c r="BR298" s="0" t="n">
        <f aca="false">BO298*BQ298</f>
        <v>0</v>
      </c>
      <c r="BS298" s="0" t="n">
        <f aca="false">BP298*BQ298</f>
        <v>-0</v>
      </c>
    </row>
    <row r="299" customFormat="false" ht="18" hidden="false" customHeight="false" outlineLevel="0" collapsed="false">
      <c r="A299" s="112" t="n">
        <f aca="false">A111</f>
        <v>40210</v>
      </c>
      <c r="B299" s="324" t="n">
        <f aca="false" t="array" ref="B299:B299">SUM(IF(MONTH(NymexData!$AL$12:$AL$250)&amp;YEAR(NymexData!$AL$12:$AL$250)=MONTH(A299)&amp;YEAR(A299),NymexData!$AM$12:$AM$250))</f>
        <v>-72.41113799</v>
      </c>
      <c r="C299" s="325" t="n">
        <f aca="false">BD299*BJ299*BI299</f>
        <v>0</v>
      </c>
      <c r="D299" s="326" t="n">
        <f aca="false">C299+B299</f>
        <v>-72.41113799</v>
      </c>
      <c r="E299" s="327" t="n">
        <f aca="false" t="array" ref="E299:E299">SUM(IF(MONTH(NymexData!$A$12:$A$250)&amp;YEAR(NymexData!$A$12:$A$250)=MONTH(A299)&amp;YEAR(A299),NymexData!$B$12:$B$250))</f>
        <v>-0.47</v>
      </c>
      <c r="F299" s="327" t="n">
        <f aca="false">G299-E299</f>
        <v>0</v>
      </c>
      <c r="G299" s="328" t="n">
        <f aca="false" t="array" ref="G299:G299">IF(NymexData!$H$12="",GasPosn!E299,SUM(IF(MONTH(NymexData!$H$12:$H$250)&amp;YEAR(NymexData!$H$12:$H$250)=MONTH(A299)&amp;YEAR(A299),NymexData!$I$12:$I$250)))</f>
        <v>-0.47</v>
      </c>
      <c r="H299" s="115" t="n">
        <f aca="false">B299*10000*F299</f>
        <v>-0</v>
      </c>
      <c r="I299" s="119" t="n">
        <f aca="false">(((G299-Q299)*P299+(G299-S299)*R299+(G299-U299)*T299+(G299-W299)*V299+(G299-Y299)*X299+(G299-AA299)*Z299+(G299-AC299)*AB299+(G299-AE299)*AD299+(G299-AG299)*AF299+(G299-AI299)*AH299+(G299-AK299)*AJ299+(G299-AM299)*AL299+(G299-AO299)*AN299+(G299-AQ299)*AP299+(G299-AS299)*AR299+(G299-AU299)*AT299+(G299-AW299)*AV299+(G299-AY299)*AX299+(G299-BA299)*AZ299+(G299-BC299)*BB299)*BJ299*BI299)*10000</f>
        <v>-0</v>
      </c>
      <c r="J299" s="119" t="n">
        <f aca="false">H299+I299</f>
        <v>-0</v>
      </c>
      <c r="O299" s="95" t="n">
        <f aca="false">A299</f>
        <v>40210</v>
      </c>
      <c r="BD299" s="100" t="n">
        <f aca="false">(P299+R299+T299+V299+X299+Z299+AB299+AD299+AF299+AH299+AJ299+AL299+AN299+AP299+AR299+AT299+AV299+AX299+AZ299+BB299)</f>
        <v>0</v>
      </c>
      <c r="BE299" s="322" t="n">
        <f aca="false">IF(AND(BD299=0,BH299=0),0,(ABS(P299)*Q299+ABS(R299)*S299+ABS(T299)*U299+ABS(V299)*W299+ABS(X299)*Y299+ABS(Z299)*AA299+ABS(AB299)*AC299+ABS(AD299)*AE299+ABS(AF299)*AG299+ABS(AH299)*AI299+ABS(AJ299)*AK299+ABS(AL299)*AM299+ABS(AN299)*AO299+ABS(AP299)*AQ299+ABS(AR299)*AS299+ABS(AT299)*AU299+ABS(AV299)*AW299+ABS(AX299)*AY299+ABS(AZ299)*BA299+ABS(BB299)*BC299)/BH299)</f>
        <v>0</v>
      </c>
      <c r="BG299" s="103" t="n">
        <f aca="false">O299</f>
        <v>40210</v>
      </c>
      <c r="BH299" s="323" t="n">
        <f aca="false">(ABS(P299)+ABS(R299)+ABS(T299)+ABS(V299)+ABS(X299)+ABS(Z299)+ABS(AB299)+ABS(AD299)+ABS(AF299)+ABS(AH299)+ABS(AJ299)+ABS(AL299)+ABS(AN299)+ABS(AP299)+ABS(AR299)+ABS(AT299)+ABS(AV299)+ABS(AX299)+ABS(AZ299)+ABS(BB299))</f>
        <v>0</v>
      </c>
      <c r="BI299" s="104" t="n">
        <f aca="false">VLOOKUP(GasPosn!A299,'Pricing Summary'!$AB$12:$AD$250,3)</f>
        <v>28</v>
      </c>
      <c r="BJ299" s="102" t="n">
        <f aca="false">VLOOKUP(A299,Interest!$AF$8:$AK$367,6)</f>
        <v>0.650983350641565</v>
      </c>
      <c r="BL299" s="0" t="n">
        <f aca="false">J299*VLOOKUP(A299,NymexData!$J$12:$K$244,2)</f>
        <v>-0</v>
      </c>
      <c r="BO299" s="0" t="n">
        <f aca="false">BO111</f>
        <v>0.650983350641565</v>
      </c>
      <c r="BP299" s="0" t="n">
        <f aca="false">G299*BO299</f>
        <v>-0.305962174801536</v>
      </c>
      <c r="BQ299" s="0" t="n">
        <f aca="false">IF(AND(A299&gt;=$B$191,A299&lt;=$B$192),1,0)</f>
        <v>0</v>
      </c>
      <c r="BR299" s="0" t="n">
        <f aca="false">BO299*BQ299</f>
        <v>0</v>
      </c>
      <c r="BS299" s="0" t="n">
        <f aca="false">BP299*BQ299</f>
        <v>-0</v>
      </c>
    </row>
    <row r="300" customFormat="false" ht="18" hidden="false" customHeight="false" outlineLevel="0" collapsed="false">
      <c r="A300" s="75" t="n">
        <f aca="false">A112</f>
        <v>40238</v>
      </c>
      <c r="B300" s="317" t="n">
        <f aca="false" t="array" ref="B300:B300">SUM(IF(MONTH(NymexData!$AL$12:$AL$250)&amp;YEAR(NymexData!$AL$12:$AL$250)=MONTH(A300)&amp;YEAR(A300),NymexData!$AM$12:$AM$250))</f>
        <v>-79.73747303</v>
      </c>
      <c r="C300" s="317" t="n">
        <f aca="false">BD300*BJ300*BI300</f>
        <v>0</v>
      </c>
      <c r="D300" s="319" t="n">
        <f aca="false">C300+B300</f>
        <v>-79.73747303</v>
      </c>
      <c r="E300" s="320" t="n">
        <f aca="false" t="array" ref="E300:E300">SUM(IF(MONTH(NymexData!$A$12:$A$250)&amp;YEAR(NymexData!$A$12:$A$250)=MONTH(A300)&amp;YEAR(A300),NymexData!$B$12:$B$250))</f>
        <v>-0.47</v>
      </c>
      <c r="F300" s="320" t="n">
        <f aca="false">G300-E300</f>
        <v>0</v>
      </c>
      <c r="G300" s="321" t="n">
        <f aca="false" t="array" ref="G300:G300">IF(NymexData!$H$12="",GasPosn!E300,SUM(IF(MONTH(NymexData!$H$12:$H$250)&amp;YEAR(NymexData!$H$12:$H$250)=MONTH(A300)&amp;YEAR(A300),NymexData!$I$12:$I$250)))</f>
        <v>-0.47</v>
      </c>
      <c r="H300" s="76" t="n">
        <f aca="false">B300*10000*F300</f>
        <v>-0</v>
      </c>
      <c r="I300" s="82" t="n">
        <f aca="false">(((G300-Q300)*P300+(G300-S300)*R300+(G300-U300)*T300+(G300-W300)*V300+(G300-Y300)*X300+(G300-AA300)*Z300+(G300-AC300)*AB300+(G300-AE300)*AD300+(G300-AG300)*AF300+(G300-AI300)*AH300+(G300-AK300)*AJ300+(G300-AM300)*AL300+(G300-AO300)*AN300+(G300-AQ300)*AP300+(G300-AS300)*AR300+(G300-AU300)*AT300+(G300-AW300)*AV300+(G300-AY300)*AX300+(G300-BA300)*AZ300+(G300-BC300)*BB300)*BJ300*BI300)*10000</f>
        <v>-0</v>
      </c>
      <c r="J300" s="82" t="n">
        <f aca="false">H300+I300</f>
        <v>-0</v>
      </c>
      <c r="O300" s="95" t="n">
        <f aca="false">A300</f>
        <v>40238</v>
      </c>
      <c r="BD300" s="100" t="n">
        <f aca="false">(P300+R300+T300+V300+X300+Z300+AB300+AD300+AF300+AH300+AJ300+AL300+AN300+AP300+AR300+AT300+AV300+AX300+AZ300+BB300)</f>
        <v>0</v>
      </c>
      <c r="BE300" s="322" t="n">
        <f aca="false">IF(AND(BD300=0,BH300=0),0,(ABS(P300)*Q300+ABS(R300)*S300+ABS(T300)*U300+ABS(V300)*W300+ABS(X300)*Y300+ABS(Z300)*AA300+ABS(AB300)*AC300+ABS(AD300)*AE300+ABS(AF300)*AG300+ABS(AH300)*AI300+ABS(AJ300)*AK300+ABS(AL300)*AM300+ABS(AN300)*AO300+ABS(AP300)*AQ300+ABS(AR300)*AS300+ABS(AT300)*AU300+ABS(AV300)*AW300+ABS(AX300)*AY300+ABS(AZ300)*BA300+ABS(BB300)*BC300)/BH300)</f>
        <v>0</v>
      </c>
      <c r="BG300" s="103" t="n">
        <f aca="false">O300</f>
        <v>40238</v>
      </c>
      <c r="BH300" s="323" t="n">
        <f aca="false">(ABS(P300)+ABS(R300)+ABS(T300)+ABS(V300)+ABS(X300)+ABS(Z300)+ABS(AB300)+ABS(AD300)+ABS(AF300)+ABS(AH300)+ABS(AJ300)+ABS(AL300)+ABS(AN300)+ABS(AP300)+ABS(AR300)+ABS(AT300)+ABS(AV300)+ABS(AX300)+ABS(AZ300)+ABS(BB300))</f>
        <v>0</v>
      </c>
      <c r="BI300" s="104" t="n">
        <f aca="false">VLOOKUP(GasPosn!A300,'Pricing Summary'!$AB$12:$AD$250,3)</f>
        <v>31</v>
      </c>
      <c r="BJ300" s="102" t="n">
        <f aca="false">VLOOKUP(A300,Interest!$AF$8:$AK$367,6)</f>
        <v>0.647629912467334</v>
      </c>
      <c r="BL300" s="0" t="n">
        <f aca="false">J300*VLOOKUP(A300,NymexData!$J$12:$K$244,2)</f>
        <v>-0</v>
      </c>
      <c r="BO300" s="0" t="n">
        <f aca="false">BO112</f>
        <v>0.647629912467334</v>
      </c>
      <c r="BP300" s="0" t="n">
        <f aca="false">G300*BO300</f>
        <v>-0.304386058859647</v>
      </c>
      <c r="BQ300" s="0" t="n">
        <f aca="false">IF(AND(A300&gt;=$B$191,A300&lt;=$B$192),1,0)</f>
        <v>0</v>
      </c>
      <c r="BR300" s="0" t="n">
        <f aca="false">BO300*BQ300</f>
        <v>0</v>
      </c>
      <c r="BS300" s="0" t="n">
        <f aca="false">BP300*BQ300</f>
        <v>-0</v>
      </c>
    </row>
    <row r="301" customFormat="false" ht="18" hidden="false" customHeight="false" outlineLevel="0" collapsed="false">
      <c r="A301" s="112" t="n">
        <f aca="false">A113</f>
        <v>40269</v>
      </c>
      <c r="B301" s="324" t="n">
        <f aca="false" t="array" ref="B301:B301">SUM(IF(MONTH(NymexData!$AL$12:$AL$250)&amp;YEAR(NymexData!$AL$12:$AL$250)=MONTH(A301)&amp;YEAR(A301),NymexData!$AM$12:$AM$250))</f>
        <v>-76.70283761</v>
      </c>
      <c r="C301" s="325" t="n">
        <f aca="false">BD301*BJ301*BI301</f>
        <v>0</v>
      </c>
      <c r="D301" s="326" t="n">
        <f aca="false">C301+B301</f>
        <v>-76.70283761</v>
      </c>
      <c r="E301" s="327" t="n">
        <f aca="false" t="array" ref="E301:E301">SUM(IF(MONTH(NymexData!$A$12:$A$250)&amp;YEAR(NymexData!$A$12:$A$250)=MONTH(A301)&amp;YEAR(A301),NymexData!$B$12:$B$250))</f>
        <v>-0.595</v>
      </c>
      <c r="F301" s="327" t="n">
        <f aca="false">G301-E301</f>
        <v>0</v>
      </c>
      <c r="G301" s="328" t="n">
        <f aca="false" t="array" ref="G301:G301">IF(NymexData!$H$12="",GasPosn!E301,SUM(IF(MONTH(NymexData!$H$12:$H$250)&amp;YEAR(NymexData!$H$12:$H$250)=MONTH(A301)&amp;YEAR(A301),NymexData!$I$12:$I$250)))</f>
        <v>-0.595</v>
      </c>
      <c r="H301" s="115" t="n">
        <f aca="false">B301*10000*F301</f>
        <v>-0</v>
      </c>
      <c r="I301" s="119" t="n">
        <f aca="false">(((G301-Q301)*P301+(G301-S301)*R301+(G301-U301)*T301+(G301-W301)*V301+(G301-Y301)*X301+(G301-AA301)*Z301+(G301-AC301)*AB301+(G301-AE301)*AD301+(G301-AG301)*AF301+(G301-AI301)*AH301+(G301-AK301)*AJ301+(G301-AM301)*AL301+(G301-AO301)*AN301+(G301-AQ301)*AP301+(G301-AS301)*AR301+(G301-AU301)*AT301+(G301-AW301)*AV301+(G301-AY301)*AX301+(G301-BA301)*AZ301+(G301-BC301)*BB301)*BJ301*BI301)*10000</f>
        <v>-0</v>
      </c>
      <c r="J301" s="119" t="n">
        <f aca="false">H301+I301</f>
        <v>-0</v>
      </c>
      <c r="O301" s="95" t="n">
        <f aca="false">A301</f>
        <v>40269</v>
      </c>
      <c r="BD301" s="100" t="n">
        <f aca="false">(P301+R301+T301+V301+X301+Z301+AB301+AD301+AF301+AH301+AJ301+AL301+AN301+AP301+AR301+AT301+AV301+AX301+AZ301+BB301)</f>
        <v>0</v>
      </c>
      <c r="BE301" s="322" t="n">
        <f aca="false">IF(AND(BD301=0,BH301=0),0,(ABS(P301)*Q301+ABS(R301)*S301+ABS(T301)*U301+ABS(V301)*W301+ABS(X301)*Y301+ABS(Z301)*AA301+ABS(AB301)*AC301+ABS(AD301)*AE301+ABS(AF301)*AG301+ABS(AH301)*AI301+ABS(AJ301)*AK301+ABS(AL301)*AM301+ABS(AN301)*AO301+ABS(AP301)*AQ301+ABS(AR301)*AS301+ABS(AT301)*AU301+ABS(AV301)*AW301+ABS(AX301)*AY301+ABS(AZ301)*BA301+ABS(BB301)*BC301)/BH301)</f>
        <v>0</v>
      </c>
      <c r="BG301" s="103" t="n">
        <f aca="false">O301</f>
        <v>40269</v>
      </c>
      <c r="BH301" s="323" t="n">
        <f aca="false">(ABS(P301)+ABS(R301)+ABS(T301)+ABS(V301)+ABS(X301)+ABS(Z301)+ABS(AB301)+ABS(AD301)+ABS(AF301)+ABS(AH301)+ABS(AJ301)+ABS(AL301)+ABS(AN301)+ABS(AP301)+ABS(AR301)+ABS(AT301)+ABS(AV301)+ABS(AX301)+ABS(AZ301)+ABS(BB301))</f>
        <v>0</v>
      </c>
      <c r="BI301" s="104" t="n">
        <f aca="false">VLOOKUP(GasPosn!A301,'Pricing Summary'!$AB$12:$AD$250,3)</f>
        <v>30</v>
      </c>
      <c r="BJ301" s="102" t="n">
        <f aca="false">VLOOKUP(A301,Interest!$AF$8:$AK$367,6)</f>
        <v>0.644318098260801</v>
      </c>
      <c r="BL301" s="0" t="n">
        <f aca="false">J301*VLOOKUP(A301,NymexData!$J$12:$K$244,2)</f>
        <v>-0</v>
      </c>
      <c r="BO301" s="0" t="n">
        <f aca="false">BO113</f>
        <v>0.644318098260801</v>
      </c>
      <c r="BP301" s="0" t="n">
        <f aca="false">G301*BO301</f>
        <v>-0.383369268465177</v>
      </c>
      <c r="BQ301" s="0" t="n">
        <f aca="false">IF(AND(A301&gt;=$B$191,A301&lt;=$B$192),1,0)</f>
        <v>0</v>
      </c>
      <c r="BR301" s="0" t="n">
        <f aca="false">BO301*BQ301</f>
        <v>0</v>
      </c>
      <c r="BS301" s="0" t="n">
        <f aca="false">BP301*BQ301</f>
        <v>-0</v>
      </c>
    </row>
    <row r="302" customFormat="false" ht="18" hidden="false" customHeight="false" outlineLevel="0" collapsed="false">
      <c r="A302" s="75" t="n">
        <f aca="false">A114</f>
        <v>40299</v>
      </c>
      <c r="B302" s="317" t="n">
        <f aca="false" t="array" ref="B302:B302">SUM(IF(MONTH(NymexData!$AL$12:$AL$250)&amp;YEAR(NymexData!$AL$12:$AL$250)=MONTH(A302)&amp;YEAR(A302),NymexData!$AM$12:$AM$250))</f>
        <v>-78.7975776</v>
      </c>
      <c r="C302" s="317" t="n">
        <f aca="false">BD302*BJ302*BI302</f>
        <v>0</v>
      </c>
      <c r="D302" s="319" t="n">
        <f aca="false">C302+B302</f>
        <v>-78.7975776</v>
      </c>
      <c r="E302" s="320" t="n">
        <f aca="false" t="array" ref="E302:E302">SUM(IF(MONTH(NymexData!$A$12:$A$250)&amp;YEAR(NymexData!$A$12:$A$250)=MONTH(A302)&amp;YEAR(A302),NymexData!$B$12:$B$250))</f>
        <v>-0.595</v>
      </c>
      <c r="F302" s="320" t="n">
        <f aca="false">G302-E302</f>
        <v>0</v>
      </c>
      <c r="G302" s="321" t="n">
        <f aca="false" t="array" ref="G302:G302">IF(NymexData!$H$12="",GasPosn!E302,SUM(IF(MONTH(NymexData!$H$12:$H$250)&amp;YEAR(NymexData!$H$12:$H$250)=MONTH(A302)&amp;YEAR(A302),NymexData!$I$12:$I$250)))</f>
        <v>-0.595</v>
      </c>
      <c r="H302" s="76" t="n">
        <f aca="false">B302*10000*F302</f>
        <v>-0</v>
      </c>
      <c r="I302" s="82" t="n">
        <f aca="false">(((G302-Q302)*P302+(G302-S302)*R302+(G302-U302)*T302+(G302-W302)*V302+(G302-Y302)*X302+(G302-AA302)*Z302+(G302-AC302)*AB302+(G302-AE302)*AD302+(G302-AG302)*AF302+(G302-AI302)*AH302+(G302-AK302)*AJ302+(G302-AM302)*AL302+(G302-AO302)*AN302+(G302-AQ302)*AP302+(G302-AS302)*AR302+(G302-AU302)*AT302+(G302-AW302)*AV302+(G302-AY302)*AX302+(G302-BA302)*AZ302+(G302-BC302)*BB302)*BJ302*BI302)*10000</f>
        <v>-0</v>
      </c>
      <c r="J302" s="82" t="n">
        <f aca="false">H302+I302</f>
        <v>-0</v>
      </c>
      <c r="O302" s="95" t="n">
        <f aca="false">A302</f>
        <v>40299</v>
      </c>
      <c r="BD302" s="100" t="n">
        <f aca="false">(P302+R302+T302+V302+X302+Z302+AB302+AD302+AF302+AH302+AJ302+AL302+AN302+AP302+AR302+AT302+AV302+AX302+AZ302+BB302)</f>
        <v>0</v>
      </c>
      <c r="BE302" s="322" t="n">
        <f aca="false">IF(AND(BD302=0,BH302=0),0,(ABS(P302)*Q302+ABS(R302)*S302+ABS(T302)*U302+ABS(V302)*W302+ABS(X302)*Y302+ABS(Z302)*AA302+ABS(AB302)*AC302+ABS(AD302)*AE302+ABS(AF302)*AG302+ABS(AH302)*AI302+ABS(AJ302)*AK302+ABS(AL302)*AM302+ABS(AN302)*AO302+ABS(AP302)*AQ302+ABS(AR302)*AS302+ABS(AT302)*AU302+ABS(AV302)*AW302+ABS(AX302)*AY302+ABS(AZ302)*BA302+ABS(BB302)*BC302)/BH302)</f>
        <v>0</v>
      </c>
      <c r="BG302" s="103" t="n">
        <f aca="false">O302</f>
        <v>40299</v>
      </c>
      <c r="BH302" s="323" t="n">
        <f aca="false">(ABS(P302)+ABS(R302)+ABS(T302)+ABS(V302)+ABS(X302)+ABS(Z302)+ABS(AB302)+ABS(AD302)+ABS(AF302)+ABS(AH302)+ABS(AJ302)+ABS(AL302)+ABS(AN302)+ABS(AP302)+ABS(AR302)+ABS(AT302)+ABS(AV302)+ABS(AX302)+ABS(AZ302)+ABS(BB302))</f>
        <v>0</v>
      </c>
      <c r="BI302" s="104" t="n">
        <f aca="false">VLOOKUP(GasPosn!A302,'Pricing Summary'!$AB$12:$AD$250,3)</f>
        <v>31</v>
      </c>
      <c r="BJ302" s="102" t="n">
        <f aca="false">VLOOKUP(A302,Interest!$AF$8:$AK$367,6)</f>
        <v>0.6409402709243</v>
      </c>
      <c r="BL302" s="0" t="n">
        <f aca="false">J302*VLOOKUP(A302,NymexData!$J$12:$K$244,2)</f>
        <v>-0</v>
      </c>
      <c r="BO302" s="0" t="n">
        <f aca="false">BO114</f>
        <v>0.6409402709243</v>
      </c>
      <c r="BP302" s="0" t="n">
        <f aca="false">G302*BO302</f>
        <v>-0.381359461199959</v>
      </c>
      <c r="BQ302" s="0" t="n">
        <f aca="false">IF(AND(A302&gt;=$B$191,A302&lt;=$B$192),1,0)</f>
        <v>0</v>
      </c>
      <c r="BR302" s="0" t="n">
        <f aca="false">BO302*BQ302</f>
        <v>0</v>
      </c>
      <c r="BS302" s="0" t="n">
        <f aca="false">BP302*BQ302</f>
        <v>-0</v>
      </c>
    </row>
    <row r="303" customFormat="false" ht="18" hidden="false" customHeight="false" outlineLevel="0" collapsed="false">
      <c r="A303" s="112" t="n">
        <f aca="false">A115</f>
        <v>40330</v>
      </c>
      <c r="B303" s="324" t="n">
        <f aca="false" t="array" ref="B303:B303">SUM(IF(MONTH(NymexData!$AL$12:$AL$250)&amp;YEAR(NymexData!$AL$12:$AL$250)=MONTH(A303)&amp;YEAR(A303),NymexData!$AM$12:$AM$250))</f>
        <v>-75.79416159</v>
      </c>
      <c r="C303" s="325" t="n">
        <f aca="false">BD303*BJ303*BI303</f>
        <v>0</v>
      </c>
      <c r="D303" s="326" t="n">
        <f aca="false">C303+B303</f>
        <v>-75.79416159</v>
      </c>
      <c r="E303" s="327" t="n">
        <f aca="false" t="array" ref="E303:E303">SUM(IF(MONTH(NymexData!$A$12:$A$250)&amp;YEAR(NymexData!$A$12:$A$250)=MONTH(A303)&amp;YEAR(A303),NymexData!$B$12:$B$250))</f>
        <v>-0.595</v>
      </c>
      <c r="F303" s="327" t="n">
        <f aca="false">G303-E303</f>
        <v>0</v>
      </c>
      <c r="G303" s="328" t="n">
        <f aca="false" t="array" ref="G303:G303">IF(NymexData!$H$12="",GasPosn!E303,SUM(IF(MONTH(NymexData!$H$12:$H$250)&amp;YEAR(NymexData!$H$12:$H$250)=MONTH(A303)&amp;YEAR(A303),NymexData!$I$12:$I$250)))</f>
        <v>-0.595</v>
      </c>
      <c r="H303" s="115" t="n">
        <f aca="false">B303*10000*F303</f>
        <v>-0</v>
      </c>
      <c r="I303" s="119" t="n">
        <f aca="false">(((G303-Q303)*P303+(G303-S303)*R303+(G303-U303)*T303+(G303-W303)*V303+(G303-Y303)*X303+(G303-AA303)*Z303+(G303-AC303)*AB303+(G303-AE303)*AD303+(G303-AG303)*AF303+(G303-AI303)*AH303+(G303-AK303)*AJ303+(G303-AM303)*AL303+(G303-AO303)*AN303+(G303-AQ303)*AP303+(G303-AS303)*AR303+(G303-AU303)*AT303+(G303-AW303)*AV303+(G303-AY303)*AX303+(G303-BA303)*AZ303+(G303-BC303)*BB303)*BJ303*BI303)*10000</f>
        <v>-0</v>
      </c>
      <c r="J303" s="119" t="n">
        <f aca="false">H303+I303</f>
        <v>-0</v>
      </c>
      <c r="O303" s="95" t="n">
        <f aca="false">A303</f>
        <v>40330</v>
      </c>
      <c r="BD303" s="100" t="n">
        <f aca="false">(P303+R303+T303+V303+X303+Z303+AB303+AD303+AF303+AH303+AJ303+AL303+AN303+AP303+AR303+AT303+AV303+AX303+AZ303+BB303)</f>
        <v>0</v>
      </c>
      <c r="BE303" s="322" t="n">
        <f aca="false">IF(AND(BD303=0,BH303=0),0,(ABS(P303)*Q303+ABS(R303)*S303+ABS(T303)*U303+ABS(V303)*W303+ABS(X303)*Y303+ABS(Z303)*AA303+ABS(AB303)*AC303+ABS(AD303)*AE303+ABS(AF303)*AG303+ABS(AH303)*AI303+ABS(AJ303)*AK303+ABS(AL303)*AM303+ABS(AN303)*AO303+ABS(AP303)*AQ303+ABS(AR303)*AS303+ABS(AT303)*AU303+ABS(AV303)*AW303+ABS(AX303)*AY303+ABS(AZ303)*BA303+ABS(BB303)*BC303)/BH303)</f>
        <v>0</v>
      </c>
      <c r="BG303" s="103" t="n">
        <f aca="false">O303</f>
        <v>40330</v>
      </c>
      <c r="BH303" s="323" t="n">
        <f aca="false">(ABS(P303)+ABS(R303)+ABS(T303)+ABS(V303)+ABS(X303)+ABS(Z303)+ABS(AB303)+ABS(AD303)+ABS(AF303)+ABS(AH303)+ABS(AJ303)+ABS(AL303)+ABS(AN303)+ABS(AP303)+ABS(AR303)+ABS(AT303)+ABS(AV303)+ABS(AX303)+ABS(AZ303)+ABS(BB303))</f>
        <v>0</v>
      </c>
      <c r="BI303" s="104" t="n">
        <f aca="false">VLOOKUP(GasPosn!A303,'Pricing Summary'!$AB$12:$AD$250,3)</f>
        <v>30</v>
      </c>
      <c r="BJ303" s="102" t="n">
        <f aca="false">VLOOKUP(A303,Interest!$AF$8:$AK$367,6)</f>
        <v>0.637640585398444</v>
      </c>
      <c r="BL303" s="0" t="n">
        <f aca="false">J303*VLOOKUP(A303,NymexData!$J$12:$K$244,2)</f>
        <v>-0</v>
      </c>
      <c r="BO303" s="0" t="n">
        <f aca="false">BO115</f>
        <v>0.637640585398444</v>
      </c>
      <c r="BP303" s="0" t="n">
        <f aca="false">G303*BO303</f>
        <v>-0.379396148312074</v>
      </c>
      <c r="BQ303" s="0" t="n">
        <f aca="false">IF(AND(A303&gt;=$B$191,A303&lt;=$B$192),1,0)</f>
        <v>0</v>
      </c>
      <c r="BR303" s="0" t="n">
        <f aca="false">BO303*BQ303</f>
        <v>0</v>
      </c>
      <c r="BS303" s="0" t="n">
        <f aca="false">BP303*BQ303</f>
        <v>-0</v>
      </c>
    </row>
    <row r="304" customFormat="false" ht="18" hidden="false" customHeight="false" outlineLevel="0" collapsed="false">
      <c r="A304" s="75" t="n">
        <f aca="false">A116</f>
        <v>40360</v>
      </c>
      <c r="B304" s="317" t="n">
        <f aca="false" t="array" ref="B304:B304">SUM(IF(MONTH(NymexData!$AL$12:$AL$250)&amp;YEAR(NymexData!$AL$12:$AL$250)=MONTH(A304)&amp;YEAR(A304),NymexData!$AM$12:$AM$250))</f>
        <v>-77.85956215</v>
      </c>
      <c r="C304" s="317" t="n">
        <f aca="false">BD304*BJ304*BI304</f>
        <v>0</v>
      </c>
      <c r="D304" s="319" t="n">
        <f aca="false">C304+B304</f>
        <v>-77.85956215</v>
      </c>
      <c r="E304" s="320" t="n">
        <f aca="false" t="array" ref="E304:E304">SUM(IF(MONTH(NymexData!$A$12:$A$250)&amp;YEAR(NymexData!$A$12:$A$250)=MONTH(A304)&amp;YEAR(A304),NymexData!$B$12:$B$250))</f>
        <v>-0.595</v>
      </c>
      <c r="F304" s="320" t="n">
        <f aca="false">G304-E304</f>
        <v>0</v>
      </c>
      <c r="G304" s="321" t="n">
        <f aca="false" t="array" ref="G304:G304">IF(NymexData!$H$12="",GasPosn!E304,SUM(IF(MONTH(NymexData!$H$12:$H$250)&amp;YEAR(NymexData!$H$12:$H$250)=MONTH(A304)&amp;YEAR(A304),NymexData!$I$12:$I$250)))</f>
        <v>-0.595</v>
      </c>
      <c r="H304" s="76" t="n">
        <f aca="false">B304*10000*F304</f>
        <v>-0</v>
      </c>
      <c r="I304" s="82" t="n">
        <f aca="false">(((G304-Q304)*P304+(G304-S304)*R304+(G304-U304)*T304+(G304-W304)*V304+(G304-Y304)*X304+(G304-AA304)*Z304+(G304-AC304)*AB304+(G304-AE304)*AD304+(G304-AG304)*AF304+(G304-AI304)*AH304+(G304-AK304)*AJ304+(G304-AM304)*AL304+(G304-AO304)*AN304+(G304-AQ304)*AP304+(G304-AS304)*AR304+(G304-AU304)*AT304+(G304-AW304)*AV304+(G304-AY304)*AX304+(G304-BA304)*AZ304+(G304-BC304)*BB304)*BJ304*BI304)*10000</f>
        <v>-0</v>
      </c>
      <c r="J304" s="82" t="n">
        <f aca="false">H304+I304</f>
        <v>-0</v>
      </c>
      <c r="O304" s="95" t="n">
        <f aca="false">A304</f>
        <v>40360</v>
      </c>
      <c r="BD304" s="100" t="n">
        <f aca="false">(P304+R304+T304+V304+X304+Z304+AB304+AD304+AF304+AH304+AJ304+AL304+AN304+AP304+AR304+AT304+AV304+AX304+AZ304+BB304)</f>
        <v>0</v>
      </c>
      <c r="BE304" s="322" t="n">
        <f aca="false">IF(AND(BD304=0,BH304=0),0,(ABS(P304)*Q304+ABS(R304)*S304+ABS(T304)*U304+ABS(V304)*W304+ABS(X304)*Y304+ABS(Z304)*AA304+ABS(AB304)*AC304+ABS(AD304)*AE304+ABS(AF304)*AG304+ABS(AH304)*AI304+ABS(AJ304)*AK304+ABS(AL304)*AM304+ABS(AN304)*AO304+ABS(AP304)*AQ304+ABS(AR304)*AS304+ABS(AT304)*AU304+ABS(AV304)*AW304+ABS(AX304)*AY304+ABS(AZ304)*BA304+ABS(BB304)*BC304)/BH304)</f>
        <v>0</v>
      </c>
      <c r="BG304" s="103" t="n">
        <f aca="false">O304</f>
        <v>40360</v>
      </c>
      <c r="BH304" s="323" t="n">
        <f aca="false">(ABS(P304)+ABS(R304)+ABS(T304)+ABS(V304)+ABS(X304)+ABS(Z304)+ABS(AB304)+ABS(AD304)+ABS(AF304)+ABS(AH304)+ABS(AJ304)+ABS(AL304)+ABS(AN304)+ABS(AP304)+ABS(AR304)+ABS(AT304)+ABS(AV304)+ABS(AX304)+ABS(AZ304)+ABS(BB304))</f>
        <v>0</v>
      </c>
      <c r="BI304" s="104" t="n">
        <f aca="false">VLOOKUP(GasPosn!A304,'Pricing Summary'!$AB$12:$AD$250,3)</f>
        <v>31</v>
      </c>
      <c r="BJ304" s="102" t="n">
        <f aca="false">VLOOKUP(A304,Interest!$AF$8:$AK$367,6)</f>
        <v>0.6342758006695</v>
      </c>
      <c r="BL304" s="0" t="n">
        <f aca="false">J304*VLOOKUP(A304,NymexData!$J$12:$K$244,2)</f>
        <v>-0</v>
      </c>
      <c r="BO304" s="0" t="n">
        <f aca="false">BO116</f>
        <v>0.6342758006695</v>
      </c>
      <c r="BP304" s="0" t="n">
        <f aca="false">G304*BO304</f>
        <v>-0.377394101398353</v>
      </c>
      <c r="BQ304" s="0" t="n">
        <f aca="false">IF(AND(A304&gt;=$B$191,A304&lt;=$B$192),1,0)</f>
        <v>0</v>
      </c>
      <c r="BR304" s="0" t="n">
        <f aca="false">BO304*BQ304</f>
        <v>0</v>
      </c>
      <c r="BS304" s="0" t="n">
        <f aca="false">BP304*BQ304</f>
        <v>-0</v>
      </c>
    </row>
    <row r="305" customFormat="false" ht="18" hidden="false" customHeight="false" outlineLevel="0" collapsed="false">
      <c r="A305" s="112" t="n">
        <f aca="false">A117</f>
        <v>40391</v>
      </c>
      <c r="B305" s="324" t="n">
        <f aca="false" t="array" ref="B305:B305">SUM(IF(MONTH(NymexData!$AL$12:$AL$250)&amp;YEAR(NymexData!$AL$12:$AL$250)=MONTH(A305)&amp;YEAR(A305),NymexData!$AM$12:$AM$250))</f>
        <v>-77.38365055</v>
      </c>
      <c r="C305" s="325" t="n">
        <f aca="false">BD305*BJ305*BI305</f>
        <v>0</v>
      </c>
      <c r="D305" s="326" t="n">
        <f aca="false">C305+B305</f>
        <v>-77.38365055</v>
      </c>
      <c r="E305" s="327" t="n">
        <f aca="false" t="array" ref="E305:E305">SUM(IF(MONTH(NymexData!$A$12:$A$250)&amp;YEAR(NymexData!$A$12:$A$250)=MONTH(A305)&amp;YEAR(A305),NymexData!$B$12:$B$250))</f>
        <v>-0.595</v>
      </c>
      <c r="F305" s="327" t="n">
        <f aca="false">G305-E305</f>
        <v>0</v>
      </c>
      <c r="G305" s="328" t="n">
        <f aca="false" t="array" ref="G305:G305">IF(NymexData!$H$12="",GasPosn!E305,SUM(IF(MONTH(NymexData!$H$12:$H$250)&amp;YEAR(NymexData!$H$12:$H$250)=MONTH(A305)&amp;YEAR(A305),NymexData!$I$12:$I$250)))</f>
        <v>-0.595</v>
      </c>
      <c r="H305" s="115" t="n">
        <f aca="false">B305*10000*F305</f>
        <v>-0</v>
      </c>
      <c r="I305" s="119" t="n">
        <f aca="false">(((G305-Q305)*P305+(G305-S305)*R305+(G305-U305)*T305+(G305-W305)*V305+(G305-Y305)*X305+(G305-AA305)*Z305+(G305-AC305)*AB305+(G305-AE305)*AD305+(G305-AG305)*AF305+(G305-AI305)*AH305+(G305-AK305)*AJ305+(G305-AM305)*AL305+(G305-AO305)*AN305+(G305-AQ305)*AP305+(G305-AS305)*AR305+(G305-AU305)*AT305+(G305-AW305)*AV305+(G305-AY305)*AX305+(G305-BA305)*AZ305+(G305-BC305)*BB305)*BJ305*BI305)*10000</f>
        <v>-0</v>
      </c>
      <c r="J305" s="119" t="n">
        <f aca="false">H305+I305</f>
        <v>-0</v>
      </c>
      <c r="O305" s="95" t="n">
        <f aca="false">A305</f>
        <v>40391</v>
      </c>
      <c r="BD305" s="100" t="n">
        <f aca="false">(P305+R305+T305+V305+X305+Z305+AB305+AD305+AF305+AH305+AJ305+AL305+AN305+AP305+AR305+AT305+AV305+AX305+AZ305+BB305)</f>
        <v>0</v>
      </c>
      <c r="BE305" s="322" t="n">
        <f aca="false">IF(AND(BD305=0,BH305=0),0,(ABS(P305)*Q305+ABS(R305)*S305+ABS(T305)*U305+ABS(V305)*W305+ABS(X305)*Y305+ABS(Z305)*AA305+ABS(AB305)*AC305+ABS(AD305)*AE305+ABS(AF305)*AG305+ABS(AH305)*AI305+ABS(AJ305)*AK305+ABS(AL305)*AM305+ABS(AN305)*AO305+ABS(AP305)*AQ305+ABS(AR305)*AS305+ABS(AT305)*AU305+ABS(AV305)*AW305+ABS(AX305)*AY305+ABS(AZ305)*BA305+ABS(BB305)*BC305)/BH305)</f>
        <v>0</v>
      </c>
      <c r="BG305" s="103" t="n">
        <f aca="false">O305</f>
        <v>40391</v>
      </c>
      <c r="BH305" s="323" t="n">
        <f aca="false">(ABS(P305)+ABS(R305)+ABS(T305)+ABS(V305)+ABS(X305)+ABS(Z305)+ABS(AB305)+ABS(AD305)+ABS(AF305)+ABS(AH305)+ABS(AJ305)+ABS(AL305)+ABS(AN305)+ABS(AP305)+ABS(AR305)+ABS(AT305)+ABS(AV305)+ABS(AX305)+ABS(AZ305)+ABS(BB305))</f>
        <v>0</v>
      </c>
      <c r="BI305" s="104" t="n">
        <f aca="false">VLOOKUP(GasPosn!A305,'Pricing Summary'!$AB$12:$AD$250,3)</f>
        <v>31</v>
      </c>
      <c r="BJ305" s="102" t="n">
        <f aca="false">VLOOKUP(A305,Interest!$AF$8:$AK$367,6)</f>
        <v>0.630898798157219</v>
      </c>
      <c r="BL305" s="0" t="n">
        <f aca="false">J305*VLOOKUP(A305,NymexData!$J$12:$K$244,2)</f>
        <v>-0</v>
      </c>
      <c r="BO305" s="0" t="n">
        <f aca="false">BO117</f>
        <v>0.630898798157219</v>
      </c>
      <c r="BP305" s="0" t="n">
        <f aca="false">G305*BO305</f>
        <v>-0.375384784903545</v>
      </c>
      <c r="BQ305" s="0" t="n">
        <f aca="false">IF(AND(A305&gt;=$B$191,A305&lt;=$B$192),1,0)</f>
        <v>0</v>
      </c>
      <c r="BR305" s="0" t="n">
        <f aca="false">BO305*BQ305</f>
        <v>0</v>
      </c>
      <c r="BS305" s="0" t="n">
        <f aca="false">BP305*BQ305</f>
        <v>-0</v>
      </c>
    </row>
    <row r="306" customFormat="false" ht="18" hidden="false" customHeight="false" outlineLevel="0" collapsed="false">
      <c r="A306" s="75" t="n">
        <f aca="false">A118</f>
        <v>40422</v>
      </c>
      <c r="B306" s="317" t="n">
        <f aca="false" t="array" ref="B306:B306">SUM(IF(MONTH(NymexData!$AL$12:$AL$250)&amp;YEAR(NymexData!$AL$12:$AL$250)=MONTH(A306)&amp;YEAR(A306),NymexData!$AM$12:$AM$250))</f>
        <v>-74.42738927</v>
      </c>
      <c r="C306" s="317" t="n">
        <f aca="false">BD306*BJ306*BI306</f>
        <v>0</v>
      </c>
      <c r="D306" s="319" t="n">
        <f aca="false">C306+B306</f>
        <v>-74.42738927</v>
      </c>
      <c r="E306" s="320" t="n">
        <f aca="false" t="array" ref="E306:E306">SUM(IF(MONTH(NymexData!$A$12:$A$250)&amp;YEAR(NymexData!$A$12:$A$250)=MONTH(A306)&amp;YEAR(A306),NymexData!$B$12:$B$250))</f>
        <v>-0.595</v>
      </c>
      <c r="F306" s="320" t="n">
        <f aca="false">G306-E306</f>
        <v>0</v>
      </c>
      <c r="G306" s="321" t="n">
        <f aca="false" t="array" ref="G306:G306">IF(NymexData!$H$12="",GasPosn!E306,SUM(IF(MONTH(NymexData!$H$12:$H$250)&amp;YEAR(NymexData!$H$12:$H$250)=MONTH(A306)&amp;YEAR(A306),NymexData!$I$12:$I$250)))</f>
        <v>-0.595</v>
      </c>
      <c r="H306" s="76" t="n">
        <f aca="false">B306*10000*F306</f>
        <v>-0</v>
      </c>
      <c r="I306" s="82" t="n">
        <f aca="false">(((G306-Q306)*P306+(G306-S306)*R306+(G306-U306)*T306+(G306-W306)*V306+(G306-Y306)*X306+(G306-AA306)*Z306+(G306-AC306)*AB306+(G306-AE306)*AD306+(G306-AG306)*AF306+(G306-AI306)*AH306+(G306-AK306)*AJ306+(G306-AM306)*AL306+(G306-AO306)*AN306+(G306-AQ306)*AP306+(G306-AS306)*AR306+(G306-AU306)*AT306+(G306-AW306)*AV306+(G306-AY306)*AX306+(G306-BA306)*AZ306+(G306-BC306)*BB306)*BJ306*BI306)*10000</f>
        <v>-0</v>
      </c>
      <c r="J306" s="82" t="n">
        <f aca="false">H306+I306</f>
        <v>-0</v>
      </c>
      <c r="O306" s="95" t="n">
        <f aca="false">A306</f>
        <v>40422</v>
      </c>
      <c r="BD306" s="100" t="n">
        <f aca="false">(P306+R306+T306+V306+X306+Z306+AB306+AD306+AF306+AH306+AJ306+AL306+AN306+AP306+AR306+AT306+AV306+AX306+AZ306+BB306)</f>
        <v>0</v>
      </c>
      <c r="BE306" s="322" t="n">
        <f aca="false">IF(AND(BD306=0,BH306=0),0,(ABS(P306)*Q306+ABS(R306)*S306+ABS(T306)*U306+ABS(V306)*W306+ABS(X306)*Y306+ABS(Z306)*AA306+ABS(AB306)*AC306+ABS(AD306)*AE306+ABS(AF306)*AG306+ABS(AH306)*AI306+ABS(AJ306)*AK306+ABS(AL306)*AM306+ABS(AN306)*AO306+ABS(AP306)*AQ306+ABS(AR306)*AS306+ABS(AT306)*AU306+ABS(AV306)*AW306+ABS(AX306)*AY306+ABS(AZ306)*BA306+ABS(BB306)*BC306)/BH306)</f>
        <v>0</v>
      </c>
      <c r="BG306" s="103" t="n">
        <f aca="false">O306</f>
        <v>40422</v>
      </c>
      <c r="BH306" s="323" t="n">
        <f aca="false">(ABS(P306)+ABS(R306)+ABS(T306)+ABS(V306)+ABS(X306)+ABS(Z306)+ABS(AB306)+ABS(AD306)+ABS(AF306)+ABS(AH306)+ABS(AJ306)+ABS(AL306)+ABS(AN306)+ABS(AP306)+ABS(AR306)+ABS(AT306)+ABS(AV306)+ABS(AX306)+ABS(AZ306)+ABS(BB306))</f>
        <v>0</v>
      </c>
      <c r="BI306" s="104" t="n">
        <f aca="false">VLOOKUP(GasPosn!A306,'Pricing Summary'!$AB$12:$AD$250,3)</f>
        <v>30</v>
      </c>
      <c r="BJ306" s="102" t="n">
        <f aca="false">VLOOKUP(A306,Interest!$AF$8:$AK$367,6)</f>
        <v>0.627618036030869</v>
      </c>
      <c r="BL306" s="0" t="n">
        <f aca="false">J306*VLOOKUP(A306,NymexData!$J$12:$K$244,2)</f>
        <v>-0</v>
      </c>
      <c r="BO306" s="0" t="n">
        <f aca="false">BO118</f>
        <v>0.627618036030869</v>
      </c>
      <c r="BP306" s="0" t="n">
        <f aca="false">G306*BO306</f>
        <v>-0.373432731438367</v>
      </c>
      <c r="BQ306" s="0" t="n">
        <f aca="false">IF(AND(A306&gt;=$B$191,A306&lt;=$B$192),1,0)</f>
        <v>0</v>
      </c>
      <c r="BR306" s="0" t="n">
        <f aca="false">BO306*BQ306</f>
        <v>0</v>
      </c>
      <c r="BS306" s="0" t="n">
        <f aca="false">BP306*BQ306</f>
        <v>-0</v>
      </c>
    </row>
    <row r="307" customFormat="false" ht="18" hidden="false" customHeight="false" outlineLevel="0" collapsed="false">
      <c r="A307" s="112" t="n">
        <f aca="false">A119</f>
        <v>40452</v>
      </c>
      <c r="B307" s="324" t="n">
        <f aca="false" t="array" ref="B307:B307">SUM(IF(MONTH(NymexData!$AL$12:$AL$250)&amp;YEAR(NymexData!$AL$12:$AL$250)=MONTH(A307)&amp;YEAR(A307),NymexData!$AM$12:$AM$250))</f>
        <v>-76.44884833</v>
      </c>
      <c r="C307" s="325" t="n">
        <f aca="false">BD307*BJ307*BI307</f>
        <v>0</v>
      </c>
      <c r="D307" s="326" t="n">
        <f aca="false">C307+B307</f>
        <v>-76.44884833</v>
      </c>
      <c r="E307" s="327" t="n">
        <f aca="false" t="array" ref="E307:E307">SUM(IF(MONTH(NymexData!$A$12:$A$250)&amp;YEAR(NymexData!$A$12:$A$250)=MONTH(A307)&amp;YEAR(A307),NymexData!$B$12:$B$250))</f>
        <v>-0.595</v>
      </c>
      <c r="F307" s="327" t="n">
        <f aca="false">G307-E307</f>
        <v>0</v>
      </c>
      <c r="G307" s="328" t="n">
        <f aca="false" t="array" ref="G307:G307">IF(NymexData!$H$12="",GasPosn!E307,SUM(IF(MONTH(NymexData!$H$12:$H$250)&amp;YEAR(NymexData!$H$12:$H$250)=MONTH(A307)&amp;YEAR(A307),NymexData!$I$12:$I$250)))</f>
        <v>-0.595</v>
      </c>
      <c r="H307" s="115" t="n">
        <f aca="false">B307*10000*F307</f>
        <v>-0</v>
      </c>
      <c r="I307" s="119" t="n">
        <f aca="false">(((G307-Q307)*P307+(G307-S307)*R307+(G307-U307)*T307+(G307-W307)*V307+(G307-Y307)*X307+(G307-AA307)*Z307+(G307-AC307)*AB307+(G307-AE307)*AD307+(G307-AG307)*AF307+(G307-AI307)*AH307+(G307-AK307)*AJ307+(G307-AM307)*AL307+(G307-AO307)*AN307+(G307-AQ307)*AP307+(G307-AS307)*AR307+(G307-AU307)*AT307+(G307-AW307)*AV307+(G307-AY307)*AX307+(G307-BA307)*AZ307+(G307-BC307)*BB307)*BJ307*BI307)*10000</f>
        <v>-0</v>
      </c>
      <c r="J307" s="119" t="n">
        <f aca="false">H307+I307</f>
        <v>-0</v>
      </c>
      <c r="O307" s="95" t="n">
        <f aca="false">A307</f>
        <v>40452</v>
      </c>
      <c r="BD307" s="100" t="n">
        <f aca="false">(P307+R307+T307+V307+X307+Z307+AB307+AD307+AF307+AH307+AJ307+AL307+AN307+AP307+AR307+AT307+AV307+AX307+AZ307+BB307)</f>
        <v>0</v>
      </c>
      <c r="BE307" s="322" t="n">
        <f aca="false">IF(AND(BD307=0,BH307=0),0,(ABS(P307)*Q307+ABS(R307)*S307+ABS(T307)*U307+ABS(V307)*W307+ABS(X307)*Y307+ABS(Z307)*AA307+ABS(AB307)*AC307+ABS(AD307)*AE307+ABS(AF307)*AG307+ABS(AH307)*AI307+ABS(AJ307)*AK307+ABS(AL307)*AM307+ABS(AN307)*AO307+ABS(AP307)*AQ307+ABS(AR307)*AS307+ABS(AT307)*AU307+ABS(AV307)*AW307+ABS(AX307)*AY307+ABS(AZ307)*BA307+ABS(BB307)*BC307)/BH307)</f>
        <v>0</v>
      </c>
      <c r="BG307" s="103" t="n">
        <f aca="false">O307</f>
        <v>40452</v>
      </c>
      <c r="BH307" s="323" t="n">
        <f aca="false">(ABS(P307)+ABS(R307)+ABS(T307)+ABS(V307)+ABS(X307)+ABS(Z307)+ABS(AB307)+ABS(AD307)+ABS(AF307)+ABS(AH307)+ABS(AJ307)+ABS(AL307)+ABS(AN307)+ABS(AP307)+ABS(AR307)+ABS(AT307)+ABS(AV307)+ABS(AX307)+ABS(AZ307)+ABS(BB307))</f>
        <v>0</v>
      </c>
      <c r="BI307" s="104" t="n">
        <f aca="false">VLOOKUP(GasPosn!A307,'Pricing Summary'!$AB$12:$AD$250,3)</f>
        <v>31</v>
      </c>
      <c r="BJ307" s="102" t="n">
        <f aca="false">VLOOKUP(A307,Interest!$AF$8:$AK$367,6)</f>
        <v>0.624273541768362</v>
      </c>
      <c r="BL307" s="0" t="n">
        <f aca="false">J307*VLOOKUP(A307,NymexData!$J$12:$K$244,2)</f>
        <v>-0</v>
      </c>
      <c r="BO307" s="0" t="n">
        <f aca="false">BO119</f>
        <v>0.624273541768362</v>
      </c>
      <c r="BP307" s="0" t="n">
        <f aca="false">G307*BO307</f>
        <v>-0.371442757352176</v>
      </c>
      <c r="BQ307" s="0" t="n">
        <f aca="false">IF(AND(A307&gt;=$B$191,A307&lt;=$B$192),1,0)</f>
        <v>0</v>
      </c>
      <c r="BR307" s="0" t="n">
        <f aca="false">BO307*BQ307</f>
        <v>0</v>
      </c>
      <c r="BS307" s="0" t="n">
        <f aca="false">BP307*BQ307</f>
        <v>-0</v>
      </c>
    </row>
    <row r="308" customFormat="false" ht="18" hidden="false" customHeight="false" outlineLevel="0" collapsed="false">
      <c r="A308" s="75" t="n">
        <f aca="false">A120</f>
        <v>40483</v>
      </c>
      <c r="B308" s="317" t="n">
        <f aca="false" t="array" ref="B308:B308">SUM(IF(MONTH(NymexData!$AL$12:$AL$250)&amp;YEAR(NymexData!$AL$12:$AL$250)=MONTH(A308)&amp;YEAR(A308),NymexData!$AM$12:$AM$250))</f>
        <v>-73.52388721</v>
      </c>
      <c r="C308" s="317" t="n">
        <f aca="false">BD308*BJ308*BI308</f>
        <v>0</v>
      </c>
      <c r="D308" s="319" t="n">
        <f aca="false">C308+B308</f>
        <v>-73.52388721</v>
      </c>
      <c r="E308" s="320" t="n">
        <f aca="false" t="array" ref="E308:E308">SUM(IF(MONTH(NymexData!$A$12:$A$250)&amp;YEAR(NymexData!$A$12:$A$250)=MONTH(A308)&amp;YEAR(A308),NymexData!$B$12:$B$250))</f>
        <v>-0.565</v>
      </c>
      <c r="F308" s="320" t="n">
        <f aca="false">G308-E308</f>
        <v>0</v>
      </c>
      <c r="G308" s="321" t="n">
        <f aca="false" t="array" ref="G308:G308">IF(NymexData!$H$12="",GasPosn!E308,SUM(IF(MONTH(NymexData!$H$12:$H$250)&amp;YEAR(NymexData!$H$12:$H$250)=MONTH(A308)&amp;YEAR(A308),NymexData!$I$12:$I$250)))</f>
        <v>-0.565</v>
      </c>
      <c r="H308" s="76" t="n">
        <f aca="false">B308*10000*F308</f>
        <v>-0</v>
      </c>
      <c r="I308" s="82" t="n">
        <f aca="false">(((G308-Q308)*P308+(G308-S308)*R308+(G308-U308)*T308+(G308-W308)*V308+(G308-Y308)*X308+(G308-AA308)*Z308+(G308-AC308)*AB308+(G308-AE308)*AD308+(G308-AG308)*AF308+(G308-AI308)*AH308+(G308-AK308)*AJ308+(G308-AM308)*AL308+(G308-AO308)*AN308+(G308-AQ308)*AP308+(G308-AS308)*AR308+(G308-AU308)*AT308+(G308-AW308)*AV308+(G308-AY308)*AX308+(G308-BA308)*AZ308+(G308-BC308)*BB308)*BJ308*BI308)*10000</f>
        <v>-0</v>
      </c>
      <c r="J308" s="82" t="n">
        <f aca="false">H308+I308</f>
        <v>-0</v>
      </c>
      <c r="O308" s="95" t="n">
        <f aca="false">A308</f>
        <v>40483</v>
      </c>
      <c r="BD308" s="100" t="n">
        <f aca="false">(P308+R308+T308+V308+X308+Z308+AB308+AD308+AF308+AH308+AJ308+AL308+AN308+AP308+AR308+AT308+AV308+AX308+AZ308+BB308)</f>
        <v>0</v>
      </c>
      <c r="BE308" s="322" t="n">
        <f aca="false">IF(AND(BD308=0,BH308=0),0,(ABS(P308)*Q308+ABS(R308)*S308+ABS(T308)*U308+ABS(V308)*W308+ABS(X308)*Y308+ABS(Z308)*AA308+ABS(AB308)*AC308+ABS(AD308)*AE308+ABS(AF308)*AG308+ABS(AH308)*AI308+ABS(AJ308)*AK308+ABS(AL308)*AM308+ABS(AN308)*AO308+ABS(AP308)*AQ308+ABS(AR308)*AS308+ABS(AT308)*AU308+ABS(AV308)*AW308+ABS(AX308)*AY308+ABS(AZ308)*BA308+ABS(BB308)*BC308)/BH308)</f>
        <v>0</v>
      </c>
      <c r="BG308" s="103" t="n">
        <f aca="false">O308</f>
        <v>40483</v>
      </c>
      <c r="BH308" s="323" t="n">
        <f aca="false">(ABS(P308)+ABS(R308)+ABS(T308)+ABS(V308)+ABS(X308)+ABS(Z308)+ABS(AB308)+ABS(AD308)+ABS(AF308)+ABS(AH308)+ABS(AJ308)+ABS(AL308)+ABS(AN308)+ABS(AP308)+ABS(AR308)+ABS(AT308)+ABS(AV308)+ABS(AX308)+ABS(AZ308)+ABS(BB308))</f>
        <v>0</v>
      </c>
      <c r="BI308" s="104" t="n">
        <f aca="false">VLOOKUP(GasPosn!A308,'Pricing Summary'!$AB$12:$AD$250,3)</f>
        <v>30</v>
      </c>
      <c r="BJ308" s="102" t="n">
        <f aca="false">VLOOKUP(A308,Interest!$AF$8:$AK$367,6)</f>
        <v>0.62100573594076</v>
      </c>
      <c r="BL308" s="0" t="n">
        <f aca="false">J308*VLOOKUP(A308,NymexData!$J$12:$K$244,2)</f>
        <v>-0</v>
      </c>
      <c r="BO308" s="0" t="n">
        <f aca="false">BO120</f>
        <v>0.62100573594076</v>
      </c>
      <c r="BP308" s="0" t="n">
        <f aca="false">G308*BO308</f>
        <v>-0.350868240806529</v>
      </c>
      <c r="BQ308" s="0" t="n">
        <f aca="false">IF(AND(A308&gt;=$B$191,A308&lt;=$B$192),1,0)</f>
        <v>0</v>
      </c>
      <c r="BR308" s="0" t="n">
        <f aca="false">BO308*BQ308</f>
        <v>0</v>
      </c>
      <c r="BS308" s="0" t="n">
        <f aca="false">BP308*BQ308</f>
        <v>-0</v>
      </c>
    </row>
    <row r="309" customFormat="false" ht="18" hidden="false" customHeight="false" outlineLevel="0" collapsed="false">
      <c r="A309" s="112" t="n">
        <f aca="false">A121</f>
        <v>40513</v>
      </c>
      <c r="B309" s="324" t="n">
        <f aca="false" t="array" ref="B309:B309">SUM(IF(MONTH(NymexData!$AL$12:$AL$250)&amp;YEAR(NymexData!$AL$12:$AL$250)=MONTH(A309)&amp;YEAR(A309),NymexData!$AM$12:$AM$250))</f>
        <v>-75.51642249</v>
      </c>
      <c r="C309" s="325" t="n">
        <f aca="false">BD309*BJ309*BI309</f>
        <v>0</v>
      </c>
      <c r="D309" s="326" t="n">
        <f aca="false">C309+B309</f>
        <v>-75.51642249</v>
      </c>
      <c r="E309" s="327" t="n">
        <f aca="false" t="array" ref="E309:E309">SUM(IF(MONTH(NymexData!$A$12:$A$250)&amp;YEAR(NymexData!$A$12:$A$250)=MONTH(A309)&amp;YEAR(A309),NymexData!$B$12:$B$250))</f>
        <v>-0.565</v>
      </c>
      <c r="F309" s="327" t="n">
        <f aca="false">G309-E309</f>
        <v>0</v>
      </c>
      <c r="G309" s="328" t="n">
        <f aca="false" t="array" ref="G309:G309">IF(NymexData!$H$12="",GasPosn!E309,SUM(IF(MONTH(NymexData!$H$12:$H$250)&amp;YEAR(NymexData!$H$12:$H$250)=MONTH(A309)&amp;YEAR(A309),NymexData!$I$12:$I$250)))</f>
        <v>-0.565</v>
      </c>
      <c r="H309" s="115" t="n">
        <f aca="false">B309*10000*F309</f>
        <v>-0</v>
      </c>
      <c r="I309" s="119" t="n">
        <f aca="false">(((G309-Q309)*P309+(G309-S309)*R309+(G309-U309)*T309+(G309-W309)*V309+(G309-Y309)*X309+(G309-AA309)*Z309+(G309-AC309)*AB309+(G309-AE309)*AD309+(G309-AG309)*AF309+(G309-AI309)*AH309+(G309-AK309)*AJ309+(G309-AM309)*AL309+(G309-AO309)*AN309+(G309-AQ309)*AP309+(G309-AS309)*AR309+(G309-AU309)*AT309+(G309-AW309)*AV309+(G309-AY309)*AX309+(G309-BA309)*AZ309+(G309-BC309)*BB309)*BJ309*BI309)*10000</f>
        <v>-0</v>
      </c>
      <c r="J309" s="119" t="n">
        <f aca="false">H309+I309</f>
        <v>-0</v>
      </c>
      <c r="O309" s="95" t="n">
        <f aca="false">A309</f>
        <v>40513</v>
      </c>
      <c r="BD309" s="100" t="n">
        <f aca="false">(P309+R309+T309+V309+X309+Z309+AB309+AD309+AF309+AH309+AJ309+AL309+AN309+AP309+AR309+AT309+AV309+AX309+AZ309+BB309)</f>
        <v>0</v>
      </c>
      <c r="BE309" s="322" t="n">
        <f aca="false">IF(AND(BD309=0,BH309=0),0,(ABS(P309)*Q309+ABS(R309)*S309+ABS(T309)*U309+ABS(V309)*W309+ABS(X309)*Y309+ABS(Z309)*AA309+ABS(AB309)*AC309+ABS(AD309)*AE309+ABS(AF309)*AG309+ABS(AH309)*AI309+ABS(AJ309)*AK309+ABS(AL309)*AM309+ABS(AN309)*AO309+ABS(AP309)*AQ309+ABS(AR309)*AS309+ABS(AT309)*AU309+ABS(AV309)*AW309+ABS(AX309)*AY309+ABS(AZ309)*BA309+ABS(BB309)*BC309)/BH309)</f>
        <v>0</v>
      </c>
      <c r="BG309" s="103" t="n">
        <f aca="false">O309</f>
        <v>40513</v>
      </c>
      <c r="BH309" s="323" t="n">
        <f aca="false">(ABS(P309)+ABS(R309)+ABS(T309)+ABS(V309)+ABS(X309)+ABS(Z309)+ABS(AB309)+ABS(AD309)+ABS(AF309)+ABS(AH309)+ABS(AJ309)+ABS(AL309)+ABS(AN309)+ABS(AP309)+ABS(AR309)+ABS(AT309)+ABS(AV309)+ABS(AX309)+ABS(AZ309)+ABS(BB309))</f>
        <v>0</v>
      </c>
      <c r="BI309" s="104" t="n">
        <f aca="false">VLOOKUP(GasPosn!A309,'Pricing Summary'!$AB$12:$AD$250,3)</f>
        <v>31</v>
      </c>
      <c r="BJ309" s="102" t="n">
        <f aca="false">VLOOKUP(A309,Interest!$AF$8:$AK$367,6)</f>
        <v>0.617675096775954</v>
      </c>
      <c r="BL309" s="0" t="n">
        <f aca="false">J309*VLOOKUP(A309,NymexData!$J$12:$K$244,2)</f>
        <v>-0</v>
      </c>
      <c r="BO309" s="0" t="n">
        <f aca="false">BO121</f>
        <v>0.617675096775954</v>
      </c>
      <c r="BP309" s="0" t="n">
        <f aca="false">G309*BO309</f>
        <v>-0.348986429678414</v>
      </c>
      <c r="BQ309" s="0" t="n">
        <f aca="false">IF(AND(A309&gt;=$B$191,A309&lt;=$B$192),1,0)</f>
        <v>0</v>
      </c>
      <c r="BR309" s="0" t="n">
        <f aca="false">BO309*BQ309</f>
        <v>0</v>
      </c>
      <c r="BS309" s="0" t="n">
        <f aca="false">BP309*BQ309</f>
        <v>-0</v>
      </c>
    </row>
    <row r="310" customFormat="false" ht="18" hidden="false" customHeight="false" outlineLevel="0" collapsed="false">
      <c r="A310" s="75" t="n">
        <f aca="false">A122</f>
        <v>40544</v>
      </c>
      <c r="B310" s="317" t="n">
        <f aca="false" t="array" ref="B310:B310">SUM(IF(MONTH(NymexData!$AL$12:$AL$250)&amp;YEAR(NymexData!$AL$12:$AL$250)=MONTH(A310)&amp;YEAR(A310),NymexData!$AM$12:$AM$250))</f>
        <v>0</v>
      </c>
      <c r="C310" s="317" t="n">
        <f aca="false">BD310*BJ310*BI310</f>
        <v>0</v>
      </c>
      <c r="D310" s="319" t="n">
        <f aca="false">C310+B310</f>
        <v>0</v>
      </c>
      <c r="E310" s="320" t="n">
        <f aca="false" t="array" ref="E310:E310">SUM(IF(MONTH(NymexData!$A$12:$A$250)&amp;YEAR(NymexData!$A$12:$A$250)=MONTH(A310)&amp;YEAR(A310),NymexData!$B$12:$B$250))</f>
        <v>-0.565</v>
      </c>
      <c r="F310" s="320" t="n">
        <f aca="false">G310-E310</f>
        <v>0</v>
      </c>
      <c r="G310" s="321" t="n">
        <f aca="false" t="array" ref="G310:G310">IF(NymexData!$H$12="",GasPosn!E310,SUM(IF(MONTH(NymexData!$H$12:$H$250)&amp;YEAR(NymexData!$H$12:$H$250)=MONTH(A310)&amp;YEAR(A310),NymexData!$I$12:$I$250)))</f>
        <v>-0.565</v>
      </c>
      <c r="H310" s="76" t="n">
        <f aca="false">B310*10000*F310</f>
        <v>0</v>
      </c>
      <c r="I310" s="82" t="n">
        <f aca="false">(((G310-Q310)*P310+(G310-S310)*R310+(G310-U310)*T310+(G310-W310)*V310+(G310-Y310)*X310+(G310-AA310)*Z310+(G310-AC310)*AB310+(G310-AE310)*AD310+(G310-AG310)*AF310+(G310-AI310)*AH310+(G310-AK310)*AJ310+(G310-AM310)*AL310+(G310-AO310)*AN310+(G310-AQ310)*AP310+(G310-AS310)*AR310+(G310-AU310)*AT310+(G310-AW310)*AV310+(G310-AY310)*AX310+(G310-BA310)*AZ310+(G310-BC310)*BB310)*BJ310*BI310)*10000</f>
        <v>-0</v>
      </c>
      <c r="J310" s="82" t="n">
        <f aca="false">H310+I310</f>
        <v>0</v>
      </c>
      <c r="O310" s="95" t="n">
        <f aca="false">A310</f>
        <v>40544</v>
      </c>
      <c r="BD310" s="100" t="n">
        <f aca="false">(P310+R310+T310+V310+X310+Z310+AB310+AD310+AF310+AH310+AJ310+AL310+AN310+AP310+AR310+AT310+AV310+AX310+AZ310+BB310)</f>
        <v>0</v>
      </c>
      <c r="BE310" s="322" t="n">
        <f aca="false">IF(AND(BD310=0,BH310=0),0,(ABS(P310)*Q310+ABS(R310)*S310+ABS(T310)*U310+ABS(V310)*W310+ABS(X310)*Y310+ABS(Z310)*AA310+ABS(AB310)*AC310+ABS(AD310)*AE310+ABS(AF310)*AG310+ABS(AH310)*AI310+ABS(AJ310)*AK310+ABS(AL310)*AM310+ABS(AN310)*AO310+ABS(AP310)*AQ310+ABS(AR310)*AS310+ABS(AT310)*AU310+ABS(AV310)*AW310+ABS(AX310)*AY310+ABS(AZ310)*BA310+ABS(BB310)*BC310)/BH310)</f>
        <v>0</v>
      </c>
      <c r="BG310" s="103" t="n">
        <f aca="false">O310</f>
        <v>40544</v>
      </c>
      <c r="BH310" s="323" t="n">
        <f aca="false">(ABS(P310)+ABS(R310)+ABS(T310)+ABS(V310)+ABS(X310)+ABS(Z310)+ABS(AB310)+ABS(AD310)+ABS(AF310)+ABS(AH310)+ABS(AJ310)+ABS(AL310)+ABS(AN310)+ABS(AP310)+ABS(AR310)+ABS(AT310)+ABS(AV310)+ABS(AX310)+ABS(AZ310)+ABS(BB310))</f>
        <v>0</v>
      </c>
      <c r="BI310" s="104" t="n">
        <f aca="false">VLOOKUP(GasPosn!A310,'Pricing Summary'!$AB$12:$AD$250,3)</f>
        <v>31</v>
      </c>
      <c r="BJ310" s="102" t="n">
        <f aca="false">VLOOKUP(A310,Interest!$AF$8:$AK$367,6)</f>
        <v>0.614332266576554</v>
      </c>
      <c r="BL310" s="0" t="n">
        <f aca="false">J310*VLOOKUP(A310,NymexData!$J$12:$K$244,2)</f>
        <v>0</v>
      </c>
      <c r="BO310" s="0" t="n">
        <f aca="false">BO122</f>
        <v>0.614332266576554</v>
      </c>
      <c r="BP310" s="0" t="n">
        <f aca="false">G310*BO310</f>
        <v>-0.347097730615753</v>
      </c>
      <c r="BQ310" s="0" t="n">
        <f aca="false">IF(AND(A310&gt;=$B$191,A310&lt;=$B$192),1,0)</f>
        <v>0</v>
      </c>
      <c r="BR310" s="0" t="n">
        <f aca="false">BO310*BQ310</f>
        <v>0</v>
      </c>
      <c r="BS310" s="0" t="n">
        <f aca="false">BP310*BQ310</f>
        <v>-0</v>
      </c>
    </row>
    <row r="311" customFormat="false" ht="18" hidden="false" customHeight="false" outlineLevel="0" collapsed="false">
      <c r="A311" s="112" t="n">
        <f aca="false">A123</f>
        <v>40575</v>
      </c>
      <c r="B311" s="324" t="n">
        <f aca="false" t="array" ref="B311:B311">SUM(IF(MONTH(NymexData!$AL$12:$AL$250)&amp;YEAR(NymexData!$AL$12:$AL$250)=MONTH(A311)&amp;YEAR(A311),NymexData!$AM$12:$AM$250))</f>
        <v>0</v>
      </c>
      <c r="C311" s="325" t="n">
        <f aca="false">BD311*BJ311*BI311</f>
        <v>0</v>
      </c>
      <c r="D311" s="326" t="n">
        <f aca="false">C311+B311</f>
        <v>0</v>
      </c>
      <c r="E311" s="327" t="n">
        <f aca="false" t="array" ref="E311:E311">SUM(IF(MONTH(NymexData!$A$12:$A$250)&amp;YEAR(NymexData!$A$12:$A$250)=MONTH(A311)&amp;YEAR(A311),NymexData!$B$12:$B$250))</f>
        <v>-0.565</v>
      </c>
      <c r="F311" s="327" t="n">
        <f aca="false">G311-E311</f>
        <v>0</v>
      </c>
      <c r="G311" s="328" t="n">
        <f aca="false" t="array" ref="G311:G311">IF(NymexData!$H$12="",GasPosn!E311,SUM(IF(MONTH(NymexData!$H$12:$H$250)&amp;YEAR(NymexData!$H$12:$H$250)=MONTH(A311)&amp;YEAR(A311),NymexData!$I$12:$I$250)))</f>
        <v>-0.565</v>
      </c>
      <c r="H311" s="115" t="n">
        <f aca="false">B311*10000*F311</f>
        <v>0</v>
      </c>
      <c r="I311" s="119" t="n">
        <f aca="false">(((G311-Q311)*P311+(G311-S311)*R311+(G311-U311)*T311+(G311-W311)*V311+(G311-Y311)*X311+(G311-AA311)*Z311+(G311-AC311)*AB311+(G311-AE311)*AD311+(G311-AG311)*AF311+(G311-AI311)*AH311+(G311-AK311)*AJ311+(G311-AM311)*AL311+(G311-AO311)*AN311+(G311-AQ311)*AP311+(G311-AS311)*AR311+(G311-AU311)*AT311+(G311-AW311)*AV311+(G311-AY311)*AX311+(G311-BA311)*AZ311+(G311-BC311)*BB311)*BJ311*BI311)*10000</f>
        <v>-0</v>
      </c>
      <c r="J311" s="119" t="n">
        <f aca="false">H311+I311</f>
        <v>0</v>
      </c>
      <c r="O311" s="95" t="n">
        <f aca="false">A311</f>
        <v>40575</v>
      </c>
      <c r="BD311" s="100" t="n">
        <f aca="false">(P311+R311+T311+V311+X311+Z311+AB311+AD311+AF311+AH311+AJ311+AL311+AN311+AP311+AR311+AT311+AV311+AX311+AZ311+BB311)</f>
        <v>0</v>
      </c>
      <c r="BE311" s="322" t="n">
        <f aca="false">IF(AND(BD311=0,BH311=0),0,(ABS(P311)*Q311+ABS(R311)*S311+ABS(T311)*U311+ABS(V311)*W311+ABS(X311)*Y311+ABS(Z311)*AA311+ABS(AB311)*AC311+ABS(AD311)*AE311+ABS(AF311)*AG311+ABS(AH311)*AI311+ABS(AJ311)*AK311+ABS(AL311)*AM311+ABS(AN311)*AO311+ABS(AP311)*AQ311+ABS(AR311)*AS311+ABS(AT311)*AU311+ABS(AV311)*AW311+ABS(AX311)*AY311+ABS(AZ311)*BA311+ABS(BB311)*BC311)/BH311)</f>
        <v>0</v>
      </c>
      <c r="BG311" s="103" t="n">
        <f aca="false">O311</f>
        <v>40575</v>
      </c>
      <c r="BH311" s="323" t="n">
        <f aca="false">(ABS(P311)+ABS(R311)+ABS(T311)+ABS(V311)+ABS(X311)+ABS(Z311)+ABS(AB311)+ABS(AD311)+ABS(AF311)+ABS(AH311)+ABS(AJ311)+ABS(AL311)+ABS(AN311)+ABS(AP311)+ABS(AR311)+ABS(AT311)+ABS(AV311)+ABS(AX311)+ABS(AZ311)+ABS(BB311))</f>
        <v>0</v>
      </c>
      <c r="BI311" s="104" t="n">
        <f aca="false">VLOOKUP(GasPosn!A311,'Pricing Summary'!$AB$12:$AD$250,3)</f>
        <v>28</v>
      </c>
      <c r="BJ311" s="102" t="n">
        <f aca="false">VLOOKUP(A311,Interest!$AF$8:$AK$367,6)</f>
        <v>0.611260634826932</v>
      </c>
      <c r="BL311" s="0" t="n">
        <f aca="false">J311*VLOOKUP(A311,NymexData!$J$12:$K$244,2)</f>
        <v>0</v>
      </c>
      <c r="BO311" s="0" t="n">
        <f aca="false">BO123</f>
        <v>0.611260634826932</v>
      </c>
      <c r="BP311" s="0" t="n">
        <f aca="false">G311*BO311</f>
        <v>-0.345362258677217</v>
      </c>
      <c r="BQ311" s="0" t="n">
        <f aca="false">IF(AND(A311&gt;=$B$191,A311&lt;=$B$192),1,0)</f>
        <v>0</v>
      </c>
      <c r="BR311" s="0" t="n">
        <f aca="false">BO311*BQ311</f>
        <v>0</v>
      </c>
      <c r="BS311" s="0" t="n">
        <f aca="false">BP311*BQ311</f>
        <v>-0</v>
      </c>
    </row>
    <row r="312" customFormat="false" ht="18" hidden="false" customHeight="false" outlineLevel="0" collapsed="false">
      <c r="A312" s="75" t="n">
        <f aca="false">A124</f>
        <v>40603</v>
      </c>
      <c r="B312" s="317" t="n">
        <f aca="false" t="array" ref="B312:B312">SUM(IF(MONTH(NymexData!$AL$12:$AL$250)&amp;YEAR(NymexData!$AL$12:$AL$250)=MONTH(A312)&amp;YEAR(A312),NymexData!$AM$12:$AM$250))</f>
        <v>0</v>
      </c>
      <c r="C312" s="317" t="n">
        <f aca="false">BD312*BJ312*BI312</f>
        <v>0</v>
      </c>
      <c r="D312" s="319" t="n">
        <f aca="false">C312+B312</f>
        <v>0</v>
      </c>
      <c r="E312" s="320" t="n">
        <f aca="false" t="array" ref="E312:E312">SUM(IF(MONTH(NymexData!$A$12:$A$250)&amp;YEAR(NymexData!$A$12:$A$250)=MONTH(A312)&amp;YEAR(A312),NymexData!$B$12:$B$250))</f>
        <v>-0.565</v>
      </c>
      <c r="F312" s="320" t="n">
        <f aca="false">G312-E312</f>
        <v>0</v>
      </c>
      <c r="G312" s="321" t="n">
        <f aca="false" t="array" ref="G312:G312">IF(NymexData!$H$12="",GasPosn!E312,SUM(IF(MONTH(NymexData!$H$12:$H$250)&amp;YEAR(NymexData!$H$12:$H$250)=MONTH(A312)&amp;YEAR(A312),NymexData!$I$12:$I$250)))</f>
        <v>-0.565</v>
      </c>
      <c r="H312" s="76" t="n">
        <f aca="false">B312*10000*F312</f>
        <v>0</v>
      </c>
      <c r="I312" s="82" t="n">
        <f aca="false">(((G312-Q312)*P312+(G312-S312)*R312+(G312-U312)*T312+(G312-W312)*V312+(G312-Y312)*X312+(G312-AA312)*Z312+(G312-AC312)*AB312+(G312-AE312)*AD312+(G312-AG312)*AF312+(G312-AI312)*AH312+(G312-AK312)*AJ312+(G312-AM312)*AL312+(G312-AO312)*AN312+(G312-AQ312)*AP312+(G312-AS312)*AR312+(G312-AU312)*AT312+(G312-AW312)*AV312+(G312-AY312)*AX312+(G312-BA312)*AZ312+(G312-BC312)*BB312)*BJ312*BI312)*10000</f>
        <v>-0</v>
      </c>
      <c r="J312" s="82" t="n">
        <f aca="false">H312+I312</f>
        <v>0</v>
      </c>
      <c r="O312" s="95" t="n">
        <f aca="false">A312</f>
        <v>40603</v>
      </c>
      <c r="BD312" s="100" t="n">
        <f aca="false">(P312+R312+T312+V312+X312+Z312+AB312+AD312+AF312+AH312+AJ312+AL312+AN312+AP312+AR312+AT312+AV312+AX312+AZ312+BB312)</f>
        <v>0</v>
      </c>
      <c r="BE312" s="322" t="n">
        <f aca="false">IF(AND(BD312=0,BH312=0),0,(ABS(P312)*Q312+ABS(R312)*S312+ABS(T312)*U312+ABS(V312)*W312+ABS(X312)*Y312+ABS(Z312)*AA312+ABS(AB312)*AC312+ABS(AD312)*AE312+ABS(AF312)*AG312+ABS(AH312)*AI312+ABS(AJ312)*AK312+ABS(AL312)*AM312+ABS(AN312)*AO312+ABS(AP312)*AQ312+ABS(AR312)*AS312+ABS(AT312)*AU312+ABS(AV312)*AW312+ABS(AX312)*AY312+ABS(AZ312)*BA312+ABS(BB312)*BC312)/BH312)</f>
        <v>0</v>
      </c>
      <c r="BG312" s="103" t="n">
        <f aca="false">O312</f>
        <v>40603</v>
      </c>
      <c r="BH312" s="323" t="n">
        <f aca="false">(ABS(P312)+ABS(R312)+ABS(T312)+ABS(V312)+ABS(X312)+ABS(Z312)+ABS(AB312)+ABS(AD312)+ABS(AF312)+ABS(AH312)+ABS(AJ312)+ABS(AL312)+ABS(AN312)+ABS(AP312)+ABS(AR312)+ABS(AT312)+ABS(AV312)+ABS(AX312)+ABS(AZ312)+ABS(BB312))</f>
        <v>0</v>
      </c>
      <c r="BI312" s="104" t="n">
        <f aca="false">VLOOKUP(GasPosn!A312,'Pricing Summary'!$AB$12:$AD$250,3)</f>
        <v>31</v>
      </c>
      <c r="BJ312" s="102" t="n">
        <f aca="false">VLOOKUP(A312,Interest!$AF$8:$AK$367,6)</f>
        <v>0.607989980718296</v>
      </c>
      <c r="BL312" s="0" t="n">
        <f aca="false">J312*VLOOKUP(A312,NymexData!$J$12:$K$244,2)</f>
        <v>0</v>
      </c>
      <c r="BO312" s="0" t="n">
        <f aca="false">BO124</f>
        <v>0.607989980718296</v>
      </c>
      <c r="BP312" s="0" t="n">
        <f aca="false">G312*BO312</f>
        <v>-0.343514339105837</v>
      </c>
      <c r="BQ312" s="0" t="n">
        <f aca="false">IF(AND(A312&gt;=$B$191,A312&lt;=$B$192),1,0)</f>
        <v>0</v>
      </c>
      <c r="BR312" s="0" t="n">
        <f aca="false">BO312*BQ312</f>
        <v>0</v>
      </c>
      <c r="BS312" s="0" t="n">
        <f aca="false">BP312*BQ312</f>
        <v>-0</v>
      </c>
    </row>
    <row r="313" customFormat="false" ht="18" hidden="false" customHeight="false" outlineLevel="0" collapsed="false">
      <c r="A313" s="112" t="n">
        <f aca="false">A125</f>
        <v>40634</v>
      </c>
      <c r="B313" s="324" t="n">
        <f aca="false" t="array" ref="B313:B313">SUM(IF(MONTH(NymexData!$AL$12:$AL$250)&amp;YEAR(NymexData!$AL$12:$AL$250)=MONTH(A313)&amp;YEAR(A313),NymexData!$AM$12:$AM$250))</f>
        <v>0</v>
      </c>
      <c r="C313" s="325" t="n">
        <f aca="false">BD313*BJ313*BI313</f>
        <v>0</v>
      </c>
      <c r="D313" s="326" t="n">
        <f aca="false">C313+B313</f>
        <v>0</v>
      </c>
      <c r="E313" s="327" t="n">
        <f aca="false" t="array" ref="E313:E313">SUM(IF(MONTH(NymexData!$A$12:$A$250)&amp;YEAR(NymexData!$A$12:$A$250)=MONTH(A313)&amp;YEAR(A313),NymexData!$B$12:$B$250))</f>
        <v>-0.565</v>
      </c>
      <c r="F313" s="327" t="n">
        <f aca="false">G313-E313</f>
        <v>0</v>
      </c>
      <c r="G313" s="328" t="n">
        <f aca="false" t="array" ref="G313:G313">IF(NymexData!$H$12="",GasPosn!E313,SUM(IF(MONTH(NymexData!$H$12:$H$250)&amp;YEAR(NymexData!$H$12:$H$250)=MONTH(A313)&amp;YEAR(A313),NymexData!$I$12:$I$250)))</f>
        <v>-0.565</v>
      </c>
      <c r="H313" s="115" t="n">
        <f aca="false">B313*10000*F313</f>
        <v>0</v>
      </c>
      <c r="I313" s="119" t="n">
        <f aca="false">(((G313-Q313)*P313+(G313-S313)*R313+(G313-U313)*T313+(G313-W313)*V313+(G313-Y313)*X313+(G313-AA313)*Z313+(G313-AC313)*AB313+(G313-AE313)*AD313+(G313-AG313)*AF313+(G313-AI313)*AH313+(G313-AK313)*AJ313+(G313-AM313)*AL313+(G313-AO313)*AN313+(G313-AQ313)*AP313+(G313-AS313)*AR313+(G313-AU313)*AT313+(G313-AW313)*AV313+(G313-AY313)*AX313+(G313-BA313)*AZ313+(G313-BC313)*BB313)*BJ313*BI313)*10000</f>
        <v>-0</v>
      </c>
      <c r="J313" s="119" t="n">
        <f aca="false">H313+I313</f>
        <v>0</v>
      </c>
      <c r="O313" s="95" t="n">
        <f aca="false">A313</f>
        <v>40634</v>
      </c>
      <c r="BD313" s="100" t="n">
        <f aca="false">(P313+R313+T313+V313+X313+Z313+AB313+AD313+AF313+AH313+AJ313+AL313+AN313+AP313+AR313+AT313+AV313+AX313+AZ313+BB313)</f>
        <v>0</v>
      </c>
      <c r="BE313" s="322" t="n">
        <f aca="false">IF(AND(BD313=0,BH313=0),0,(ABS(P313)*Q313+ABS(R313)*S313+ABS(T313)*U313+ABS(V313)*W313+ABS(X313)*Y313+ABS(Z313)*AA313+ABS(AB313)*AC313+ABS(AD313)*AE313+ABS(AF313)*AG313+ABS(AH313)*AI313+ABS(AJ313)*AK313+ABS(AL313)*AM313+ABS(AN313)*AO313+ABS(AP313)*AQ313+ABS(AR313)*AS313+ABS(AT313)*AU313+ABS(AV313)*AW313+ABS(AX313)*AY313+ABS(AZ313)*BA313+ABS(BB313)*BC313)/BH313)</f>
        <v>0</v>
      </c>
      <c r="BG313" s="103" t="n">
        <f aca="false">O313</f>
        <v>40634</v>
      </c>
      <c r="BH313" s="323" t="n">
        <f aca="false">(ABS(P313)+ABS(R313)+ABS(T313)+ABS(V313)+ABS(X313)+ABS(Z313)+ABS(AB313)+ABS(AD313)+ABS(AF313)+ABS(AH313)+ABS(AJ313)+ABS(AL313)+ABS(AN313)+ABS(AP313)+ABS(AR313)+ABS(AT313)+ABS(AV313)+ABS(AX313)+ABS(AZ313)+ABS(BB313))</f>
        <v>0</v>
      </c>
      <c r="BI313" s="104" t="n">
        <f aca="false">VLOOKUP(GasPosn!A313,'Pricing Summary'!$AB$12:$AD$250,3)</f>
        <v>30</v>
      </c>
      <c r="BJ313" s="102" t="n">
        <f aca="false">VLOOKUP(A313,Interest!$AF$8:$AK$367,6)</f>
        <v>0.604755606241807</v>
      </c>
      <c r="BL313" s="0" t="n">
        <f aca="false">J313*VLOOKUP(A313,NymexData!$J$12:$K$244,2)</f>
        <v>0</v>
      </c>
      <c r="BO313" s="0" t="n">
        <f aca="false">BO125</f>
        <v>0.604755606241807</v>
      </c>
      <c r="BP313" s="0" t="n">
        <f aca="false">G313*BO313</f>
        <v>-0.341686917526621</v>
      </c>
      <c r="BQ313" s="0" t="n">
        <f aca="false">IF(AND(A313&gt;=$B$191,A313&lt;=$B$192),1,0)</f>
        <v>0</v>
      </c>
      <c r="BR313" s="0" t="n">
        <f aca="false">BO313*BQ313</f>
        <v>0</v>
      </c>
      <c r="BS313" s="0" t="n">
        <f aca="false">BP313*BQ313</f>
        <v>-0</v>
      </c>
    </row>
    <row r="314" customFormat="false" ht="18" hidden="false" customHeight="false" outlineLevel="0" collapsed="false">
      <c r="A314" s="75" t="n">
        <f aca="false">A126</f>
        <v>40664</v>
      </c>
      <c r="B314" s="317" t="n">
        <f aca="false" t="array" ref="B314:B314">SUM(IF(MONTH(NymexData!$AL$12:$AL$250)&amp;YEAR(NymexData!$AL$12:$AL$250)=MONTH(A314)&amp;YEAR(A314),NymexData!$AM$12:$AM$250))</f>
        <v>0</v>
      </c>
      <c r="C314" s="317" t="n">
        <f aca="false">BD314*BJ314*BI314</f>
        <v>0</v>
      </c>
      <c r="D314" s="319" t="n">
        <f aca="false">C314+B314</f>
        <v>0</v>
      </c>
      <c r="E314" s="320" t="n">
        <f aca="false" t="array" ref="E314:E314">SUM(IF(MONTH(NymexData!$A$12:$A$250)&amp;YEAR(NymexData!$A$12:$A$250)=MONTH(A314)&amp;YEAR(A314),NymexData!$B$12:$B$250))</f>
        <v>-0.565</v>
      </c>
      <c r="F314" s="320" t="n">
        <f aca="false">G314-E314</f>
        <v>0</v>
      </c>
      <c r="G314" s="321" t="n">
        <f aca="false" t="array" ref="G314:G314">IF(NymexData!$H$12="",GasPosn!E314,SUM(IF(MONTH(NymexData!$H$12:$H$250)&amp;YEAR(NymexData!$H$12:$H$250)=MONTH(A314)&amp;YEAR(A314),NymexData!$I$12:$I$250)))</f>
        <v>-0.565</v>
      </c>
      <c r="H314" s="76" t="n">
        <f aca="false">B314*10000*F314</f>
        <v>0</v>
      </c>
      <c r="I314" s="82" t="n">
        <f aca="false">(((G314-Q314)*P314+(G314-S314)*R314+(G314-U314)*T314+(G314-W314)*V314+(G314-Y314)*X314+(G314-AA314)*Z314+(G314-AC314)*AB314+(G314-AE314)*AD314+(G314-AG314)*AF314+(G314-AI314)*AH314+(G314-AK314)*AJ314+(G314-AM314)*AL314+(G314-AO314)*AN314+(G314-AQ314)*AP314+(G314-AS314)*AR314+(G314-AU314)*AT314+(G314-AW314)*AV314+(G314-AY314)*AX314+(G314-BA314)*AZ314+(G314-BC314)*BB314)*BJ314*BI314)*10000</f>
        <v>-0</v>
      </c>
      <c r="J314" s="82" t="n">
        <f aca="false">H314+I314</f>
        <v>0</v>
      </c>
      <c r="O314" s="95" t="n">
        <f aca="false">A314</f>
        <v>40664</v>
      </c>
      <c r="BD314" s="100" t="n">
        <f aca="false">(P314+R314+T314+V314+X314+Z314+AB314+AD314+AF314+AH314+AJ314+AL314+AN314+AP314+AR314+AT314+AV314+AX314+AZ314+BB314)</f>
        <v>0</v>
      </c>
      <c r="BE314" s="322" t="n">
        <f aca="false">IF(AND(BD314=0,BH314=0),0,(ABS(P314)*Q314+ABS(R314)*S314+ABS(T314)*U314+ABS(V314)*W314+ABS(X314)*Y314+ABS(Z314)*AA314+ABS(AB314)*AC314+ABS(AD314)*AE314+ABS(AF314)*AG314+ABS(AH314)*AI314+ABS(AJ314)*AK314+ABS(AL314)*AM314+ABS(AN314)*AO314+ABS(AP314)*AQ314+ABS(AR314)*AS314+ABS(AT314)*AU314+ABS(AV314)*AW314+ABS(AX314)*AY314+ABS(AZ314)*BA314+ABS(BB314)*BC314)/BH314)</f>
        <v>0</v>
      </c>
      <c r="BG314" s="103" t="n">
        <f aca="false">O314</f>
        <v>40664</v>
      </c>
      <c r="BH314" s="323" t="n">
        <f aca="false">(ABS(P314)+ABS(R314)+ABS(T314)+ABS(V314)+ABS(X314)+ABS(Z314)+ABS(AB314)+ABS(AD314)+ABS(AF314)+ABS(AH314)+ABS(AJ314)+ABS(AL314)+ABS(AN314)+ABS(AP314)+ABS(AR314)+ABS(AT314)+ABS(AV314)+ABS(AX314)+ABS(AZ314)+ABS(BB314))</f>
        <v>0</v>
      </c>
      <c r="BI314" s="104" t="n">
        <f aca="false">VLOOKUP(GasPosn!A314,'Pricing Summary'!$AB$12:$AD$250,3)</f>
        <v>31</v>
      </c>
      <c r="BJ314" s="102" t="n">
        <f aca="false">VLOOKUP(A314,Interest!$AF$8:$AK$367,6)</f>
        <v>0.601460596591941</v>
      </c>
      <c r="BL314" s="0" t="n">
        <f aca="false">J314*VLOOKUP(A314,NymexData!$J$12:$K$244,2)</f>
        <v>0</v>
      </c>
      <c r="BO314" s="0" t="n">
        <f aca="false">BO126</f>
        <v>0.601460596591941</v>
      </c>
      <c r="BP314" s="0" t="n">
        <f aca="false">G314*BO314</f>
        <v>-0.339825237074447</v>
      </c>
      <c r="BQ314" s="0" t="n">
        <f aca="false">IF(AND(A314&gt;=$B$191,A314&lt;=$B$192),1,0)</f>
        <v>0</v>
      </c>
      <c r="BR314" s="0" t="n">
        <f aca="false">BO314*BQ314</f>
        <v>0</v>
      </c>
      <c r="BS314" s="0" t="n">
        <f aca="false">BP314*BQ314</f>
        <v>-0</v>
      </c>
    </row>
    <row r="315" customFormat="false" ht="18" hidden="false" customHeight="false" outlineLevel="0" collapsed="false">
      <c r="A315" s="112" t="n">
        <f aca="false">A127</f>
        <v>40695</v>
      </c>
      <c r="B315" s="324" t="n">
        <f aca="false" t="array" ref="B315:B315">SUM(IF(MONTH(NymexData!$AL$12:$AL$250)&amp;YEAR(NymexData!$AL$12:$AL$250)=MONTH(A315)&amp;YEAR(A315),NymexData!$AM$12:$AM$250))</f>
        <v>0</v>
      </c>
      <c r="C315" s="325" t="n">
        <f aca="false">BD315*BJ315*BI315</f>
        <v>0</v>
      </c>
      <c r="D315" s="326" t="n">
        <f aca="false">C315+B315</f>
        <v>0</v>
      </c>
      <c r="E315" s="327" t="n">
        <f aca="false" t="array" ref="E315:E315">SUM(IF(MONTH(NymexData!$A$12:$A$250)&amp;YEAR(NymexData!$A$12:$A$250)=MONTH(A315)&amp;YEAR(A315),NymexData!$B$12:$B$250))</f>
        <v>-0.565</v>
      </c>
      <c r="F315" s="327" t="n">
        <f aca="false">G315-E315</f>
        <v>0</v>
      </c>
      <c r="G315" s="328" t="n">
        <f aca="false" t="array" ref="G315:G315">IF(NymexData!$H$12="",GasPosn!E315,SUM(IF(MONTH(NymexData!$H$12:$H$250)&amp;YEAR(NymexData!$H$12:$H$250)=MONTH(A315)&amp;YEAR(A315),NymexData!$I$12:$I$250)))</f>
        <v>-0.565</v>
      </c>
      <c r="H315" s="115" t="n">
        <f aca="false">B315*10000*F315</f>
        <v>0</v>
      </c>
      <c r="I315" s="119" t="n">
        <f aca="false">(((G315-Q315)*P315+(G315-S315)*R315+(G315-U315)*T315+(G315-W315)*V315+(G315-Y315)*X315+(G315-AA315)*Z315+(G315-AC315)*AB315+(G315-AE315)*AD315+(G315-AG315)*AF315+(G315-AI315)*AH315+(G315-AK315)*AJ315+(G315-AM315)*AL315+(G315-AO315)*AN315+(G315-AQ315)*AP315+(G315-AS315)*AR315+(G315-AU315)*AT315+(G315-AW315)*AV315+(G315-AY315)*AX315+(G315-BA315)*AZ315+(G315-BC315)*BB315)*BJ315*BI315)*10000</f>
        <v>-0</v>
      </c>
      <c r="J315" s="119" t="n">
        <f aca="false">H315+I315</f>
        <v>0</v>
      </c>
      <c r="O315" s="95" t="n">
        <f aca="false">A315</f>
        <v>40695</v>
      </c>
      <c r="BD315" s="100" t="n">
        <f aca="false">(P315+R315+T315+V315+X315+Z315+AB315+AD315+AF315+AH315+AJ315+AL315+AN315+AP315+AR315+AT315+AV315+AX315+AZ315+BB315)</f>
        <v>0</v>
      </c>
      <c r="BE315" s="322" t="n">
        <f aca="false">IF(AND(BD315=0,BH315=0),0,(ABS(P315)*Q315+ABS(R315)*S315+ABS(T315)*U315+ABS(V315)*W315+ABS(X315)*Y315+ABS(Z315)*AA315+ABS(AB315)*AC315+ABS(AD315)*AE315+ABS(AF315)*AG315+ABS(AH315)*AI315+ABS(AJ315)*AK315+ABS(AL315)*AM315+ABS(AN315)*AO315+ABS(AP315)*AQ315+ABS(AR315)*AS315+ABS(AT315)*AU315+ABS(AV315)*AW315+ABS(AX315)*AY315+ABS(AZ315)*BA315+ABS(BB315)*BC315)/BH315)</f>
        <v>0</v>
      </c>
      <c r="BG315" s="103" t="n">
        <f aca="false">O315</f>
        <v>40695</v>
      </c>
      <c r="BH315" s="323" t="n">
        <f aca="false">(ABS(P315)+ABS(R315)+ABS(T315)+ABS(V315)+ABS(X315)+ABS(Z315)+ABS(AB315)+ABS(AD315)+ABS(AF315)+ABS(AH315)+ABS(AJ315)+ABS(AL315)+ABS(AN315)+ABS(AP315)+ABS(AR315)+ABS(AT315)+ABS(AV315)+ABS(AX315)+ABS(AZ315)+ABS(BB315))</f>
        <v>0</v>
      </c>
      <c r="BI315" s="104" t="n">
        <f aca="false">VLOOKUP(GasPosn!A315,'Pricing Summary'!$AB$12:$AD$250,3)</f>
        <v>30</v>
      </c>
      <c r="BJ315" s="102" t="n">
        <f aca="false">VLOOKUP(A315,Interest!$AF$8:$AK$367,6)</f>
        <v>0.598240260334776</v>
      </c>
      <c r="BL315" s="0" t="n">
        <f aca="false">J315*VLOOKUP(A315,NymexData!$J$12:$K$244,2)</f>
        <v>0</v>
      </c>
      <c r="BO315" s="0" t="n">
        <f aca="false">BO127</f>
        <v>0.598240260334776</v>
      </c>
      <c r="BP315" s="0" t="n">
        <f aca="false">G315*BO315</f>
        <v>-0.338005747089148</v>
      </c>
      <c r="BQ315" s="0" t="n">
        <f aca="false">IF(AND(A315&gt;=$B$191,A315&lt;=$B$192),1,0)</f>
        <v>0</v>
      </c>
      <c r="BR315" s="0" t="n">
        <f aca="false">BO315*BQ315</f>
        <v>0</v>
      </c>
      <c r="BS315" s="0" t="n">
        <f aca="false">BP315*BQ315</f>
        <v>-0</v>
      </c>
    </row>
    <row r="316" customFormat="false" ht="18.75" hidden="false" customHeight="false" outlineLevel="0" collapsed="false">
      <c r="A316" s="302" t="n">
        <f aca="false">A128</f>
        <v>40725</v>
      </c>
      <c r="B316" s="330" t="n">
        <f aca="false" t="array" ref="B316:B316">SUM(IF(MONTH(NymexData!$AL$12:$AL$250)&amp;YEAR(NymexData!$AL$12:$AL$250)=MONTH(A316)&amp;YEAR(A316),NymexData!$AM$12:$AM$250))</f>
        <v>0</v>
      </c>
      <c r="C316" s="330" t="n">
        <f aca="false">BD316*BJ316*BI316</f>
        <v>0</v>
      </c>
      <c r="D316" s="331" t="n">
        <f aca="false">C316+B316</f>
        <v>0</v>
      </c>
      <c r="E316" s="332" t="n">
        <f aca="false" t="array" ref="E316:E316">SUM(IF(MONTH(NymexData!$A$12:$A$250)&amp;YEAR(NymexData!$A$12:$A$250)=MONTH(A316)&amp;YEAR(A316),NymexData!$B$12:$B$250))</f>
        <v>-0.565</v>
      </c>
      <c r="F316" s="332" t="n">
        <f aca="false">G316-E316</f>
        <v>0</v>
      </c>
      <c r="G316" s="333" t="n">
        <f aca="false" t="array" ref="G316:G316">IF(NymexData!$H$12="",GasPosn!E316,SUM(IF(MONTH(NymexData!$H$12:$H$250)&amp;YEAR(NymexData!$H$12:$H$250)=MONTH(A316)&amp;YEAR(A316),NymexData!$I$12:$I$250)))</f>
        <v>-0.565</v>
      </c>
      <c r="H316" s="334" t="n">
        <f aca="false">B316*10000*F316</f>
        <v>0</v>
      </c>
      <c r="I316" s="335" t="n">
        <f aca="false">(((G316-Q316)*P316+(G316-S316)*R316+(G316-U316)*T316+(G316-W316)*V316+(G316-Y316)*X316+(G316-AA316)*Z316+(G316-AC316)*AB316+(G316-AE316)*AD316+(G316-AG316)*AF316+(G316-AI316)*AH316+(G316-AK316)*AJ316+(G316-AM316)*AL316+(G316-AO316)*AN316+(G316-AQ316)*AP316+(G316-AS316)*AR316+(G316-AU316)*AT316+(G316-AW316)*AV316+(G316-AY316)*AX316+(G316-BA316)*AZ316+(G316-BC316)*BB316)*BJ316*BI316)*10000</f>
        <v>-0</v>
      </c>
      <c r="J316" s="335" t="n">
        <f aca="false">H316+I316</f>
        <v>0</v>
      </c>
      <c r="O316" s="336" t="n">
        <f aca="false">A316</f>
        <v>40725</v>
      </c>
      <c r="BD316" s="337" t="n">
        <f aca="false">(P316+R316+T316+V316+X316+Z316+AB316+AD316+AF316+AH316+AJ316+AL316+AN316+AP316+AR316+AT316+AV316+AX316+AZ316+BB316)</f>
        <v>0</v>
      </c>
      <c r="BE316" s="338" t="n">
        <f aca="false">IF(AND(BD316=0,BH316=0),0,(ABS(P316)*Q316+ABS(R316)*S316+ABS(T316)*U316+ABS(V316)*W316+ABS(X316)*Y316+ABS(Z316)*AA316+ABS(AB316)*AC316+ABS(AD316)*AE316+ABS(AF316)*AG316+ABS(AH316)*AI316+ABS(AJ316)*AK316+ABS(AL316)*AM316+ABS(AN316)*AO316+ABS(AP316)*AQ316+ABS(AR316)*AS316+ABS(AT316)*AU316+ABS(AV316)*AW316+ABS(AX316)*AY316+ABS(AZ316)*BA316+ABS(BB316)*BC316)/BH316)</f>
        <v>0</v>
      </c>
      <c r="BG316" s="103" t="n">
        <f aca="false">O316</f>
        <v>40725</v>
      </c>
      <c r="BH316" s="323" t="n">
        <f aca="false">(ABS(P316)+ABS(R316)+ABS(T316)+ABS(V316)+ABS(X316)+ABS(Z316)+ABS(AB316)+ABS(AD316)+ABS(AF316)+ABS(AH316)+ABS(AJ316)+ABS(AL316)+ABS(AN316)+ABS(AP316)+ABS(AR316)+ABS(AT316)+ABS(AV316)+ABS(AX316)+ABS(AZ316)+ABS(BB316))</f>
        <v>0</v>
      </c>
      <c r="BI316" s="104" t="n">
        <f aca="false">VLOOKUP(GasPosn!A316,'Pricing Summary'!$AB$12:$AD$250,3)</f>
        <v>31</v>
      </c>
      <c r="BJ316" s="102" t="n">
        <f aca="false">VLOOKUP(A316,Interest!$AF$8:$AK$367,6)</f>
        <v>0.594960165906545</v>
      </c>
      <c r="BL316" s="0" t="n">
        <f aca="false">J316*VLOOKUP(A316,NymexData!$J$12:$K$244,2)</f>
        <v>0</v>
      </c>
      <c r="BO316" s="0" t="n">
        <f aca="false">BO128</f>
        <v>0.594960165906545</v>
      </c>
      <c r="BP316" s="0" t="n">
        <f aca="false">G316*BO316</f>
        <v>-0.336152493737198</v>
      </c>
      <c r="BQ316" s="0" t="n">
        <f aca="false">IF(AND(A316&gt;=$B$191,A316&lt;=$B$192),1,0)</f>
        <v>0</v>
      </c>
      <c r="BR316" s="0" t="n">
        <f aca="false">BO316*BQ316</f>
        <v>0</v>
      </c>
      <c r="BS316" s="0" t="n">
        <f aca="false">BP316*BQ316</f>
        <v>-0</v>
      </c>
    </row>
    <row r="317" customFormat="false" ht="12.75" hidden="false" customHeight="false" outlineLevel="0" collapsed="false">
      <c r="BR317" s="0" t="n">
        <f aca="false">SUM(BR200:BR316)</f>
        <v>11.79204927869</v>
      </c>
      <c r="BS317" s="0" t="n">
        <f aca="false">SUM(BS200:BS316)</f>
        <v>-5.48456711556764</v>
      </c>
      <c r="BT317" s="0" t="n">
        <f aca="false">BS317/BR317</f>
        <v>-0.465107207911613</v>
      </c>
    </row>
    <row r="318" customFormat="false" ht="13.5" hidden="false" customHeight="false" outlineLevel="0" collapsed="false"/>
    <row r="319" customFormat="false" ht="21" hidden="false" customHeight="false" outlineLevel="0" collapsed="false">
      <c r="A319" s="306" t="s">
        <v>110</v>
      </c>
      <c r="D319" s="341"/>
      <c r="E319" s="342"/>
      <c r="F319" s="342"/>
      <c r="G319" s="343"/>
      <c r="H319" s="344"/>
      <c r="I319" s="17" t="s">
        <v>128</v>
      </c>
      <c r="J319" s="18"/>
    </row>
    <row r="320" customFormat="false" ht="18.75" hidden="false" customHeight="false" outlineLevel="0" collapsed="false">
      <c r="A320" s="49" t="s">
        <v>113</v>
      </c>
      <c r="B320" s="307" t="n">
        <v>37257</v>
      </c>
      <c r="C320" s="352" t="n">
        <f aca="false">BT446</f>
        <v>4.77679870051391</v>
      </c>
      <c r="D320" s="341"/>
      <c r="E320" s="342"/>
      <c r="F320" s="342"/>
      <c r="G320" s="343"/>
      <c r="H320" s="344"/>
      <c r="I320" s="24" t="s">
        <v>2</v>
      </c>
      <c r="J320" s="25" t="n">
        <f aca="false">SUM(BL329:BL445)</f>
        <v>-484160.822404723</v>
      </c>
    </row>
    <row r="321" customFormat="false" ht="18.75" hidden="false" customHeight="false" outlineLevel="0" collapsed="false">
      <c r="A321" s="61" t="s">
        <v>114</v>
      </c>
      <c r="B321" s="309" t="n">
        <v>39082</v>
      </c>
      <c r="D321" s="341"/>
      <c r="E321" s="342"/>
      <c r="F321" s="342"/>
      <c r="G321" s="343"/>
      <c r="H321" s="344"/>
      <c r="I321" s="24" t="s">
        <v>4</v>
      </c>
      <c r="J321" s="25" t="n">
        <f aca="false">SUM(BM329:BM445)</f>
        <v>0</v>
      </c>
    </row>
    <row r="322" customFormat="false" ht="18.75" hidden="false" customHeight="false" outlineLevel="0" collapsed="false">
      <c r="A322" s="339"/>
      <c r="B322" s="340"/>
      <c r="C322" s="340"/>
      <c r="D322" s="341"/>
      <c r="E322" s="342"/>
      <c r="F322" s="342"/>
      <c r="G322" s="343"/>
      <c r="H322" s="344"/>
      <c r="I322" s="17" t="s">
        <v>115</v>
      </c>
      <c r="J322" s="32" t="n">
        <f aca="false">J320+J321</f>
        <v>-484160.822404723</v>
      </c>
    </row>
    <row r="323" customFormat="false" ht="16.5" hidden="false" customHeight="false" outlineLevel="0" collapsed="false">
      <c r="I323" s="17" t="s">
        <v>116</v>
      </c>
      <c r="J323" s="32" t="n">
        <f aca="false">SUM(J329:J445)</f>
        <v>-763172.17487891</v>
      </c>
    </row>
    <row r="324" customFormat="false" ht="12.75" hidden="false" customHeight="false" outlineLevel="0" collapsed="false">
      <c r="I324" s="143"/>
      <c r="J324" s="143"/>
    </row>
    <row r="325" customFormat="false" ht="34.5" hidden="false" customHeight="false" outlineLevel="0" collapsed="false">
      <c r="A325" s="37" t="s">
        <v>129</v>
      </c>
      <c r="B325" s="47"/>
      <c r="C325" s="46"/>
      <c r="D325" s="46"/>
      <c r="E325" s="46"/>
      <c r="F325" s="46"/>
      <c r="G325" s="46"/>
      <c r="H325" s="46"/>
      <c r="I325" s="9"/>
      <c r="J325" s="9"/>
    </row>
    <row r="326" customFormat="false" ht="18.75" hidden="false" customHeight="false" outlineLevel="0" collapsed="false">
      <c r="A326" s="46"/>
      <c r="B326" s="47"/>
      <c r="C326" s="46"/>
      <c r="D326" s="46"/>
      <c r="E326" s="310"/>
      <c r="F326" s="311"/>
      <c r="G326" s="312"/>
      <c r="H326" s="313"/>
      <c r="I326" s="313"/>
      <c r="J326" s="313"/>
      <c r="L326" s="49" t="s">
        <v>118</v>
      </c>
    </row>
    <row r="327" customFormat="false" ht="13.5" hidden="false" customHeight="false" outlineLevel="0" collapsed="false">
      <c r="A327" s="49"/>
      <c r="B327" s="49" t="s">
        <v>15</v>
      </c>
      <c r="C327" s="49" t="s">
        <v>119</v>
      </c>
      <c r="D327" s="49" t="s">
        <v>17</v>
      </c>
      <c r="E327" s="51" t="s">
        <v>18</v>
      </c>
      <c r="F327" s="51"/>
      <c r="G327" s="51" t="s">
        <v>19</v>
      </c>
      <c r="H327" s="51" t="s">
        <v>20</v>
      </c>
      <c r="I327" s="314" t="s">
        <v>21</v>
      </c>
      <c r="J327" s="314"/>
      <c r="L327" s="315" t="n">
        <v>1368154</v>
      </c>
      <c r="O327" s="55"/>
      <c r="P327" s="49" t="n">
        <v>1</v>
      </c>
      <c r="Q327" s="49"/>
      <c r="R327" s="49" t="n">
        <v>2</v>
      </c>
      <c r="S327" s="49"/>
      <c r="T327" s="49" t="n">
        <v>3</v>
      </c>
      <c r="U327" s="49"/>
      <c r="V327" s="49" t="n">
        <v>4</v>
      </c>
      <c r="W327" s="49"/>
      <c r="X327" s="49" t="n">
        <v>5</v>
      </c>
      <c r="Y327" s="49"/>
      <c r="Z327" s="49" t="n">
        <v>6</v>
      </c>
      <c r="AA327" s="49"/>
      <c r="AB327" s="49" t="n">
        <v>7</v>
      </c>
      <c r="AC327" s="49"/>
      <c r="AD327" s="49" t="n">
        <v>8</v>
      </c>
      <c r="AE327" s="49"/>
      <c r="AF327" s="49" t="n">
        <v>9</v>
      </c>
      <c r="AG327" s="49"/>
      <c r="AH327" s="49" t="n">
        <v>10</v>
      </c>
      <c r="AI327" s="49"/>
      <c r="AJ327" s="49" t="n">
        <v>11</v>
      </c>
      <c r="AK327" s="49"/>
      <c r="AL327" s="49" t="n">
        <v>12</v>
      </c>
      <c r="AM327" s="49"/>
      <c r="AN327" s="49" t="n">
        <v>13</v>
      </c>
      <c r="AO327" s="49"/>
      <c r="AP327" s="49" t="n">
        <v>14</v>
      </c>
      <c r="AQ327" s="49"/>
      <c r="AR327" s="49" t="n">
        <v>15</v>
      </c>
      <c r="AS327" s="49"/>
      <c r="AT327" s="49" t="n">
        <v>16</v>
      </c>
      <c r="AU327" s="49"/>
      <c r="AV327" s="49" t="n">
        <v>17</v>
      </c>
      <c r="AW327" s="49"/>
      <c r="AX327" s="49" t="n">
        <v>18</v>
      </c>
      <c r="AY327" s="49"/>
      <c r="AZ327" s="49" t="n">
        <v>19</v>
      </c>
      <c r="BA327" s="49"/>
      <c r="BB327" s="49" t="n">
        <v>20</v>
      </c>
      <c r="BC327" s="49"/>
      <c r="BD327" s="56" t="s">
        <v>28</v>
      </c>
      <c r="BE327" s="57" t="s">
        <v>29</v>
      </c>
      <c r="BF327" s="4"/>
      <c r="BG327" s="4"/>
      <c r="BH327" s="4" t="s">
        <v>30</v>
      </c>
      <c r="BI327" s="4"/>
      <c r="BJ327" s="4" t="s">
        <v>34</v>
      </c>
      <c r="BK327" s="4"/>
      <c r="BL327" s="0" t="s">
        <v>130</v>
      </c>
      <c r="BM327" s="0" t="s">
        <v>131</v>
      </c>
    </row>
    <row r="328" customFormat="false" ht="13.5" hidden="false" customHeight="false" outlineLevel="0" collapsed="false">
      <c r="A328" s="61" t="s">
        <v>39</v>
      </c>
      <c r="B328" s="61" t="s">
        <v>121</v>
      </c>
      <c r="C328" s="61" t="s">
        <v>121</v>
      </c>
      <c r="D328" s="61" t="s">
        <v>121</v>
      </c>
      <c r="E328" s="61" t="s">
        <v>43</v>
      </c>
      <c r="F328" s="61" t="s">
        <v>44</v>
      </c>
      <c r="G328" s="61" t="s">
        <v>43</v>
      </c>
      <c r="H328" s="61" t="s">
        <v>45</v>
      </c>
      <c r="I328" s="62" t="s">
        <v>46</v>
      </c>
      <c r="J328" s="62" t="s">
        <v>47</v>
      </c>
      <c r="O328" s="61" t="s">
        <v>39</v>
      </c>
      <c r="P328" s="69" t="s">
        <v>51</v>
      </c>
      <c r="Q328" s="62" t="s">
        <v>43</v>
      </c>
      <c r="R328" s="69" t="s">
        <v>51</v>
      </c>
      <c r="S328" s="62" t="s">
        <v>43</v>
      </c>
      <c r="T328" s="69" t="s">
        <v>51</v>
      </c>
      <c r="U328" s="62" t="s">
        <v>43</v>
      </c>
      <c r="V328" s="69" t="s">
        <v>51</v>
      </c>
      <c r="W328" s="62" t="s">
        <v>43</v>
      </c>
      <c r="X328" s="69" t="s">
        <v>51</v>
      </c>
      <c r="Y328" s="62" t="s">
        <v>43</v>
      </c>
      <c r="Z328" s="69" t="s">
        <v>51</v>
      </c>
      <c r="AA328" s="62" t="s">
        <v>43</v>
      </c>
      <c r="AB328" s="69" t="s">
        <v>51</v>
      </c>
      <c r="AC328" s="62" t="s">
        <v>43</v>
      </c>
      <c r="AD328" s="69" t="s">
        <v>51</v>
      </c>
      <c r="AE328" s="62" t="s">
        <v>43</v>
      </c>
      <c r="AF328" s="69" t="s">
        <v>51</v>
      </c>
      <c r="AG328" s="62" t="s">
        <v>43</v>
      </c>
      <c r="AH328" s="69" t="s">
        <v>51</v>
      </c>
      <c r="AI328" s="62" t="s">
        <v>43</v>
      </c>
      <c r="AJ328" s="69" t="s">
        <v>51</v>
      </c>
      <c r="AK328" s="62" t="s">
        <v>43</v>
      </c>
      <c r="AL328" s="69" t="s">
        <v>51</v>
      </c>
      <c r="AM328" s="62" t="s">
        <v>43</v>
      </c>
      <c r="AN328" s="69" t="s">
        <v>51</v>
      </c>
      <c r="AO328" s="62" t="s">
        <v>43</v>
      </c>
      <c r="AP328" s="69" t="s">
        <v>51</v>
      </c>
      <c r="AQ328" s="62" t="s">
        <v>43</v>
      </c>
      <c r="AR328" s="69" t="s">
        <v>51</v>
      </c>
      <c r="AS328" s="62" t="s">
        <v>43</v>
      </c>
      <c r="AT328" s="69" t="s">
        <v>51</v>
      </c>
      <c r="AU328" s="62" t="s">
        <v>43</v>
      </c>
      <c r="AV328" s="69" t="s">
        <v>51</v>
      </c>
      <c r="AW328" s="62" t="s">
        <v>43</v>
      </c>
      <c r="AX328" s="69" t="s">
        <v>51</v>
      </c>
      <c r="AY328" s="62" t="s">
        <v>43</v>
      </c>
      <c r="AZ328" s="69" t="s">
        <v>51</v>
      </c>
      <c r="BA328" s="62" t="s">
        <v>43</v>
      </c>
      <c r="BB328" s="69" t="s">
        <v>51</v>
      </c>
      <c r="BC328" s="62" t="s">
        <v>43</v>
      </c>
      <c r="BD328" s="70" t="s">
        <v>51</v>
      </c>
      <c r="BE328" s="71" t="s">
        <v>43</v>
      </c>
      <c r="BF328" s="4"/>
      <c r="BG328" s="4"/>
      <c r="BH328" s="4" t="s">
        <v>122</v>
      </c>
      <c r="BI328" s="4"/>
      <c r="BJ328" s="4"/>
      <c r="BK328" s="4"/>
      <c r="BO328" s="316" t="s">
        <v>64</v>
      </c>
      <c r="BP328" s="316" t="s">
        <v>123</v>
      </c>
      <c r="BR328" s="316" t="s">
        <v>124</v>
      </c>
      <c r="BS328" s="316" t="s">
        <v>125</v>
      </c>
    </row>
    <row r="329" customFormat="false" ht="18" hidden="false" customHeight="false" outlineLevel="0" collapsed="false">
      <c r="A329" s="75" t="n">
        <f aca="false">A12</f>
        <v>37225</v>
      </c>
      <c r="B329" s="317" t="n">
        <f aca="false" t="array" ref="B329:B329">SUM(IF(MONTH(NymexData!$AO$12:$AO$250)&amp;YEAR(NymexData!$AO$12:$AO$250)=MONTH(A329)&amp;YEAR(A329),NymexData!$AP$12:$AP$250))</f>
        <v>-205.25684876214</v>
      </c>
      <c r="C329" s="318" t="n">
        <f aca="false">BD329*BJ329*BI329</f>
        <v>0</v>
      </c>
      <c r="D329" s="319" t="n">
        <f aca="false">C329+B329</f>
        <v>-205.25684876214</v>
      </c>
      <c r="E329" s="320" t="n">
        <v>3.95</v>
      </c>
      <c r="F329" s="320" t="n">
        <f aca="false">G329-E329</f>
        <v>-0.0800000000000001</v>
      </c>
      <c r="G329" s="321" t="n">
        <v>3.87</v>
      </c>
      <c r="H329" s="76" t="n">
        <f aca="false">B329*10000*F329</f>
        <v>164205.479009712</v>
      </c>
      <c r="I329" s="82" t="n">
        <f aca="false">(((G329-Q329)*P329+(G329-S329)*R329+(G329-U329)*T329+(G329-W329)*V329+(G329-Y329)*X329+(G329-AA329)*Z329+(G329-AC329)*AB329+(G329-AE329)*AD329+(G329-AG329)*AF329+(G329-AI329)*AH329+(G329-AK329)*AJ329+(G329-AM329)*AL329+(G329-AO329)*AN329+(G329-AQ329)*AP329+(G329-AS329)*AR329+(G329-AU329)*AT329+(G329-AW329)*AV329+(G329-AY329)*AX329+(G329-BA329)*AZ329+(G329-BC329)*BB329)*BJ329*BI329)*10000</f>
        <v>0</v>
      </c>
      <c r="J329" s="82" t="n">
        <f aca="false">H329+I329</f>
        <v>164205.479009712</v>
      </c>
      <c r="O329" s="95" t="n">
        <f aca="false">A329</f>
        <v>37225</v>
      </c>
      <c r="BD329" s="100" t="n">
        <f aca="false">(P329+R329+T329+V329+X329+Z329+AB329+AD329+AF329+AH329+AJ329+AL329+AN329+AP329+AR329+AT329+AV329+AX329+AZ329+BB329)</f>
        <v>0</v>
      </c>
      <c r="BE329" s="322" t="n">
        <f aca="false">IF(AND(BD329=0,BH329=0),0,(ABS(P329)*Q329+ABS(R329)*S329+ABS(T329)*U329+ABS(V329)*W329+ABS(X329)*Y329+ABS(Z329)*AA329+ABS(AB329)*AC329+ABS(AD329)*AE329+ABS(AF329)*AG329+ABS(AH329)*AI329+ABS(AJ329)*AK329+ABS(AL329)*AM329+ABS(AN329)*AO329+ABS(AP329)*AQ329+ABS(AR329)*AS329+ABS(AT329)*AU329+ABS(AV329)*AW329+ABS(AX329)*AY329+ABS(AZ329)*BA329+ABS(BB329)*BC329)/BH329)</f>
        <v>0</v>
      </c>
      <c r="BF329" s="102"/>
      <c r="BG329" s="103" t="n">
        <f aca="false">O329</f>
        <v>37225</v>
      </c>
      <c r="BH329" s="323" t="n">
        <f aca="false">(ABS(P329)+ABS(R329)+ABS(T329)+ABS(V329)+ABS(X329)+ABS(Z329)+ABS(AB329)+ABS(AD329)+ABS(AF329)+ABS(AH329)+ABS(AJ329)+ABS(AL329)+ABS(AN329)+ABS(AP329)+ABS(AR329)+ABS(AT329)+ABS(AV329)+ABS(AX329)+ABS(AZ329)+ABS(BB329))</f>
        <v>0</v>
      </c>
      <c r="BI329" s="104" t="n">
        <f aca="false">VLOOKUP(GasPosn!A329,'Pricing Summary'!$AB$12:$AD$250,3)</f>
        <v>30</v>
      </c>
      <c r="BJ329" s="102" t="n">
        <f aca="false">VLOOKUP(A329,Interest!$AF$8:$AK$367,6)</f>
        <v>0.997095123182703</v>
      </c>
      <c r="BK329" s="323"/>
      <c r="BL329" s="0" t="n">
        <f aca="false">H329/VLOOKUP(A329,NymexData!$J$12:$K$128,2)</f>
        <v>104386.625346849</v>
      </c>
      <c r="BM329" s="0" t="n">
        <f aca="false">I329/VLOOKUP(A329,NymexData!$J$12:$K$128,2)</f>
        <v>0</v>
      </c>
      <c r="BO329" s="0" t="n">
        <f aca="false">BO12</f>
        <v>0.997095123182703</v>
      </c>
      <c r="BP329" s="0" t="n">
        <f aca="false">G329*BO329</f>
        <v>3.85875812671706</v>
      </c>
      <c r="BQ329" s="0" t="n">
        <f aca="false">IF(AND(A329&gt;=$B$320,A329&lt;=$B$321),1,0)</f>
        <v>0</v>
      </c>
      <c r="BR329" s="0" t="n">
        <f aca="false">BO329*BQ329</f>
        <v>0</v>
      </c>
      <c r="BS329" s="0" t="n">
        <f aca="false">BP329*BQ329</f>
        <v>0</v>
      </c>
    </row>
    <row r="330" customFormat="false" ht="18" hidden="false" customHeight="false" outlineLevel="0" collapsed="false">
      <c r="A330" s="112" t="n">
        <f aca="false">A13</f>
        <v>37226</v>
      </c>
      <c r="B330" s="324" t="n">
        <f aca="false" t="array" ref="B330:B330">SUM(IF(MONTH(NymexData!$AO$12:$AO$250)&amp;YEAR(NymexData!$AO$12:$AO$250)=MONTH(A330)&amp;YEAR(A330),NymexData!$AP$12:$AP$250))</f>
        <v>0.421706900286</v>
      </c>
      <c r="C330" s="325" t="n">
        <f aca="false">BD330*BJ330*BI330</f>
        <v>0</v>
      </c>
      <c r="D330" s="326" t="n">
        <f aca="false">C330+B330</f>
        <v>0.421706900286</v>
      </c>
      <c r="E330" s="327" t="n">
        <f aca="false" t="array" ref="E330:E330">SUM(IF(MONTH(NymexData!$A$12:$A$250)&amp;YEAR(NymexData!$A$12:$A$250)=MONTH(A330)&amp;YEAR(A330),NymexData!$F$12:$F$250))</f>
        <v>4.21342691821208</v>
      </c>
      <c r="F330" s="327" t="n">
        <f aca="false">G330-E330</f>
        <v>-0.115101671802901</v>
      </c>
      <c r="G330" s="328" t="n">
        <f aca="false" t="array" ref="G330:G330">IF(NymexData!$H$12="",GasPosn!E330,SUM(IF(MONTH(NymexData!$H$12:$H$250)&amp;YEAR(NymexData!$H$12:$H$250)=MONTH(A330)&amp;YEAR(A330),NymexData!$L$12:$L$250)))</f>
        <v>4.09832524640918</v>
      </c>
      <c r="H330" s="115" t="n">
        <f aca="false">B330*10000*F330</f>
        <v>-485.391692337377</v>
      </c>
      <c r="I330" s="119" t="n">
        <f aca="false">(((G330-Q330)*P330+(G330-S330)*R330+(G330-U330)*T330+(G330-W330)*V330+(G330-Y330)*X330+(G330-AA330)*Z330+(G330-AC330)*AB330+(G330-AE330)*AD330+(G330-AG330)*AF330+(G330-AI330)*AH330+(G330-AK330)*AJ330+(G330-AM330)*AL330+(G330-AO330)*AN330+(G330-AQ330)*AP330+(G330-AS330)*AR330+(G330-AU330)*AT330+(G330-AW330)*AV330+(G330-AY330)*AX330+(G330-BA330)*AZ330+(G330-BC330)*BB330)*BJ330*BI330)*10000</f>
        <v>0</v>
      </c>
      <c r="J330" s="119" t="n">
        <f aca="false">H330+I330</f>
        <v>-485.391692337377</v>
      </c>
      <c r="O330" s="95" t="n">
        <f aca="false">A330</f>
        <v>37226</v>
      </c>
      <c r="BD330" s="100" t="n">
        <f aca="false">(P330+R330+T330+V330+X330+Z330+AB330+AD330+AF330+AH330+AJ330+AL330+AN330+AP330+AR330+AT330+AV330+AX330+AZ330+BB330)</f>
        <v>0</v>
      </c>
      <c r="BE330" s="322" t="n">
        <f aca="false">IF(AND(BD330=0,BH330=0),0,(ABS(P330)*Q330+ABS(R330)*S330+ABS(T330)*U330+ABS(V330)*W330+ABS(X330)*Y330+ABS(Z330)*AA330+ABS(AB330)*AC330+ABS(AD330)*AE330+ABS(AF330)*AG330+ABS(AH330)*AI330+ABS(AJ330)*AK330+ABS(AL330)*AM330+ABS(AN330)*AO330+ABS(AP330)*AQ330+ABS(AR330)*AS330+ABS(AT330)*AU330+ABS(AV330)*AW330+ABS(AX330)*AY330+ABS(AZ330)*BA330+ABS(BB330)*BC330)/BH330)</f>
        <v>0</v>
      </c>
      <c r="BF330" s="102"/>
      <c r="BG330" s="103" t="n">
        <f aca="false">O330</f>
        <v>37226</v>
      </c>
      <c r="BH330" s="323" t="n">
        <f aca="false">(ABS(P330)+ABS(R330)+ABS(T330)+ABS(V330)+ABS(X330)+ABS(Z330)+ABS(AB330)+ABS(AD330)+ABS(AF330)+ABS(AH330)+ABS(AJ330)+ABS(AL330)+ABS(AN330)+ABS(AP330)+ABS(AR330)+ABS(AT330)+ABS(AV330)+ABS(AX330)+ABS(AZ330)+ABS(BB330))</f>
        <v>0</v>
      </c>
      <c r="BI330" s="104" t="n">
        <f aca="false">VLOOKUP(GasPosn!A330,'Pricing Summary'!$AB$12:$AD$250,3)</f>
        <v>31</v>
      </c>
      <c r="BJ330" s="102" t="n">
        <f aca="false">VLOOKUP(A330,Interest!$AF$8:$AK$367,6)</f>
        <v>0.995207933815401</v>
      </c>
      <c r="BK330" s="102"/>
      <c r="BL330" s="0" t="n">
        <f aca="false">H330/VLOOKUP(A330,NymexData!$J$12:$K$128,2)</f>
        <v>-308.480086724454</v>
      </c>
      <c r="BM330" s="0" t="n">
        <f aca="false">I330/VLOOKUP(A330,NymexData!$J$12:$K$128,2)</f>
        <v>0</v>
      </c>
      <c r="BO330" s="0" t="n">
        <f aca="false">BO13</f>
        <v>0.995207933815401</v>
      </c>
      <c r="BP330" s="0" t="n">
        <f aca="false">G330*BO330</f>
        <v>4.07868580058238</v>
      </c>
      <c r="BQ330" s="0" t="n">
        <f aca="false">IF(AND(A330&gt;=$B$320,A330&lt;=$B$321),1,0)</f>
        <v>0</v>
      </c>
      <c r="BR330" s="0" t="n">
        <f aca="false">BO330*BQ330</f>
        <v>0</v>
      </c>
      <c r="BS330" s="0" t="n">
        <f aca="false">BP330*BQ330</f>
        <v>0</v>
      </c>
    </row>
    <row r="331" customFormat="false" ht="18" hidden="false" customHeight="false" outlineLevel="0" collapsed="false">
      <c r="A331" s="75" t="n">
        <f aca="false">A14</f>
        <v>37257</v>
      </c>
      <c r="B331" s="317" t="n">
        <f aca="false" t="array" ref="B331:B331">SUM(IF(MONTH(NymexData!$AO$12:$AO$250)&amp;YEAR(NymexData!$AO$12:$AO$250)=MONTH(A331)&amp;YEAR(A331),NymexData!$AP$12:$AP$250))</f>
        <v>26.046969690238</v>
      </c>
      <c r="C331" s="317" t="n">
        <f aca="false">BD331*BJ331*BI331</f>
        <v>0</v>
      </c>
      <c r="D331" s="319" t="n">
        <f aca="false">C331+B331</f>
        <v>26.046969690238</v>
      </c>
      <c r="E331" s="320" t="n">
        <f aca="false" t="array" ref="E331:E331">SUM(IF(MONTH(NymexData!$A$12:$A$250)&amp;YEAR(NymexData!$A$12:$A$250)=MONTH(A331)&amp;YEAR(A331),NymexData!$F$12:$F$250))</f>
        <v>4.31877440118626</v>
      </c>
      <c r="F331" s="320" t="n">
        <f aca="false">G331-E331</f>
        <v>-0.12734353950971</v>
      </c>
      <c r="G331" s="321" t="n">
        <f aca="false" t="array" ref="G331:G331">IF(NymexData!$H$12="",GasPosn!E331,SUM(IF(MONTH(NymexData!$H$12:$H$250)&amp;YEAR(NymexData!$H$12:$H$250)=MONTH(A331)&amp;YEAR(A331),NymexData!$L$12:$L$250)))</f>
        <v>4.19143086167655</v>
      </c>
      <c r="H331" s="76" t="n">
        <f aca="false">B331*10000*F331</f>
        <v>-33169.1331385705</v>
      </c>
      <c r="I331" s="82" t="n">
        <f aca="false">(((G331-Q331)*P331+(G331-S331)*R331+(G331-U331)*T331+(G331-W331)*V331+(G331-Y331)*X331+(G331-AA331)*Z331+(G331-AC331)*AB331+(G331-AE331)*AD331+(G331-AG331)*AF331+(G331-AI331)*AH331+(G331-AK331)*AJ331+(G331-AM331)*AL331+(G331-AO331)*AN331+(G331-AQ331)*AP331+(G331-AS331)*AR331+(G331-AU331)*AT331+(G331-AW331)*AV331+(G331-AY331)*AX331+(G331-BA331)*AZ331+(G331-BC331)*BB331)*BJ331*BI331)*10000</f>
        <v>0</v>
      </c>
      <c r="J331" s="82" t="n">
        <f aca="false">H331+I331</f>
        <v>-33169.1331385705</v>
      </c>
      <c r="O331" s="95" t="n">
        <f aca="false">A331</f>
        <v>37257</v>
      </c>
      <c r="BD331" s="100" t="n">
        <f aca="false">(P331+R331+T331+V331+X331+Z331+AB331+AD331+AF331+AH331+AJ331+AL331+AN331+AP331+AR331+AT331+AV331+AX331+AZ331+BB331)</f>
        <v>0</v>
      </c>
      <c r="BE331" s="322" t="n">
        <f aca="false">IF(AND(BD331=0,BH331=0),0,(ABS(P331)*Q331+ABS(R331)*S331+ABS(T331)*U331+ABS(V331)*W331+ABS(X331)*Y331+ABS(Z331)*AA331+ABS(AB331)*AC331+ABS(AD331)*AE331+ABS(AF331)*AG331+ABS(AH331)*AI331+ABS(AJ331)*AK331+ABS(AL331)*AM331+ABS(AN331)*AO331+ABS(AP331)*AQ331+ABS(AR331)*AS331+ABS(AT331)*AU331+ABS(AV331)*AW331+ABS(AX331)*AY331+ABS(AZ331)*BA331+ABS(BB331)*BC331)/BH331)</f>
        <v>0</v>
      </c>
      <c r="BF331" s="102"/>
      <c r="BG331" s="103" t="n">
        <f aca="false">O331</f>
        <v>37257</v>
      </c>
      <c r="BH331" s="323" t="n">
        <f aca="false">(ABS(P331)+ABS(R331)+ABS(T331)+ABS(V331)+ABS(X331)+ABS(Z331)+ABS(AB331)+ABS(AD331)+ABS(AF331)+ABS(AH331)+ABS(AJ331)+ABS(AL331)+ABS(AN331)+ABS(AP331)+ABS(AR331)+ABS(AT331)+ABS(AV331)+ABS(AX331)+ABS(AZ331)+ABS(BB331))</f>
        <v>0</v>
      </c>
      <c r="BI331" s="104" t="n">
        <f aca="false">VLOOKUP(GasPosn!A331,'Pricing Summary'!$AB$12:$AD$250,3)</f>
        <v>31</v>
      </c>
      <c r="BJ331" s="102" t="n">
        <f aca="false">VLOOKUP(A331,Interest!$AF$8:$AK$367,6)</f>
        <v>0.993322772949378</v>
      </c>
      <c r="BK331" s="102"/>
      <c r="BL331" s="0" t="n">
        <f aca="false">H331/VLOOKUP(A331,NymexData!$J$12:$K$128,2)</f>
        <v>-21076.7004420954</v>
      </c>
      <c r="BM331" s="0" t="n">
        <f aca="false">I331/VLOOKUP(A331,NymexData!$J$12:$K$128,2)</f>
        <v>0</v>
      </c>
      <c r="BO331" s="0" t="n">
        <f aca="false">BO14</f>
        <v>0.993322772949378</v>
      </c>
      <c r="BP331" s="0" t="n">
        <f aca="false">G331*BO331</f>
        <v>4.16344372614615</v>
      </c>
      <c r="BQ331" s="0" t="n">
        <f aca="false">IF(AND(A331&gt;=$B$320,A331&lt;=$B$321),1,0)</f>
        <v>1</v>
      </c>
      <c r="BR331" s="0" t="n">
        <f aca="false">BO331*BQ331</f>
        <v>0.993322772949378</v>
      </c>
      <c r="BS331" s="0" t="n">
        <f aca="false">BP331*BQ331</f>
        <v>4.16344372614615</v>
      </c>
    </row>
    <row r="332" customFormat="false" ht="18" hidden="false" customHeight="false" outlineLevel="0" collapsed="false">
      <c r="A332" s="112" t="n">
        <f aca="false">A15</f>
        <v>37288</v>
      </c>
      <c r="B332" s="324" t="n">
        <f aca="false" t="array" ref="B332:B332">SUM(IF(MONTH(NymexData!$AO$12:$AO$250)&amp;YEAR(NymexData!$AO$12:$AO$250)=MONTH(A332)&amp;YEAR(A332),NymexData!$AP$12:$AP$250))</f>
        <v>23.47730934339</v>
      </c>
      <c r="C332" s="325" t="n">
        <f aca="false">BD332*BJ332*BI332</f>
        <v>0</v>
      </c>
      <c r="D332" s="326" t="n">
        <f aca="false">C332+B332</f>
        <v>23.47730934339</v>
      </c>
      <c r="E332" s="327" t="n">
        <f aca="false" t="array" ref="E332:E332">SUM(IF(MONTH(NymexData!$A$12:$A$250)&amp;YEAR(NymexData!$A$12:$A$250)=MONTH(A332)&amp;YEAR(A332),NymexData!$F$12:$F$250))</f>
        <v>4.28947498380662</v>
      </c>
      <c r="F332" s="327" t="n">
        <f aca="false">G332-E332</f>
        <v>-0.145592442272992</v>
      </c>
      <c r="G332" s="328" t="n">
        <f aca="false" t="array" ref="G332:G332">IF(NymexData!$H$12="",GasPosn!E332,SUM(IF(MONTH(NymexData!$H$12:$H$250)&amp;YEAR(NymexData!$H$12:$H$250)=MONTH(A332)&amp;YEAR(A332),NymexData!$L$12:$L$250)))</f>
        <v>4.14388254153363</v>
      </c>
      <c r="H332" s="115" t="n">
        <f aca="false">B332*10000*F332</f>
        <v>-34181.1880530269</v>
      </c>
      <c r="I332" s="119" t="n">
        <f aca="false">(((G332-Q332)*P332+(G332-S332)*R332+(G332-U332)*T332+(G332-W332)*V332+(G332-Y332)*X332+(G332-AA332)*Z332+(G332-AC332)*AB332+(G332-AE332)*AD332+(G332-AG332)*AF332+(G332-AI332)*AH332+(G332-AK332)*AJ332+(G332-AM332)*AL332+(G332-AO332)*AN332+(G332-AQ332)*AP332+(G332-AS332)*AR332+(G332-AU332)*AT332+(G332-AW332)*AV332+(G332-AY332)*AX332+(G332-BA332)*AZ332+(G332-BC332)*BB332)*BJ332*BI332)*10000</f>
        <v>0</v>
      </c>
      <c r="J332" s="119" t="n">
        <f aca="false">H332+I332</f>
        <v>-34181.1880530269</v>
      </c>
      <c r="O332" s="95" t="n">
        <f aca="false">A332</f>
        <v>37288</v>
      </c>
      <c r="BD332" s="100" t="n">
        <f aca="false">(P332+R332+T332+V332+X332+Z332+AB332+AD332+AF332+AH332+AJ332+AL332+AN332+AP332+AR332+AT332+AV332+AX332+AZ332+BB332)</f>
        <v>0</v>
      </c>
      <c r="BE332" s="322" t="n">
        <f aca="false">IF(AND(BD332=0,BH332=0),0,(ABS(P332)*Q332+ABS(R332)*S332+ABS(T332)*U332+ABS(V332)*W332+ABS(X332)*Y332+ABS(Z332)*AA332+ABS(AB332)*AC332+ABS(AD332)*AE332+ABS(AF332)*AG332+ABS(AH332)*AI332+ABS(AJ332)*AK332+ABS(AL332)*AM332+ABS(AN332)*AO332+ABS(AP332)*AQ332+ABS(AR332)*AS332+ABS(AT332)*AU332+ABS(AV332)*AW332+ABS(AX332)*AY332+ABS(AZ332)*BA332+ABS(BB332)*BC332)/BH332)</f>
        <v>0</v>
      </c>
      <c r="BF332" s="102"/>
      <c r="BG332" s="103" t="n">
        <f aca="false">O332</f>
        <v>37288</v>
      </c>
      <c r="BH332" s="323" t="n">
        <f aca="false">(ABS(P332)+ABS(R332)+ABS(T332)+ABS(V332)+ABS(X332)+ABS(Z332)+ABS(AB332)+ABS(AD332)+ABS(AF332)+ABS(AH332)+ABS(AJ332)+ABS(AL332)+ABS(AN332)+ABS(AP332)+ABS(AR332)+ABS(AT332)+ABS(AV332)+ABS(AX332)+ABS(AZ332)+ABS(BB332))</f>
        <v>0</v>
      </c>
      <c r="BI332" s="104" t="n">
        <f aca="false">VLOOKUP(GasPosn!A332,'Pricing Summary'!$AB$12:$AD$250,3)</f>
        <v>28</v>
      </c>
      <c r="BJ332" s="102" t="n">
        <f aca="false">VLOOKUP(A332,Interest!$AF$8:$AK$367,6)</f>
        <v>0.991586460991933</v>
      </c>
      <c r="BK332" s="102"/>
      <c r="BL332" s="0" t="n">
        <f aca="false">H332/VLOOKUP(A332,NymexData!$J$12:$K$128,2)</f>
        <v>-21718.8310317389</v>
      </c>
      <c r="BM332" s="0" t="n">
        <f aca="false">I332/VLOOKUP(A332,NymexData!$J$12:$K$128,2)</f>
        <v>0</v>
      </c>
      <c r="BO332" s="0" t="n">
        <f aca="false">BO15</f>
        <v>0.991586460991933</v>
      </c>
      <c r="BP332" s="0" t="n">
        <f aca="false">G332*BO332</f>
        <v>4.10901782412559</v>
      </c>
      <c r="BQ332" s="0" t="n">
        <f aca="false">IF(AND(A332&gt;=$B$320,A332&lt;=$B$321),1,0)</f>
        <v>1</v>
      </c>
      <c r="BR332" s="0" t="n">
        <f aca="false">BO332*BQ332</f>
        <v>0.991586460991933</v>
      </c>
      <c r="BS332" s="0" t="n">
        <f aca="false">BP332*BQ332</f>
        <v>4.10901782412559</v>
      </c>
    </row>
    <row r="333" customFormat="false" ht="18" hidden="false" customHeight="false" outlineLevel="0" collapsed="false">
      <c r="A333" s="75" t="n">
        <f aca="false">A16</f>
        <v>37316</v>
      </c>
      <c r="B333" s="317" t="n">
        <f aca="false" t="array" ref="B333:B333">SUM(IF(MONTH(NymexData!$AO$12:$AO$250)&amp;YEAR(NymexData!$AO$12:$AO$250)=MONTH(A333)&amp;YEAR(A333),NymexData!$AP$12:$AP$250))</f>
        <v>25.94779179398</v>
      </c>
      <c r="C333" s="317" t="n">
        <f aca="false">BD333*BJ333*BI333</f>
        <v>0</v>
      </c>
      <c r="D333" s="319" t="n">
        <f aca="false">C333+B333</f>
        <v>25.94779179398</v>
      </c>
      <c r="E333" s="320" t="n">
        <f aca="false" t="array" ref="E333:E333">SUM(IF(MONTH(NymexData!$A$12:$A$250)&amp;YEAR(NymexData!$A$12:$A$250)=MONTH(A333)&amp;YEAR(A333),NymexData!$F$12:$F$250))</f>
        <v>4.17788630444273</v>
      </c>
      <c r="F333" s="320" t="n">
        <f aca="false">G333-E333</f>
        <v>-0.156983169810907</v>
      </c>
      <c r="G333" s="321" t="n">
        <f aca="false" t="array" ref="G333:G333">IF(NymexData!$H$12="",GasPosn!E333,SUM(IF(MONTH(NymexData!$H$12:$H$250)&amp;YEAR(NymexData!$H$12:$H$250)=MONTH(A333)&amp;YEAR(A333),NymexData!$L$12:$L$250)))</f>
        <v>4.02090313463183</v>
      </c>
      <c r="H333" s="76" t="n">
        <f aca="false">B333*10000*F333</f>
        <v>-40733.6660541242</v>
      </c>
      <c r="I333" s="82" t="n">
        <f aca="false">(((G333-Q333)*P333+(G333-S333)*R333+(G333-U333)*T333+(G333-W333)*V333+(G333-Y333)*X333+(G333-AA333)*Z333+(G333-AC333)*AB333+(G333-AE333)*AD333+(G333-AG333)*AF333+(G333-AI333)*AH333+(G333-AK333)*AJ333+(G333-AM333)*AL333+(G333-AO333)*AN333+(G333-AQ333)*AP333+(G333-AS333)*AR333+(G333-AU333)*AT333+(G333-AW333)*AV333+(G333-AY333)*AX333+(G333-BA333)*AZ333+(G333-BC333)*BB333)*BJ333*BI333)*10000</f>
        <v>0</v>
      </c>
      <c r="J333" s="82" t="n">
        <f aca="false">H333+I333</f>
        <v>-40733.6660541242</v>
      </c>
      <c r="O333" s="95" t="n">
        <f aca="false">A333</f>
        <v>37316</v>
      </c>
      <c r="BD333" s="100" t="n">
        <f aca="false">(P333+R333+T333+V333+X333+Z333+AB333+AD333+AF333+AH333+AJ333+AL333+AN333+AP333+AR333+AT333+AV333+AX333+AZ333+BB333)</f>
        <v>0</v>
      </c>
      <c r="BE333" s="322" t="n">
        <f aca="false">IF(AND(BD333=0,BH333=0),0,(ABS(P333)*Q333+ABS(R333)*S333+ABS(T333)*U333+ABS(V333)*W333+ABS(X333)*Y333+ABS(Z333)*AA333+ABS(AB333)*AC333+ABS(AD333)*AE333+ABS(AF333)*AG333+ABS(AH333)*AI333+ABS(AJ333)*AK333+ABS(AL333)*AM333+ABS(AN333)*AO333+ABS(AP333)*AQ333+ABS(AR333)*AS333+ABS(AT333)*AU333+ABS(AV333)*AW333+ABS(AX333)*AY333+ABS(AZ333)*BA333+ABS(BB333)*BC333)/BH333)</f>
        <v>0</v>
      </c>
      <c r="BF333" s="102"/>
      <c r="BG333" s="103" t="n">
        <f aca="false">O333</f>
        <v>37316</v>
      </c>
      <c r="BH333" s="323" t="n">
        <f aca="false">(ABS(P333)+ABS(R333)+ABS(T333)+ABS(V333)+ABS(X333)+ABS(Z333)+ABS(AB333)+ABS(AD333)+ABS(AF333)+ABS(AH333)+ABS(AJ333)+ABS(AL333)+ABS(AN333)+ABS(AP333)+ABS(AR333)+ABS(AT333)+ABS(AV333)+ABS(AX333)+ABS(AZ333)+ABS(BB333))</f>
        <v>0</v>
      </c>
      <c r="BI333" s="104" t="n">
        <f aca="false">VLOOKUP(GasPosn!A333,'Pricing Summary'!$AB$12:$AD$250,3)</f>
        <v>31</v>
      </c>
      <c r="BJ333" s="102" t="n">
        <f aca="false">VLOOKUP(A333,Interest!$AF$8:$AK$367,6)</f>
        <v>0.989781705014466</v>
      </c>
      <c r="BK333" s="102"/>
      <c r="BL333" s="0" t="n">
        <f aca="false">H333/VLOOKUP(A333,NymexData!$J$12:$K$128,2)</f>
        <v>-25876.9535129935</v>
      </c>
      <c r="BM333" s="0" t="n">
        <f aca="false">I333/VLOOKUP(A333,NymexData!$J$12:$K$128,2)</f>
        <v>0</v>
      </c>
      <c r="BO333" s="0" t="n">
        <f aca="false">BO16</f>
        <v>0.989781705014466</v>
      </c>
      <c r="BP333" s="0" t="n">
        <f aca="false">G333*BO333</f>
        <v>3.9798163602939</v>
      </c>
      <c r="BQ333" s="0" t="n">
        <f aca="false">IF(AND(A333&gt;=$B$320,A333&lt;=$B$321),1,0)</f>
        <v>1</v>
      </c>
      <c r="BR333" s="0" t="n">
        <f aca="false">BO333*BQ333</f>
        <v>0.989781705014466</v>
      </c>
      <c r="BS333" s="0" t="n">
        <f aca="false">BP333*BQ333</f>
        <v>3.9798163602939</v>
      </c>
    </row>
    <row r="334" customFormat="false" ht="18" hidden="false" customHeight="false" outlineLevel="0" collapsed="false">
      <c r="A334" s="112" t="n">
        <f aca="false">A17</f>
        <v>37347</v>
      </c>
      <c r="B334" s="324" t="n">
        <f aca="false" t="array" ref="B334:B334">SUM(IF(MONTH(NymexData!$AO$12:$AO$250)&amp;YEAR(NymexData!$AO$12:$AO$250)=MONTH(A334)&amp;YEAR(A334),NymexData!$AP$12:$AP$250))</f>
        <v>25.06261365083</v>
      </c>
      <c r="C334" s="325" t="n">
        <f aca="false">BD334*BJ334*BI334</f>
        <v>0</v>
      </c>
      <c r="D334" s="326" t="n">
        <f aca="false">C334+B334</f>
        <v>25.06261365083</v>
      </c>
      <c r="E334" s="327" t="n">
        <f aca="false" t="array" ref="E334:E334">SUM(IF(MONTH(NymexData!$A$12:$A$250)&amp;YEAR(NymexData!$A$12:$A$250)=MONTH(A334)&amp;YEAR(A334),NymexData!$F$12:$F$250))</f>
        <v>3.98421746400907</v>
      </c>
      <c r="F334" s="327" t="n">
        <f aca="false">G334-E334</f>
        <v>-0.081890781293283</v>
      </c>
      <c r="G334" s="328" t="n">
        <f aca="false" t="array" ref="G334:G334">IF(NymexData!$H$12="",GasPosn!E334,SUM(IF(MONTH(NymexData!$H$12:$H$250)&amp;YEAR(NymexData!$H$12:$H$250)=MONTH(A334)&amp;YEAR(A334),NymexData!$L$12:$L$250)))</f>
        <v>3.90232668271578</v>
      </c>
      <c r="H334" s="115" t="n">
        <f aca="false">B334*10000*F334</f>
        <v>-20523.9701311817</v>
      </c>
      <c r="I334" s="119" t="n">
        <f aca="false">(((G334-Q334)*P334+(G334-S334)*R334+(G334-U334)*T334+(G334-W334)*V334+(G334-Y334)*X334+(G334-AA334)*Z334+(G334-AC334)*AB334+(G334-AE334)*AD334+(G334-AG334)*AF334+(G334-AI334)*AH334+(G334-AK334)*AJ334+(G334-AM334)*AL334+(G334-AO334)*AN334+(G334-AQ334)*AP334+(G334-AS334)*AR334+(G334-AU334)*AT334+(G334-AW334)*AV334+(G334-AY334)*AX334+(G334-BA334)*AZ334+(G334-BC334)*BB334)*BJ334*BI334)*10000</f>
        <v>0</v>
      </c>
      <c r="J334" s="119" t="n">
        <f aca="false">H334+I334</f>
        <v>-20523.9701311817</v>
      </c>
      <c r="O334" s="95" t="n">
        <f aca="false">A334</f>
        <v>37347</v>
      </c>
      <c r="BD334" s="100" t="n">
        <f aca="false">(P334+R334+T334+V334+X334+Z334+AB334+AD334+AF334+AH334+AJ334+AL334+AN334+AP334+AR334+AT334+AV334+AX334+AZ334+BB334)</f>
        <v>0</v>
      </c>
      <c r="BE334" s="322" t="n">
        <f aca="false">IF(AND(BD334=0,BH334=0),0,(ABS(P334)*Q334+ABS(R334)*S334+ABS(T334)*U334+ABS(V334)*W334+ABS(X334)*Y334+ABS(Z334)*AA334+ABS(AB334)*AC334+ABS(AD334)*AE334+ABS(AF334)*AG334+ABS(AH334)*AI334+ABS(AJ334)*AK334+ABS(AL334)*AM334+ABS(AN334)*AO334+ABS(AP334)*AQ334+ABS(AR334)*AS334+ABS(AT334)*AU334+ABS(AV334)*AW334+ABS(AX334)*AY334+ABS(AZ334)*BA334+ABS(BB334)*BC334)/BH334)</f>
        <v>0</v>
      </c>
      <c r="BF334" s="102"/>
      <c r="BG334" s="103" t="n">
        <f aca="false">O334</f>
        <v>37347</v>
      </c>
      <c r="BH334" s="323" t="n">
        <f aca="false">(ABS(P334)+ABS(R334)+ABS(T334)+ABS(V334)+ABS(X334)+ABS(Z334)+ABS(AB334)+ABS(AD334)+ABS(AF334)+ABS(AH334)+ABS(AJ334)+ABS(AL334)+ABS(AN334)+ABS(AP334)+ABS(AR334)+ABS(AT334)+ABS(AV334)+ABS(AX334)+ABS(AZ334)+ABS(BB334))</f>
        <v>0</v>
      </c>
      <c r="BI334" s="104" t="n">
        <f aca="false">VLOOKUP(GasPosn!A334,'Pricing Summary'!$AB$12:$AD$250,3)</f>
        <v>30</v>
      </c>
      <c r="BJ334" s="102" t="n">
        <f aca="false">VLOOKUP(A334,Interest!$AF$8:$AK$367,6)</f>
        <v>0.988026180880843</v>
      </c>
      <c r="BK334" s="102"/>
      <c r="BL334" s="0" t="n">
        <f aca="false">H334/VLOOKUP(A334,NymexData!$J$12:$K$128,2)</f>
        <v>-13035.6872395997</v>
      </c>
      <c r="BM334" s="0" t="n">
        <f aca="false">I334/VLOOKUP(A334,NymexData!$J$12:$K$128,2)</f>
        <v>0</v>
      </c>
      <c r="BO334" s="0" t="n">
        <f aca="false">BO17</f>
        <v>0.988026180880843</v>
      </c>
      <c r="BP334" s="0" t="n">
        <f aca="false">G334*BO334</f>
        <v>3.85560092887308</v>
      </c>
      <c r="BQ334" s="0" t="n">
        <f aca="false">IF(AND(A334&gt;=$B$320,A334&lt;=$B$321),1,0)</f>
        <v>1</v>
      </c>
      <c r="BR334" s="0" t="n">
        <f aca="false">BO334*BQ334</f>
        <v>0.988026180880843</v>
      </c>
      <c r="BS334" s="0" t="n">
        <f aca="false">BP334*BQ334</f>
        <v>3.85560092887308</v>
      </c>
    </row>
    <row r="335" customFormat="false" ht="18" hidden="false" customHeight="false" outlineLevel="0" collapsed="false">
      <c r="A335" s="75" t="n">
        <f aca="false">A18</f>
        <v>37377</v>
      </c>
      <c r="B335" s="317" t="n">
        <f aca="false" t="array" ref="B335:B335">SUM(IF(MONTH(NymexData!$AO$12:$AO$250)&amp;YEAR(NymexData!$AO$12:$AO$250)=MONTH(A335)&amp;YEAR(A335),NymexData!$AP$12:$AP$250))</f>
        <v>25.847088498924</v>
      </c>
      <c r="C335" s="317" t="n">
        <f aca="false">BD335*BJ335*BI335</f>
        <v>0</v>
      </c>
      <c r="D335" s="319" t="n">
        <f aca="false">C335+B335</f>
        <v>25.847088498924</v>
      </c>
      <c r="E335" s="320" t="n">
        <f aca="false" t="array" ref="E335:E335">SUM(IF(MONTH(NymexData!$A$12:$A$250)&amp;YEAR(NymexData!$A$12:$A$250)=MONTH(A335)&amp;YEAR(A335),NymexData!$F$12:$F$250))</f>
        <v>4.02924420648184</v>
      </c>
      <c r="F335" s="320" t="n">
        <f aca="false">G335-E335</f>
        <v>-0.0817541489703046</v>
      </c>
      <c r="G335" s="321" t="n">
        <f aca="false" t="array" ref="G335:G335">IF(NymexData!$H$12="",GasPosn!E335,SUM(IF(MONTH(NymexData!$H$12:$H$250)&amp;YEAR(NymexData!$H$12:$H$250)=MONTH(A335)&amp;YEAR(A335),NymexData!$L$12:$L$250)))</f>
        <v>3.94749005751153</v>
      </c>
      <c r="H335" s="76" t="n">
        <f aca="false">B335*10000*F335</f>
        <v>-21131.0672358968</v>
      </c>
      <c r="I335" s="82" t="n">
        <f aca="false">(((G335-Q335)*P335+(G335-S335)*R335+(G335-U335)*T335+(G335-W335)*V335+(G335-Y335)*X335+(G335-AA335)*Z335+(G335-AC335)*AB335+(G335-AE335)*AD335+(G335-AG335)*AF335+(G335-AI335)*AH335+(G335-AK335)*AJ335+(G335-AM335)*AL335+(G335-AO335)*AN335+(G335-AQ335)*AP335+(G335-AS335)*AR335+(G335-AU335)*AT335+(G335-AW335)*AV335+(G335-AY335)*AX335+(G335-BA335)*AZ335+(G335-BC335)*BB335)*BJ335*BI335)*10000</f>
        <v>0</v>
      </c>
      <c r="J335" s="82" t="n">
        <f aca="false">H335+I335</f>
        <v>-21131.0672358968</v>
      </c>
      <c r="O335" s="95" t="n">
        <f aca="false">A335</f>
        <v>37377</v>
      </c>
      <c r="BD335" s="100" t="n">
        <f aca="false">(P335+R335+T335+V335+X335+Z335+AB335+AD335+AF335+AH335+AJ335+AL335+AN335+AP335+AR335+AT335+AV335+AX335+AZ335+BB335)</f>
        <v>0</v>
      </c>
      <c r="BE335" s="322" t="n">
        <f aca="false">IF(AND(BD335=0,BH335=0),0,(ABS(P335)*Q335+ABS(R335)*S335+ABS(T335)*U335+ABS(V335)*W335+ABS(X335)*Y335+ABS(Z335)*AA335+ABS(AB335)*AC335+ABS(AD335)*AE335+ABS(AF335)*AG335+ABS(AH335)*AI335+ABS(AJ335)*AK335+ABS(AL335)*AM335+ABS(AN335)*AO335+ABS(AP335)*AQ335+ABS(AR335)*AS335+ABS(AT335)*AU335+ABS(AV335)*AW335+ABS(AX335)*AY335+ABS(AZ335)*BA335+ABS(BB335)*BC335)/BH335)</f>
        <v>0</v>
      </c>
      <c r="BF335" s="102"/>
      <c r="BG335" s="103" t="n">
        <f aca="false">O335</f>
        <v>37377</v>
      </c>
      <c r="BH335" s="323" t="n">
        <f aca="false">(ABS(P335)+ABS(R335)+ABS(T335)+ABS(V335)+ABS(X335)+ABS(Z335)+ABS(AB335)+ABS(AD335)+ABS(AF335)+ABS(AH335)+ABS(AJ335)+ABS(AL335)+ABS(AN335)+ABS(AP335)+ABS(AR335)+ABS(AT335)+ABS(AV335)+ABS(AX335)+ABS(AZ335)+ABS(BB335))</f>
        <v>0</v>
      </c>
      <c r="BI335" s="104" t="n">
        <f aca="false">VLOOKUP(GasPosn!A335,'Pricing Summary'!$AB$12:$AD$250,3)</f>
        <v>31</v>
      </c>
      <c r="BJ335" s="102" t="n">
        <f aca="false">VLOOKUP(A335,Interest!$AF$8:$AK$367,6)</f>
        <v>0.986085286244252</v>
      </c>
      <c r="BK335" s="102"/>
      <c r="BL335" s="0" t="n">
        <f aca="false">H335/VLOOKUP(A335,NymexData!$J$12:$K$128,2)</f>
        <v>-13419.9393102586</v>
      </c>
      <c r="BM335" s="0" t="n">
        <f aca="false">I335/VLOOKUP(A335,NymexData!$J$12:$K$128,2)</f>
        <v>0</v>
      </c>
      <c r="BO335" s="0" t="n">
        <f aca="false">BO18</f>
        <v>0.986085286244252</v>
      </c>
      <c r="BP335" s="0" t="n">
        <f aca="false">G335*BO335</f>
        <v>3.8925618633076</v>
      </c>
      <c r="BQ335" s="0" t="n">
        <f aca="false">IF(AND(A335&gt;=$B$320,A335&lt;=$B$321),1,0)</f>
        <v>1</v>
      </c>
      <c r="BR335" s="0" t="n">
        <f aca="false">BO335*BQ335</f>
        <v>0.986085286244252</v>
      </c>
      <c r="BS335" s="0" t="n">
        <f aca="false">BP335*BQ335</f>
        <v>3.8925618633076</v>
      </c>
    </row>
    <row r="336" customFormat="false" ht="18" hidden="false" customHeight="false" outlineLevel="0" collapsed="false">
      <c r="A336" s="112" t="n">
        <f aca="false">A19</f>
        <v>37408</v>
      </c>
      <c r="B336" s="324" t="n">
        <f aca="false" t="array" ref="B336:B336">SUM(IF(MONTH(NymexData!$AO$12:$AO$250)&amp;YEAR(NymexData!$AO$12:$AO$250)=MONTH(A336)&amp;YEAR(A336),NymexData!$AP$12:$AP$250))</f>
        <v>24.963024883272</v>
      </c>
      <c r="C336" s="325" t="n">
        <f aca="false">BD336*BJ336*BI336</f>
        <v>0</v>
      </c>
      <c r="D336" s="326" t="n">
        <f aca="false">C336+B336</f>
        <v>24.963024883272</v>
      </c>
      <c r="E336" s="327" t="n">
        <f aca="false" t="array" ref="E336:E336">SUM(IF(MONTH(NymexData!$A$12:$A$250)&amp;YEAR(NymexData!$A$12:$A$250)=MONTH(A336)&amp;YEAR(A336),NymexData!$F$12:$F$250))</f>
        <v>4.09654823951226</v>
      </c>
      <c r="F336" s="327" t="n">
        <f aca="false">G336-E336</f>
        <v>-0.0890464736419574</v>
      </c>
      <c r="G336" s="328" t="n">
        <f aca="false" t="array" ref="G336:G336">IF(NymexData!$H$12="",GasPosn!E336,SUM(IF(MONTH(NymexData!$H$12:$H$250)&amp;YEAR(NymexData!$H$12:$H$250)=MONTH(A336)&amp;YEAR(A336),NymexData!$L$12:$L$250)))</f>
        <v>4.0075017658703</v>
      </c>
      <c r="H336" s="115" t="n">
        <f aca="false">B336*10000*F336</f>
        <v>-22228.6933729181</v>
      </c>
      <c r="I336" s="119" t="n">
        <f aca="false">(((G336-Q336)*P336+(G336-S336)*R336+(G336-U336)*T336+(G336-W336)*V336+(G336-Y336)*X336+(G336-AA336)*Z336+(G336-AC336)*AB336+(G336-AE336)*AD336+(G336-AG336)*AF336+(G336-AI336)*AH336+(G336-AK336)*AJ336+(G336-AM336)*AL336+(G336-AO336)*AN336+(G336-AQ336)*AP336+(G336-AS336)*AR336+(G336-AU336)*AT336+(G336-AW336)*AV336+(G336-AY336)*AX336+(G336-BA336)*AZ336+(G336-BC336)*BB336)*BJ336*BI336)*10000</f>
        <v>0</v>
      </c>
      <c r="J336" s="119" t="n">
        <f aca="false">H336+I336</f>
        <v>-22228.6933729181</v>
      </c>
      <c r="O336" s="95" t="n">
        <f aca="false">A336</f>
        <v>37408</v>
      </c>
      <c r="BD336" s="100" t="n">
        <f aca="false">(P336+R336+T336+V336+X336+Z336+AB336+AD336+AF336+AH336+AJ336+AL336+AN336+AP336+AR336+AT336+AV336+AX336+AZ336+BB336)</f>
        <v>0</v>
      </c>
      <c r="BE336" s="322" t="n">
        <f aca="false">IF(AND(BD336=0,BH336=0),0,(ABS(P336)*Q336+ABS(R336)*S336+ABS(T336)*U336+ABS(V336)*W336+ABS(X336)*Y336+ABS(Z336)*AA336+ABS(AB336)*AC336+ABS(AD336)*AE336+ABS(AF336)*AG336+ABS(AH336)*AI336+ABS(AJ336)*AK336+ABS(AL336)*AM336+ABS(AN336)*AO336+ABS(AP336)*AQ336+ABS(AR336)*AS336+ABS(AT336)*AU336+ABS(AV336)*AW336+ABS(AX336)*AY336+ABS(AZ336)*BA336+ABS(BB336)*BC336)/BH336)</f>
        <v>0</v>
      </c>
      <c r="BF336" s="102"/>
      <c r="BG336" s="103" t="n">
        <f aca="false">O336</f>
        <v>37408</v>
      </c>
      <c r="BH336" s="323" t="n">
        <f aca="false">(ABS(P336)+ABS(R336)+ABS(T336)+ABS(V336)+ABS(X336)+ABS(Z336)+ABS(AB336)+ABS(AD336)+ABS(AF336)+ABS(AH336)+ABS(AJ336)+ABS(AL336)+ABS(AN336)+ABS(AP336)+ABS(AR336)+ABS(AT336)+ABS(AV336)+ABS(AX336)+ABS(AZ336)+ABS(BB336))</f>
        <v>0</v>
      </c>
      <c r="BI336" s="104" t="n">
        <f aca="false">VLOOKUP(GasPosn!A336,'Pricing Summary'!$AB$12:$AD$250,3)</f>
        <v>30</v>
      </c>
      <c r="BJ336" s="102" t="n">
        <f aca="false">VLOOKUP(A336,Interest!$AF$8:$AK$367,6)</f>
        <v>0.984203486410364</v>
      </c>
      <c r="BK336" s="102"/>
      <c r="BL336" s="0" t="n">
        <f aca="false">H336/VLOOKUP(A336,NymexData!$J$12:$K$128,2)</f>
        <v>-14115.9135894394</v>
      </c>
      <c r="BM336" s="0" t="n">
        <f aca="false">I336/VLOOKUP(A336,NymexData!$J$12:$K$128,2)</f>
        <v>0</v>
      </c>
      <c r="BO336" s="0" t="n">
        <f aca="false">BO19</f>
        <v>0.984203486410364</v>
      </c>
      <c r="BP336" s="0" t="n">
        <f aca="false">G336*BO336</f>
        <v>3.94419720976524</v>
      </c>
      <c r="BQ336" s="0" t="n">
        <f aca="false">IF(AND(A336&gt;=$B$320,A336&lt;=$B$321),1,0)</f>
        <v>1</v>
      </c>
      <c r="BR336" s="0" t="n">
        <f aca="false">BO336*BQ336</f>
        <v>0.984203486410364</v>
      </c>
      <c r="BS336" s="0" t="n">
        <f aca="false">BP336*BQ336</f>
        <v>3.94419720976524</v>
      </c>
    </row>
    <row r="337" customFormat="false" ht="18" hidden="false" customHeight="false" outlineLevel="0" collapsed="false">
      <c r="A337" s="75" t="n">
        <f aca="false">A20</f>
        <v>37438</v>
      </c>
      <c r="B337" s="317" t="n">
        <f aca="false" t="array" ref="B337:B337">SUM(IF(MONTH(NymexData!$AO$12:$AO$250)&amp;YEAR(NymexData!$AO$12:$AO$250)=MONTH(A337)&amp;YEAR(A337),NymexData!$AP$12:$AP$250))</f>
        <v>-4.73856339593</v>
      </c>
      <c r="C337" s="317" t="n">
        <f aca="false">BD337*BJ337*BI337</f>
        <v>0</v>
      </c>
      <c r="D337" s="319" t="n">
        <f aca="false">C337+B337</f>
        <v>-4.73856339593</v>
      </c>
      <c r="E337" s="320" t="n">
        <f aca="false" t="array" ref="E337:E337">SUM(IF(MONTH(NymexData!$A$12:$A$250)&amp;YEAR(NymexData!$A$12:$A$250)=MONTH(A337)&amp;YEAR(A337),NymexData!$F$12:$F$250))</f>
        <v>4.15637313195775</v>
      </c>
      <c r="F337" s="320" t="n">
        <f aca="false">G337-E337</f>
        <v>-0.0963638873973389</v>
      </c>
      <c r="G337" s="321" t="n">
        <f aca="false" t="array" ref="G337:G337">IF(NymexData!$H$12="",GasPosn!E337,SUM(IF(MONTH(NymexData!$H$12:$H$250)&amp;YEAR(NymexData!$H$12:$H$250)=MONTH(A337)&amp;YEAR(A337),NymexData!$L$12:$L$250)))</f>
        <v>4.06000924456041</v>
      </c>
      <c r="H337" s="76" t="n">
        <f aca="false">B337*10000*F337</f>
        <v>4566.2638951055</v>
      </c>
      <c r="I337" s="82" t="n">
        <f aca="false">(((G337-Q337)*P337+(G337-S337)*R337+(G337-U337)*T337+(G337-W337)*V337+(G337-Y337)*X337+(G337-AA337)*Z337+(G337-AC337)*AB337+(G337-AE337)*AD337+(G337-AG337)*AF337+(G337-AI337)*AH337+(G337-AK337)*AJ337+(G337-AM337)*AL337+(G337-AO337)*AN337+(G337-AQ337)*AP337+(G337-AS337)*AR337+(G337-AU337)*AT337+(G337-AW337)*AV337+(G337-AY337)*AX337+(G337-BA337)*AZ337+(G337-BC337)*BB337)*BJ337*BI337)*10000</f>
        <v>0</v>
      </c>
      <c r="J337" s="82" t="n">
        <f aca="false">H337+I337</f>
        <v>4566.2638951055</v>
      </c>
      <c r="O337" s="95" t="n">
        <f aca="false">A337</f>
        <v>37438</v>
      </c>
      <c r="BD337" s="100" t="n">
        <f aca="false">(P337+R337+T337+V337+X337+Z337+AB337+AD337+AF337+AH337+AJ337+AL337+AN337+AP337+AR337+AT337+AV337+AX337+AZ337+BB337)</f>
        <v>0</v>
      </c>
      <c r="BE337" s="322" t="n">
        <f aca="false">IF(AND(BD337=0,BH337=0),0,(ABS(P337)*Q337+ABS(R337)*S337+ABS(T337)*U337+ABS(V337)*W337+ABS(X337)*Y337+ABS(Z337)*AA337+ABS(AB337)*AC337+ABS(AD337)*AE337+ABS(AF337)*AG337+ABS(AH337)*AI337+ABS(AJ337)*AK337+ABS(AL337)*AM337+ABS(AN337)*AO337+ABS(AP337)*AQ337+ABS(AR337)*AS337+ABS(AT337)*AU337+ABS(AV337)*AW337+ABS(AX337)*AY337+ABS(AZ337)*BA337+ABS(BB337)*BC337)/BH337)</f>
        <v>0</v>
      </c>
      <c r="BF337" s="102"/>
      <c r="BG337" s="103" t="n">
        <f aca="false">O337</f>
        <v>37438</v>
      </c>
      <c r="BH337" s="323" t="n">
        <f aca="false">(ABS(P337)+ABS(R337)+ABS(T337)+ABS(V337)+ABS(X337)+ABS(Z337)+ABS(AB337)+ABS(AD337)+ABS(AF337)+ABS(AH337)+ABS(AJ337)+ABS(AL337)+ABS(AN337)+ABS(AP337)+ABS(AR337)+ABS(AT337)+ABS(AV337)+ABS(AX337)+ABS(AZ337)+ABS(BB337))</f>
        <v>0</v>
      </c>
      <c r="BI337" s="104" t="n">
        <f aca="false">VLOOKUP(GasPosn!A337,'Pricing Summary'!$AB$12:$AD$250,3)</f>
        <v>31</v>
      </c>
      <c r="BJ337" s="102" t="n">
        <f aca="false">VLOOKUP(A337,Interest!$AF$8:$AK$367,6)</f>
        <v>0.982182258329788</v>
      </c>
      <c r="BK337" s="102"/>
      <c r="BL337" s="0" t="n">
        <f aca="false">H337/VLOOKUP(A337,NymexData!$J$12:$K$128,2)</f>
        <v>2899.52846572975</v>
      </c>
      <c r="BM337" s="0" t="n">
        <f aca="false">I337/VLOOKUP(A337,NymexData!$J$12:$K$128,2)</f>
        <v>0</v>
      </c>
      <c r="BO337" s="0" t="n">
        <f aca="false">BO20</f>
        <v>0.982182258329788</v>
      </c>
      <c r="BP337" s="0" t="n">
        <f aca="false">G337*BO337</f>
        <v>3.98766904866216</v>
      </c>
      <c r="BQ337" s="0" t="n">
        <f aca="false">IF(AND(A337&gt;=$B$320,A337&lt;=$B$321),1,0)</f>
        <v>1</v>
      </c>
      <c r="BR337" s="0" t="n">
        <f aca="false">BO337*BQ337</f>
        <v>0.982182258329788</v>
      </c>
      <c r="BS337" s="0" t="n">
        <f aca="false">BP337*BQ337</f>
        <v>3.98766904866216</v>
      </c>
    </row>
    <row r="338" customFormat="false" ht="18" hidden="false" customHeight="false" outlineLevel="0" collapsed="false">
      <c r="A338" s="112" t="n">
        <f aca="false">A21</f>
        <v>37469</v>
      </c>
      <c r="B338" s="324" t="n">
        <f aca="false" t="array" ref="B338:B338">SUM(IF(MONTH(NymexData!$AO$12:$AO$250)&amp;YEAR(NymexData!$AO$12:$AO$250)=MONTH(A338)&amp;YEAR(A338),NymexData!$AP$12:$AP$250))</f>
        <v>-4.728100698076</v>
      </c>
      <c r="C338" s="325" t="n">
        <f aca="false">BD338*BJ338*BI338</f>
        <v>0</v>
      </c>
      <c r="D338" s="326" t="n">
        <f aca="false">C338+B338</f>
        <v>-4.728100698076</v>
      </c>
      <c r="E338" s="327" t="n">
        <f aca="false" t="array" ref="E338:E338">SUM(IF(MONTH(NymexData!$A$12:$A$250)&amp;YEAR(NymexData!$A$12:$A$250)=MONTH(A338)&amp;YEAR(A338),NymexData!$F$12:$F$250))</f>
        <v>4.21611920904432</v>
      </c>
      <c r="F338" s="327" t="n">
        <f aca="false">G338-E338</f>
        <v>-0.103723040945959</v>
      </c>
      <c r="G338" s="328" t="n">
        <f aca="false" t="array" ref="G338:G338">IF(NymexData!$H$12="",GasPosn!E338,SUM(IF(MONTH(NymexData!$H$12:$H$250)&amp;YEAR(NymexData!$H$12:$H$250)=MONTH(A338)&amp;YEAR(A338),NymexData!$L$12:$L$250)))</f>
        <v>4.11239616809836</v>
      </c>
      <c r="H338" s="115" t="n">
        <f aca="false">B338*10000*F338</f>
        <v>4904.12982303155</v>
      </c>
      <c r="I338" s="119" t="n">
        <f aca="false">(((G338-Q338)*P338+(G338-S338)*R338+(G338-U338)*T338+(G338-W338)*V338+(G338-Y338)*X338+(G338-AA338)*Z338+(G338-AC338)*AB338+(G338-AE338)*AD338+(G338-AG338)*AF338+(G338-AI338)*AH338+(G338-AK338)*AJ338+(G338-AM338)*AL338+(G338-AO338)*AN338+(G338-AQ338)*AP338+(G338-AS338)*AR338+(G338-AU338)*AT338+(G338-AW338)*AV338+(G338-AY338)*AX338+(G338-BA338)*AZ338+(G338-BC338)*BB338)*BJ338*BI338)*10000</f>
        <v>0</v>
      </c>
      <c r="J338" s="119" t="n">
        <f aca="false">H338+I338</f>
        <v>4904.12982303155</v>
      </c>
      <c r="O338" s="95" t="n">
        <f aca="false">A338</f>
        <v>37469</v>
      </c>
      <c r="BD338" s="100" t="n">
        <f aca="false">(P338+R338+T338+V338+X338+Z338+AB338+AD338+AF338+AH338+AJ338+AL338+AN338+AP338+AR338+AT338+AV338+AX338+AZ338+BB338)</f>
        <v>0</v>
      </c>
      <c r="BE338" s="322" t="n">
        <f aca="false">IF(AND(BD338=0,BH338=0),0,(ABS(P338)*Q338+ABS(R338)*S338+ABS(T338)*U338+ABS(V338)*W338+ABS(X338)*Y338+ABS(Z338)*AA338+ABS(AB338)*AC338+ABS(AD338)*AE338+ABS(AF338)*AG338+ABS(AH338)*AI338+ABS(AJ338)*AK338+ABS(AL338)*AM338+ABS(AN338)*AO338+ABS(AP338)*AQ338+ABS(AR338)*AS338+ABS(AT338)*AU338+ABS(AV338)*AW338+ABS(AX338)*AY338+ABS(AZ338)*BA338+ABS(BB338)*BC338)/BH338)</f>
        <v>0</v>
      </c>
      <c r="BF338" s="102"/>
      <c r="BG338" s="103" t="n">
        <f aca="false">O338</f>
        <v>37469</v>
      </c>
      <c r="BH338" s="323" t="n">
        <f aca="false">(ABS(P338)+ABS(R338)+ABS(T338)+ABS(V338)+ABS(X338)+ABS(Z338)+ABS(AB338)+ABS(AD338)+ABS(AF338)+ABS(AH338)+ABS(AJ338)+ABS(AL338)+ABS(AN338)+ABS(AP338)+ABS(AR338)+ABS(AT338)+ABS(AV338)+ABS(AX338)+ABS(AZ338)+ABS(BB338))</f>
        <v>0</v>
      </c>
      <c r="BI338" s="104" t="n">
        <f aca="false">VLOOKUP(GasPosn!A338,'Pricing Summary'!$AB$12:$AD$250,3)</f>
        <v>31</v>
      </c>
      <c r="BJ338" s="102" t="n">
        <f aca="false">VLOOKUP(A338,Interest!$AF$8:$AK$367,6)</f>
        <v>0.980002686403429</v>
      </c>
      <c r="BK338" s="102"/>
      <c r="BL338" s="0" t="n">
        <f aca="false">H338/VLOOKUP(A338,NymexData!$J$12:$K$128,2)</f>
        <v>3113.96053459843</v>
      </c>
      <c r="BM338" s="0" t="n">
        <f aca="false">I338/VLOOKUP(A338,NymexData!$J$12:$K$128,2)</f>
        <v>0</v>
      </c>
      <c r="BO338" s="0" t="n">
        <f aca="false">BO21</f>
        <v>0.980002686403429</v>
      </c>
      <c r="BP338" s="0" t="n">
        <f aca="false">G338*BO338</f>
        <v>4.03015929229156</v>
      </c>
      <c r="BQ338" s="0" t="n">
        <f aca="false">IF(AND(A338&gt;=$B$320,A338&lt;=$B$321),1,0)</f>
        <v>1</v>
      </c>
      <c r="BR338" s="0" t="n">
        <f aca="false">BO338*BQ338</f>
        <v>0.980002686403429</v>
      </c>
      <c r="BS338" s="0" t="n">
        <f aca="false">BP338*BQ338</f>
        <v>4.03015929229156</v>
      </c>
    </row>
    <row r="339" customFormat="false" ht="18" hidden="false" customHeight="false" outlineLevel="0" collapsed="false">
      <c r="A339" s="75" t="n">
        <f aca="false">A22</f>
        <v>37500</v>
      </c>
      <c r="B339" s="317" t="n">
        <f aca="false" t="array" ref="B339:B339">SUM(IF(MONTH(NymexData!$AO$12:$AO$250)&amp;YEAR(NymexData!$AO$12:$AO$250)=MONTH(A339)&amp;YEAR(A339),NymexData!$AP$12:$AP$250))</f>
        <v>-4.56534901256</v>
      </c>
      <c r="C339" s="317" t="n">
        <f aca="false">BD339*BJ339*BI339</f>
        <v>0</v>
      </c>
      <c r="D339" s="319" t="n">
        <f aca="false">C339+B339</f>
        <v>-4.56534901256</v>
      </c>
      <c r="E339" s="320" t="n">
        <f aca="false" t="array" ref="E339:E339">SUM(IF(MONTH(NymexData!$A$12:$A$250)&amp;YEAR(NymexData!$A$12:$A$250)=MONTH(A339)&amp;YEAR(A339),NymexData!$F$12:$F$250))</f>
        <v>4.21609482164504</v>
      </c>
      <c r="F339" s="320" t="n">
        <f aca="false">G339-E339</f>
        <v>-0.103654273254063</v>
      </c>
      <c r="G339" s="321" t="n">
        <f aca="false" t="array" ref="G339:G339">IF(NymexData!$H$12="",GasPosn!E339,SUM(IF(MONTH(NymexData!$H$12:$H$250)&amp;YEAR(NymexData!$H$12:$H$250)=MONTH(A339)&amp;YEAR(A339),NymexData!$L$12:$L$250)))</f>
        <v>4.11244054839098</v>
      </c>
      <c r="H339" s="76" t="n">
        <f aca="false">B339*10000*F339</f>
        <v>4732.17934048059</v>
      </c>
      <c r="I339" s="82" t="n">
        <f aca="false">(((G339-Q339)*P339+(G339-S339)*R339+(G339-U339)*T339+(G339-W339)*V339+(G339-Y339)*X339+(G339-AA339)*Z339+(G339-AC339)*AB339+(G339-AE339)*AD339+(G339-AG339)*AF339+(G339-AI339)*AH339+(G339-AK339)*AJ339+(G339-AM339)*AL339+(G339-AO339)*AN339+(G339-AQ339)*AP339+(G339-AS339)*AR339+(G339-AU339)*AT339+(G339-AW339)*AV339+(G339-AY339)*AX339+(G339-BA339)*AZ339+(G339-BC339)*BB339)*BJ339*BI339)*10000</f>
        <v>0</v>
      </c>
      <c r="J339" s="82" t="n">
        <f aca="false">H339+I339</f>
        <v>4732.17934048059</v>
      </c>
      <c r="O339" s="95" t="n">
        <f aca="false">A339</f>
        <v>37500</v>
      </c>
      <c r="BD339" s="100" t="n">
        <f aca="false">(P339+R339+T339+V339+X339+Z339+AB339+AD339+AF339+AH339+AJ339+AL339+AN339+AP339+AR339+AT339+AV339+AX339+AZ339+BB339)</f>
        <v>0</v>
      </c>
      <c r="BE339" s="322" t="n">
        <f aca="false">IF(AND(BD339=0,BH339=0),0,(ABS(P339)*Q339+ABS(R339)*S339+ABS(T339)*U339+ABS(V339)*W339+ABS(X339)*Y339+ABS(Z339)*AA339+ABS(AB339)*AC339+ABS(AD339)*AE339+ABS(AF339)*AG339+ABS(AH339)*AI339+ABS(AJ339)*AK339+ABS(AL339)*AM339+ABS(AN339)*AO339+ABS(AP339)*AQ339+ABS(AR339)*AS339+ABS(AT339)*AU339+ABS(AV339)*AW339+ABS(AX339)*AY339+ABS(AZ339)*BA339+ABS(BB339)*BC339)/BH339)</f>
        <v>0</v>
      </c>
      <c r="BF339" s="102"/>
      <c r="BG339" s="103" t="n">
        <f aca="false">O339</f>
        <v>37500</v>
      </c>
      <c r="BH339" s="323" t="n">
        <f aca="false">(ABS(P339)+ABS(R339)+ABS(T339)+ABS(V339)+ABS(X339)+ABS(Z339)+ABS(AB339)+ABS(AD339)+ABS(AF339)+ABS(AH339)+ABS(AJ339)+ABS(AL339)+ABS(AN339)+ABS(AP339)+ABS(AR339)+ABS(AT339)+ABS(AV339)+ABS(AX339)+ABS(AZ339)+ABS(BB339))</f>
        <v>0</v>
      </c>
      <c r="BI339" s="104" t="n">
        <f aca="false">VLOOKUP(GasPosn!A339,'Pricing Summary'!$AB$12:$AD$250,3)</f>
        <v>30</v>
      </c>
      <c r="BJ339" s="102" t="n">
        <f aca="false">VLOOKUP(A339,Interest!$AF$8:$AK$367,6)</f>
        <v>0.977841626547643</v>
      </c>
      <c r="BK339" s="102"/>
      <c r="BL339" s="0" t="n">
        <f aca="false">H339/VLOOKUP(A339,NymexData!$J$12:$K$128,2)</f>
        <v>3004.74522817598</v>
      </c>
      <c r="BM339" s="0" t="n">
        <f aca="false">I339/VLOOKUP(A339,NymexData!$J$12:$K$128,2)</f>
        <v>0</v>
      </c>
      <c r="BO339" s="0" t="n">
        <f aca="false">BO22</f>
        <v>0.977841626547643</v>
      </c>
      <c r="BP339" s="0" t="n">
        <f aca="false">G339*BO339</f>
        <v>4.02131555491911</v>
      </c>
      <c r="BQ339" s="0" t="n">
        <f aca="false">IF(AND(A339&gt;=$B$320,A339&lt;=$B$321),1,0)</f>
        <v>1</v>
      </c>
      <c r="BR339" s="0" t="n">
        <f aca="false">BO339*BQ339</f>
        <v>0.977841626547643</v>
      </c>
      <c r="BS339" s="0" t="n">
        <f aca="false">BP339*BQ339</f>
        <v>4.02131555491911</v>
      </c>
    </row>
    <row r="340" customFormat="false" ht="18" hidden="false" customHeight="false" outlineLevel="0" collapsed="false">
      <c r="A340" s="112" t="n">
        <f aca="false">A23</f>
        <v>37530</v>
      </c>
      <c r="B340" s="324" t="n">
        <f aca="false" t="array" ref="B340:B340">SUM(IF(MONTH(NymexData!$AO$12:$AO$250)&amp;YEAR(NymexData!$AO$12:$AO$250)=MONTH(A340)&amp;YEAR(A340),NymexData!$AP$12:$AP$250))</f>
        <v>25.570095133674</v>
      </c>
      <c r="C340" s="325" t="n">
        <f aca="false">BD340*BJ340*BI340</f>
        <v>0</v>
      </c>
      <c r="D340" s="326" t="n">
        <f aca="false">C340+B340</f>
        <v>25.570095133674</v>
      </c>
      <c r="E340" s="327" t="n">
        <f aca="false" t="array" ref="E340:E340">SUM(IF(MONTH(NymexData!$A$12:$A$250)&amp;YEAR(NymexData!$A$12:$A$250)=MONTH(A340)&amp;YEAR(A340),NymexData!$F$12:$F$250))</f>
        <v>4.26086280040104</v>
      </c>
      <c r="F340" s="327" t="n">
        <f aca="false">G340-E340</f>
        <v>-0.103551862972771</v>
      </c>
      <c r="G340" s="328" t="n">
        <f aca="false" t="array" ref="G340:G340">IF(NymexData!$H$12="",GasPosn!E340,SUM(IF(MONTH(NymexData!$H$12:$H$250)&amp;YEAR(NymexData!$H$12:$H$250)=MONTH(A340)&amp;YEAR(A340),NymexData!$L$12:$L$250)))</f>
        <v>4.15731093742827</v>
      </c>
      <c r="H340" s="115" t="n">
        <f aca="false">B340*10000*F340</f>
        <v>-26478.3098748293</v>
      </c>
      <c r="I340" s="119" t="n">
        <f aca="false">(((G340-Q340)*P340+(G340-S340)*R340+(G340-U340)*T340+(G340-W340)*V340+(G340-Y340)*X340+(G340-AA340)*Z340+(G340-AC340)*AB340+(G340-AE340)*AD340+(G340-AG340)*AF340+(G340-AI340)*AH340+(G340-AK340)*AJ340+(G340-AM340)*AL340+(G340-AO340)*AN340+(G340-AQ340)*AP340+(G340-AS340)*AR340+(G340-AU340)*AT340+(G340-AW340)*AV340+(G340-AY340)*AX340+(G340-BA340)*AZ340+(G340-BC340)*BB340)*BJ340*BI340)*10000</f>
        <v>0</v>
      </c>
      <c r="J340" s="119" t="n">
        <f aca="false">H340+I340</f>
        <v>-26478.3098748293</v>
      </c>
      <c r="O340" s="95" t="n">
        <f aca="false">A340</f>
        <v>37530</v>
      </c>
      <c r="BD340" s="100" t="n">
        <f aca="false">(P340+R340+T340+V340+X340+Z340+AB340+AD340+AF340+AH340+AJ340+AL340+AN340+AP340+AR340+AT340+AV340+AX340+AZ340+BB340)</f>
        <v>0</v>
      </c>
      <c r="BE340" s="322" t="n">
        <f aca="false">IF(AND(BD340=0,BH340=0),0,(ABS(P340)*Q340+ABS(R340)*S340+ABS(T340)*U340+ABS(V340)*W340+ABS(X340)*Y340+ABS(Z340)*AA340+ABS(AB340)*AC340+ABS(AD340)*AE340+ABS(AF340)*AG340+ABS(AH340)*AI340+ABS(AJ340)*AK340+ABS(AL340)*AM340+ABS(AN340)*AO340+ABS(AP340)*AQ340+ABS(AR340)*AS340+ABS(AT340)*AU340+ABS(AV340)*AW340+ABS(AX340)*AY340+ABS(AZ340)*BA340+ABS(BB340)*BC340)/BH340)</f>
        <v>0</v>
      </c>
      <c r="BF340" s="102"/>
      <c r="BG340" s="103" t="n">
        <f aca="false">O340</f>
        <v>37530</v>
      </c>
      <c r="BH340" s="323" t="n">
        <f aca="false">(ABS(P340)+ABS(R340)+ABS(T340)+ABS(V340)+ABS(X340)+ABS(Z340)+ABS(AB340)+ABS(AD340)+ABS(AF340)+ABS(AH340)+ABS(AJ340)+ABS(AL340)+ABS(AN340)+ABS(AP340)+ABS(AR340)+ABS(AT340)+ABS(AV340)+ABS(AX340)+ABS(AZ340)+ABS(BB340))</f>
        <v>0</v>
      </c>
      <c r="BI340" s="104" t="n">
        <f aca="false">VLOOKUP(GasPosn!A340,'Pricing Summary'!$AB$12:$AD$250,3)</f>
        <v>31</v>
      </c>
      <c r="BJ340" s="102" t="n">
        <f aca="false">VLOOKUP(A340,Interest!$AF$8:$AK$367,6)</f>
        <v>0.975504857905375</v>
      </c>
      <c r="BK340" s="102"/>
      <c r="BL340" s="0" t="n">
        <f aca="false">H340/VLOOKUP(A340,NymexData!$J$12:$K$128,2)</f>
        <v>-16812.3119783424</v>
      </c>
      <c r="BM340" s="0" t="n">
        <f aca="false">I340/VLOOKUP(A340,NymexData!$J$12:$K$128,2)</f>
        <v>0</v>
      </c>
      <c r="BO340" s="0" t="n">
        <f aca="false">BO23</f>
        <v>0.975504857905375</v>
      </c>
      <c r="BP340" s="0" t="n">
        <f aca="false">G340*BO340</f>
        <v>4.05547701528442</v>
      </c>
      <c r="BQ340" s="0" t="n">
        <f aca="false">IF(AND(A340&gt;=$B$320,A340&lt;=$B$321),1,0)</f>
        <v>1</v>
      </c>
      <c r="BR340" s="0" t="n">
        <f aca="false">BO340*BQ340</f>
        <v>0.975504857905375</v>
      </c>
      <c r="BS340" s="0" t="n">
        <f aca="false">BP340*BQ340</f>
        <v>4.05547701528442</v>
      </c>
    </row>
    <row r="341" customFormat="false" ht="18" hidden="false" customHeight="false" outlineLevel="0" collapsed="false">
      <c r="A341" s="75" t="n">
        <f aca="false">A24</f>
        <v>37561</v>
      </c>
      <c r="B341" s="317" t="n">
        <f aca="false" t="array" ref="B341:B341">SUM(IF(MONTH(NymexData!$AO$12:$AO$250)&amp;YEAR(NymexData!$AO$12:$AO$250)=MONTH(A341)&amp;YEAR(A341),NymexData!$AP$12:$AP$250))</f>
        <v>24.682472424764</v>
      </c>
      <c r="C341" s="317" t="n">
        <f aca="false">BD341*BJ341*BI341</f>
        <v>0</v>
      </c>
      <c r="D341" s="319" t="n">
        <f aca="false">C341+B341</f>
        <v>24.682472424764</v>
      </c>
      <c r="E341" s="320" t="n">
        <f aca="false" t="array" ref="E341:E341">SUM(IF(MONTH(NymexData!$A$12:$A$250)&amp;YEAR(NymexData!$A$12:$A$250)=MONTH(A341)&amp;YEAR(A341),NymexData!$F$12:$F$250))</f>
        <v>4.63381220539205</v>
      </c>
      <c r="F341" s="320" t="n">
        <f aca="false">G341-E341</f>
        <v>-0.113669822412927</v>
      </c>
      <c r="G341" s="321" t="n">
        <f aca="false" t="array" ref="G341:G341">IF(NymexData!$H$12="",GasPosn!E341,SUM(IF(MONTH(NymexData!$H$12:$H$250)&amp;YEAR(NymexData!$H$12:$H$250)=MONTH(A341)&amp;YEAR(A341),NymexData!$L$12:$L$250)))</f>
        <v>4.52014238297913</v>
      </c>
      <c r="H341" s="76" t="n">
        <f aca="false">B341*10000*F341</f>
        <v>-28056.5225723489</v>
      </c>
      <c r="I341" s="82" t="n">
        <f aca="false">(((G341-Q341)*P341+(G341-S341)*R341+(G341-U341)*T341+(G341-W341)*V341+(G341-Y341)*X341+(G341-AA341)*Z341+(G341-AC341)*AB341+(G341-AE341)*AD341+(G341-AG341)*AF341+(G341-AI341)*AH341+(G341-AK341)*AJ341+(G341-AM341)*AL341+(G341-AO341)*AN341+(G341-AQ341)*AP341+(G341-AS341)*AR341+(G341-AU341)*AT341+(G341-AW341)*AV341+(G341-AY341)*AX341+(G341-BA341)*AZ341+(G341-BC341)*BB341)*BJ341*BI341)*10000</f>
        <v>0</v>
      </c>
      <c r="J341" s="82" t="n">
        <f aca="false">H341+I341</f>
        <v>-28056.5225723489</v>
      </c>
      <c r="O341" s="95" t="n">
        <f aca="false">A341</f>
        <v>37561</v>
      </c>
      <c r="BD341" s="100" t="n">
        <f aca="false">(P341+R341+T341+V341+X341+Z341+AB341+AD341+AF341+AH341+AJ341+AL341+AN341+AP341+AR341+AT341+AV341+AX341+AZ341+BB341)</f>
        <v>0</v>
      </c>
      <c r="BE341" s="322" t="n">
        <f aca="false">IF(AND(BD341=0,BH341=0),0,(ABS(P341)*Q341+ABS(R341)*S341+ABS(T341)*U341+ABS(V341)*W341+ABS(X341)*Y341+ABS(Z341)*AA341+ABS(AB341)*AC341+ABS(AD341)*AE341+ABS(AF341)*AG341+ABS(AH341)*AI341+ABS(AJ341)*AK341+ABS(AL341)*AM341+ABS(AN341)*AO341+ABS(AP341)*AQ341+ABS(AR341)*AS341+ABS(AT341)*AU341+ABS(AV341)*AW341+ABS(AX341)*AY341+ABS(AZ341)*BA341+ABS(BB341)*BC341)/BH341)</f>
        <v>0</v>
      </c>
      <c r="BF341" s="102"/>
      <c r="BG341" s="103" t="n">
        <f aca="false">O341</f>
        <v>37561</v>
      </c>
      <c r="BH341" s="323" t="n">
        <f aca="false">(ABS(P341)+ABS(R341)+ABS(T341)+ABS(V341)+ABS(X341)+ABS(Z341)+ABS(AB341)+ABS(AD341)+ABS(AF341)+ABS(AH341)+ABS(AJ341)+ABS(AL341)+ABS(AN341)+ABS(AP341)+ABS(AR341)+ABS(AT341)+ABS(AV341)+ABS(AX341)+ABS(AZ341)+ABS(BB341))</f>
        <v>0</v>
      </c>
      <c r="BI341" s="104" t="n">
        <f aca="false">VLOOKUP(GasPosn!A341,'Pricing Summary'!$AB$12:$AD$250,3)</f>
        <v>30</v>
      </c>
      <c r="BJ341" s="102" t="n">
        <f aca="false">VLOOKUP(A341,Interest!$AF$8:$AK$367,6)</f>
        <v>0.973045650515394</v>
      </c>
      <c r="BK341" s="102"/>
      <c r="BL341" s="0" t="n">
        <f aca="false">H341/VLOOKUP(A341,NymexData!$J$12:$K$128,2)</f>
        <v>-17814.0261720076</v>
      </c>
      <c r="BM341" s="0" t="n">
        <f aca="false">I341/VLOOKUP(A341,NymexData!$J$12:$K$128,2)</f>
        <v>0</v>
      </c>
      <c r="BO341" s="0" t="n">
        <f aca="false">BO24</f>
        <v>0.973045650515394</v>
      </c>
      <c r="BP341" s="0" t="n">
        <f aca="false">G341*BO341</f>
        <v>4.39830488546813</v>
      </c>
      <c r="BQ341" s="0" t="n">
        <f aca="false">IF(AND(A341&gt;=$B$320,A341&lt;=$B$321),1,0)</f>
        <v>1</v>
      </c>
      <c r="BR341" s="0" t="n">
        <f aca="false">BO341*BQ341</f>
        <v>0.973045650515394</v>
      </c>
      <c r="BS341" s="0" t="n">
        <f aca="false">BP341*BQ341</f>
        <v>4.39830488546813</v>
      </c>
    </row>
    <row r="342" customFormat="false" ht="18" hidden="false" customHeight="false" outlineLevel="0" collapsed="false">
      <c r="A342" s="112" t="n">
        <f aca="false">A25</f>
        <v>37591</v>
      </c>
      <c r="B342" s="324" t="n">
        <f aca="false" t="array" ref="B342:B342">SUM(IF(MONTH(NymexData!$AO$12:$AO$250)&amp;YEAR(NymexData!$AO$12:$AO$250)=MONTH(A342)&amp;YEAR(A342),NymexData!$AP$12:$AP$250))</f>
        <v>25.44096034081</v>
      </c>
      <c r="C342" s="325" t="n">
        <f aca="false">BD342*BJ342*BI342</f>
        <v>0</v>
      </c>
      <c r="D342" s="326" t="n">
        <f aca="false">C342+B342</f>
        <v>25.44096034081</v>
      </c>
      <c r="E342" s="327" t="n">
        <f aca="false" t="array" ref="E342:E342">SUM(IF(MONTH(NymexData!$A$12:$A$250)&amp;YEAR(NymexData!$A$12:$A$250)=MONTH(A342)&amp;YEAR(A342),NymexData!$F$12:$F$250))</f>
        <v>4.93209112920497</v>
      </c>
      <c r="F342" s="327" t="n">
        <f aca="false">G342-E342</f>
        <v>-0.12978675865524</v>
      </c>
      <c r="G342" s="328" t="n">
        <f aca="false" t="array" ref="G342:G342">IF(NymexData!$H$12="",GasPosn!E342,SUM(IF(MONTH(NymexData!$H$12:$H$250)&amp;YEAR(NymexData!$H$12:$H$250)=MONTH(A342)&amp;YEAR(A342),NymexData!$L$12:$L$250)))</f>
        <v>4.80230437054973</v>
      </c>
      <c r="H342" s="115" t="n">
        <f aca="false">B342*10000*F342</f>
        <v>-33018.9977971024</v>
      </c>
      <c r="I342" s="119" t="n">
        <f aca="false">(((G342-Q342)*P342+(G342-S342)*R342+(G342-U342)*T342+(G342-W342)*V342+(G342-Y342)*X342+(G342-AA342)*Z342+(G342-AC342)*AB342+(G342-AE342)*AD342+(G342-AG342)*AF342+(G342-AI342)*AH342+(G342-AK342)*AJ342+(G342-AM342)*AL342+(G342-AO342)*AN342+(G342-AQ342)*AP342+(G342-AS342)*AR342+(G342-AU342)*AT342+(G342-AW342)*AV342+(G342-AY342)*AX342+(G342-BA342)*AZ342+(G342-BC342)*BB342)*BJ342*BI342)*10000</f>
        <v>0</v>
      </c>
      <c r="J342" s="119" t="n">
        <f aca="false">H342+I342</f>
        <v>-33018.9977971024</v>
      </c>
      <c r="O342" s="95" t="n">
        <f aca="false">A342</f>
        <v>37591</v>
      </c>
      <c r="BD342" s="100" t="n">
        <f aca="false">(P342+R342+T342+V342+X342+Z342+AB342+AD342+AF342+AH342+AJ342+AL342+AN342+AP342+AR342+AT342+AV342+AX342+AZ342+BB342)</f>
        <v>0</v>
      </c>
      <c r="BE342" s="322" t="n">
        <f aca="false">IF(AND(BD342=0,BH342=0),0,(ABS(P342)*Q342+ABS(R342)*S342+ABS(T342)*U342+ABS(V342)*W342+ABS(X342)*Y342+ABS(Z342)*AA342+ABS(AB342)*AC342+ABS(AD342)*AE342+ABS(AF342)*AG342+ABS(AH342)*AI342+ABS(AJ342)*AK342+ABS(AL342)*AM342+ABS(AN342)*AO342+ABS(AP342)*AQ342+ABS(AR342)*AS342+ABS(AT342)*AU342+ABS(AV342)*AW342+ABS(AX342)*AY342+ABS(AZ342)*BA342+ABS(BB342)*BC342)/BH342)</f>
        <v>0</v>
      </c>
      <c r="BF342" s="102"/>
      <c r="BG342" s="103" t="n">
        <f aca="false">O342</f>
        <v>37591</v>
      </c>
      <c r="BH342" s="323" t="n">
        <f aca="false">(ABS(P342)+ABS(R342)+ABS(T342)+ABS(V342)+ABS(X342)+ABS(Z342)+ABS(AB342)+ABS(AD342)+ABS(AF342)+ABS(AH342)+ABS(AJ342)+ABS(AL342)+ABS(AN342)+ABS(AP342)+ABS(AR342)+ABS(AT342)+ABS(AV342)+ABS(AX342)+ABS(AZ342)+ABS(BB342))</f>
        <v>0</v>
      </c>
      <c r="BI342" s="104" t="n">
        <f aca="false">VLOOKUP(GasPosn!A342,'Pricing Summary'!$AB$12:$AD$250,3)</f>
        <v>31</v>
      </c>
      <c r="BJ342" s="102" t="n">
        <f aca="false">VLOOKUP(A342,Interest!$AF$8:$AK$367,6)</f>
        <v>0.970466306497091</v>
      </c>
      <c r="BK342" s="102"/>
      <c r="BL342" s="0" t="n">
        <f aca="false">H342/VLOOKUP(A342,NymexData!$J$12:$K$128,2)</f>
        <v>-20964.7532072589</v>
      </c>
      <c r="BM342" s="0" t="n">
        <f aca="false">I342/VLOOKUP(A342,NymexData!$J$12:$K$128,2)</f>
        <v>0</v>
      </c>
      <c r="BO342" s="0" t="n">
        <f aca="false">BO25</f>
        <v>0.970466306497091</v>
      </c>
      <c r="BP342" s="0" t="n">
        <f aca="false">G342*BO342</f>
        <v>4.66047458516223</v>
      </c>
      <c r="BQ342" s="0" t="n">
        <f aca="false">IF(AND(A342&gt;=$B$320,A342&lt;=$B$321),1,0)</f>
        <v>1</v>
      </c>
      <c r="BR342" s="0" t="n">
        <f aca="false">BO342*BQ342</f>
        <v>0.970466306497091</v>
      </c>
      <c r="BS342" s="0" t="n">
        <f aca="false">BP342*BQ342</f>
        <v>4.66047458516223</v>
      </c>
    </row>
    <row r="343" customFormat="false" ht="18" hidden="false" customHeight="false" outlineLevel="0" collapsed="false">
      <c r="A343" s="75" t="n">
        <f aca="false">A26</f>
        <v>37622</v>
      </c>
      <c r="B343" s="317" t="n">
        <f aca="false" t="array" ref="B343:B343">SUM(IF(MONTH(NymexData!$AO$12:$AO$250)&amp;YEAR(NymexData!$AO$12:$AO$250)=MONTH(A343)&amp;YEAR(A343),NymexData!$AP$12:$AP$250))</f>
        <v>23.730024877986</v>
      </c>
      <c r="C343" s="317" t="n">
        <f aca="false">BD343*BJ343*BI343</f>
        <v>0</v>
      </c>
      <c r="D343" s="319" t="n">
        <f aca="false">C343+B343</f>
        <v>23.730024877986</v>
      </c>
      <c r="E343" s="320" t="n">
        <f aca="false" t="array" ref="E343:E343">SUM(IF(MONTH(NymexData!$A$12:$A$250)&amp;YEAR(NymexData!$A$12:$A$250)=MONTH(A343)&amp;YEAR(A343),NymexData!$F$12:$F$250))</f>
        <v>5.11862029091516</v>
      </c>
      <c r="F343" s="320" t="n">
        <f aca="false">G343-E343</f>
        <v>-0.129499992804733</v>
      </c>
      <c r="G343" s="321" t="n">
        <f aca="false" t="array" ref="G343:G343">IF(NymexData!$H$12="",GasPosn!E343,SUM(IF(MONTH(NymexData!$H$12:$H$250)&amp;YEAR(NymexData!$H$12:$H$250)=MONTH(A343)&amp;YEAR(A343),NymexData!$L$12:$L$250)))</f>
        <v>4.98912029811043</v>
      </c>
      <c r="H343" s="76" t="n">
        <f aca="false">B343*10000*F343</f>
        <v>-30730.3805095531</v>
      </c>
      <c r="I343" s="82" t="n">
        <f aca="false">(((G343-Q343)*P343+(G343-S343)*R343+(G343-U343)*T343+(G343-W343)*V343+(G343-Y343)*X343+(G343-AA343)*Z343+(G343-AC343)*AB343+(G343-AE343)*AD343+(G343-AG343)*AF343+(G343-AI343)*AH343+(G343-AK343)*AJ343+(G343-AM343)*AL343+(G343-AO343)*AN343+(G343-AQ343)*AP343+(G343-AS343)*AR343+(G343-AU343)*AT343+(G343-AW343)*AV343+(G343-AY343)*AX343+(G343-BA343)*AZ343+(G343-BC343)*BB343)*BJ343*BI343)*10000</f>
        <v>0</v>
      </c>
      <c r="J343" s="82" t="n">
        <f aca="false">H343+I343</f>
        <v>-30730.3805095531</v>
      </c>
      <c r="O343" s="95" t="n">
        <f aca="false">A343</f>
        <v>37622</v>
      </c>
      <c r="BD343" s="100" t="n">
        <f aca="false">(P343+R343+T343+V343+X343+Z343+AB343+AD343+AF343+AH343+AJ343+AL343+AN343+AP343+AR343+AT343+AV343+AX343+AZ343+BB343)</f>
        <v>0</v>
      </c>
      <c r="BE343" s="322" t="n">
        <f aca="false">IF(AND(BD343=0,BH343=0),0,(ABS(P343)*Q343+ABS(R343)*S343+ABS(T343)*U343+ABS(V343)*W343+ABS(X343)*Y343+ABS(Z343)*AA343+ABS(AB343)*AC343+ABS(AD343)*AE343+ABS(AF343)*AG343+ABS(AH343)*AI343+ABS(AJ343)*AK343+ABS(AL343)*AM343+ABS(AN343)*AO343+ABS(AP343)*AQ343+ABS(AR343)*AS343+ABS(AT343)*AU343+ABS(AV343)*AW343+ABS(AX343)*AY343+ABS(AZ343)*BA343+ABS(BB343)*BC343)/BH343)</f>
        <v>0</v>
      </c>
      <c r="BF343" s="102"/>
      <c r="BG343" s="103" t="n">
        <f aca="false">O343</f>
        <v>37622</v>
      </c>
      <c r="BH343" s="323" t="n">
        <f aca="false">(ABS(P343)+ABS(R343)+ABS(T343)+ABS(V343)+ABS(X343)+ABS(Z343)+ABS(AB343)+ABS(AD343)+ABS(AF343)+ABS(AH343)+ABS(AJ343)+ABS(AL343)+ABS(AN343)+ABS(AP343)+ABS(AR343)+ABS(AT343)+ABS(AV343)+ABS(AX343)+ABS(AZ343)+ABS(BB343))</f>
        <v>0</v>
      </c>
      <c r="BI343" s="104" t="n">
        <f aca="false">VLOOKUP(GasPosn!A343,'Pricing Summary'!$AB$12:$AD$250,3)</f>
        <v>31</v>
      </c>
      <c r="BJ343" s="102" t="n">
        <f aca="false">VLOOKUP(A343,Interest!$AF$8:$AK$367,6)</f>
        <v>0.967723569510139</v>
      </c>
      <c r="BK343" s="102"/>
      <c r="BL343" s="0" t="n">
        <f aca="false">H343/VLOOKUP(A343,NymexData!$J$12:$K$128,2)</f>
        <v>-19510.7918607467</v>
      </c>
      <c r="BM343" s="0" t="n">
        <f aca="false">I343/VLOOKUP(A343,NymexData!$J$12:$K$128,2)</f>
        <v>0</v>
      </c>
      <c r="BO343" s="0" t="n">
        <f aca="false">BO26</f>
        <v>0.967723569510139</v>
      </c>
      <c r="BP343" s="0" t="n">
        <f aca="false">G343*BO343</f>
        <v>4.82808930360291</v>
      </c>
      <c r="BQ343" s="0" t="n">
        <f aca="false">IF(AND(A343&gt;=$B$320,A343&lt;=$B$321),1,0)</f>
        <v>1</v>
      </c>
      <c r="BR343" s="0" t="n">
        <f aca="false">BO343*BQ343</f>
        <v>0.967723569510139</v>
      </c>
      <c r="BS343" s="0" t="n">
        <f aca="false">BP343*BQ343</f>
        <v>4.82808930360291</v>
      </c>
    </row>
    <row r="344" customFormat="false" ht="18" hidden="false" customHeight="false" outlineLevel="0" collapsed="false">
      <c r="A344" s="112" t="n">
        <f aca="false">A27</f>
        <v>37653</v>
      </c>
      <c r="B344" s="324" t="n">
        <f aca="false" t="array" ref="B344:B344">SUM(IF(MONTH(NymexData!$AO$12:$AO$250)&amp;YEAR(NymexData!$AO$12:$AO$250)=MONTH(A344)&amp;YEAR(A344),NymexData!$AP$12:$AP$250))</f>
        <v>21.369633662496</v>
      </c>
      <c r="C344" s="325" t="n">
        <f aca="false">BD344*BJ344*BI344</f>
        <v>0</v>
      </c>
      <c r="D344" s="326" t="n">
        <f aca="false">C344+B344</f>
        <v>21.369633662496</v>
      </c>
      <c r="E344" s="327" t="n">
        <f aca="false" t="array" ref="E344:E344">SUM(IF(MONTH(NymexData!$A$12:$A$250)&amp;YEAR(NymexData!$A$12:$A$250)=MONTH(A344)&amp;YEAR(A344),NymexData!$F$12:$F$250))</f>
        <v>4.99342622016832</v>
      </c>
      <c r="F344" s="327" t="n">
        <f aca="false">G344-E344</f>
        <v>-0.141327588331568</v>
      </c>
      <c r="G344" s="328" t="n">
        <f aca="false" t="array" ref="G344:G344">IF(NymexData!$H$12="",GasPosn!E344,SUM(IF(MONTH(NymexData!$H$12:$H$250)&amp;YEAR(NymexData!$H$12:$H$250)=MONTH(A344)&amp;YEAR(A344),NymexData!$L$12:$L$250)))</f>
        <v>4.85209863183675</v>
      </c>
      <c r="H344" s="115" t="n">
        <f aca="false">B344*10000*F344</f>
        <v>-30201.1878904965</v>
      </c>
      <c r="I344" s="119" t="n">
        <f aca="false">(((G344-Q344)*P344+(G344-S344)*R344+(G344-U344)*T344+(G344-W344)*V344+(G344-Y344)*X344+(G344-AA344)*Z344+(G344-AC344)*AB344+(G344-AE344)*AD344+(G344-AG344)*AF344+(G344-AI344)*AH344+(G344-AK344)*AJ344+(G344-AM344)*AL344+(G344-AO344)*AN344+(G344-AQ344)*AP344+(G344-AS344)*AR344+(G344-AU344)*AT344+(G344-AW344)*AV344+(G344-AY344)*AX344+(G344-BA344)*AZ344+(G344-BC344)*BB344)*BJ344*BI344)*10000</f>
        <v>0</v>
      </c>
      <c r="J344" s="119" t="n">
        <f aca="false">H344+I344</f>
        <v>-30201.1878904965</v>
      </c>
      <c r="O344" s="95" t="n">
        <f aca="false">A344</f>
        <v>37653</v>
      </c>
      <c r="BD344" s="100" t="n">
        <f aca="false">(P344+R344+T344+V344+X344+Z344+AB344+AD344+AF344+AH344+AJ344+AL344+AN344+AP344+AR344+AT344+AV344+AX344+AZ344+BB344)</f>
        <v>0</v>
      </c>
      <c r="BE344" s="322" t="n">
        <f aca="false">IF(AND(BD344=0,BH344=0),0,(ABS(P344)*Q344+ABS(R344)*S344+ABS(T344)*U344+ABS(V344)*W344+ABS(X344)*Y344+ABS(Z344)*AA344+ABS(AB344)*AC344+ABS(AD344)*AE344+ABS(AF344)*AG344+ABS(AH344)*AI344+ABS(AJ344)*AK344+ABS(AL344)*AM344+ABS(AN344)*AO344+ABS(AP344)*AQ344+ABS(AR344)*AS344+ABS(AT344)*AU344+ABS(AV344)*AW344+ABS(AX344)*AY344+ABS(AZ344)*BA344+ABS(BB344)*BC344)/BH344)</f>
        <v>0</v>
      </c>
      <c r="BF344" s="102"/>
      <c r="BG344" s="103" t="n">
        <f aca="false">O344</f>
        <v>37653</v>
      </c>
      <c r="BH344" s="323" t="n">
        <f aca="false">(ABS(P344)+ABS(R344)+ABS(T344)+ABS(V344)+ABS(X344)+ABS(Z344)+ABS(AB344)+ABS(AD344)+ABS(AF344)+ABS(AH344)+ABS(AJ344)+ABS(AL344)+ABS(AN344)+ABS(AP344)+ABS(AR344)+ABS(AT344)+ABS(AV344)+ABS(AX344)+ABS(AZ344)+ABS(BB344))</f>
        <v>0</v>
      </c>
      <c r="BI344" s="104" t="n">
        <f aca="false">VLOOKUP(GasPosn!A344,'Pricing Summary'!$AB$12:$AD$250,3)</f>
        <v>28</v>
      </c>
      <c r="BJ344" s="102" t="n">
        <f aca="false">VLOOKUP(A344,Interest!$AF$8:$AK$367,6)</f>
        <v>0.96501279473153</v>
      </c>
      <c r="BK344" s="102"/>
      <c r="BL344" s="0" t="n">
        <f aca="false">H344/VLOOKUP(A344,NymexData!$J$12:$K$128,2)</f>
        <v>-19173.5378043134</v>
      </c>
      <c r="BM344" s="0" t="n">
        <f aca="false">I344/VLOOKUP(A344,NymexData!$J$12:$K$128,2)</f>
        <v>0</v>
      </c>
      <c r="BO344" s="0" t="n">
        <f aca="false">BO27</f>
        <v>0.96501279473153</v>
      </c>
      <c r="BP344" s="0" t="n">
        <f aca="false">G344*BO344</f>
        <v>4.68233726102182</v>
      </c>
      <c r="BQ344" s="0" t="n">
        <f aca="false">IF(AND(A344&gt;=$B$320,A344&lt;=$B$321),1,0)</f>
        <v>1</v>
      </c>
      <c r="BR344" s="0" t="n">
        <f aca="false">BO344*BQ344</f>
        <v>0.96501279473153</v>
      </c>
      <c r="BS344" s="0" t="n">
        <f aca="false">BP344*BQ344</f>
        <v>4.68233726102182</v>
      </c>
    </row>
    <row r="345" customFormat="false" ht="18" hidden="false" customHeight="false" outlineLevel="0" collapsed="false">
      <c r="A345" s="75" t="n">
        <f aca="false">A28</f>
        <v>37681</v>
      </c>
      <c r="B345" s="317" t="n">
        <f aca="false" t="array" ref="B345:B345">SUM(IF(MONTH(NymexData!$AO$12:$AO$250)&amp;YEAR(NymexData!$AO$12:$AO$250)=MONTH(A345)&amp;YEAR(A345),NymexData!$AP$12:$AP$250))</f>
        <v>23.593469986394</v>
      </c>
      <c r="C345" s="317" t="n">
        <f aca="false">BD345*BJ345*BI345</f>
        <v>0</v>
      </c>
      <c r="D345" s="319" t="n">
        <f aca="false">C345+B345</f>
        <v>23.593469986394</v>
      </c>
      <c r="E345" s="320" t="n">
        <f aca="false" t="array" ref="E345:E345">SUM(IF(MONTH(NymexData!$A$12:$A$250)&amp;YEAR(NymexData!$A$12:$A$250)=MONTH(A345)&amp;YEAR(A345),NymexData!$F$12:$F$250))</f>
        <v>4.85177864782169</v>
      </c>
      <c r="F345" s="320" t="n">
        <f aca="false">G345-E345</f>
        <v>-0.141243619425079</v>
      </c>
      <c r="G345" s="321" t="n">
        <f aca="false" t="array" ref="G345:G345">IF(NymexData!$H$12="",GasPosn!E345,SUM(IF(MONTH(NymexData!$H$12:$H$250)&amp;YEAR(NymexData!$H$12:$H$250)=MONTH(A345)&amp;YEAR(A345),NymexData!$L$12:$L$250)))</f>
        <v>4.71053502839661</v>
      </c>
      <c r="H345" s="76" t="n">
        <f aca="false">B345*10000*F345</f>
        <v>-33324.2709567527</v>
      </c>
      <c r="I345" s="82" t="n">
        <f aca="false">(((G345-Q345)*P345+(G345-S345)*R345+(G345-U345)*T345+(G345-W345)*V345+(G345-Y345)*X345+(G345-AA345)*Z345+(G345-AC345)*AB345+(G345-AE345)*AD345+(G345-AG345)*AF345+(G345-AI345)*AH345+(G345-AK345)*AJ345+(G345-AM345)*AL345+(G345-AO345)*AN345+(G345-AQ345)*AP345+(G345-AS345)*AR345+(G345-AU345)*AT345+(G345-AW345)*AV345+(G345-AY345)*AX345+(G345-BA345)*AZ345+(G345-BC345)*BB345)*BJ345*BI345)*10000</f>
        <v>0</v>
      </c>
      <c r="J345" s="82" t="n">
        <f aca="false">H345+I345</f>
        <v>-33324.2709567527</v>
      </c>
      <c r="O345" s="95" t="n">
        <f aca="false">A345</f>
        <v>37681</v>
      </c>
      <c r="BD345" s="100" t="n">
        <f aca="false">(P345+R345+T345+V345+X345+Z345+AB345+AD345+AF345+AH345+AJ345+AL345+AN345+AP345+AR345+AT345+AV345+AX345+AZ345+BB345)</f>
        <v>0</v>
      </c>
      <c r="BE345" s="322" t="n">
        <f aca="false">IF(AND(BD345=0,BH345=0),0,(ABS(P345)*Q345+ABS(R345)*S345+ABS(T345)*U345+ABS(V345)*W345+ABS(X345)*Y345+ABS(Z345)*AA345+ABS(AB345)*AC345+ABS(AD345)*AE345+ABS(AF345)*AG345+ABS(AH345)*AI345+ABS(AJ345)*AK345+ABS(AL345)*AM345+ABS(AN345)*AO345+ABS(AP345)*AQ345+ABS(AR345)*AS345+ABS(AT345)*AU345+ABS(AV345)*AW345+ABS(AX345)*AY345+ABS(AZ345)*BA345+ABS(BB345)*BC345)/BH345)</f>
        <v>0</v>
      </c>
      <c r="BF345" s="102"/>
      <c r="BG345" s="103" t="n">
        <f aca="false">O345</f>
        <v>37681</v>
      </c>
      <c r="BH345" s="323" t="n">
        <f aca="false">(ABS(P345)+ABS(R345)+ABS(T345)+ABS(V345)+ABS(X345)+ABS(Z345)+ABS(AB345)+ABS(AD345)+ABS(AF345)+ABS(AH345)+ABS(AJ345)+ABS(AL345)+ABS(AN345)+ABS(AP345)+ABS(AR345)+ABS(AT345)+ABS(AV345)+ABS(AX345)+ABS(AZ345)+ABS(BB345))</f>
        <v>0</v>
      </c>
      <c r="BI345" s="104" t="n">
        <f aca="false">VLOOKUP(GasPosn!A345,'Pricing Summary'!$AB$12:$AD$250,3)</f>
        <v>31</v>
      </c>
      <c r="BJ345" s="102" t="n">
        <f aca="false">VLOOKUP(A345,Interest!$AF$8:$AK$367,6)</f>
        <v>0.962089507942958</v>
      </c>
      <c r="BK345" s="102"/>
      <c r="BL345" s="0" t="n">
        <f aca="false">H345/VLOOKUP(A345,NymexData!$J$12:$K$128,2)</f>
        <v>-21155.0604838302</v>
      </c>
      <c r="BM345" s="0" t="n">
        <f aca="false">I345/VLOOKUP(A345,NymexData!$J$12:$K$128,2)</f>
        <v>0</v>
      </c>
      <c r="BO345" s="0" t="n">
        <f aca="false">BO28</f>
        <v>0.962089507942958</v>
      </c>
      <c r="BP345" s="0" t="n">
        <f aca="false">G345*BO345</f>
        <v>4.53195632761817</v>
      </c>
      <c r="BQ345" s="0" t="n">
        <f aca="false">IF(AND(A345&gt;=$B$320,A345&lt;=$B$321),1,0)</f>
        <v>1</v>
      </c>
      <c r="BR345" s="0" t="n">
        <f aca="false">BO345*BQ345</f>
        <v>0.962089507942958</v>
      </c>
      <c r="BS345" s="0" t="n">
        <f aca="false">BP345*BQ345</f>
        <v>4.53195632761817</v>
      </c>
    </row>
    <row r="346" customFormat="false" ht="18" hidden="false" customHeight="false" outlineLevel="0" collapsed="false">
      <c r="A346" s="112" t="n">
        <f aca="false">A29</f>
        <v>37712</v>
      </c>
      <c r="B346" s="324" t="n">
        <f aca="false" t="array" ref="B346:B346">SUM(IF(MONTH(NymexData!$AO$12:$AO$250)&amp;YEAR(NymexData!$AO$12:$AO$250)=MONTH(A346)&amp;YEAR(A346),NymexData!$AP$12:$AP$250))</f>
        <v>22.75998416335</v>
      </c>
      <c r="C346" s="325" t="n">
        <f aca="false">BD346*BJ346*BI346</f>
        <v>0</v>
      </c>
      <c r="D346" s="326" t="n">
        <f aca="false">C346+B346</f>
        <v>22.75998416335</v>
      </c>
      <c r="E346" s="327" t="n">
        <f aca="false" t="array" ref="E346:E346">SUM(IF(MONTH(NymexData!$A$12:$A$250)&amp;YEAR(NymexData!$A$12:$A$250)=MONTH(A346)&amp;YEAR(A346),NymexData!$F$12:$F$250))</f>
        <v>4.64295831606937</v>
      </c>
      <c r="F346" s="327" t="n">
        <f aca="false">G346-E346</f>
        <v>-0.141221294979951</v>
      </c>
      <c r="G346" s="328" t="n">
        <f aca="false" t="array" ref="G346:G346">IF(NymexData!$H$12="",GasPosn!E346,SUM(IF(MONTH(NymexData!$H$12:$H$250)&amp;YEAR(NymexData!$H$12:$H$250)=MONTH(A346)&amp;YEAR(A346),NymexData!$L$12:$L$250)))</f>
        <v>4.50173702108942</v>
      </c>
      <c r="H346" s="115" t="n">
        <f aca="false">B346*10000*F346</f>
        <v>-32141.9443727145</v>
      </c>
      <c r="I346" s="119" t="n">
        <f aca="false">(((G346-Q346)*P346+(G346-S346)*R346+(G346-U346)*T346+(G346-W346)*V346+(G346-Y346)*X346+(G346-AA346)*Z346+(G346-AC346)*AB346+(G346-AE346)*AD346+(G346-AG346)*AF346+(G346-AI346)*AH346+(G346-AK346)*AJ346+(G346-AM346)*AL346+(G346-AO346)*AN346+(G346-AQ346)*AP346+(G346-AS346)*AR346+(G346-AU346)*AT346+(G346-AW346)*AV346+(G346-AY346)*AX346+(G346-BA346)*AZ346+(G346-BC346)*BB346)*BJ346*BI346)*10000</f>
        <v>0</v>
      </c>
      <c r="J346" s="119" t="n">
        <f aca="false">H346+I346</f>
        <v>-32141.9443727145</v>
      </c>
      <c r="O346" s="95" t="n">
        <f aca="false">A346</f>
        <v>37712</v>
      </c>
      <c r="BD346" s="100" t="n">
        <f aca="false">(P346+R346+T346+V346+X346+Z346+AB346+AD346+AF346+AH346+AJ346+AL346+AN346+AP346+AR346+AT346+AV346+AX346+AZ346+BB346)</f>
        <v>0</v>
      </c>
      <c r="BE346" s="322" t="n">
        <f aca="false">IF(AND(BD346=0,BH346=0),0,(ABS(P346)*Q346+ABS(R346)*S346+ABS(T346)*U346+ABS(V346)*W346+ABS(X346)*Y346+ABS(Z346)*AA346+ABS(AB346)*AC346+ABS(AD346)*AE346+ABS(AF346)*AG346+ABS(AH346)*AI346+ABS(AJ346)*AK346+ABS(AL346)*AM346+ABS(AN346)*AO346+ABS(AP346)*AQ346+ABS(AR346)*AS346+ABS(AT346)*AU346+ABS(AV346)*AW346+ABS(AX346)*AY346+ABS(AZ346)*BA346+ABS(BB346)*BC346)/BH346)</f>
        <v>0</v>
      </c>
      <c r="BF346" s="102"/>
      <c r="BG346" s="103" t="n">
        <f aca="false">O346</f>
        <v>37712</v>
      </c>
      <c r="BH346" s="323" t="n">
        <f aca="false">(ABS(P346)+ABS(R346)+ABS(T346)+ABS(V346)+ABS(X346)+ABS(Z346)+ABS(AB346)+ABS(AD346)+ABS(AF346)+ABS(AH346)+ABS(AJ346)+ABS(AL346)+ABS(AN346)+ABS(AP346)+ABS(AR346)+ABS(AT346)+ABS(AV346)+ABS(AX346)+ABS(AZ346)+ABS(BB346))</f>
        <v>0</v>
      </c>
      <c r="BI346" s="104" t="n">
        <f aca="false">VLOOKUP(GasPosn!A346,'Pricing Summary'!$AB$12:$AD$250,3)</f>
        <v>30</v>
      </c>
      <c r="BJ346" s="102" t="n">
        <f aca="false">VLOOKUP(A346,Interest!$AF$8:$AK$367,6)</f>
        <v>0.959065489223597</v>
      </c>
      <c r="BK346" s="102"/>
      <c r="BL346" s="0" t="n">
        <f aca="false">H346/VLOOKUP(A346,NymexData!$J$12:$K$128,2)</f>
        <v>-20403.4603723631</v>
      </c>
      <c r="BM346" s="0" t="n">
        <f aca="false">I346/VLOOKUP(A346,NymexData!$J$12:$K$128,2)</f>
        <v>0</v>
      </c>
      <c r="BO346" s="0" t="n">
        <f aca="false">BO29</f>
        <v>0.959065489223597</v>
      </c>
      <c r="BP346" s="0" t="n">
        <f aca="false">G346*BO346</f>
        <v>4.3174606184871</v>
      </c>
      <c r="BQ346" s="0" t="n">
        <f aca="false">IF(AND(A346&gt;=$B$320,A346&lt;=$B$321),1,0)</f>
        <v>1</v>
      </c>
      <c r="BR346" s="0" t="n">
        <f aca="false">BO346*BQ346</f>
        <v>0.959065489223597</v>
      </c>
      <c r="BS346" s="0" t="n">
        <f aca="false">BP346*BQ346</f>
        <v>4.3174606184871</v>
      </c>
    </row>
    <row r="347" customFormat="false" ht="18" hidden="false" customHeight="false" outlineLevel="0" collapsed="false">
      <c r="A347" s="75" t="n">
        <f aca="false">A30</f>
        <v>37742</v>
      </c>
      <c r="B347" s="317" t="n">
        <f aca="false" t="array" ref="B347:B347">SUM(IF(MONTH(NymexData!$AO$12:$AO$250)&amp;YEAR(NymexData!$AO$12:$AO$250)=MONTH(A347)&amp;YEAR(A347),NymexData!$AP$12:$AP$250))</f>
        <v>23.444257671268</v>
      </c>
      <c r="C347" s="317" t="n">
        <f aca="false">BD347*BJ347*BI347</f>
        <v>0</v>
      </c>
      <c r="D347" s="319" t="n">
        <f aca="false">C347+B347</f>
        <v>23.444257671268</v>
      </c>
      <c r="E347" s="320" t="n">
        <f aca="false" t="array" ref="E347:E347">SUM(IF(MONTH(NymexData!$A$12:$A$250)&amp;YEAR(NymexData!$A$12:$A$250)=MONTH(A347)&amp;YEAR(A347),NymexData!$F$12:$F$250))</f>
        <v>4.64153241776263</v>
      </c>
      <c r="F347" s="320" t="n">
        <f aca="false">G347-E347</f>
        <v>-0.139589309923155</v>
      </c>
      <c r="G347" s="321" t="n">
        <f aca="false" t="array" ref="G347:G347">IF(NymexData!$H$12="",GasPosn!E347,SUM(IF(MONTH(NymexData!$H$12:$H$250)&amp;YEAR(NymexData!$H$12:$H$250)=MONTH(A347)&amp;YEAR(A347),NymexData!$L$12:$L$250)))</f>
        <v>4.50194310783948</v>
      </c>
      <c r="H347" s="76" t="n">
        <f aca="false">B347*10000*F347</f>
        <v>-32725.6774999293</v>
      </c>
      <c r="I347" s="82" t="n">
        <f aca="false">(((G347-Q347)*P347+(G347-S347)*R347+(G347-U347)*T347+(G347-W347)*V347+(G347-Y347)*X347+(G347-AA347)*Z347+(G347-AC347)*AB347+(G347-AE347)*AD347+(G347-AG347)*AF347+(G347-AI347)*AH347+(G347-AK347)*AJ347+(G347-AM347)*AL347+(G347-AO347)*AN347+(G347-AQ347)*AP347+(G347-AS347)*AR347+(G347-AU347)*AT347+(G347-AW347)*AV347+(G347-AY347)*AX347+(G347-BA347)*AZ347+(G347-BC347)*BB347)*BJ347*BI347)*10000</f>
        <v>0</v>
      </c>
      <c r="J347" s="82" t="n">
        <f aca="false">H347+I347</f>
        <v>-32725.6774999293</v>
      </c>
      <c r="O347" s="95" t="n">
        <f aca="false">A347</f>
        <v>37742</v>
      </c>
      <c r="BD347" s="100" t="n">
        <f aca="false">(P347+R347+T347+V347+X347+Z347+AB347+AD347+AF347+AH347+AJ347+AL347+AN347+AP347+AR347+AT347+AV347+AX347+AZ347+BB347)</f>
        <v>0</v>
      </c>
      <c r="BE347" s="322" t="n">
        <f aca="false">IF(AND(BD347=0,BH347=0),0,(ABS(P347)*Q347+ABS(R347)*S347+ABS(T347)*U347+ABS(V347)*W347+ABS(X347)*Y347+ABS(Z347)*AA347+ABS(AB347)*AC347+ABS(AD347)*AE347+ABS(AF347)*AG347+ABS(AH347)*AI347+ABS(AJ347)*AK347+ABS(AL347)*AM347+ABS(AN347)*AO347+ABS(AP347)*AQ347+ABS(AR347)*AS347+ABS(AT347)*AU347+ABS(AV347)*AW347+ABS(AX347)*AY347+ABS(AZ347)*BA347+ABS(BB347)*BC347)/BH347)</f>
        <v>0</v>
      </c>
      <c r="BF347" s="102"/>
      <c r="BG347" s="103" t="n">
        <f aca="false">O347</f>
        <v>37742</v>
      </c>
      <c r="BH347" s="323" t="n">
        <f aca="false">(ABS(P347)+ABS(R347)+ABS(T347)+ABS(V347)+ABS(X347)+ABS(Z347)+ABS(AB347)+ABS(AD347)+ABS(AF347)+ABS(AH347)+ABS(AJ347)+ABS(AL347)+ABS(AN347)+ABS(AP347)+ABS(AR347)+ABS(AT347)+ABS(AV347)+ABS(AX347)+ABS(AZ347)+ABS(BB347))</f>
        <v>0</v>
      </c>
      <c r="BI347" s="104" t="n">
        <f aca="false">VLOOKUP(GasPosn!A347,'Pricing Summary'!$AB$12:$AD$250,3)</f>
        <v>31</v>
      </c>
      <c r="BJ347" s="102" t="n">
        <f aca="false">VLOOKUP(A347,Interest!$AF$8:$AK$367,6)</f>
        <v>0.955920741176555</v>
      </c>
      <c r="BK347" s="102"/>
      <c r="BL347" s="0" t="n">
        <f aca="false">H347/VLOOKUP(A347,NymexData!$J$12:$K$128,2)</f>
        <v>-20773.0587175812</v>
      </c>
      <c r="BM347" s="0" t="n">
        <f aca="false">I347/VLOOKUP(A347,NymexData!$J$12:$K$128,2)</f>
        <v>0</v>
      </c>
      <c r="BO347" s="0" t="n">
        <f aca="false">BO30</f>
        <v>0.955920741176555</v>
      </c>
      <c r="BP347" s="0" t="n">
        <f aca="false">G347*BO347</f>
        <v>4.3035007923806</v>
      </c>
      <c r="BQ347" s="0" t="n">
        <f aca="false">IF(AND(A347&gt;=$B$320,A347&lt;=$B$321),1,0)</f>
        <v>1</v>
      </c>
      <c r="BR347" s="0" t="n">
        <f aca="false">BO347*BQ347</f>
        <v>0.955920741176555</v>
      </c>
      <c r="BS347" s="0" t="n">
        <f aca="false">BP347*BQ347</f>
        <v>4.3035007923806</v>
      </c>
    </row>
    <row r="348" customFormat="false" ht="18" hidden="false" customHeight="false" outlineLevel="0" collapsed="false">
      <c r="A348" s="112" t="n">
        <f aca="false">A31</f>
        <v>37773</v>
      </c>
      <c r="B348" s="324" t="n">
        <f aca="false" t="array" ref="B348:B348">SUM(IF(MONTH(NymexData!$AO$12:$AO$250)&amp;YEAR(NymexData!$AO$12:$AO$250)=MONTH(A348)&amp;YEAR(A348),NymexData!$AP$12:$AP$250))</f>
        <v>22.61163389128</v>
      </c>
      <c r="C348" s="325" t="n">
        <f aca="false">BD348*BJ348*BI348</f>
        <v>0</v>
      </c>
      <c r="D348" s="326" t="n">
        <f aca="false">C348+B348</f>
        <v>22.61163389128</v>
      </c>
      <c r="E348" s="327" t="n">
        <f aca="false" t="array" ref="E348:E348">SUM(IF(MONTH(NymexData!$A$12:$A$250)&amp;YEAR(NymexData!$A$12:$A$250)=MONTH(A348)&amp;YEAR(A348),NymexData!$F$12:$F$250))</f>
        <v>4.6714174649423</v>
      </c>
      <c r="F348" s="327" t="n">
        <f aca="false">G348-E348</f>
        <v>-0.139416224331102</v>
      </c>
      <c r="G348" s="328" t="n">
        <f aca="false" t="array" ref="G348:G348">IF(NymexData!$H$12="",GasPosn!E348,SUM(IF(MONTH(NymexData!$H$12:$H$250)&amp;YEAR(NymexData!$H$12:$H$250)=MONTH(A348)&amp;YEAR(A348),NymexData!$L$12:$L$250)))</f>
        <v>4.5320012406112</v>
      </c>
      <c r="H348" s="115" t="n">
        <f aca="false">B348*10000*F348</f>
        <v>-31524.2862307944</v>
      </c>
      <c r="I348" s="119" t="n">
        <f aca="false">(((G348-Q348)*P348+(G348-S348)*R348+(G348-U348)*T348+(G348-W348)*V348+(G348-Y348)*X348+(G348-AA348)*Z348+(G348-AC348)*AB348+(G348-AE348)*AD348+(G348-AG348)*AF348+(G348-AI348)*AH348+(G348-AK348)*AJ348+(G348-AM348)*AL348+(G348-AO348)*AN348+(G348-AQ348)*AP348+(G348-AS348)*AR348+(G348-AU348)*AT348+(G348-AW348)*AV348+(G348-AY348)*AX348+(G348-BA348)*AZ348+(G348-BC348)*BB348)*BJ348*BI348)*10000</f>
        <v>0</v>
      </c>
      <c r="J348" s="119" t="n">
        <f aca="false">H348+I348</f>
        <v>-31524.2862307944</v>
      </c>
      <c r="O348" s="95" t="n">
        <f aca="false">A348</f>
        <v>37773</v>
      </c>
      <c r="BD348" s="100" t="n">
        <f aca="false">(P348+R348+T348+V348+X348+Z348+AB348+AD348+AF348+AH348+AJ348+AL348+AN348+AP348+AR348+AT348+AV348+AX348+AZ348+BB348)</f>
        <v>0</v>
      </c>
      <c r="BE348" s="322" t="n">
        <f aca="false">IF(AND(BD348=0,BH348=0),0,(ABS(P348)*Q348+ABS(R348)*S348+ABS(T348)*U348+ABS(V348)*W348+ABS(X348)*Y348+ABS(Z348)*AA348+ABS(AB348)*AC348+ABS(AD348)*AE348+ABS(AF348)*AG348+ABS(AH348)*AI348+ABS(AJ348)*AK348+ABS(AL348)*AM348+ABS(AN348)*AO348+ABS(AP348)*AQ348+ABS(AR348)*AS348+ABS(AT348)*AU348+ABS(AV348)*AW348+ABS(AX348)*AY348+ABS(AZ348)*BA348+ABS(BB348)*BC348)/BH348)</f>
        <v>0</v>
      </c>
      <c r="BF348" s="102"/>
      <c r="BG348" s="103" t="n">
        <f aca="false">O348</f>
        <v>37773</v>
      </c>
      <c r="BH348" s="323" t="n">
        <f aca="false">(ABS(P348)+ABS(R348)+ABS(T348)+ABS(V348)+ABS(X348)+ABS(Z348)+ABS(AB348)+ABS(AD348)+ABS(AF348)+ABS(AH348)+ABS(AJ348)+ABS(AL348)+ABS(AN348)+ABS(AP348)+ABS(AR348)+ABS(AT348)+ABS(AV348)+ABS(AX348)+ABS(AZ348)+ABS(BB348))</f>
        <v>0</v>
      </c>
      <c r="BI348" s="104" t="n">
        <f aca="false">VLOOKUP(GasPosn!A348,'Pricing Summary'!$AB$12:$AD$250,3)</f>
        <v>30</v>
      </c>
      <c r="BJ348" s="102" t="n">
        <f aca="false">VLOOKUP(A348,Interest!$AF$8:$AK$367,6)</f>
        <v>0.952732957509094</v>
      </c>
      <c r="BK348" s="102"/>
      <c r="BL348" s="0" t="n">
        <f aca="false">H348/VLOOKUP(A348,NymexData!$J$12:$K$128,2)</f>
        <v>-20009.6008673415</v>
      </c>
      <c r="BM348" s="0" t="n">
        <f aca="false">I348/VLOOKUP(A348,NymexData!$J$12:$K$128,2)</f>
        <v>0</v>
      </c>
      <c r="BO348" s="0" t="n">
        <f aca="false">BO31</f>
        <v>0.952732957509094</v>
      </c>
      <c r="BP348" s="0" t="n">
        <f aca="false">G348*BO348</f>
        <v>4.3177869454024</v>
      </c>
      <c r="BQ348" s="0" t="n">
        <f aca="false">IF(AND(A348&gt;=$B$320,A348&lt;=$B$321),1,0)</f>
        <v>1</v>
      </c>
      <c r="BR348" s="0" t="n">
        <f aca="false">BO348*BQ348</f>
        <v>0.952732957509094</v>
      </c>
      <c r="BS348" s="0" t="n">
        <f aca="false">BP348*BQ348</f>
        <v>4.3177869454024</v>
      </c>
    </row>
    <row r="349" customFormat="false" ht="18" hidden="false" customHeight="false" outlineLevel="0" collapsed="false">
      <c r="A349" s="75" t="n">
        <f aca="false">A32</f>
        <v>37803</v>
      </c>
      <c r="B349" s="317" t="n">
        <f aca="false" t="array" ref="B349:B349">SUM(IF(MONTH(NymexData!$AO$12:$AO$250)&amp;YEAR(NymexData!$AO$12:$AO$250)=MONTH(A349)&amp;YEAR(A349),NymexData!$AP$12:$AP$250))</f>
        <v>23.28705479555</v>
      </c>
      <c r="C349" s="317" t="n">
        <f aca="false">BD349*BJ349*BI349</f>
        <v>0</v>
      </c>
      <c r="D349" s="319" t="n">
        <f aca="false">C349+B349</f>
        <v>23.28705479555</v>
      </c>
      <c r="E349" s="320" t="n">
        <f aca="false" t="array" ref="E349:E349">SUM(IF(MONTH(NymexData!$A$12:$A$250)&amp;YEAR(NymexData!$A$12:$A$250)=MONTH(A349)&amp;YEAR(A349),NymexData!$F$12:$F$250))</f>
        <v>4.70872018241078</v>
      </c>
      <c r="F349" s="320" t="n">
        <f aca="false">G349-E349</f>
        <v>-0.139268458767498</v>
      </c>
      <c r="G349" s="321" t="n">
        <f aca="false" t="array" ref="G349:G349">IF(NymexData!$H$12="",GasPosn!E349,SUM(IF(MONTH(NymexData!$H$12:$H$250)&amp;YEAR(NymexData!$H$12:$H$250)=MONTH(A349)&amp;YEAR(A349),NymexData!$L$12:$L$250)))</f>
        <v>4.56945172364328</v>
      </c>
      <c r="H349" s="76" t="n">
        <f aca="false">B349*10000*F349</f>
        <v>-32431.5223061053</v>
      </c>
      <c r="I349" s="82" t="n">
        <f aca="false">(((G349-Q349)*P349+(G349-S349)*R349+(G349-U349)*T349+(G349-W349)*V349+(G349-Y349)*X349+(G349-AA349)*Z349+(G349-AC349)*AB349+(G349-AE349)*AD349+(G349-AG349)*AF349+(G349-AI349)*AH349+(G349-AK349)*AJ349+(G349-AM349)*AL349+(G349-AO349)*AN349+(G349-AQ349)*AP349+(G349-AS349)*AR349+(G349-AU349)*AT349+(G349-AW349)*AV349+(G349-AY349)*AX349+(G349-BA349)*AZ349+(G349-BC349)*BB349)*BJ349*BI349)*10000</f>
        <v>0</v>
      </c>
      <c r="J349" s="82" t="n">
        <f aca="false">H349+I349</f>
        <v>-32431.5223061053</v>
      </c>
      <c r="O349" s="95" t="n">
        <f aca="false">A349</f>
        <v>37803</v>
      </c>
      <c r="BD349" s="100" t="n">
        <f aca="false">(P349+R349+T349+V349+X349+Z349+AB349+AD349+AF349+AH349+AJ349+AL349+AN349+AP349+AR349+AT349+AV349+AX349+AZ349+BB349)</f>
        <v>0</v>
      </c>
      <c r="BE349" s="322" t="n">
        <f aca="false">IF(AND(BD349=0,BH349=0),0,(ABS(P349)*Q349+ABS(R349)*S349+ABS(T349)*U349+ABS(V349)*W349+ABS(X349)*Y349+ABS(Z349)*AA349+ABS(AB349)*AC349+ABS(AD349)*AE349+ABS(AF349)*AG349+ABS(AH349)*AI349+ABS(AJ349)*AK349+ABS(AL349)*AM349+ABS(AN349)*AO349+ABS(AP349)*AQ349+ABS(AR349)*AS349+ABS(AT349)*AU349+ABS(AV349)*AW349+ABS(AX349)*AY349+ABS(AZ349)*BA349+ABS(BB349)*BC349)/BH349)</f>
        <v>0</v>
      </c>
      <c r="BF349" s="102"/>
      <c r="BG349" s="103" t="n">
        <f aca="false">O349</f>
        <v>37803</v>
      </c>
      <c r="BH349" s="323" t="n">
        <f aca="false">(ABS(P349)+ABS(R349)+ABS(T349)+ABS(V349)+ABS(X349)+ABS(Z349)+ABS(AB349)+ABS(AD349)+ABS(AF349)+ABS(AH349)+ABS(AJ349)+ABS(AL349)+ABS(AN349)+ABS(AP349)+ABS(AR349)+ABS(AT349)+ABS(AV349)+ABS(AX349)+ABS(AZ349)+ABS(BB349))</f>
        <v>0</v>
      </c>
      <c r="BI349" s="104" t="n">
        <f aca="false">VLOOKUP(GasPosn!A349,'Pricing Summary'!$AB$12:$AD$250,3)</f>
        <v>31</v>
      </c>
      <c r="BJ349" s="102" t="n">
        <f aca="false">VLOOKUP(A349,Interest!$AF$8:$AK$367,6)</f>
        <v>0.949413656410094</v>
      </c>
      <c r="BK349" s="102"/>
      <c r="BL349" s="0" t="n">
        <f aca="false">H349/VLOOKUP(A349,NymexData!$J$12:$K$128,2)</f>
        <v>-20584.9186976421</v>
      </c>
      <c r="BM349" s="0" t="n">
        <f aca="false">I349/VLOOKUP(A349,NymexData!$J$12:$K$128,2)</f>
        <v>0</v>
      </c>
      <c r="BO349" s="0" t="n">
        <f aca="false">BO32</f>
        <v>0.949413656410094</v>
      </c>
      <c r="BP349" s="0" t="n">
        <f aca="false">G349*BO349</f>
        <v>4.33829986873358</v>
      </c>
      <c r="BQ349" s="0" t="n">
        <f aca="false">IF(AND(A349&gt;=$B$320,A349&lt;=$B$321),1,0)</f>
        <v>1</v>
      </c>
      <c r="BR349" s="0" t="n">
        <f aca="false">BO349*BQ349</f>
        <v>0.949413656410094</v>
      </c>
      <c r="BS349" s="0" t="n">
        <f aca="false">BP349*BQ349</f>
        <v>4.33829986873358</v>
      </c>
    </row>
    <row r="350" customFormat="false" ht="18" hidden="false" customHeight="false" outlineLevel="0" collapsed="false">
      <c r="A350" s="112" t="n">
        <f aca="false">A33</f>
        <v>37834</v>
      </c>
      <c r="B350" s="324" t="n">
        <f aca="false" t="array" ref="B350:B350">SUM(IF(MONTH(NymexData!$AO$12:$AO$250)&amp;YEAR(NymexData!$AO$12:$AO$250)=MONTH(A350)&amp;YEAR(A350),NymexData!$AP$12:$AP$250))</f>
        <v>23.204160406588</v>
      </c>
      <c r="C350" s="325" t="n">
        <f aca="false">BD350*BJ350*BI350</f>
        <v>0</v>
      </c>
      <c r="D350" s="326" t="n">
        <f aca="false">C350+B350</f>
        <v>23.204160406588</v>
      </c>
      <c r="E350" s="327" t="n">
        <f aca="false" t="array" ref="E350:E350">SUM(IF(MONTH(NymexData!$A$12:$A$250)&amp;YEAR(NymexData!$A$12:$A$250)=MONTH(A350)&amp;YEAR(A350),NymexData!$F$12:$F$250))</f>
        <v>4.75641274614976</v>
      </c>
      <c r="F350" s="327" t="n">
        <f aca="false">G350-E350</f>
        <v>-0.139154416680857</v>
      </c>
      <c r="G350" s="328" t="n">
        <f aca="false" t="array" ref="G350:G350">IF(NymexData!$H$12="",GasPosn!E350,SUM(IF(MONTH(NymexData!$H$12:$H$250)&amp;YEAR(NymexData!$H$12:$H$250)=MONTH(A350)&amp;YEAR(A350),NymexData!$L$12:$L$250)))</f>
        <v>4.61725832946891</v>
      </c>
      <c r="H350" s="115" t="n">
        <f aca="false">B350*10000*F350</f>
        <v>-32289.614059478</v>
      </c>
      <c r="I350" s="119" t="n">
        <f aca="false">(((G350-Q350)*P350+(G350-S350)*R350+(G350-U350)*T350+(G350-W350)*V350+(G350-Y350)*X350+(G350-AA350)*Z350+(G350-AC350)*AB350+(G350-AE350)*AD350+(G350-AG350)*AF350+(G350-AI350)*AH350+(G350-AK350)*AJ350+(G350-AM350)*AL350+(G350-AO350)*AN350+(G350-AQ350)*AP350+(G350-AS350)*AR350+(G350-AU350)*AT350+(G350-AW350)*AV350+(G350-AY350)*AX350+(G350-BA350)*AZ350+(G350-BC350)*BB350)*BJ350*BI350)*10000</f>
        <v>0</v>
      </c>
      <c r="J350" s="119" t="n">
        <f aca="false">H350+I350</f>
        <v>-32289.614059478</v>
      </c>
      <c r="O350" s="95" t="n">
        <f aca="false">A350</f>
        <v>37834</v>
      </c>
      <c r="BD350" s="100" t="n">
        <f aca="false">(P350+R350+T350+V350+X350+Z350+AB350+AD350+AF350+AH350+AJ350+AL350+AN350+AP350+AR350+AT350+AV350+AX350+AZ350+BB350)</f>
        <v>0</v>
      </c>
      <c r="BE350" s="322" t="n">
        <f aca="false">IF(AND(BD350=0,BH350=0),0,(ABS(P350)*Q350+ABS(R350)*S350+ABS(T350)*U350+ABS(V350)*W350+ABS(X350)*Y350+ABS(Z350)*AA350+ABS(AB350)*AC350+ABS(AD350)*AE350+ABS(AF350)*AG350+ABS(AH350)*AI350+ABS(AJ350)*AK350+ABS(AL350)*AM350+ABS(AN350)*AO350+ABS(AP350)*AQ350+ABS(AR350)*AS350+ABS(AT350)*AU350+ABS(AV350)*AW350+ABS(AX350)*AY350+ABS(AZ350)*BA350+ABS(BB350)*BC350)/BH350)</f>
        <v>0</v>
      </c>
      <c r="BF350" s="102"/>
      <c r="BG350" s="103" t="n">
        <f aca="false">O350</f>
        <v>37834</v>
      </c>
      <c r="BH350" s="323" t="n">
        <f aca="false">(ABS(P350)+ABS(R350)+ABS(T350)+ABS(V350)+ABS(X350)+ABS(Z350)+ABS(AB350)+ABS(AD350)+ABS(AF350)+ABS(AH350)+ABS(AJ350)+ABS(AL350)+ABS(AN350)+ABS(AP350)+ABS(AR350)+ABS(AT350)+ABS(AV350)+ABS(AX350)+ABS(AZ350)+ABS(BB350))</f>
        <v>0</v>
      </c>
      <c r="BI350" s="104" t="n">
        <f aca="false">VLOOKUP(GasPosn!A350,'Pricing Summary'!$AB$12:$AD$250,3)</f>
        <v>31</v>
      </c>
      <c r="BJ350" s="102" t="n">
        <f aca="false">VLOOKUP(A350,Interest!$AF$8:$AK$367,6)</f>
        <v>0.945969254608186</v>
      </c>
      <c r="BK350" s="102"/>
      <c r="BL350" s="0" t="n">
        <f aca="false">H350/VLOOKUP(A350,NymexData!$J$12:$K$128,2)</f>
        <v>-20494.7513827051</v>
      </c>
      <c r="BM350" s="0" t="n">
        <f aca="false">I350/VLOOKUP(A350,NymexData!$J$12:$K$128,2)</f>
        <v>0</v>
      </c>
      <c r="BO350" s="0" t="n">
        <f aca="false">BO33</f>
        <v>0.945969254608186</v>
      </c>
      <c r="BP350" s="0" t="n">
        <f aca="false">G350*BO350</f>
        <v>4.36778442026114</v>
      </c>
      <c r="BQ350" s="0" t="n">
        <f aca="false">IF(AND(A350&gt;=$B$320,A350&lt;=$B$321),1,0)</f>
        <v>1</v>
      </c>
      <c r="BR350" s="0" t="n">
        <f aca="false">BO350*BQ350</f>
        <v>0.945969254608186</v>
      </c>
      <c r="BS350" s="0" t="n">
        <f aca="false">BP350*BQ350</f>
        <v>4.36778442026114</v>
      </c>
    </row>
    <row r="351" customFormat="false" ht="18" hidden="false" customHeight="false" outlineLevel="0" collapsed="false">
      <c r="A351" s="75" t="n">
        <f aca="false">A34</f>
        <v>37865</v>
      </c>
      <c r="B351" s="317" t="n">
        <f aca="false" t="array" ref="B351:B351">SUM(IF(MONTH(NymexData!$AO$12:$AO$250)&amp;YEAR(NymexData!$AO$12:$AO$250)=MONTH(A351)&amp;YEAR(A351),NymexData!$AP$12:$AP$250))</f>
        <v>22.37349061108</v>
      </c>
      <c r="C351" s="318" t="n">
        <f aca="false">BD351*BJ351*BI351</f>
        <v>0</v>
      </c>
      <c r="D351" s="319" t="n">
        <f aca="false">C351+B351</f>
        <v>22.37349061108</v>
      </c>
      <c r="E351" s="320" t="n">
        <f aca="false" t="array" ref="E351:E351">SUM(IF(MONTH(NymexData!$A$12:$A$250)&amp;YEAR(NymexData!$A$12:$A$250)=MONTH(A351)&amp;YEAR(A351),NymexData!$F$12:$F$250))</f>
        <v>4.75633303489388</v>
      </c>
      <c r="F351" s="320" t="n">
        <f aca="false">G351-E351</f>
        <v>-0.131620069586689</v>
      </c>
      <c r="G351" s="321" t="n">
        <f aca="false" t="array" ref="G351:G351">IF(NymexData!$H$12="",GasPosn!E351,SUM(IF(MONTH(NymexData!$H$12:$H$250)&amp;YEAR(NymexData!$H$12:$H$250)=MONTH(A351)&amp;YEAR(A351),NymexData!$L$12:$L$250)))</f>
        <v>4.62471296530719</v>
      </c>
      <c r="H351" s="76" t="n">
        <f aca="false">B351*10000*F351</f>
        <v>-29448.0039112749</v>
      </c>
      <c r="I351" s="82" t="n">
        <f aca="false">(((G351-Q351)*P351+(G351-S351)*R351+(G351-U351)*T351+(G351-W351)*V351+(G351-Y351)*X351+(G351-AA351)*Z351+(G351-AC351)*AB351+(G351-AE351)*AD351+(G351-AG351)*AF351+(G351-AI351)*AH351+(G351-AK351)*AJ351+(G351-AM351)*AL351+(G351-AO351)*AN351+(G351-AQ351)*AP351+(G351-AS351)*AR351+(G351-AU351)*AT351+(G351-AW351)*AV351+(G351-AY351)*AX351+(G351-BA351)*AZ351+(G351-BC351)*BB351)*BJ351*BI351)*10000</f>
        <v>0</v>
      </c>
      <c r="J351" s="82" t="n">
        <f aca="false">H351+I351</f>
        <v>-29448.0039112749</v>
      </c>
      <c r="O351" s="95" t="n">
        <f aca="false">A351</f>
        <v>37865</v>
      </c>
      <c r="BD351" s="100" t="n">
        <f aca="false">(P351+R351+T351+V351+X351+Z351+AB351+AD351+AF351+AH351+AJ351+AL351+AN351+AP351+AR351+AT351+AV351+AX351+AZ351+BB351)</f>
        <v>0</v>
      </c>
      <c r="BE351" s="322" t="n">
        <f aca="false">IF(AND(BD351=0,BH351=0),0,(ABS(P351)*Q351+ABS(R351)*S351+ABS(T351)*U351+ABS(V351)*W351+ABS(X351)*Y351+ABS(Z351)*AA351+ABS(AB351)*AC351+ABS(AD351)*AE351+ABS(AF351)*AG351+ABS(AH351)*AI351+ABS(AJ351)*AK351+ABS(AL351)*AM351+ABS(AN351)*AO351+ABS(AP351)*AQ351+ABS(AR351)*AS351+ABS(AT351)*AU351+ABS(AV351)*AW351+ABS(AX351)*AY351+ABS(AZ351)*BA351+ABS(BB351)*BC351)/BH351)</f>
        <v>0</v>
      </c>
      <c r="BF351" s="102"/>
      <c r="BG351" s="103" t="n">
        <f aca="false">O351</f>
        <v>37865</v>
      </c>
      <c r="BH351" s="323" t="n">
        <f aca="false">(ABS(P351)+ABS(R351)+ABS(T351)+ABS(V351)+ABS(X351)+ABS(Z351)+ABS(AB351)+ABS(AD351)+ABS(AF351)+ABS(AH351)+ABS(AJ351)+ABS(AL351)+ABS(AN351)+ABS(AP351)+ABS(AR351)+ABS(AT351)+ABS(AV351)+ABS(AX351)+ABS(AZ351)+ABS(BB351))</f>
        <v>0</v>
      </c>
      <c r="BI351" s="104" t="n">
        <f aca="false">VLOOKUP(GasPosn!A351,'Pricing Summary'!$AB$12:$AD$250,3)</f>
        <v>30</v>
      </c>
      <c r="BJ351" s="102" t="n">
        <f aca="false">VLOOKUP(A351,Interest!$AF$8:$AK$367,6)</f>
        <v>0.942517037843269</v>
      </c>
      <c r="BK351" s="102"/>
      <c r="BL351" s="0" t="n">
        <f aca="false">H351/VLOOKUP(A351,NymexData!$J$12:$K$128,2)</f>
        <v>-18691.182270514</v>
      </c>
      <c r="BM351" s="0" t="n">
        <f aca="false">I351/VLOOKUP(A351,NymexData!$J$12:$K$128,2)</f>
        <v>0</v>
      </c>
      <c r="BO351" s="0" t="n">
        <f aca="false">BO34</f>
        <v>0.942517037843269</v>
      </c>
      <c r="BP351" s="0" t="n">
        <f aca="false">G351*BO351</f>
        <v>4.35887076493669</v>
      </c>
      <c r="BQ351" s="0" t="n">
        <f aca="false">IF(AND(A351&gt;=$B$320,A351&lt;=$B$321),1,0)</f>
        <v>1</v>
      </c>
      <c r="BR351" s="0" t="n">
        <f aca="false">BO351*BQ351</f>
        <v>0.942517037843269</v>
      </c>
      <c r="BS351" s="0" t="n">
        <f aca="false">BP351*BQ351</f>
        <v>4.35887076493669</v>
      </c>
    </row>
    <row r="352" customFormat="false" ht="18" hidden="false" customHeight="false" outlineLevel="0" collapsed="false">
      <c r="A352" s="112" t="n">
        <f aca="false">A35</f>
        <v>37895</v>
      </c>
      <c r="B352" s="324" t="n">
        <f aca="false" t="array" ref="B352:B352">SUM(IF(MONTH(NymexData!$AO$12:$AO$250)&amp;YEAR(NymexData!$AO$12:$AO$250)=MONTH(A352)&amp;YEAR(A352),NymexData!$AP$12:$AP$250))</f>
        <v>23.035251717492</v>
      </c>
      <c r="C352" s="325" t="n">
        <f aca="false">BD352*BJ352*BI352</f>
        <v>0</v>
      </c>
      <c r="D352" s="326" t="n">
        <f aca="false">C352+B352</f>
        <v>23.035251717492</v>
      </c>
      <c r="E352" s="327" t="n">
        <f aca="false" t="array" ref="E352:E352">SUM(IF(MONTH(NymexData!$A$12:$A$250)&amp;YEAR(NymexData!$A$12:$A$250)=MONTH(A352)&amp;YEAR(A352),NymexData!$F$12:$F$250))</f>
        <v>4.77868751019231</v>
      </c>
      <c r="F352" s="327" t="n">
        <f aca="false">G352-E352</f>
        <v>-0.124108948154357</v>
      </c>
      <c r="G352" s="328" t="n">
        <f aca="false" t="array" ref="G352:G352">IF(NymexData!$H$12="",GasPosn!E352,SUM(IF(MONTH(NymexData!$H$12:$H$250)&amp;YEAR(NymexData!$H$12:$H$250)=MONTH(A352)&amp;YEAR(A352),NymexData!$L$12:$L$250)))</f>
        <v>4.65457856203795</v>
      </c>
      <c r="H352" s="115" t="n">
        <f aca="false">B352*10000*F352</f>
        <v>-28588.8086112879</v>
      </c>
      <c r="I352" s="119" t="n">
        <f aca="false">(((G352-Q352)*P352+(G352-S352)*R352+(G352-U352)*T352+(G352-W352)*V352+(G352-Y352)*X352+(G352-AA352)*Z352+(G352-AC352)*AB352+(G352-AE352)*AD352+(G352-AG352)*AF352+(G352-AI352)*AH352+(G352-AK352)*AJ352+(G352-AM352)*AL352+(G352-AO352)*AN352+(G352-AQ352)*AP352+(G352-AS352)*AR352+(G352-AU352)*AT352+(G352-AW352)*AV352+(G352-AY352)*AX352+(G352-BA352)*AZ352+(G352-BC352)*BB352)*BJ352*BI352)*10000</f>
        <v>0</v>
      </c>
      <c r="J352" s="119" t="n">
        <f aca="false">H352+I352</f>
        <v>-28588.8086112879</v>
      </c>
      <c r="O352" s="95" t="n">
        <f aca="false">A352</f>
        <v>37895</v>
      </c>
      <c r="BD352" s="100" t="n">
        <f aca="false">(P352+R352+T352+V352+X352+Z352+AB352+AD352+AF352+AH352+AJ352+AL352+AN352+AP352+AR352+AT352+AV352+AX352+AZ352+BB352)</f>
        <v>0</v>
      </c>
      <c r="BE352" s="322" t="n">
        <f aca="false">IF(AND(BD352=0,BH352=0),0,(ABS(P352)*Q352+ABS(R352)*S352+ABS(T352)*U352+ABS(V352)*W352+ABS(X352)*Y352+ABS(Z352)*AA352+ABS(AB352)*AC352+ABS(AD352)*AE352+ABS(AF352)*AG352+ABS(AH352)*AI352+ABS(AJ352)*AK352+ABS(AL352)*AM352+ABS(AN352)*AO352+ABS(AP352)*AQ352+ABS(AR352)*AS352+ABS(AT352)*AU352+ABS(AV352)*AW352+ABS(AX352)*AY352+ABS(AZ352)*BA352+ABS(BB352)*BC352)/BH352)</f>
        <v>0</v>
      </c>
      <c r="BF352" s="102"/>
      <c r="BG352" s="103" t="n">
        <f aca="false">O352</f>
        <v>37895</v>
      </c>
      <c r="BH352" s="323" t="n">
        <f aca="false">(ABS(P352)+ABS(R352)+ABS(T352)+ABS(V352)+ABS(X352)+ABS(Z352)+ABS(AB352)+ABS(AD352)+ABS(AF352)+ABS(AH352)+ABS(AJ352)+ABS(AL352)+ABS(AN352)+ABS(AP352)+ABS(AR352)+ABS(AT352)+ABS(AV352)+ABS(AX352)+ABS(AZ352)+ABS(BB352))</f>
        <v>0</v>
      </c>
      <c r="BI352" s="104" t="n">
        <f aca="false">VLOOKUP(GasPosn!A352,'Pricing Summary'!$AB$12:$AD$250,3)</f>
        <v>31</v>
      </c>
      <c r="BJ352" s="102" t="n">
        <f aca="false">VLOOKUP(A352,Interest!$AF$8:$AK$367,6)</f>
        <v>0.938956815314589</v>
      </c>
      <c r="BK352" s="102"/>
      <c r="BL352" s="0" t="n">
        <f aca="false">H352/VLOOKUP(A352,NymexData!$J$12:$K$128,2)</f>
        <v>-18145.836065015</v>
      </c>
      <c r="BM352" s="0" t="n">
        <f aca="false">I352/VLOOKUP(A352,NymexData!$J$12:$K$128,2)</f>
        <v>0</v>
      </c>
      <c r="BO352" s="0" t="n">
        <f aca="false">BO35</f>
        <v>0.938956815314589</v>
      </c>
      <c r="BP352" s="0" t="n">
        <f aca="false">G352*BO352</f>
        <v>4.37044826324271</v>
      </c>
      <c r="BQ352" s="0" t="n">
        <f aca="false">IF(AND(A352&gt;=$B$320,A352&lt;=$B$321),1,0)</f>
        <v>1</v>
      </c>
      <c r="BR352" s="0" t="n">
        <f aca="false">BO352*BQ352</f>
        <v>0.938956815314589</v>
      </c>
      <c r="BS352" s="0" t="n">
        <f aca="false">BP352*BQ352</f>
        <v>4.37044826324271</v>
      </c>
    </row>
    <row r="353" customFormat="false" ht="18" hidden="false" customHeight="false" outlineLevel="0" collapsed="false">
      <c r="A353" s="75" t="n">
        <f aca="false">A36</f>
        <v>37926</v>
      </c>
      <c r="B353" s="317" t="n">
        <f aca="false" t="array" ref="B353:B353">SUM(IF(MONTH(NymexData!$AO$12:$AO$250)&amp;YEAR(NymexData!$AO$12:$AO$250)=MONTH(A353)&amp;YEAR(A353),NymexData!$AP$12:$AP$250))</f>
        <v>22.20754575893</v>
      </c>
      <c r="C353" s="317" t="n">
        <f aca="false">BD353*BJ353*BI353</f>
        <v>0</v>
      </c>
      <c r="D353" s="319" t="n">
        <f aca="false">C353+B353</f>
        <v>22.20754575893</v>
      </c>
      <c r="E353" s="320" t="n">
        <f aca="false" t="array" ref="E353:E353">SUM(IF(MONTH(NymexData!$A$12:$A$250)&amp;YEAR(NymexData!$A$12:$A$250)=MONTH(A353)&amp;YEAR(A353),NymexData!$F$12:$F$250))</f>
        <v>5.05149231240124</v>
      </c>
      <c r="F353" s="320" t="n">
        <f aca="false">G353-E353</f>
        <v>-0.108796573168949</v>
      </c>
      <c r="G353" s="321" t="n">
        <f aca="false" t="array" ref="G353:G353">IF(NymexData!$H$12="",GasPosn!E353,SUM(IF(MONTH(NymexData!$H$12:$H$250)&amp;YEAR(NymexData!$H$12:$H$250)=MONTH(A353)&amp;YEAR(A353),NymexData!$L$12:$L$250)))</f>
        <v>4.94269573923229</v>
      </c>
      <c r="H353" s="76" t="n">
        <f aca="false">B353*10000*F353</f>
        <v>-24161.048770642</v>
      </c>
      <c r="I353" s="82" t="n">
        <f aca="false">(((G353-Q353)*P353+(G353-S353)*R353+(G353-U353)*T353+(G353-W353)*V353+(G353-Y353)*X353+(G353-AA353)*Z353+(G353-AC353)*AB353+(G353-AE353)*AD353+(G353-AG353)*AF353+(G353-AI353)*AH353+(G353-AK353)*AJ353+(G353-AM353)*AL353+(G353-AO353)*AN353+(G353-AQ353)*AP353+(G353-AS353)*AR353+(G353-AU353)*AT353+(G353-AW353)*AV353+(G353-AY353)*AX353+(G353-BA353)*AZ353+(G353-BC353)*BB353)*BJ353*BI353)*10000</f>
        <v>0</v>
      </c>
      <c r="J353" s="82" t="n">
        <f aca="false">H353+I353</f>
        <v>-24161.048770642</v>
      </c>
      <c r="O353" s="95" t="n">
        <f aca="false">A353</f>
        <v>37926</v>
      </c>
      <c r="BD353" s="100" t="n">
        <f aca="false">(P353+R353+T353+V353+X353+Z353+AB353+AD353+AF353+AH353+AJ353+AL353+AN353+AP353+AR353+AT353+AV353+AX353+AZ353+BB353)</f>
        <v>0</v>
      </c>
      <c r="BE353" s="322" t="n">
        <f aca="false">IF(AND(BD353=0,BH353=0),0,(ABS(P353)*Q353+ABS(R353)*S353+ABS(T353)*U353+ABS(V353)*W353+ABS(X353)*Y353+ABS(Z353)*AA353+ABS(AB353)*AC353+ABS(AD353)*AE353+ABS(AF353)*AG353+ABS(AH353)*AI353+ABS(AJ353)*AK353+ABS(AL353)*AM353+ABS(AN353)*AO353+ABS(AP353)*AQ353+ABS(AR353)*AS353+ABS(AT353)*AU353+ABS(AV353)*AW353+ABS(AX353)*AY353+ABS(AZ353)*BA353+ABS(BB353)*BC353)/BH353)</f>
        <v>0</v>
      </c>
      <c r="BF353" s="102"/>
      <c r="BG353" s="103" t="n">
        <f aca="false">O353</f>
        <v>37926</v>
      </c>
      <c r="BH353" s="323" t="n">
        <f aca="false">(ABS(P353)+ABS(R353)+ABS(T353)+ABS(V353)+ABS(X353)+ABS(Z353)+ABS(AB353)+ABS(AD353)+ABS(AF353)+ABS(AH353)+ABS(AJ353)+ABS(AL353)+ABS(AN353)+ABS(AP353)+ABS(AR353)+ABS(AT353)+ABS(AV353)+ABS(AX353)+ABS(AZ353)+ABS(BB353))</f>
        <v>0</v>
      </c>
      <c r="BI353" s="104" t="n">
        <f aca="false">VLOOKUP(GasPosn!A353,'Pricing Summary'!$AB$12:$AD$250,3)</f>
        <v>30</v>
      </c>
      <c r="BJ353" s="102" t="n">
        <f aca="false">VLOOKUP(A353,Interest!$AF$8:$AK$367,6)</f>
        <v>0.935380004886363</v>
      </c>
      <c r="BK353" s="102"/>
      <c r="BL353" s="0" t="n">
        <f aca="false">H353/VLOOKUP(A353,NymexData!$J$12:$K$128,2)</f>
        <v>-15335.7276427305</v>
      </c>
      <c r="BM353" s="0" t="n">
        <f aca="false">I353/VLOOKUP(A353,NymexData!$J$12:$K$128,2)</f>
        <v>0</v>
      </c>
      <c r="BO353" s="0" t="n">
        <f aca="false">BO36</f>
        <v>0.935380004886363</v>
      </c>
      <c r="BP353" s="0" t="n">
        <f aca="false">G353*BO353</f>
        <v>4.6232987647149</v>
      </c>
      <c r="BQ353" s="0" t="n">
        <f aca="false">IF(AND(A353&gt;=$B$320,A353&lt;=$B$321),1,0)</f>
        <v>1</v>
      </c>
      <c r="BR353" s="0" t="n">
        <f aca="false">BO353*BQ353</f>
        <v>0.935380004886363</v>
      </c>
      <c r="BS353" s="0" t="n">
        <f aca="false">BP353*BQ353</f>
        <v>4.6232987647149</v>
      </c>
    </row>
    <row r="354" customFormat="false" ht="18" hidden="false" customHeight="false" outlineLevel="0" collapsed="false">
      <c r="A354" s="112" t="n">
        <f aca="false">A37</f>
        <v>37956</v>
      </c>
      <c r="B354" s="324" t="n">
        <f aca="false" t="array" ref="B354:B354">SUM(IF(MONTH(NymexData!$AO$12:$AO$250)&amp;YEAR(NymexData!$AO$12:$AO$250)=MONTH(A354)&amp;YEAR(A354),NymexData!$AP$12:$AP$250))</f>
        <v>22.865119901974</v>
      </c>
      <c r="C354" s="325" t="n">
        <f aca="false">BD354*BJ354*BI354</f>
        <v>0</v>
      </c>
      <c r="D354" s="326" t="n">
        <f aca="false">C354+B354</f>
        <v>22.865119901974</v>
      </c>
      <c r="E354" s="327" t="n">
        <f aca="false" t="array" ref="E354:E354">SUM(IF(MONTH(NymexData!$A$12:$A$250)&amp;YEAR(NymexData!$A$12:$A$250)=MONTH(A354)&amp;YEAR(A354),NymexData!$F$12:$F$250))</f>
        <v>5.26968837240523</v>
      </c>
      <c r="F354" s="327" t="n">
        <f aca="false">G354-E354</f>
        <v>-0.100778199021874</v>
      </c>
      <c r="G354" s="328" t="n">
        <f aca="false" t="array" ref="G354:G354">IF(NymexData!$H$12="",GasPosn!E354,SUM(IF(MONTH(NymexData!$H$12:$H$250)&amp;YEAR(NymexData!$H$12:$H$250)=MONTH(A354)&amp;YEAR(A354),NymexData!$L$12:$L$250)))</f>
        <v>5.16891017338336</v>
      </c>
      <c r="H354" s="115" t="n">
        <f aca="false">B354*10000*F354</f>
        <v>-23043.0560414014</v>
      </c>
      <c r="I354" s="119" t="n">
        <f aca="false">(((G354-Q354)*P354+(G354-S354)*R354+(G354-U354)*T354+(G354-W354)*V354+(G354-Y354)*X354+(G354-AA354)*Z354+(G354-AC354)*AB354+(G354-AE354)*AD354+(G354-AG354)*AF354+(G354-AI354)*AH354+(G354-AK354)*AJ354+(G354-AM354)*AL354+(G354-AO354)*AN354+(G354-AQ354)*AP354+(G354-AS354)*AR354+(G354-AU354)*AT354+(G354-AW354)*AV354+(G354-AY354)*AX354+(G354-BA354)*AZ354+(G354-BC354)*BB354)*BJ354*BI354)*10000</f>
        <v>0</v>
      </c>
      <c r="J354" s="119" t="n">
        <f aca="false">H354+I354</f>
        <v>-23043.0560414014</v>
      </c>
      <c r="O354" s="95" t="n">
        <f aca="false">A354</f>
        <v>37956</v>
      </c>
      <c r="BD354" s="100" t="n">
        <f aca="false">(P354+R354+T354+V354+X354+Z354+AB354+AD354+AF354+AH354+AJ354+AL354+AN354+AP354+AR354+AT354+AV354+AX354+AZ354+BB354)</f>
        <v>0</v>
      </c>
      <c r="BE354" s="322" t="n">
        <f aca="false">IF(AND(BD354=0,BH354=0),0,(ABS(P354)*Q354+ABS(R354)*S354+ABS(T354)*U354+ABS(V354)*W354+ABS(X354)*Y354+ABS(Z354)*AA354+ABS(AB354)*AC354+ABS(AD354)*AE354+ABS(AF354)*AG354+ABS(AH354)*AI354+ABS(AJ354)*AK354+ABS(AL354)*AM354+ABS(AN354)*AO354+ABS(AP354)*AQ354+ABS(AR354)*AS354+ABS(AT354)*AU354+ABS(AV354)*AW354+ABS(AX354)*AY354+ABS(AZ354)*BA354+ABS(BB354)*BC354)/BH354)</f>
        <v>0</v>
      </c>
      <c r="BF354" s="102"/>
      <c r="BG354" s="103" t="n">
        <f aca="false">O354</f>
        <v>37956</v>
      </c>
      <c r="BH354" s="323" t="n">
        <f aca="false">(ABS(P354)+ABS(R354)+ABS(T354)+ABS(V354)+ABS(X354)+ABS(Z354)+ABS(AB354)+ABS(AD354)+ABS(AF354)+ABS(AH354)+ABS(AJ354)+ABS(AL354)+ABS(AN354)+ABS(AP354)+ABS(AR354)+ABS(AT354)+ABS(AV354)+ABS(AX354)+ABS(AZ354)+ABS(BB354))</f>
        <v>0</v>
      </c>
      <c r="BI354" s="104" t="n">
        <f aca="false">VLOOKUP(GasPosn!A354,'Pricing Summary'!$AB$12:$AD$250,3)</f>
        <v>31</v>
      </c>
      <c r="BJ354" s="102" t="n">
        <f aca="false">VLOOKUP(A354,Interest!$AF$8:$AK$367,6)</f>
        <v>0.931682668946481</v>
      </c>
      <c r="BK354" s="102"/>
      <c r="BL354" s="0" t="n">
        <f aca="false">H354/VLOOKUP(A354,NymexData!$J$12:$K$128,2)</f>
        <v>-14628.2590639127</v>
      </c>
      <c r="BM354" s="0" t="n">
        <f aca="false">I354/VLOOKUP(A354,NymexData!$J$12:$K$128,2)</f>
        <v>0</v>
      </c>
      <c r="BO354" s="0" t="n">
        <f aca="false">BO37</f>
        <v>0.931682668946481</v>
      </c>
      <c r="BP354" s="0" t="n">
        <f aca="false">G354*BO354</f>
        <v>4.81578402588242</v>
      </c>
      <c r="BQ354" s="0" t="n">
        <f aca="false">IF(AND(A354&gt;=$B$320,A354&lt;=$B$321),1,0)</f>
        <v>1</v>
      </c>
      <c r="BR354" s="0" t="n">
        <f aca="false">BO354*BQ354</f>
        <v>0.931682668946481</v>
      </c>
      <c r="BS354" s="0" t="n">
        <f aca="false">BP354*BQ354</f>
        <v>4.81578402588242</v>
      </c>
    </row>
    <row r="355" customFormat="false" ht="18" hidden="false" customHeight="false" outlineLevel="0" collapsed="false">
      <c r="A355" s="75" t="n">
        <f aca="false">A38</f>
        <v>37987</v>
      </c>
      <c r="B355" s="317" t="n">
        <f aca="false" t="array" ref="B355:B355">SUM(IF(MONTH(NymexData!$AO$12:$AO$250)&amp;YEAR(NymexData!$AO$12:$AO$250)=MONTH(A355)&amp;YEAR(A355),NymexData!$AP$12:$AP$250))</f>
        <v>7.937001769354</v>
      </c>
      <c r="C355" s="317" t="n">
        <f aca="false">BD355*BJ355*BI355</f>
        <v>0</v>
      </c>
      <c r="D355" s="319" t="n">
        <f aca="false">C355+B355</f>
        <v>7.937001769354</v>
      </c>
      <c r="E355" s="320" t="n">
        <f aca="false" t="array" ref="E355:E355">SUM(IF(MONTH(NymexData!$A$12:$A$250)&amp;YEAR(NymexData!$A$12:$A$250)=MONTH(A355)&amp;YEAR(A355),NymexData!$F$12:$F$250))</f>
        <v>5.32814232963273</v>
      </c>
      <c r="F355" s="320" t="n">
        <f aca="false">G355-E355</f>
        <v>-0.0854334448717067</v>
      </c>
      <c r="G355" s="321" t="n">
        <f aca="false" t="array" ref="G355:G355">IF(NymexData!$H$12="",GasPosn!E355,SUM(IF(MONTH(NymexData!$H$12:$H$250)&amp;YEAR(NymexData!$H$12:$H$250)=MONTH(A355)&amp;YEAR(A355),NymexData!$L$12:$L$250)))</f>
        <v>5.24270888476102</v>
      </c>
      <c r="H355" s="76" t="n">
        <f aca="false">B355*10000*F355</f>
        <v>-6780.85403108743</v>
      </c>
      <c r="I355" s="82" t="n">
        <f aca="false">(((G355-Q355)*P355+(G355-S355)*R355+(G355-U355)*T355+(G355-W355)*V355+(G355-Y355)*X355+(G355-AA355)*Z355+(G355-AC355)*AB355+(G355-AE355)*AD355+(G355-AG355)*AF355+(G355-AI355)*AH355+(G355-AK355)*AJ355+(G355-AM355)*AL355+(G355-AO355)*AN355+(G355-AQ355)*AP355+(G355-AS355)*AR355+(G355-AU355)*AT355+(G355-AW355)*AV355+(G355-AY355)*AX355+(G355-BA355)*AZ355+(G355-BC355)*BB355)*BJ355*BI355)*10000</f>
        <v>0</v>
      </c>
      <c r="J355" s="82" t="n">
        <f aca="false">H355+I355</f>
        <v>-6780.85403108743</v>
      </c>
      <c r="O355" s="95" t="n">
        <f aca="false">A355</f>
        <v>37987</v>
      </c>
      <c r="BD355" s="100" t="n">
        <f aca="false">(P355+R355+T355+V355+X355+Z355+AB355+AD355+AF355+AH355+AJ355+AL355+AN355+AP355+AR355+AT355+AV355+AX355+AZ355+BB355)</f>
        <v>0</v>
      </c>
      <c r="BE355" s="322" t="n">
        <f aca="false">IF(AND(BD355=0,BH355=0),0,(ABS(P355)*Q355+ABS(R355)*S355+ABS(T355)*U355+ABS(V355)*W355+ABS(X355)*Y355+ABS(Z355)*AA355+ABS(AB355)*AC355+ABS(AD355)*AE355+ABS(AF355)*AG355+ABS(AH355)*AI355+ABS(AJ355)*AK355+ABS(AL355)*AM355+ABS(AN355)*AO355+ABS(AP355)*AQ355+ABS(AR355)*AS355+ABS(AT355)*AU355+ABS(AV355)*AW355+ABS(AX355)*AY355+ABS(AZ355)*BA355+ABS(BB355)*BC355)/BH355)</f>
        <v>0</v>
      </c>
      <c r="BF355" s="1"/>
      <c r="BG355" s="103" t="n">
        <f aca="false">O355</f>
        <v>37987</v>
      </c>
      <c r="BH355" s="323" t="n">
        <f aca="false">(ABS(P355)+ABS(R355)+ABS(T355)+ABS(V355)+ABS(X355)+ABS(Z355)+ABS(AB355)+ABS(AD355)+ABS(AF355)+ABS(AH355)+ABS(AJ355)+ABS(AL355)+ABS(AN355)+ABS(AP355)+ABS(AR355)+ABS(AT355)+ABS(AV355)+ABS(AX355)+ABS(AZ355)+ABS(BB355))</f>
        <v>0</v>
      </c>
      <c r="BI355" s="104" t="n">
        <f aca="false">VLOOKUP(GasPosn!A355,'Pricing Summary'!$AB$12:$AD$250,3)</f>
        <v>31</v>
      </c>
      <c r="BJ355" s="102" t="n">
        <f aca="false">VLOOKUP(A355,Interest!$AF$8:$AK$367,6)</f>
        <v>0.927878709036443</v>
      </c>
      <c r="BK355" s="102"/>
      <c r="BL355" s="0" t="n">
        <f aca="false">H355/VLOOKUP(A355,NymexData!$J$12:$K$128,2)</f>
        <v>-4305.34192364155</v>
      </c>
      <c r="BM355" s="0" t="n">
        <f aca="false">I355/VLOOKUP(A355,NymexData!$J$12:$K$128,2)</f>
        <v>0</v>
      </c>
      <c r="BO355" s="0" t="n">
        <f aca="false">BO38</f>
        <v>0.927878709036443</v>
      </c>
      <c r="BP355" s="0" t="n">
        <f aca="false">G355*BO355</f>
        <v>4.86459795184595</v>
      </c>
      <c r="BQ355" s="0" t="n">
        <f aca="false">IF(AND(A355&gt;=$B$320,A355&lt;=$B$321),1,0)</f>
        <v>1</v>
      </c>
      <c r="BR355" s="0" t="n">
        <f aca="false">BO355*BQ355</f>
        <v>0.927878709036443</v>
      </c>
      <c r="BS355" s="0" t="n">
        <f aca="false">BP355*BQ355</f>
        <v>4.86459795184595</v>
      </c>
    </row>
    <row r="356" customFormat="false" ht="18" hidden="false" customHeight="false" outlineLevel="0" collapsed="false">
      <c r="A356" s="112" t="n">
        <f aca="false">A39</f>
        <v>38018</v>
      </c>
      <c r="B356" s="324" t="n">
        <f aca="false" t="array" ref="B356:B356">SUM(IF(MONTH(NymexData!$AO$12:$AO$250)&amp;YEAR(NymexData!$AO$12:$AO$250)=MONTH(A356)&amp;YEAR(A356),NymexData!$AP$12:$AP$250))</f>
        <v>7.396111511782</v>
      </c>
      <c r="C356" s="325" t="n">
        <f aca="false">BD356*BJ356*BI356</f>
        <v>0</v>
      </c>
      <c r="D356" s="326" t="n">
        <f aca="false">C356+B356</f>
        <v>7.396111511782</v>
      </c>
      <c r="E356" s="327" t="n">
        <f aca="false" t="array" ref="E356:E356">SUM(IF(MONTH(NymexData!$A$12:$A$250)&amp;YEAR(NymexData!$A$12:$A$250)=MONTH(A356)&amp;YEAR(A356),NymexData!$F$12:$F$250))</f>
        <v>5.1971882133494</v>
      </c>
      <c r="F356" s="327" t="n">
        <f aca="false">G356-E356</f>
        <v>-0.0867265670058739</v>
      </c>
      <c r="G356" s="328" t="n">
        <f aca="false" t="array" ref="G356:G356">IF(NymexData!$H$12="",GasPosn!E356,SUM(IF(MONTH(NymexData!$H$12:$H$250)&amp;YEAR(NymexData!$H$12:$H$250)=MONTH(A356)&amp;YEAR(A356),NymexData!$L$12:$L$250)))</f>
        <v>5.11046164634352</v>
      </c>
      <c r="H356" s="115" t="n">
        <f aca="false">B356*10000*F356</f>
        <v>-6414.39360609477</v>
      </c>
      <c r="I356" s="119" t="n">
        <f aca="false">(((G356-Q356)*P356+(G356-S356)*R356+(G356-U356)*T356+(G356-W356)*V356+(G356-Y356)*X356+(G356-AA356)*Z356+(G356-AC356)*AB356+(G356-AE356)*AD356+(G356-AG356)*AF356+(G356-AI356)*AH356+(G356-AK356)*AJ356+(G356-AM356)*AL356+(G356-AO356)*AN356+(G356-AQ356)*AP356+(G356-AS356)*AR356+(G356-AU356)*AT356+(G356-AW356)*AV356+(G356-AY356)*AX356+(G356-BA356)*AZ356+(G356-BC356)*BB356)*BJ356*BI356)*10000</f>
        <v>0</v>
      </c>
      <c r="J356" s="119" t="n">
        <f aca="false">H356+I356</f>
        <v>-6414.39360609477</v>
      </c>
      <c r="O356" s="95" t="n">
        <f aca="false">A356</f>
        <v>38018</v>
      </c>
      <c r="BD356" s="100" t="n">
        <f aca="false">(P356+R356+T356+V356+X356+Z356+AB356+AD356+AF356+AH356+AJ356+AL356+AN356+AP356+AR356+AT356+AV356+AX356+AZ356+BB356)</f>
        <v>0</v>
      </c>
      <c r="BE356" s="322" t="n">
        <f aca="false">IF(AND(BD356=0,BH356=0),0,(ABS(P356)*Q356+ABS(R356)*S356+ABS(T356)*U356+ABS(V356)*W356+ABS(X356)*Y356+ABS(Z356)*AA356+ABS(AB356)*AC356+ABS(AD356)*AE356+ABS(AF356)*AG356+ABS(AH356)*AI356+ABS(AJ356)*AK356+ABS(AL356)*AM356+ABS(AN356)*AO356+ABS(AP356)*AQ356+ABS(AR356)*AS356+ABS(AT356)*AU356+ABS(AV356)*AW356+ABS(AX356)*AY356+ABS(AZ356)*BA356+ABS(BB356)*BC356)/BH356)</f>
        <v>0</v>
      </c>
      <c r="BF356" s="1"/>
      <c r="BG356" s="103" t="n">
        <f aca="false">O356</f>
        <v>38018</v>
      </c>
      <c r="BH356" s="323" t="n">
        <f aca="false">(ABS(P356)+ABS(R356)+ABS(T356)+ABS(V356)+ABS(X356)+ABS(Z356)+ABS(AB356)+ABS(AD356)+ABS(AF356)+ABS(AH356)+ABS(AJ356)+ABS(AL356)+ABS(AN356)+ABS(AP356)+ABS(AR356)+ABS(AT356)+ABS(AV356)+ABS(AX356)+ABS(AZ356)+ABS(BB356))</f>
        <v>0</v>
      </c>
      <c r="BI356" s="104" t="n">
        <f aca="false">VLOOKUP(GasPosn!A356,'Pricing Summary'!$AB$12:$AD$250,3)</f>
        <v>29</v>
      </c>
      <c r="BJ356" s="102" t="n">
        <f aca="false">VLOOKUP(A356,Interest!$AF$8:$AK$367,6)</f>
        <v>0.924178330875414</v>
      </c>
      <c r="BK356" s="102"/>
      <c r="BL356" s="0" t="n">
        <f aca="false">H356/VLOOKUP(A356,NymexData!$J$12:$K$128,2)</f>
        <v>-4073.36865471058</v>
      </c>
      <c r="BM356" s="0" t="n">
        <f aca="false">I356/VLOOKUP(A356,NymexData!$J$12:$K$128,2)</f>
        <v>0</v>
      </c>
      <c r="BO356" s="0" t="n">
        <f aca="false">BO39</f>
        <v>0.924178330875414</v>
      </c>
      <c r="BP356" s="0" t="n">
        <f aca="false">G356*BO356</f>
        <v>4.72297791432057</v>
      </c>
      <c r="BQ356" s="0" t="n">
        <f aca="false">IF(AND(A356&gt;=$B$320,A356&lt;=$B$321),1,0)</f>
        <v>1</v>
      </c>
      <c r="BR356" s="0" t="n">
        <f aca="false">BO356*BQ356</f>
        <v>0.924178330875414</v>
      </c>
      <c r="BS356" s="0" t="n">
        <f aca="false">BP356*BQ356</f>
        <v>4.72297791432057</v>
      </c>
    </row>
    <row r="357" customFormat="false" ht="18" hidden="false" customHeight="false" outlineLevel="0" collapsed="false">
      <c r="A357" s="75" t="n">
        <f aca="false">A40</f>
        <v>38047</v>
      </c>
      <c r="B357" s="317" t="n">
        <f aca="false" t="array" ref="B357:B357">SUM(IF(MONTH(NymexData!$AO$12:$AO$250)&amp;YEAR(NymexData!$AO$12:$AO$250)=MONTH(A357)&amp;YEAR(A357),NymexData!$AP$12:$AP$250))</f>
        <v>7.876895402138</v>
      </c>
      <c r="C357" s="317" t="n">
        <f aca="false">BD357*BJ357*BI357</f>
        <v>0</v>
      </c>
      <c r="D357" s="319" t="n">
        <f aca="false">C357+B357</f>
        <v>7.876895402138</v>
      </c>
      <c r="E357" s="320" t="n">
        <f aca="false" t="array" ref="E357:E357">SUM(IF(MONTH(NymexData!$A$12:$A$250)&amp;YEAR(NymexData!$A$12:$A$250)=MONTH(A357)&amp;YEAR(A357),NymexData!$F$12:$F$250))</f>
        <v>4.98877798102992</v>
      </c>
      <c r="F357" s="320" t="n">
        <f aca="false">G357-E357</f>
        <v>-0.0866430493535484</v>
      </c>
      <c r="G357" s="321" t="n">
        <f aca="false" t="array" ref="G357:G357">IF(NymexData!$H$12="",GasPosn!E357,SUM(IF(MONTH(NymexData!$H$12:$H$250)&amp;YEAR(NymexData!$H$12:$H$250)=MONTH(A357)&amp;YEAR(A357),NymexData!$L$12:$L$250)))</f>
        <v>4.90213493167637</v>
      </c>
      <c r="H357" s="76" t="n">
        <f aca="false">B357*10000*F357</f>
        <v>-6824.78237080181</v>
      </c>
      <c r="I357" s="82" t="n">
        <f aca="false">(((G357-Q357)*P357+(G357-S357)*R357+(G357-U357)*T357+(G357-W357)*V357+(G357-Y357)*X357+(G357-AA357)*Z357+(G357-AC357)*AB357+(G357-AE357)*AD357+(G357-AG357)*AF357+(G357-AI357)*AH357+(G357-AK357)*AJ357+(G357-AM357)*AL357+(G357-AO357)*AN357+(G357-AQ357)*AP357+(G357-AS357)*AR357+(G357-AU357)*AT357+(G357-AW357)*AV357+(G357-AY357)*AX357+(G357-BA357)*AZ357+(G357-BC357)*BB357)*BJ357*BI357)*10000</f>
        <v>0</v>
      </c>
      <c r="J357" s="82" t="n">
        <f aca="false">H357+I357</f>
        <v>-6824.78237080181</v>
      </c>
      <c r="O357" s="95" t="n">
        <f aca="false">A357</f>
        <v>38047</v>
      </c>
      <c r="BD357" s="100" t="n">
        <f aca="false">(P357+R357+T357+V357+X357+Z357+AB357+AD357+AF357+AH357+AJ357+AL357+AN357+AP357+AR357+AT357+AV357+AX357+AZ357+BB357)</f>
        <v>0</v>
      </c>
      <c r="BE357" s="322" t="n">
        <f aca="false">IF(AND(BD357=0,BH357=0),0,(ABS(P357)*Q357+ABS(R357)*S357+ABS(T357)*U357+ABS(V357)*W357+ABS(X357)*Y357+ABS(Z357)*AA357+ABS(AB357)*AC357+ABS(AD357)*AE357+ABS(AF357)*AG357+ABS(AH357)*AI357+ABS(AJ357)*AK357+ABS(AL357)*AM357+ABS(AN357)*AO357+ABS(AP357)*AQ357+ABS(AR357)*AS357+ABS(AT357)*AU357+ABS(AV357)*AW357+ABS(AX357)*AY357+ABS(AZ357)*BA357+ABS(BB357)*BC357)/BH357)</f>
        <v>0</v>
      </c>
      <c r="BF357" s="1"/>
      <c r="BG357" s="103" t="n">
        <f aca="false">O357</f>
        <v>38047</v>
      </c>
      <c r="BH357" s="323" t="n">
        <f aca="false">(ABS(P357)+ABS(R357)+ABS(T357)+ABS(V357)+ABS(X357)+ABS(Z357)+ABS(AB357)+ABS(AD357)+ABS(AF357)+ABS(AH357)+ABS(AJ357)+ABS(AL357)+ABS(AN357)+ABS(AP357)+ABS(AR357)+ABS(AT357)+ABS(AV357)+ABS(AX357)+ABS(AZ357)+ABS(BB357))</f>
        <v>0</v>
      </c>
      <c r="BI357" s="104" t="n">
        <f aca="false">VLOOKUP(GasPosn!A357,'Pricing Summary'!$AB$12:$AD$250,3)</f>
        <v>31</v>
      </c>
      <c r="BJ357" s="102" t="n">
        <f aca="false">VLOOKUP(A357,Interest!$AF$8:$AK$367,6)</f>
        <v>0.920321134097026</v>
      </c>
      <c r="BK357" s="102"/>
      <c r="BL357" s="0" t="n">
        <f aca="false">H357/VLOOKUP(A357,NymexData!$J$12:$K$128,2)</f>
        <v>-4334.74354269095</v>
      </c>
      <c r="BM357" s="0" t="n">
        <f aca="false">I357/VLOOKUP(A357,NymexData!$J$12:$K$128,2)</f>
        <v>0</v>
      </c>
      <c r="BO357" s="0" t="n">
        <f aca="false">BO40</f>
        <v>0.920321134097026</v>
      </c>
      <c r="BP357" s="0" t="n">
        <f aca="false">G357*BO357</f>
        <v>4.51153837981704</v>
      </c>
      <c r="BQ357" s="0" t="n">
        <f aca="false">IF(AND(A357&gt;=$B$320,A357&lt;=$B$321),1,0)</f>
        <v>1</v>
      </c>
      <c r="BR357" s="0" t="n">
        <f aca="false">BO357*BQ357</f>
        <v>0.920321134097026</v>
      </c>
      <c r="BS357" s="0" t="n">
        <f aca="false">BP357*BQ357</f>
        <v>4.51153837981704</v>
      </c>
    </row>
    <row r="358" customFormat="false" ht="18" hidden="false" customHeight="false" outlineLevel="0" collapsed="false">
      <c r="A358" s="112" t="n">
        <f aca="false">A41</f>
        <v>38078</v>
      </c>
      <c r="B358" s="324" t="n">
        <f aca="false" t="array" ref="B358:B358">SUM(IF(MONTH(NymexData!$AO$12:$AO$250)&amp;YEAR(NymexData!$AO$12:$AO$250)=MONTH(A358)&amp;YEAR(A358),NymexData!$AP$12:$AP$250))</f>
        <v>7.592022624802</v>
      </c>
      <c r="C358" s="325" t="n">
        <f aca="false">BD358*BJ358*BI358</f>
        <v>0</v>
      </c>
      <c r="D358" s="326" t="n">
        <f aca="false">C358+B358</f>
        <v>7.592022624802</v>
      </c>
      <c r="E358" s="327" t="n">
        <f aca="false" t="array" ref="E358:E358">SUM(IF(MONTH(NymexData!$A$12:$A$250)&amp;YEAR(NymexData!$A$12:$A$250)=MONTH(A358)&amp;YEAR(A358),NymexData!$F$12:$F$250))</f>
        <v>4.70617289157101</v>
      </c>
      <c r="F358" s="327" t="n">
        <f aca="false">G358-E358</f>
        <v>-0.0866672122461862</v>
      </c>
      <c r="G358" s="328" t="n">
        <f aca="false" t="array" ref="G358:G358">IF(NymexData!$H$12="",GasPosn!E358,SUM(IF(MONTH(NymexData!$H$12:$H$250)&amp;YEAR(NymexData!$H$12:$H$250)=MONTH(A358)&amp;YEAR(A358),NymexData!$L$12:$L$250)))</f>
        <v>4.61950567932483</v>
      </c>
      <c r="H358" s="115" t="n">
        <f aca="false">B358*10000*F358</f>
        <v>-6579.79436201563</v>
      </c>
      <c r="I358" s="119" t="n">
        <f aca="false">(((G358-Q358)*P358+(G358-S358)*R358+(G358-U358)*T358+(G358-W358)*V358+(G358-Y358)*X358+(G358-AA358)*Z358+(G358-AC358)*AB358+(G358-AE358)*AD358+(G358-AG358)*AF358+(G358-AI358)*AH358+(G358-AK358)*AJ358+(G358-AM358)*AL358+(G358-AO358)*AN358+(G358-AQ358)*AP358+(G358-AS358)*AR358+(G358-AU358)*AT358+(G358-AW358)*AV358+(G358-AY358)*AX358+(G358-BA358)*AZ358+(G358-BC358)*BB358)*BJ358*BI358)*10000</f>
        <v>0</v>
      </c>
      <c r="J358" s="119" t="n">
        <f aca="false">H358+I358</f>
        <v>-6579.79436201563</v>
      </c>
      <c r="O358" s="95" t="n">
        <f aca="false">A358</f>
        <v>38078</v>
      </c>
      <c r="BD358" s="100" t="n">
        <f aca="false">(P358+R358+T358+V358+X358+Z358+AB358+AD358+AF358+AH358+AJ358+AL358+AN358+AP358+AR358+AT358+AV358+AX358+AZ358+BB358)</f>
        <v>0</v>
      </c>
      <c r="BE358" s="322" t="n">
        <f aca="false">IF(AND(BD358=0,BH358=0),0,(ABS(P358)*Q358+ABS(R358)*S358+ABS(T358)*U358+ABS(V358)*W358+ABS(X358)*Y358+ABS(Z358)*AA358+ABS(AB358)*AC358+ABS(AD358)*AE358+ABS(AF358)*AG358+ABS(AH358)*AI358+ABS(AJ358)*AK358+ABS(AL358)*AM358+ABS(AN358)*AO358+ABS(AP358)*AQ358+ABS(AR358)*AS358+ABS(AT358)*AU358+ABS(AV358)*AW358+ABS(AX358)*AY358+ABS(AZ358)*BA358+ABS(BB358)*BC358)/BH358)</f>
        <v>0</v>
      </c>
      <c r="BF358" s="1"/>
      <c r="BG358" s="103" t="n">
        <f aca="false">O358</f>
        <v>38078</v>
      </c>
      <c r="BH358" s="323" t="n">
        <f aca="false">(ABS(P358)+ABS(R358)+ABS(T358)+ABS(V358)+ABS(X358)+ABS(Z358)+ABS(AB358)+ABS(AD358)+ABS(AF358)+ABS(AH358)+ABS(AJ358)+ABS(AL358)+ABS(AN358)+ABS(AP358)+ABS(AR358)+ABS(AT358)+ABS(AV358)+ABS(AX358)+ABS(AZ358)+ABS(BB358))</f>
        <v>0</v>
      </c>
      <c r="BI358" s="104" t="n">
        <f aca="false">VLOOKUP(GasPosn!A358,'Pricing Summary'!$AB$12:$AD$250,3)</f>
        <v>30</v>
      </c>
      <c r="BJ358" s="102" t="n">
        <f aca="false">VLOOKUP(A358,Interest!$AF$8:$AK$367,6)</f>
        <v>0.916469708585514</v>
      </c>
      <c r="BK358" s="102"/>
      <c r="BL358" s="0" t="n">
        <f aca="false">H358/VLOOKUP(A358,NymexData!$J$12:$K$128,2)</f>
        <v>-4179.67251997075</v>
      </c>
      <c r="BM358" s="0" t="n">
        <f aca="false">I358/VLOOKUP(A358,NymexData!$J$12:$K$128,2)</f>
        <v>0</v>
      </c>
      <c r="BO358" s="0" t="n">
        <f aca="false">BO41</f>
        <v>0.916469708585514</v>
      </c>
      <c r="BP358" s="0" t="n">
        <f aca="false">G358*BO358</f>
        <v>4.23363702373995</v>
      </c>
      <c r="BQ358" s="0" t="n">
        <f aca="false">IF(AND(A358&gt;=$B$320,A358&lt;=$B$321),1,0)</f>
        <v>1</v>
      </c>
      <c r="BR358" s="0" t="n">
        <f aca="false">BO358*BQ358</f>
        <v>0.916469708585514</v>
      </c>
      <c r="BS358" s="0" t="n">
        <f aca="false">BP358*BQ358</f>
        <v>4.23363702373995</v>
      </c>
    </row>
    <row r="359" customFormat="false" ht="18" hidden="false" customHeight="false" outlineLevel="0" collapsed="false">
      <c r="A359" s="75" t="n">
        <f aca="false">A42</f>
        <v>38108</v>
      </c>
      <c r="B359" s="317" t="n">
        <f aca="false" t="array" ref="B359:B359">SUM(IF(MONTH(NymexData!$AO$12:$AO$250)&amp;YEAR(NymexData!$AO$12:$AO$250)=MONTH(A359)&amp;YEAR(A359),NymexData!$AP$12:$AP$250))</f>
        <v>7.813833017326</v>
      </c>
      <c r="C359" s="317" t="n">
        <f aca="false">BD359*BJ359*BI359</f>
        <v>0</v>
      </c>
      <c r="D359" s="319" t="n">
        <f aca="false">C359+B359</f>
        <v>7.813833017326</v>
      </c>
      <c r="E359" s="320" t="n">
        <f aca="false" t="array" ref="E359:E359">SUM(IF(MONTH(NymexData!$A$12:$A$250)&amp;YEAR(NymexData!$A$12:$A$250)=MONTH(A359)&amp;YEAR(A359),NymexData!$F$12:$F$250))</f>
        <v>4.71309962641597</v>
      </c>
      <c r="F359" s="320" t="n">
        <f aca="false">G359-E359</f>
        <v>-0.0863740530096857</v>
      </c>
      <c r="G359" s="321" t="n">
        <f aca="false" t="array" ref="G359:G359">IF(NymexData!$H$12="",GasPosn!E359,SUM(IF(MONTH(NymexData!$H$12:$H$250)&amp;YEAR(NymexData!$H$12:$H$250)=MONTH(A359)&amp;YEAR(A359),NymexData!$L$12:$L$250)))</f>
        <v>4.62672557340629</v>
      </c>
      <c r="H359" s="76" t="n">
        <f aca="false">B359*10000*F359</f>
        <v>-6749.12427247348</v>
      </c>
      <c r="I359" s="82" t="n">
        <f aca="false">(((G359-Q359)*P359+(G359-S359)*R359+(G359-U359)*T359+(G359-W359)*V359+(G359-Y359)*X359+(G359-AA359)*Z359+(G359-AC359)*AB359+(G359-AE359)*AD359+(G359-AG359)*AF359+(G359-AI359)*AH359+(G359-AK359)*AJ359+(G359-AM359)*AL359+(G359-AO359)*AN359+(G359-AQ359)*AP359+(G359-AS359)*AR359+(G359-AU359)*AT359+(G359-AW359)*AV359+(G359-AY359)*AX359+(G359-BA359)*AZ359+(G359-BC359)*BB359)*BJ359*BI359)*10000</f>
        <v>0</v>
      </c>
      <c r="J359" s="82" t="n">
        <f aca="false">H359+I359</f>
        <v>-6749.12427247348</v>
      </c>
      <c r="O359" s="95" t="n">
        <f aca="false">A359</f>
        <v>38108</v>
      </c>
      <c r="BD359" s="100" t="n">
        <f aca="false">(P359+R359+T359+V359+X359+Z359+AB359+AD359+AF359+AH359+AJ359+AL359+AN359+AP359+AR359+AT359+AV359+AX359+AZ359+BB359)</f>
        <v>0</v>
      </c>
      <c r="BE359" s="322" t="n">
        <f aca="false">IF(AND(BD359=0,BH359=0),0,(ABS(P359)*Q359+ABS(R359)*S359+ABS(T359)*U359+ABS(V359)*W359+ABS(X359)*Y359+ABS(Z359)*AA359+ABS(AB359)*AC359+ABS(AD359)*AE359+ABS(AF359)*AG359+ABS(AH359)*AI359+ABS(AJ359)*AK359+ABS(AL359)*AM359+ABS(AN359)*AO359+ABS(AP359)*AQ359+ABS(AR359)*AS359+ABS(AT359)*AU359+ABS(AV359)*AW359+ABS(AX359)*AY359+ABS(AZ359)*BA359+ABS(BB359)*BC359)/BH359)</f>
        <v>0</v>
      </c>
      <c r="BF359" s="1"/>
      <c r="BG359" s="103" t="n">
        <f aca="false">O359</f>
        <v>38108</v>
      </c>
      <c r="BH359" s="323" t="n">
        <f aca="false">(ABS(P359)+ABS(R359)+ABS(T359)+ABS(V359)+ABS(X359)+ABS(Z359)+ABS(AB359)+ABS(AD359)+ABS(AF359)+ABS(AH359)+ABS(AJ359)+ABS(AL359)+ABS(AN359)+ABS(AP359)+ABS(AR359)+ABS(AT359)+ABS(AV359)+ABS(AX359)+ABS(AZ359)+ABS(BB359))</f>
        <v>0</v>
      </c>
      <c r="BI359" s="104" t="n">
        <f aca="false">VLOOKUP(GasPosn!A359,'Pricing Summary'!$AB$12:$AD$250,3)</f>
        <v>31</v>
      </c>
      <c r="BJ359" s="102" t="n">
        <f aca="false">VLOOKUP(A359,Interest!$AF$8:$AK$367,6)</f>
        <v>0.912587643013782</v>
      </c>
      <c r="BK359" s="102"/>
      <c r="BL359" s="0" t="n">
        <f aca="false">H359/VLOOKUP(A359,NymexData!$J$12:$K$128,2)</f>
        <v>-4287.45859264384</v>
      </c>
      <c r="BM359" s="0" t="n">
        <f aca="false">I359/VLOOKUP(A359,NymexData!$J$12:$K$128,2)</f>
        <v>0</v>
      </c>
      <c r="BO359" s="0" t="n">
        <f aca="false">BO42</f>
        <v>0.912587643013782</v>
      </c>
      <c r="BP359" s="0" t="n">
        <f aca="false">G359*BO359</f>
        <v>4.22229258590643</v>
      </c>
      <c r="BQ359" s="0" t="n">
        <f aca="false">IF(AND(A359&gt;=$B$320,A359&lt;=$B$321),1,0)</f>
        <v>1</v>
      </c>
      <c r="BR359" s="0" t="n">
        <f aca="false">BO359*BQ359</f>
        <v>0.912587643013782</v>
      </c>
      <c r="BS359" s="0" t="n">
        <f aca="false">BP359*BQ359</f>
        <v>4.22229258590643</v>
      </c>
    </row>
    <row r="360" customFormat="false" ht="18" hidden="false" customHeight="false" outlineLevel="0" collapsed="false">
      <c r="A360" s="112" t="n">
        <f aca="false">A43</f>
        <v>38139</v>
      </c>
      <c r="B360" s="324" t="n">
        <f aca="false" t="array" ref="B360:B360">SUM(IF(MONTH(NymexData!$AO$12:$AO$250)&amp;YEAR(NymexData!$AO$12:$AO$250)=MONTH(A360)&amp;YEAR(A360),NymexData!$AP$12:$AP$250))</f>
        <v>7.530046257664</v>
      </c>
      <c r="C360" s="325" t="n">
        <f aca="false">BD360*BJ360*BI360</f>
        <v>0</v>
      </c>
      <c r="D360" s="326" t="n">
        <f aca="false">C360+B360</f>
        <v>7.530046257664</v>
      </c>
      <c r="E360" s="327" t="n">
        <f aca="false" t="array" ref="E360:E360">SUM(IF(MONTH(NymexData!$A$12:$A$250)&amp;YEAR(NymexData!$A$12:$A$250)=MONTH(A360)&amp;YEAR(A360),NymexData!$F$12:$F$250))</f>
        <v>4.76913941139508</v>
      </c>
      <c r="F360" s="327" t="n">
        <f aca="false">G360-E360</f>
        <v>-0.085994048598713</v>
      </c>
      <c r="G360" s="328" t="n">
        <f aca="false" t="array" ref="G360:G360">IF(NymexData!$H$12="",GasPosn!E360,SUM(IF(MONTH(NymexData!$H$12:$H$250)&amp;YEAR(NymexData!$H$12:$H$250)=MONTH(A360)&amp;YEAR(A360),NymexData!$L$12:$L$250)))</f>
        <v>4.68314536279637</v>
      </c>
      <c r="H360" s="115" t="n">
        <f aca="false">B360*10000*F360</f>
        <v>-6475.39163832115</v>
      </c>
      <c r="I360" s="119" t="n">
        <f aca="false">(((G360-Q360)*P360+(G360-S360)*R360+(G360-U360)*T360+(G360-W360)*V360+(G360-Y360)*X360+(G360-AA360)*Z360+(G360-AC360)*AB360+(G360-AE360)*AD360+(G360-AG360)*AF360+(G360-AI360)*AH360+(G360-AK360)*AJ360+(G360-AM360)*AL360+(G360-AO360)*AN360+(G360-AQ360)*AP360+(G360-AS360)*AR360+(G360-AU360)*AT360+(G360-AW360)*AV360+(G360-AY360)*AX360+(G360-BA360)*AZ360+(G360-BC360)*BB360)*BJ360*BI360)*10000</f>
        <v>0</v>
      </c>
      <c r="J360" s="119" t="n">
        <f aca="false">H360+I360</f>
        <v>-6475.39163832115</v>
      </c>
      <c r="O360" s="95" t="n">
        <f aca="false">A360</f>
        <v>38139</v>
      </c>
      <c r="BD360" s="100" t="n">
        <f aca="false">(P360+R360+T360+V360+X360+Z360+AB360+AD360+AF360+AH360+AJ360+AL360+AN360+AP360+AR360+AT360+AV360+AX360+AZ360+BB360)</f>
        <v>0</v>
      </c>
      <c r="BE360" s="322" t="n">
        <f aca="false">IF(AND(BD360=0,BH360=0),0,(ABS(P360)*Q360+ABS(R360)*S360+ABS(T360)*U360+ABS(V360)*W360+ABS(X360)*Y360+ABS(Z360)*AA360+ABS(AB360)*AC360+ABS(AD360)*AE360+ABS(AF360)*AG360+ABS(AH360)*AI360+ABS(AJ360)*AK360+ABS(AL360)*AM360+ABS(AN360)*AO360+ABS(AP360)*AQ360+ABS(AR360)*AS360+ABS(AT360)*AU360+ABS(AV360)*AW360+ABS(AX360)*AY360+ABS(AZ360)*BA360+ABS(BB360)*BC360)/BH360)</f>
        <v>0</v>
      </c>
      <c r="BF360" s="1"/>
      <c r="BG360" s="103" t="n">
        <f aca="false">O360</f>
        <v>38139</v>
      </c>
      <c r="BH360" s="323" t="n">
        <f aca="false">(ABS(P360)+ABS(R360)+ABS(T360)+ABS(V360)+ABS(X360)+ABS(Z360)+ABS(AB360)+ABS(AD360)+ABS(AF360)+ABS(AH360)+ABS(AJ360)+ABS(AL360)+ABS(AN360)+ABS(AP360)+ABS(AR360)+ABS(AT360)+ABS(AV360)+ABS(AX360)+ABS(AZ360)+ABS(BB360))</f>
        <v>0</v>
      </c>
      <c r="BI360" s="104" t="n">
        <f aca="false">VLOOKUP(GasPosn!A360,'Pricing Summary'!$AB$12:$AD$250,3)</f>
        <v>30</v>
      </c>
      <c r="BJ360" s="102" t="n">
        <f aca="false">VLOOKUP(A360,Interest!$AF$8:$AK$367,6)</f>
        <v>0.908691958422636</v>
      </c>
      <c r="BK360" s="102"/>
      <c r="BL360" s="0" t="n">
        <f aca="false">H360/VLOOKUP(A360,NymexData!$J$12:$K$128,2)</f>
        <v>-4113.80977604876</v>
      </c>
      <c r="BM360" s="0" t="n">
        <f aca="false">I360/VLOOKUP(A360,NymexData!$J$12:$K$128,2)</f>
        <v>0</v>
      </c>
      <c r="BO360" s="0" t="n">
        <f aca="false">BO43</f>
        <v>0.908691958422636</v>
      </c>
      <c r="BP360" s="0" t="n">
        <f aca="false">G360*BO360</f>
        <v>4.25553653129732</v>
      </c>
      <c r="BQ360" s="0" t="n">
        <f aca="false">IF(AND(A360&gt;=$B$320,A360&lt;=$B$321),1,0)</f>
        <v>1</v>
      </c>
      <c r="BR360" s="0" t="n">
        <f aca="false">BO360*BQ360</f>
        <v>0.908691958422636</v>
      </c>
      <c r="BS360" s="0" t="n">
        <f aca="false">BP360*BQ360</f>
        <v>4.25553653129732</v>
      </c>
    </row>
    <row r="361" customFormat="false" ht="18" hidden="false" customHeight="false" outlineLevel="0" collapsed="false">
      <c r="A361" s="75" t="n">
        <f aca="false">A44</f>
        <v>38169</v>
      </c>
      <c r="B361" s="317" t="n">
        <f aca="false" t="array" ref="B361:B361">SUM(IF(MONTH(NymexData!$AO$12:$AO$250)&amp;YEAR(NymexData!$AO$12:$AO$250)=MONTH(A361)&amp;YEAR(A361),NymexData!$AP$12:$AP$250))</f>
        <v>7.74885661676</v>
      </c>
      <c r="C361" s="317" t="n">
        <f aca="false">BD361*BJ361*BI361</f>
        <v>0</v>
      </c>
      <c r="D361" s="319" t="n">
        <f aca="false">C361+B361</f>
        <v>7.74885661676</v>
      </c>
      <c r="E361" s="320" t="n">
        <f aca="false" t="array" ref="E361:E361">SUM(IF(MONTH(NymexData!$A$12:$A$250)&amp;YEAR(NymexData!$A$12:$A$250)=MONTH(A361)&amp;YEAR(A361),NymexData!$F$12:$F$250))</f>
        <v>4.83581348630552</v>
      </c>
      <c r="F361" s="320" t="n">
        <f aca="false">G361-E361</f>
        <v>-0.0856106114190016</v>
      </c>
      <c r="G361" s="321" t="n">
        <f aca="false" t="array" ref="G361:G361">IF(NymexData!$H$12="",GasPosn!E361,SUM(IF(MONTH(NymexData!$H$12:$H$250)&amp;YEAR(NymexData!$H$12:$H$250)=MONTH(A361)&amp;YEAR(A361),NymexData!$L$12:$L$250)))</f>
        <v>4.75020287488652</v>
      </c>
      <c r="H361" s="76" t="n">
        <f aca="false">B361*10000*F361</f>
        <v>-6633.84352759</v>
      </c>
      <c r="I361" s="82" t="n">
        <f aca="false">(((G361-Q361)*P361+(G361-S361)*R361+(G361-U361)*T361+(G361-W361)*V361+(G361-Y361)*X361+(G361-AA361)*Z361+(G361-AC361)*AB361+(G361-AE361)*AD361+(G361-AG361)*AF361+(G361-AI361)*AH361+(G361-AK361)*AJ361+(G361-AM361)*AL361+(G361-AO361)*AN361+(G361-AQ361)*AP361+(G361-AS361)*AR361+(G361-AU361)*AT361+(G361-AW361)*AV361+(G361-AY361)*AX361+(G361-BA361)*AZ361+(G361-BC361)*BB361)*BJ361*BI361)*10000</f>
        <v>0</v>
      </c>
      <c r="J361" s="82" t="n">
        <f aca="false">H361+I361</f>
        <v>-6633.84352759</v>
      </c>
      <c r="O361" s="95" t="n">
        <f aca="false">A361</f>
        <v>38169</v>
      </c>
      <c r="BD361" s="100" t="n">
        <f aca="false">(P361+R361+T361+V361+X361+Z361+AB361+AD361+AF361+AH361+AJ361+AL361+AN361+AP361+AR361+AT361+AV361+AX361+AZ361+BB361)</f>
        <v>0</v>
      </c>
      <c r="BE361" s="322" t="n">
        <f aca="false">IF(AND(BD361=0,BH361=0),0,(ABS(P361)*Q361+ABS(R361)*S361+ABS(T361)*U361+ABS(V361)*W361+ABS(X361)*Y361+ABS(Z361)*AA361+ABS(AB361)*AC361+ABS(AD361)*AE361+ABS(AF361)*AG361+ABS(AH361)*AI361+ABS(AJ361)*AK361+ABS(AL361)*AM361+ABS(AN361)*AO361+ABS(AP361)*AQ361+ABS(AR361)*AS361+ABS(AT361)*AU361+ABS(AV361)*AW361+ABS(AX361)*AY361+ABS(AZ361)*BA361+ABS(BB361)*BC361)/BH361)</f>
        <v>0</v>
      </c>
      <c r="BF361" s="1"/>
      <c r="BG361" s="103" t="n">
        <f aca="false">O361</f>
        <v>38169</v>
      </c>
      <c r="BH361" s="323" t="n">
        <f aca="false">(ABS(P361)+ABS(R361)+ABS(T361)+ABS(V361)+ABS(X361)+ABS(Z361)+ABS(AB361)+ABS(AD361)+ABS(AF361)+ABS(AH361)+ABS(AJ361)+ABS(AL361)+ABS(AN361)+ABS(AP361)+ABS(AR361)+ABS(AT361)+ABS(AV361)+ABS(AX361)+ABS(AZ361)+ABS(BB361))</f>
        <v>0</v>
      </c>
      <c r="BI361" s="104" t="n">
        <f aca="false">VLOOKUP(GasPosn!A361,'Pricing Summary'!$AB$12:$AD$250,3)</f>
        <v>31</v>
      </c>
      <c r="BJ361" s="102" t="n">
        <f aca="false">VLOOKUP(A361,Interest!$AF$8:$AK$367,6)</f>
        <v>0.904734254686686</v>
      </c>
      <c r="BK361" s="102"/>
      <c r="BL361" s="0" t="n">
        <f aca="false">H361/VLOOKUP(A361,NymexData!$J$12:$K$128,2)</f>
        <v>-4214.54420027874</v>
      </c>
      <c r="BM361" s="0" t="n">
        <f aca="false">I361/VLOOKUP(A361,NymexData!$J$12:$K$128,2)</f>
        <v>0</v>
      </c>
      <c r="BO361" s="0" t="n">
        <f aca="false">BO44</f>
        <v>0.904734254686686</v>
      </c>
      <c r="BP361" s="0" t="n">
        <f aca="false">G361*BO361</f>
        <v>4.29767125762101</v>
      </c>
      <c r="BQ361" s="0" t="n">
        <f aca="false">IF(AND(A361&gt;=$B$320,A361&lt;=$B$321),1,0)</f>
        <v>1</v>
      </c>
      <c r="BR361" s="0" t="n">
        <f aca="false">BO361*BQ361</f>
        <v>0.904734254686686</v>
      </c>
      <c r="BS361" s="0" t="n">
        <f aca="false">BP361*BQ361</f>
        <v>4.29767125762101</v>
      </c>
    </row>
    <row r="362" customFormat="false" ht="18" hidden="false" customHeight="false" outlineLevel="0" collapsed="false">
      <c r="A362" s="112" t="n">
        <f aca="false">A45</f>
        <v>38200</v>
      </c>
      <c r="B362" s="324" t="n">
        <f aca="false" t="array" ref="B362:B362">SUM(IF(MONTH(NymexData!$AO$12:$AO$250)&amp;YEAR(NymexData!$AO$12:$AO$250)=MONTH(A362)&amp;YEAR(A362),NymexData!$AP$12:$AP$250))</f>
        <v>7.715120851032</v>
      </c>
      <c r="C362" s="325" t="n">
        <f aca="false">BD362*BJ362*BI362</f>
        <v>0</v>
      </c>
      <c r="D362" s="326" t="n">
        <f aca="false">C362+B362</f>
        <v>7.715120851032</v>
      </c>
      <c r="E362" s="327" t="n">
        <f aca="false" t="array" ref="E362:E362">SUM(IF(MONTH(NymexData!$A$12:$A$250)&amp;YEAR(NymexData!$A$12:$A$250)=MONTH(A362)&amp;YEAR(A362),NymexData!$F$12:$F$250))</f>
        <v>4.89228584037136</v>
      </c>
      <c r="F362" s="327" t="n">
        <f aca="false">G362-E362</f>
        <v>-0.0852365460801865</v>
      </c>
      <c r="G362" s="328" t="n">
        <f aca="false" t="array" ref="G362:G362">IF(NymexData!$H$12="",GasPosn!E362,SUM(IF(MONTH(NymexData!$H$12:$H$250)&amp;YEAR(NymexData!$H$12:$H$250)=MONTH(A362)&amp;YEAR(A362),NymexData!$L$12:$L$250)))</f>
        <v>4.80704929429118</v>
      </c>
      <c r="H362" s="115" t="n">
        <f aca="false">B362*10000*F362</f>
        <v>-6576.10253933197</v>
      </c>
      <c r="I362" s="119" t="n">
        <f aca="false">(((G362-Q362)*P362+(G362-S362)*R362+(G362-U362)*T362+(G362-W362)*V362+(G362-Y362)*X362+(G362-AA362)*Z362+(G362-AC362)*AB362+(G362-AE362)*AD362+(G362-AG362)*AF362+(G362-AI362)*AH362+(G362-AK362)*AJ362+(G362-AM362)*AL362+(G362-AO362)*AN362+(G362-AQ362)*AP362+(G362-AS362)*AR362+(G362-AU362)*AT362+(G362-AW362)*AV362+(G362-AY362)*AX362+(G362-BA362)*AZ362+(G362-BC362)*BB362)*BJ362*BI362)*10000</f>
        <v>0</v>
      </c>
      <c r="J362" s="119" t="n">
        <f aca="false">H362+I362</f>
        <v>-6576.10253933197</v>
      </c>
      <c r="O362" s="95" t="n">
        <f aca="false">A362</f>
        <v>38200</v>
      </c>
      <c r="BD362" s="100" t="n">
        <f aca="false">(P362+R362+T362+V362+X362+Z362+AB362+AD362+AF362+AH362+AJ362+AL362+AN362+AP362+AR362+AT362+AV362+AX362+AZ362+BB362)</f>
        <v>0</v>
      </c>
      <c r="BE362" s="322" t="n">
        <f aca="false">IF(AND(BD362=0,BH362=0),0,(ABS(P362)*Q362+ABS(R362)*S362+ABS(T362)*U362+ABS(V362)*W362+ABS(X362)*Y362+ABS(Z362)*AA362+ABS(AB362)*AC362+ABS(AD362)*AE362+ABS(AF362)*AG362+ABS(AH362)*AI362+ABS(AJ362)*AK362+ABS(AL362)*AM362+ABS(AN362)*AO362+ABS(AP362)*AQ362+ABS(AR362)*AS362+ABS(AT362)*AU362+ABS(AV362)*AW362+ABS(AX362)*AY362+ABS(AZ362)*BA362+ABS(BB362)*BC362)/BH362)</f>
        <v>0</v>
      </c>
      <c r="BF362" s="1"/>
      <c r="BG362" s="103" t="n">
        <f aca="false">O362</f>
        <v>38200</v>
      </c>
      <c r="BH362" s="323" t="n">
        <f aca="false">(ABS(P362)+ABS(R362)+ABS(T362)+ABS(V362)+ABS(X362)+ABS(Z362)+ABS(AB362)+ABS(AD362)+ABS(AF362)+ABS(AH362)+ABS(AJ362)+ABS(AL362)+ABS(AN362)+ABS(AP362)+ABS(AR362)+ABS(AT362)+ABS(AV362)+ABS(AX362)+ABS(AZ362)+ABS(BB362))</f>
        <v>0</v>
      </c>
      <c r="BI362" s="104" t="n">
        <f aca="false">VLOOKUP(GasPosn!A362,'Pricing Summary'!$AB$12:$AD$250,3)</f>
        <v>31</v>
      </c>
      <c r="BJ362" s="102" t="n">
        <f aca="false">VLOOKUP(A362,Interest!$AF$8:$AK$367,6)</f>
        <v>0.90072937745124</v>
      </c>
      <c r="BK362" s="102"/>
      <c r="BL362" s="0" t="n">
        <f aca="false">H362/VLOOKUP(A362,NymexData!$J$12:$K$128,2)</f>
        <v>-4177.72669496011</v>
      </c>
      <c r="BM362" s="0" t="n">
        <f aca="false">I362/VLOOKUP(A362,NymexData!$J$12:$K$128,2)</f>
        <v>0</v>
      </c>
      <c r="BO362" s="0" t="n">
        <f aca="false">BO45</f>
        <v>0.90072937745124</v>
      </c>
      <c r="BP362" s="0" t="n">
        <f aca="false">G362*BO362</f>
        <v>4.32985051822431</v>
      </c>
      <c r="BQ362" s="0" t="n">
        <f aca="false">IF(AND(A362&gt;=$B$320,A362&lt;=$B$321),1,0)</f>
        <v>1</v>
      </c>
      <c r="BR362" s="0" t="n">
        <f aca="false">BO362*BQ362</f>
        <v>0.90072937745124</v>
      </c>
      <c r="BS362" s="0" t="n">
        <f aca="false">BP362*BQ362</f>
        <v>4.32985051822431</v>
      </c>
    </row>
    <row r="363" customFormat="false" ht="18" hidden="false" customHeight="false" outlineLevel="0" collapsed="false">
      <c r="A363" s="75" t="n">
        <f aca="false">A46</f>
        <v>38231</v>
      </c>
      <c r="B363" s="317" t="n">
        <f aca="false" t="array" ref="B363:B363">SUM(IF(MONTH(NymexData!$AO$12:$AO$250)&amp;YEAR(NymexData!$AO$12:$AO$250)=MONTH(A363)&amp;YEAR(A363),NymexData!$AP$12:$AP$250))</f>
        <v>7.433142057782</v>
      </c>
      <c r="C363" s="317" t="n">
        <f aca="false">BD363*BJ363*BI363</f>
        <v>0</v>
      </c>
      <c r="D363" s="319" t="n">
        <f aca="false">C363+B363</f>
        <v>7.433142057782</v>
      </c>
      <c r="E363" s="320" t="n">
        <f aca="false" t="array" ref="E363:E363">SUM(IF(MONTH(NymexData!$A$12:$A$250)&amp;YEAR(NymexData!$A$12:$A$250)=MONTH(A363)&amp;YEAR(A363),NymexData!$F$12:$F$250))</f>
        <v>4.88320430635882</v>
      </c>
      <c r="F363" s="320" t="n">
        <f aca="false">G363-E363</f>
        <v>-0.0849493787312809</v>
      </c>
      <c r="G363" s="321" t="n">
        <f aca="false" t="array" ref="G363:G363">IF(NymexData!$H$12="",GasPosn!E363,SUM(IF(MONTH(NymexData!$H$12:$H$250)&amp;YEAR(NymexData!$H$12:$H$250)=MONTH(A363)&amp;YEAR(A363),NymexData!$L$12:$L$250)))</f>
        <v>4.79825492762754</v>
      </c>
      <c r="H363" s="76" t="n">
        <f aca="false">B363*10000*F363</f>
        <v>-6314.40799829936</v>
      </c>
      <c r="I363" s="82" t="n">
        <f aca="false">(((G363-Q363)*P363+(G363-S363)*R363+(G363-U363)*T363+(G363-W363)*V363+(G363-Y363)*X363+(G363-AA363)*Z363+(G363-AC363)*AB363+(G363-AE363)*AD363+(G363-AG363)*AF363+(G363-AI363)*AH363+(G363-AK363)*AJ363+(G363-AM363)*AL363+(G363-AO363)*AN363+(G363-AQ363)*AP363+(G363-AS363)*AR363+(G363-AU363)*AT363+(G363-AW363)*AV363+(G363-AY363)*AX363+(G363-BA363)*AZ363+(G363-BC363)*BB363)*BJ363*BI363)*10000</f>
        <v>0</v>
      </c>
      <c r="J363" s="82" t="n">
        <f aca="false">H363+I363</f>
        <v>-6314.40799829936</v>
      </c>
      <c r="O363" s="95" t="n">
        <f aca="false">A363</f>
        <v>38231</v>
      </c>
      <c r="BD363" s="100" t="n">
        <f aca="false">(P363+R363+T363+V363+X363+Z363+AB363+AD363+AF363+AH363+AJ363+AL363+AN363+AP363+AR363+AT363+AV363+AX363+AZ363+BB363)</f>
        <v>0</v>
      </c>
      <c r="BE363" s="322" t="n">
        <f aca="false">IF(AND(BD363=0,BH363=0),0,(ABS(P363)*Q363+ABS(R363)*S363+ABS(T363)*U363+ABS(V363)*W363+ABS(X363)*Y363+ABS(Z363)*AA363+ABS(AB363)*AC363+ABS(AD363)*AE363+ABS(AF363)*AG363+ABS(AH363)*AI363+ABS(AJ363)*AK363+ABS(AL363)*AM363+ABS(AN363)*AO363+ABS(AP363)*AQ363+ABS(AR363)*AS363+ABS(AT363)*AU363+ABS(AV363)*AW363+ABS(AX363)*AY363+ABS(AZ363)*BA363+ABS(BB363)*BC363)/BH363)</f>
        <v>0</v>
      </c>
      <c r="BF363" s="1"/>
      <c r="BG363" s="103" t="n">
        <f aca="false">O363</f>
        <v>38231</v>
      </c>
      <c r="BH363" s="323" t="n">
        <f aca="false">(ABS(P363)+ABS(R363)+ABS(T363)+ABS(V363)+ABS(X363)+ABS(Z363)+ABS(AB363)+ABS(AD363)+ABS(AF363)+ABS(AH363)+ABS(AJ363)+ABS(AL363)+ABS(AN363)+ABS(AP363)+ABS(AR363)+ABS(AT363)+ABS(AV363)+ABS(AX363)+ABS(AZ363)+ABS(BB363))</f>
        <v>0</v>
      </c>
      <c r="BI363" s="104" t="n">
        <f aca="false">VLOOKUP(GasPosn!A363,'Pricing Summary'!$AB$12:$AD$250,3)</f>
        <v>30</v>
      </c>
      <c r="BJ363" s="102" t="n">
        <f aca="false">VLOOKUP(A363,Interest!$AF$8:$AK$367,6)</f>
        <v>0.896760063996072</v>
      </c>
      <c r="BK363" s="102"/>
      <c r="BL363" s="0" t="n">
        <f aca="false">H363/VLOOKUP(A363,NymexData!$J$12:$K$128,2)</f>
        <v>-4011.34347447479</v>
      </c>
      <c r="BM363" s="0" t="n">
        <f aca="false">I363/VLOOKUP(A363,NymexData!$J$12:$K$128,2)</f>
        <v>0</v>
      </c>
      <c r="BO363" s="0" t="n">
        <f aca="false">BO46</f>
        <v>0.896760063996072</v>
      </c>
      <c r="BP363" s="0" t="n">
        <f aca="false">G363*BO363</f>
        <v>4.30288339596874</v>
      </c>
      <c r="BQ363" s="0" t="n">
        <f aca="false">IF(AND(A363&gt;=$B$320,A363&lt;=$B$321),1,0)</f>
        <v>1</v>
      </c>
      <c r="BR363" s="0" t="n">
        <f aca="false">BO363*BQ363</f>
        <v>0.896760063996072</v>
      </c>
      <c r="BS363" s="0" t="n">
        <f aca="false">BP363*BQ363</f>
        <v>4.30288339596874</v>
      </c>
    </row>
    <row r="364" customFormat="false" ht="18" hidden="false" customHeight="false" outlineLevel="0" collapsed="false">
      <c r="A364" s="112" t="n">
        <f aca="false">A47</f>
        <v>38261</v>
      </c>
      <c r="B364" s="324" t="n">
        <f aca="false" t="array" ref="B364:B364">SUM(IF(MONTH(NymexData!$AO$12:$AO$250)&amp;YEAR(NymexData!$AO$12:$AO$250)=MONTH(A364)&amp;YEAR(A364),NymexData!$AP$12:$AP$250))</f>
        <v>7.647367822976</v>
      </c>
      <c r="C364" s="325" t="n">
        <f aca="false">BD364*BJ364*BI364</f>
        <v>0</v>
      </c>
      <c r="D364" s="326" t="n">
        <f aca="false">C364+B364</f>
        <v>7.647367822976</v>
      </c>
      <c r="E364" s="327" t="n">
        <f aca="false" t="array" ref="E364:E364">SUM(IF(MONTH(NymexData!$A$12:$A$250)&amp;YEAR(NymexData!$A$12:$A$250)=MONTH(A364)&amp;YEAR(A364),NymexData!$F$12:$F$250))</f>
        <v>4.8833301590529</v>
      </c>
      <c r="F364" s="327" t="n">
        <f aca="false">G364-E364</f>
        <v>-0.0846685165479224</v>
      </c>
      <c r="G364" s="328" t="n">
        <f aca="false" t="array" ref="G364:G364">IF(NymexData!$H$12="",GasPosn!E364,SUM(IF(MONTH(NymexData!$H$12:$H$250)&amp;YEAR(NymexData!$H$12:$H$250)=MONTH(A364)&amp;YEAR(A364),NymexData!$L$12:$L$250)))</f>
        <v>4.79866164250497</v>
      </c>
      <c r="H364" s="115" t="n">
        <f aca="false">B364*10000*F364</f>
        <v>-6474.91289067693</v>
      </c>
      <c r="I364" s="119" t="n">
        <f aca="false">(((G364-Q364)*P364+(G364-S364)*R364+(G364-U364)*T364+(G364-W364)*V364+(G364-Y364)*X364+(G364-AA364)*Z364+(G364-AC364)*AB364+(G364-AE364)*AD364+(G364-AG364)*AF364+(G364-AI364)*AH364+(G364-AK364)*AJ364+(G364-AM364)*AL364+(G364-AO364)*AN364+(G364-AQ364)*AP364+(G364-AS364)*AR364+(G364-AU364)*AT364+(G364-AW364)*AV364+(G364-AY364)*AX364+(G364-BA364)*AZ364+(G364-BC364)*BB364)*BJ364*BI364)*10000</f>
        <v>0</v>
      </c>
      <c r="J364" s="119" t="n">
        <f aca="false">H364+I364</f>
        <v>-6474.91289067693</v>
      </c>
      <c r="O364" s="95" t="n">
        <f aca="false">A364</f>
        <v>38261</v>
      </c>
      <c r="BD364" s="100" t="n">
        <f aca="false">(P364+R364+T364+V364+X364+Z364+AB364+AD364+AF364+AH364+AJ364+AL364+AN364+AP364+AR364+AT364+AV364+AX364+AZ364+BB364)</f>
        <v>0</v>
      </c>
      <c r="BE364" s="322" t="n">
        <f aca="false">IF(AND(BD364=0,BH364=0),0,(ABS(P364)*Q364+ABS(R364)*S364+ABS(T364)*U364+ABS(V364)*W364+ABS(X364)*Y364+ABS(Z364)*AA364+ABS(AB364)*AC364+ABS(AD364)*AE364+ABS(AF364)*AG364+ABS(AH364)*AI364+ABS(AJ364)*AK364+ABS(AL364)*AM364+ABS(AN364)*AO364+ABS(AP364)*AQ364+ABS(AR364)*AS364+ABS(AT364)*AU364+ABS(AV364)*AW364+ABS(AX364)*AY364+ABS(AZ364)*BA364+ABS(BB364)*BC364)/BH364)</f>
        <v>0</v>
      </c>
      <c r="BF364" s="1"/>
      <c r="BG364" s="103" t="n">
        <f aca="false">O364</f>
        <v>38261</v>
      </c>
      <c r="BH364" s="323" t="n">
        <f aca="false">(ABS(P364)+ABS(R364)+ABS(T364)+ABS(V364)+ABS(X364)+ABS(Z364)+ABS(AB364)+ABS(AD364)+ABS(AF364)+ABS(AH364)+ABS(AJ364)+ABS(AL364)+ABS(AN364)+ABS(AP364)+ABS(AR364)+ABS(AT364)+ABS(AV364)+ABS(AX364)+ABS(AZ364)+ABS(BB364))</f>
        <v>0</v>
      </c>
      <c r="BI364" s="104" t="n">
        <f aca="false">VLOOKUP(GasPosn!A364,'Pricing Summary'!$AB$12:$AD$250,3)</f>
        <v>31</v>
      </c>
      <c r="BJ364" s="102" t="n">
        <f aca="false">VLOOKUP(A364,Interest!$AF$8:$AK$367,6)</f>
        <v>0.892739001581238</v>
      </c>
      <c r="BK364" s="102"/>
      <c r="BL364" s="0" t="n">
        <f aca="false">H364/VLOOKUP(A364,NymexData!$J$12:$K$128,2)</f>
        <v>-4112.95852365294</v>
      </c>
      <c r="BM364" s="0" t="n">
        <f aca="false">I364/VLOOKUP(A364,NymexData!$J$12:$K$128,2)</f>
        <v>0</v>
      </c>
      <c r="BO364" s="0" t="n">
        <f aca="false">BO47</f>
        <v>0.892739001581238</v>
      </c>
      <c r="BP364" s="0" t="n">
        <f aca="false">G364*BO364</f>
        <v>4.28395240365607</v>
      </c>
      <c r="BQ364" s="0" t="n">
        <f aca="false">IF(AND(A364&gt;=$B$320,A364&lt;=$B$321),1,0)</f>
        <v>1</v>
      </c>
      <c r="BR364" s="0" t="n">
        <f aca="false">BO364*BQ364</f>
        <v>0.892739001581238</v>
      </c>
      <c r="BS364" s="0" t="n">
        <f aca="false">BP364*BQ364</f>
        <v>4.28395240365607</v>
      </c>
    </row>
    <row r="365" customFormat="false" ht="18" hidden="false" customHeight="false" outlineLevel="0" collapsed="false">
      <c r="A365" s="75" t="n">
        <f aca="false">A48</f>
        <v>38292</v>
      </c>
      <c r="B365" s="317" t="n">
        <f aca="false" t="array" ref="B365:B365">SUM(IF(MONTH(NymexData!$AO$12:$AO$250)&amp;YEAR(NymexData!$AO$12:$AO$250)=MONTH(A365)&amp;YEAR(A365),NymexData!$AP$12:$AP$250))</f>
        <v>7.367357866232</v>
      </c>
      <c r="C365" s="317" t="n">
        <f aca="false">BD365*BJ365*BI365</f>
        <v>0</v>
      </c>
      <c r="D365" s="319" t="n">
        <f aca="false">C365+B365</f>
        <v>7.367357866232</v>
      </c>
      <c r="E365" s="320" t="n">
        <f aca="false" t="array" ref="E365:E365">SUM(IF(MONTH(NymexData!$A$12:$A$250)&amp;YEAR(NymexData!$A$12:$A$250)=MONTH(A365)&amp;YEAR(A365),NymexData!$F$12:$F$250))</f>
        <v>5.16336730129318</v>
      </c>
      <c r="F365" s="320" t="n">
        <f aca="false">G365-E365</f>
        <v>-0.0824632049817797</v>
      </c>
      <c r="G365" s="321" t="n">
        <f aca="false" t="array" ref="G365:G365">IF(NymexData!$H$12="",GasPosn!E365,SUM(IF(MONTH(NymexData!$H$12:$H$250)&amp;YEAR(NymexData!$H$12:$H$250)=MONTH(A365)&amp;YEAR(A365),NymexData!$L$12:$L$250)))</f>
        <v>5.0809040963114</v>
      </c>
      <c r="H365" s="76" t="n">
        <f aca="false">B365*10000*F365</f>
        <v>-6075.35941897217</v>
      </c>
      <c r="I365" s="82" t="n">
        <f aca="false">(((G365-Q365)*P365+(G365-S365)*R365+(G365-U365)*T365+(G365-W365)*V365+(G365-Y365)*X365+(G365-AA365)*Z365+(G365-AC365)*AB365+(G365-AE365)*AD365+(G365-AG365)*AF365+(G365-AI365)*AH365+(G365-AK365)*AJ365+(G365-AM365)*AL365+(G365-AO365)*AN365+(G365-AQ365)*AP365+(G365-AS365)*AR365+(G365-AU365)*AT365+(G365-AW365)*AV365+(G365-AY365)*AX365+(G365-BA365)*AZ365+(G365-BC365)*BB365)*BJ365*BI365)*10000</f>
        <v>0</v>
      </c>
      <c r="J365" s="82" t="n">
        <f aca="false">H365+I365</f>
        <v>-6075.35941897217</v>
      </c>
      <c r="O365" s="95" t="n">
        <f aca="false">A365</f>
        <v>38292</v>
      </c>
      <c r="BD365" s="100" t="n">
        <f aca="false">(P365+R365+T365+V365+X365+Z365+AB365+AD365+AF365+AH365+AJ365+AL365+AN365+AP365+AR365+AT365+AV365+AX365+AZ365+BB365)</f>
        <v>0</v>
      </c>
      <c r="BE365" s="322" t="n">
        <f aca="false">IF(AND(BD365=0,BH365=0),0,(ABS(P365)*Q365+ABS(R365)*S365+ABS(T365)*U365+ABS(V365)*W365+ABS(X365)*Y365+ABS(Z365)*AA365+ABS(AB365)*AC365+ABS(AD365)*AE365+ABS(AF365)*AG365+ABS(AH365)*AI365+ABS(AJ365)*AK365+ABS(AL365)*AM365+ABS(AN365)*AO365+ABS(AP365)*AQ365+ABS(AR365)*AS365+ABS(AT365)*AU365+ABS(AV365)*AW365+ABS(AX365)*AY365+ABS(AZ365)*BA365+ABS(BB365)*BC365)/BH365)</f>
        <v>0</v>
      </c>
      <c r="BG365" s="103" t="n">
        <f aca="false">O365</f>
        <v>38292</v>
      </c>
      <c r="BH365" s="323" t="n">
        <f aca="false">(ABS(P365)+ABS(R365)+ABS(T365)+ABS(V365)+ABS(X365)+ABS(Z365)+ABS(AB365)+ABS(AD365)+ABS(AF365)+ABS(AH365)+ABS(AJ365)+ABS(AL365)+ABS(AN365)+ABS(AP365)+ABS(AR365)+ABS(AT365)+ABS(AV365)+ABS(AX365)+ABS(AZ365)+ABS(BB365))</f>
        <v>0</v>
      </c>
      <c r="BI365" s="104" t="n">
        <f aca="false">VLOOKUP(GasPosn!A365,'Pricing Summary'!$AB$12:$AD$250,3)</f>
        <v>30</v>
      </c>
      <c r="BJ365" s="102" t="n">
        <f aca="false">VLOOKUP(A365,Interest!$AF$8:$AK$367,6)</f>
        <v>0.888769529277066</v>
      </c>
      <c r="BL365" s="0" t="n">
        <f aca="false">H365/VLOOKUP(A365,NymexData!$J$12:$K$128,2)</f>
        <v>-3858.98049118798</v>
      </c>
      <c r="BM365" s="0" t="n">
        <f aca="false">I365/VLOOKUP(A365,NymexData!$J$12:$K$128,2)</f>
        <v>0</v>
      </c>
      <c r="BO365" s="0" t="n">
        <f aca="false">BO48</f>
        <v>0.888769529277066</v>
      </c>
      <c r="BP365" s="0" t="n">
        <f aca="false">G365*BO365</f>
        <v>4.5157527419806</v>
      </c>
      <c r="BQ365" s="0" t="n">
        <f aca="false">IF(AND(A365&gt;=$B$320,A365&lt;=$B$321),1,0)</f>
        <v>1</v>
      </c>
      <c r="BR365" s="0" t="n">
        <f aca="false">BO365*BQ365</f>
        <v>0.888769529277066</v>
      </c>
      <c r="BS365" s="0" t="n">
        <f aca="false">BP365*BQ365</f>
        <v>4.5157527419806</v>
      </c>
    </row>
    <row r="366" customFormat="false" ht="18" hidden="false" customHeight="false" outlineLevel="0" collapsed="false">
      <c r="A366" s="112" t="n">
        <f aca="false">A49</f>
        <v>38322</v>
      </c>
      <c r="B366" s="324" t="n">
        <f aca="false" t="array" ref="B366:B366">SUM(IF(MONTH(NymexData!$AO$12:$AO$250)&amp;YEAR(NymexData!$AO$12:$AO$250)=MONTH(A366)&amp;YEAR(A366),NymexData!$AP$12:$AP$250))</f>
        <v>7.581530308198</v>
      </c>
      <c r="C366" s="325" t="n">
        <f aca="false">BD366*BJ366*BI366</f>
        <v>0</v>
      </c>
      <c r="D366" s="326" t="n">
        <f aca="false">C366+B366</f>
        <v>7.581530308198</v>
      </c>
      <c r="E366" s="327" t="n">
        <f aca="false" t="array" ref="E366:E366">SUM(IF(MONTH(NymexData!$A$12:$A$250)&amp;YEAR(NymexData!$A$12:$A$250)=MONTH(A366)&amp;YEAR(A366),NymexData!$F$12:$F$250))</f>
        <v>5.38813146780996</v>
      </c>
      <c r="F366" s="327" t="n">
        <f aca="false">G366-E366</f>
        <v>-0.0819379587066145</v>
      </c>
      <c r="G366" s="328" t="n">
        <f aca="false" t="array" ref="G366:G366">IF(NymexData!$H$12="",GasPosn!E366,SUM(IF(MONTH(NymexData!$H$12:$H$250)&amp;YEAR(NymexData!$H$12:$H$250)=MONTH(A366)&amp;YEAR(A366),NymexData!$L$12:$L$250)))</f>
        <v>5.30619350910334</v>
      </c>
      <c r="H366" s="115" t="n">
        <f aca="false">B366*10000*F366</f>
        <v>-6212.15117326074</v>
      </c>
      <c r="I366" s="119" t="n">
        <f aca="false">(((G366-Q366)*P366+(G366-S366)*R366+(G366-U366)*T366+(G366-W366)*V366+(G366-Y366)*X366+(G366-AA366)*Z366+(G366-AC366)*AB366+(G366-AE366)*AD366+(G366-AG366)*AF366+(G366-AI366)*AH366+(G366-AK366)*AJ366+(G366-AM366)*AL366+(G366-AO366)*AN366+(G366-AQ366)*AP366+(G366-AS366)*AR366+(G366-AU366)*AT366+(G366-AW366)*AV366+(G366-AY366)*AX366+(G366-BA366)*AZ366+(G366-BC366)*BB366)*BJ366*BI366)*10000</f>
        <v>0</v>
      </c>
      <c r="J366" s="119" t="n">
        <f aca="false">H366+I366</f>
        <v>-6212.15117326074</v>
      </c>
      <c r="O366" s="95" t="n">
        <f aca="false">A366</f>
        <v>38322</v>
      </c>
      <c r="BD366" s="100" t="n">
        <f aca="false">(P366+R366+T366+V366+X366+Z366+AB366+AD366+AF366+AH366+AJ366+AL366+AN366+AP366+AR366+AT366+AV366+AX366+AZ366+BB366)</f>
        <v>0</v>
      </c>
      <c r="BE366" s="322" t="n">
        <f aca="false">IF(AND(BD366=0,BH366=0),0,(ABS(P366)*Q366+ABS(R366)*S366+ABS(T366)*U366+ABS(V366)*W366+ABS(X366)*Y366+ABS(Z366)*AA366+ABS(AB366)*AC366+ABS(AD366)*AE366+ABS(AF366)*AG366+ABS(AH366)*AI366+ABS(AJ366)*AK366+ABS(AL366)*AM366+ABS(AN366)*AO366+ABS(AP366)*AQ366+ABS(AR366)*AS366+ABS(AT366)*AU366+ABS(AV366)*AW366+ABS(AX366)*AY366+ABS(AZ366)*BA366+ABS(BB366)*BC366)/BH366)</f>
        <v>0</v>
      </c>
      <c r="BG366" s="103" t="n">
        <f aca="false">O366</f>
        <v>38322</v>
      </c>
      <c r="BH366" s="323" t="n">
        <f aca="false">(ABS(P366)+ABS(R366)+ABS(T366)+ABS(V366)+ABS(X366)+ABS(Z366)+ABS(AB366)+ABS(AD366)+ABS(AF366)+ABS(AH366)+ABS(AJ366)+ABS(AL366)+ABS(AN366)+ABS(AP366)+ABS(AR366)+ABS(AT366)+ABS(AV366)+ABS(AX366)+ABS(AZ366)+ABS(BB366))</f>
        <v>0</v>
      </c>
      <c r="BI366" s="104" t="n">
        <f aca="false">VLOOKUP(GasPosn!A366,'Pricing Summary'!$AB$12:$AD$250,3)</f>
        <v>31</v>
      </c>
      <c r="BJ366" s="102" t="n">
        <f aca="false">VLOOKUP(A366,Interest!$AF$8:$AK$367,6)</f>
        <v>0.8847011422324</v>
      </c>
      <c r="BL366" s="0" t="n">
        <f aca="false">H366/VLOOKUP(A366,NymexData!$J$12:$K$128,2)</f>
        <v>-3947.00144442508</v>
      </c>
      <c r="BM366" s="0" t="n">
        <f aca="false">I366/VLOOKUP(A366,NymexData!$J$12:$K$128,2)</f>
        <v>0</v>
      </c>
      <c r="BO366" s="0" t="n">
        <f aca="false">BO49</f>
        <v>0.8847011422324</v>
      </c>
      <c r="BP366" s="0" t="n">
        <f aca="false">G366*BO366</f>
        <v>4.69439545840987</v>
      </c>
      <c r="BQ366" s="0" t="n">
        <f aca="false">IF(AND(A366&gt;=$B$320,A366&lt;=$B$321),1,0)</f>
        <v>1</v>
      </c>
      <c r="BR366" s="0" t="n">
        <f aca="false">BO366*BQ366</f>
        <v>0.8847011422324</v>
      </c>
      <c r="BS366" s="0" t="n">
        <f aca="false">BP366*BQ366</f>
        <v>4.69439545840987</v>
      </c>
    </row>
    <row r="367" customFormat="false" ht="18" hidden="false" customHeight="false" outlineLevel="0" collapsed="false">
      <c r="A367" s="75" t="n">
        <f aca="false">A50</f>
        <v>38353</v>
      </c>
      <c r="B367" s="317" t="n">
        <f aca="false" t="array" ref="B367:B367">SUM(IF(MONTH(NymexData!$AO$12:$AO$250)&amp;YEAR(NymexData!$AO$12:$AO$250)=MONTH(A367)&amp;YEAR(A367),NymexData!$AP$12:$AP$250))</f>
        <v>7.548780169168</v>
      </c>
      <c r="C367" s="317" t="n">
        <f aca="false">BD367*BJ367*BI367</f>
        <v>0</v>
      </c>
      <c r="D367" s="319" t="n">
        <f aca="false">C367+B367</f>
        <v>7.548780169168</v>
      </c>
      <c r="E367" s="320" t="n">
        <f aca="false" t="array" ref="E367:E367">SUM(IF(MONTH(NymexData!$A$12:$A$250)&amp;YEAR(NymexData!$A$12:$A$250)=MONTH(A367)&amp;YEAR(A367),NymexData!$F$12:$F$250))</f>
        <v>5.468399264522</v>
      </c>
      <c r="F367" s="320" t="n">
        <f aca="false">G367-E367</f>
        <v>-0.0741934517256953</v>
      </c>
      <c r="G367" s="321" t="n">
        <f aca="false" t="array" ref="G367:G367">IF(NymexData!$H$12="",GasPosn!E367,SUM(IF(MONTH(NymexData!$H$12:$H$250)&amp;YEAR(NymexData!$H$12:$H$250)=MONTH(A367)&amp;YEAR(A367),NymexData!$L$12:$L$250)))</f>
        <v>5.39420581279631</v>
      </c>
      <c r="H367" s="76" t="n">
        <f aca="false">B367*10000*F367</f>
        <v>-5600.70057069052</v>
      </c>
      <c r="I367" s="82" t="n">
        <f aca="false">(((G367-Q367)*P367+(G367-S367)*R367+(G367-U367)*T367+(G367-W367)*V367+(G367-Y367)*X367+(G367-AA367)*Z367+(G367-AC367)*AB367+(G367-AE367)*AD367+(G367-AG367)*AF367+(G367-AI367)*AH367+(G367-AK367)*AJ367+(G367-AM367)*AL367+(G367-AO367)*AN367+(G367-AQ367)*AP367+(G367-AS367)*AR367+(G367-AU367)*AT367+(G367-AW367)*AV367+(G367-AY367)*AX367+(G367-BA367)*AZ367+(G367-BC367)*BB367)*BJ367*BI367)*10000</f>
        <v>0</v>
      </c>
      <c r="J367" s="82" t="n">
        <f aca="false">H367+I367</f>
        <v>-5600.70057069052</v>
      </c>
      <c r="O367" s="95" t="n">
        <f aca="false">A367</f>
        <v>38353</v>
      </c>
      <c r="BD367" s="100" t="n">
        <f aca="false">(P367+R367+T367+V367+X367+Z367+AB367+AD367+AF367+AH367+AJ367+AL367+AN367+AP367+AR367+AT367+AV367+AX367+AZ367+BB367)</f>
        <v>0</v>
      </c>
      <c r="BE367" s="322" t="n">
        <f aca="false">IF(AND(BD367=0,BH367=0),0,(ABS(P367)*Q367+ABS(R367)*S367+ABS(T367)*U367+ABS(V367)*W367+ABS(X367)*Y367+ABS(Z367)*AA367+ABS(AB367)*AC367+ABS(AD367)*AE367+ABS(AF367)*AG367+ABS(AH367)*AI367+ABS(AJ367)*AK367+ABS(AL367)*AM367+ABS(AN367)*AO367+ABS(AP367)*AQ367+ABS(AR367)*AS367+ABS(AT367)*AU367+ABS(AV367)*AW367+ABS(AX367)*AY367+ABS(AZ367)*BA367+ABS(BB367)*BC367)/BH367)</f>
        <v>0</v>
      </c>
      <c r="BG367" s="103" t="n">
        <f aca="false">O367</f>
        <v>38353</v>
      </c>
      <c r="BH367" s="323" t="n">
        <f aca="false">(ABS(P367)+ABS(R367)+ABS(T367)+ABS(V367)+ABS(X367)+ABS(Z367)+ABS(AB367)+ABS(AD367)+ABS(AF367)+ABS(AH367)+ABS(AJ367)+ABS(AL367)+ABS(AN367)+ABS(AP367)+ABS(AR367)+ABS(AT367)+ABS(AV367)+ABS(AX367)+ABS(AZ367)+ABS(BB367))</f>
        <v>0</v>
      </c>
      <c r="BI367" s="104" t="n">
        <f aca="false">VLOOKUP(GasPosn!A367,'Pricing Summary'!$AB$12:$AD$250,3)</f>
        <v>31</v>
      </c>
      <c r="BJ367" s="102" t="n">
        <f aca="false">VLOOKUP(A367,Interest!$AF$8:$AK$367,6)</f>
        <v>0.880579750985831</v>
      </c>
      <c r="BL367" s="0" t="n">
        <f aca="false">H367/VLOOKUP(A367,NymexData!$J$12:$K$128,2)</f>
        <v>-3559.49050782224</v>
      </c>
      <c r="BM367" s="0" t="n">
        <f aca="false">I367/VLOOKUP(A367,NymexData!$J$12:$K$128,2)</f>
        <v>0</v>
      </c>
      <c r="BO367" s="0" t="n">
        <f aca="false">BO50</f>
        <v>0.880579750985831</v>
      </c>
      <c r="BP367" s="0" t="n">
        <f aca="false">G367*BO367</f>
        <v>4.7500284113985</v>
      </c>
      <c r="BQ367" s="0" t="n">
        <f aca="false">IF(AND(A367&gt;=$B$320,A367&lt;=$B$321),1,0)</f>
        <v>1</v>
      </c>
      <c r="BR367" s="0" t="n">
        <f aca="false">BO367*BQ367</f>
        <v>0.880579750985831</v>
      </c>
      <c r="BS367" s="0" t="n">
        <f aca="false">BP367*BQ367</f>
        <v>4.7500284113985</v>
      </c>
    </row>
    <row r="368" customFormat="false" ht="18" hidden="false" customHeight="false" outlineLevel="0" collapsed="false">
      <c r="A368" s="112" t="n">
        <f aca="false">A51</f>
        <v>38384</v>
      </c>
      <c r="B368" s="324" t="n">
        <f aca="false" t="array" ref="B368:B368">SUM(IF(MONTH(NymexData!$AO$12:$AO$250)&amp;YEAR(NymexData!$AO$12:$AO$250)=MONTH(A368)&amp;YEAR(A368),NymexData!$AP$12:$AP$250))</f>
        <v>6.788404188132</v>
      </c>
      <c r="C368" s="325" t="n">
        <f aca="false">BD368*BJ368*BI368</f>
        <v>0</v>
      </c>
      <c r="D368" s="326" t="n">
        <f aca="false">C368+B368</f>
        <v>6.788404188132</v>
      </c>
      <c r="E368" s="327" t="n">
        <f aca="false" t="array" ref="E368:E368">SUM(IF(MONTH(NymexData!$A$12:$A$250)&amp;YEAR(NymexData!$A$12:$A$250)=MONTH(A368)&amp;YEAR(A368),NymexData!$F$12:$F$250))</f>
        <v>5.33735985526147</v>
      </c>
      <c r="F368" s="327" t="n">
        <f aca="false">G368-E368</f>
        <v>-0.0757662881788317</v>
      </c>
      <c r="G368" s="328" t="n">
        <f aca="false" t="array" ref="G368:G368">IF(NymexData!$H$12="",GasPosn!E368,SUM(IF(MONTH(NymexData!$H$12:$H$250)&amp;YEAR(NymexData!$H$12:$H$250)=MONTH(A368)&amp;YEAR(A368),NymexData!$L$12:$L$250)))</f>
        <v>5.26159356708264</v>
      </c>
      <c r="H368" s="115" t="n">
        <f aca="false">B368*10000*F368</f>
        <v>-5143.32187992397</v>
      </c>
      <c r="I368" s="119" t="n">
        <f aca="false">(((G368-Q368)*P368+(G368-S368)*R368+(G368-U368)*T368+(G368-W368)*V368+(G368-Y368)*X368+(G368-AA368)*Z368+(G368-AC368)*AB368+(G368-AE368)*AD368+(G368-AG368)*AF368+(G368-AI368)*AH368+(G368-AK368)*AJ368+(G368-AM368)*AL368+(G368-AO368)*AN368+(G368-AQ368)*AP368+(G368-AS368)*AR368+(G368-AU368)*AT368+(G368-AW368)*AV368+(G368-AY368)*AX368+(G368-BA368)*AZ368+(G368-BC368)*BB368)*BJ368*BI368)*10000</f>
        <v>0</v>
      </c>
      <c r="J368" s="119" t="n">
        <f aca="false">H368+I368</f>
        <v>-5143.32187992397</v>
      </c>
      <c r="O368" s="95" t="n">
        <f aca="false">A368</f>
        <v>38384</v>
      </c>
      <c r="BD368" s="100" t="n">
        <f aca="false">(P368+R368+T368+V368+X368+Z368+AB368+AD368+AF368+AH368+AJ368+AL368+AN368+AP368+AR368+AT368+AV368+AX368+AZ368+BB368)</f>
        <v>0</v>
      </c>
      <c r="BE368" s="322" t="n">
        <f aca="false">IF(AND(BD368=0,BH368=0),0,(ABS(P368)*Q368+ABS(R368)*S368+ABS(T368)*U368+ABS(V368)*W368+ABS(X368)*Y368+ABS(Z368)*AA368+ABS(AB368)*AC368+ABS(AD368)*AE368+ABS(AF368)*AG368+ABS(AH368)*AI368+ABS(AJ368)*AK368+ABS(AL368)*AM368+ABS(AN368)*AO368+ABS(AP368)*AQ368+ABS(AR368)*AS368+ABS(AT368)*AU368+ABS(AV368)*AW368+ABS(AX368)*AY368+ABS(AZ368)*BA368+ABS(BB368)*BC368)/BH368)</f>
        <v>0</v>
      </c>
      <c r="BG368" s="103" t="n">
        <f aca="false">O368</f>
        <v>38384</v>
      </c>
      <c r="BH368" s="323" t="n">
        <f aca="false">(ABS(P368)+ABS(R368)+ABS(T368)+ABS(V368)+ABS(X368)+ABS(Z368)+ABS(AB368)+ABS(AD368)+ABS(AF368)+ABS(AH368)+ABS(AJ368)+ABS(AL368)+ABS(AN368)+ABS(AP368)+ABS(AR368)+ABS(AT368)+ABS(AV368)+ABS(AX368)+ABS(AZ368)+ABS(BB368))</f>
        <v>0</v>
      </c>
      <c r="BI368" s="104" t="n">
        <f aca="false">VLOOKUP(GasPosn!A368,'Pricing Summary'!$AB$12:$AD$250,3)</f>
        <v>28</v>
      </c>
      <c r="BJ368" s="102" t="n">
        <f aca="false">VLOOKUP(A368,Interest!$AF$8:$AK$367,6)</f>
        <v>0.87672383052938</v>
      </c>
      <c r="BL368" s="0" t="n">
        <f aca="false">H368/VLOOKUP(A368,NymexData!$J$12:$K$128,2)</f>
        <v>-3269.65968973455</v>
      </c>
      <c r="BM368" s="0" t="n">
        <f aca="false">I368/VLOOKUP(A368,NymexData!$J$12:$K$128,2)</f>
        <v>0</v>
      </c>
      <c r="BO368" s="0" t="n">
        <f aca="false">BO51</f>
        <v>0.87672383052938</v>
      </c>
      <c r="BP368" s="0" t="n">
        <f aca="false">G368*BO368</f>
        <v>4.61296446682143</v>
      </c>
      <c r="BQ368" s="0" t="n">
        <f aca="false">IF(AND(A368&gt;=$B$320,A368&lt;=$B$321),1,0)</f>
        <v>1</v>
      </c>
      <c r="BR368" s="0" t="n">
        <f aca="false">BO368*BQ368</f>
        <v>0.87672383052938</v>
      </c>
      <c r="BS368" s="0" t="n">
        <f aca="false">BP368*BQ368</f>
        <v>4.61296446682143</v>
      </c>
    </row>
    <row r="369" customFormat="false" ht="18" hidden="false" customHeight="false" outlineLevel="0" collapsed="false">
      <c r="A369" s="75" t="n">
        <f aca="false">A52</f>
        <v>38412</v>
      </c>
      <c r="B369" s="317" t="n">
        <f aca="false" t="array" ref="B369:B369">SUM(IF(MONTH(NymexData!$AO$12:$AO$250)&amp;YEAR(NymexData!$AO$12:$AO$250)=MONTH(A369)&amp;YEAR(A369),NymexData!$AP$12:$AP$250))</f>
        <v>7.485633591282</v>
      </c>
      <c r="C369" s="317" t="n">
        <f aca="false">BD369*BJ369*BI369</f>
        <v>0</v>
      </c>
      <c r="D369" s="319" t="n">
        <f aca="false">C369+B369</f>
        <v>7.485633591282</v>
      </c>
      <c r="E369" s="320" t="n">
        <f aca="false" t="array" ref="E369:E369">SUM(IF(MONTH(NymexData!$A$12:$A$250)&amp;YEAR(NymexData!$A$12:$A$250)=MONTH(A369)&amp;YEAR(A369),NymexData!$F$12:$F$250))</f>
        <v>5.12910303445396</v>
      </c>
      <c r="F369" s="320" t="n">
        <f aca="false">G369-E369</f>
        <v>-0.0760043583114438</v>
      </c>
      <c r="G369" s="321" t="n">
        <f aca="false" t="array" ref="G369:G369">IF(NymexData!$H$12="",GasPosn!E369,SUM(IF(MONTH(NymexData!$H$12:$H$250)&amp;YEAR(NymexData!$H$12:$H$250)=MONTH(A369)&amp;YEAR(A369),NymexData!$L$12:$L$250)))</f>
        <v>5.05309867614252</v>
      </c>
      <c r="H369" s="76" t="n">
        <f aca="false">B369*10000*F369</f>
        <v>-5689.40777659977</v>
      </c>
      <c r="I369" s="82" t="n">
        <f aca="false">(((G369-Q369)*P369+(G369-S369)*R369+(G369-U369)*T369+(G369-W369)*V369+(G369-Y369)*X369+(G369-AA369)*Z369+(G369-AC369)*AB369+(G369-AE369)*AD369+(G369-AG369)*AF369+(G369-AI369)*AH369+(G369-AK369)*AJ369+(G369-AM369)*AL369+(G369-AO369)*AN369+(G369-AQ369)*AP369+(G369-AS369)*AR369+(G369-AU369)*AT369+(G369-AW369)*AV369+(G369-AY369)*AX369+(G369-BA369)*AZ369+(G369-BC369)*BB369)*BJ369*BI369)*10000</f>
        <v>0</v>
      </c>
      <c r="J369" s="82" t="n">
        <f aca="false">H369+I369</f>
        <v>-5689.40777659977</v>
      </c>
      <c r="O369" s="95" t="n">
        <f aca="false">A369</f>
        <v>38412</v>
      </c>
      <c r="BD369" s="100" t="n">
        <f aca="false">(P369+R369+T369+V369+X369+Z369+AB369+AD369+AF369+AH369+AJ369+AL369+AN369+AP369+AR369+AT369+AV369+AX369+AZ369+BB369)</f>
        <v>0</v>
      </c>
      <c r="BE369" s="322" t="n">
        <f aca="false">IF(AND(BD369=0,BH369=0),0,(ABS(P369)*Q369+ABS(R369)*S369+ABS(T369)*U369+ABS(V369)*W369+ABS(X369)*Y369+ABS(Z369)*AA369+ABS(AB369)*AC369+ABS(AD369)*AE369+ABS(AF369)*AG369+ABS(AH369)*AI369+ABS(AJ369)*AK369+ABS(AL369)*AM369+ABS(AN369)*AO369+ABS(AP369)*AQ369+ABS(AR369)*AS369+ABS(AT369)*AU369+ABS(AV369)*AW369+ABS(AX369)*AY369+ABS(AZ369)*BA369+ABS(BB369)*BC369)/BH369)</f>
        <v>0</v>
      </c>
      <c r="BG369" s="103" t="n">
        <f aca="false">O369</f>
        <v>38412</v>
      </c>
      <c r="BH369" s="323" t="n">
        <f aca="false">(ABS(P369)+ABS(R369)+ABS(T369)+ABS(V369)+ABS(X369)+ABS(Z369)+ABS(AB369)+ABS(AD369)+ABS(AF369)+ABS(AH369)+ABS(AJ369)+ABS(AL369)+ABS(AN369)+ABS(AP369)+ABS(AR369)+ABS(AT369)+ABS(AV369)+ABS(AX369)+ABS(AZ369)+ABS(BB369))</f>
        <v>0</v>
      </c>
      <c r="BI369" s="104" t="n">
        <f aca="false">VLOOKUP(GasPosn!A369,'Pricing Summary'!$AB$12:$AD$250,3)</f>
        <v>31</v>
      </c>
      <c r="BJ369" s="102" t="n">
        <f aca="false">VLOOKUP(A369,Interest!$AF$8:$AK$367,6)</f>
        <v>0.872667587646565</v>
      </c>
      <c r="BL369" s="0" t="n">
        <f aca="false">H369/VLOOKUP(A369,NymexData!$J$12:$K$128,2)</f>
        <v>-3617.70766027321</v>
      </c>
      <c r="BM369" s="0" t="n">
        <f aca="false">I369/VLOOKUP(A369,NymexData!$J$12:$K$128,2)</f>
        <v>0</v>
      </c>
      <c r="BO369" s="0" t="n">
        <f aca="false">BO52</f>
        <v>0.872667587646565</v>
      </c>
      <c r="BP369" s="0" t="n">
        <f aca="false">G369*BO369</f>
        <v>4.40967543184934</v>
      </c>
      <c r="BQ369" s="0" t="n">
        <f aca="false">IF(AND(A369&gt;=$B$320,A369&lt;=$B$321),1,0)</f>
        <v>1</v>
      </c>
      <c r="BR369" s="0" t="n">
        <f aca="false">BO369*BQ369</f>
        <v>0.872667587646565</v>
      </c>
      <c r="BS369" s="0" t="n">
        <f aca="false">BP369*BQ369</f>
        <v>4.40967543184934</v>
      </c>
    </row>
    <row r="370" customFormat="false" ht="18" hidden="false" customHeight="false" outlineLevel="0" collapsed="false">
      <c r="A370" s="112" t="n">
        <f aca="false">A53</f>
        <v>38443</v>
      </c>
      <c r="B370" s="324" t="n">
        <f aca="false" t="array" ref="B370:B370">SUM(IF(MONTH(NymexData!$AO$12:$AO$250)&amp;YEAR(NymexData!$AO$12:$AO$250)=MONTH(A370)&amp;YEAR(A370),NymexData!$AP$12:$AP$250))</f>
        <v>7.211647993508</v>
      </c>
      <c r="C370" s="325" t="n">
        <f aca="false">BD370*BJ370*BI370</f>
        <v>0</v>
      </c>
      <c r="D370" s="326" t="n">
        <f aca="false">C370+B370</f>
        <v>7.211647993508</v>
      </c>
      <c r="E370" s="327" t="n">
        <f aca="false" t="array" ref="E370:E370">SUM(IF(MONTH(NymexData!$A$12:$A$250)&amp;YEAR(NymexData!$A$12:$A$250)=MONTH(A370)&amp;YEAR(A370),NymexData!$F$12:$F$250))</f>
        <v>4.82454054642228</v>
      </c>
      <c r="F370" s="327" t="n">
        <f aca="false">G370-E370</f>
        <v>-0.0764200299740478</v>
      </c>
      <c r="G370" s="328" t="n">
        <f aca="false" t="array" ref="G370:G370">IF(NymexData!$H$12="",GasPosn!E370,SUM(IF(MONTH(NymexData!$H$12:$H$250)&amp;YEAR(NymexData!$H$12:$H$250)=MONTH(A370)&amp;YEAR(A370),NymexData!$L$12:$L$250)))</f>
        <v>4.74812051644823</v>
      </c>
      <c r="H370" s="115" t="n">
        <f aca="false">B370*10000*F370</f>
        <v>-5511.14355826163</v>
      </c>
      <c r="I370" s="119" t="n">
        <f aca="false">(((G370-Q370)*P370+(G370-S370)*R370+(G370-U370)*T370+(G370-W370)*V370+(G370-Y370)*X370+(G370-AA370)*Z370+(G370-AC370)*AB370+(G370-AE370)*AD370+(G370-AG370)*AF370+(G370-AI370)*AH370+(G370-AK370)*AJ370+(G370-AM370)*AL370+(G370-AO370)*AN370+(G370-AQ370)*AP370+(G370-AS370)*AR370+(G370-AU370)*AT370+(G370-AW370)*AV370+(G370-AY370)*AX370+(G370-BA370)*AZ370+(G370-BC370)*BB370)*BJ370*BI370)*10000</f>
        <v>0</v>
      </c>
      <c r="J370" s="119" t="n">
        <f aca="false">H370+I370</f>
        <v>-5511.14355826163</v>
      </c>
      <c r="O370" s="95" t="n">
        <f aca="false">A370</f>
        <v>38443</v>
      </c>
      <c r="BD370" s="100" t="n">
        <f aca="false">(P370+R370+T370+V370+X370+Z370+AB370+AD370+AF370+AH370+AJ370+AL370+AN370+AP370+AR370+AT370+AV370+AX370+AZ370+BB370)</f>
        <v>0</v>
      </c>
      <c r="BE370" s="322" t="n">
        <f aca="false">IF(AND(BD370=0,BH370=0),0,(ABS(P370)*Q370+ABS(R370)*S370+ABS(T370)*U370+ABS(V370)*W370+ABS(X370)*Y370+ABS(Z370)*AA370+ABS(AB370)*AC370+ABS(AD370)*AE370+ABS(AF370)*AG370+ABS(AH370)*AI370+ABS(AJ370)*AK370+ABS(AL370)*AM370+ABS(AN370)*AO370+ABS(AP370)*AQ370+ABS(AR370)*AS370+ABS(AT370)*AU370+ABS(AV370)*AW370+ABS(AX370)*AY370+ABS(AZ370)*BA370+ABS(BB370)*BC370)/BH370)</f>
        <v>0</v>
      </c>
      <c r="BG370" s="103" t="n">
        <f aca="false">O370</f>
        <v>38443</v>
      </c>
      <c r="BH370" s="323" t="n">
        <f aca="false">(ABS(P370)+ABS(R370)+ABS(T370)+ABS(V370)+ABS(X370)+ABS(Z370)+ABS(AB370)+ABS(AD370)+ABS(AF370)+ABS(AH370)+ABS(AJ370)+ABS(AL370)+ABS(AN370)+ABS(AP370)+ABS(AR370)+ABS(AT370)+ABS(AV370)+ABS(AX370)+ABS(AZ370)+ABS(BB370))</f>
        <v>0</v>
      </c>
      <c r="BI370" s="104" t="n">
        <f aca="false">VLOOKUP(GasPosn!A370,'Pricing Summary'!$AB$12:$AD$250,3)</f>
        <v>30</v>
      </c>
      <c r="BJ370" s="102" t="n">
        <f aca="false">VLOOKUP(A370,Interest!$AF$8:$AK$367,6)</f>
        <v>0.868631738927956</v>
      </c>
      <c r="BL370" s="0" t="n">
        <f aca="false">H370/VLOOKUP(A370,NymexData!$J$12:$K$128,2)</f>
        <v>-3505.0179802821</v>
      </c>
      <c r="BM370" s="0" t="n">
        <f aca="false">I370/VLOOKUP(A370,NymexData!$J$12:$K$128,2)</f>
        <v>0</v>
      </c>
      <c r="BO370" s="0" t="n">
        <f aca="false">BO53</f>
        <v>0.868631738927956</v>
      </c>
      <c r="BP370" s="0" t="n">
        <f aca="false">G370*BO370</f>
        <v>4.12436818084193</v>
      </c>
      <c r="BQ370" s="0" t="n">
        <f aca="false">IF(AND(A370&gt;=$B$320,A370&lt;=$B$321),1,0)</f>
        <v>1</v>
      </c>
      <c r="BR370" s="0" t="n">
        <f aca="false">BO370*BQ370</f>
        <v>0.868631738927956</v>
      </c>
      <c r="BS370" s="0" t="n">
        <f aca="false">BP370*BQ370</f>
        <v>4.12436818084193</v>
      </c>
    </row>
    <row r="371" customFormat="false" ht="18" hidden="false" customHeight="false" outlineLevel="0" collapsed="false">
      <c r="A371" s="75" t="n">
        <f aca="false">A54</f>
        <v>38473</v>
      </c>
      <c r="B371" s="317" t="n">
        <f aca="false" t="array" ref="B371:B371">SUM(IF(MONTH(NymexData!$AO$12:$AO$250)&amp;YEAR(NymexData!$AO$12:$AO$250)=MONTH(A371)&amp;YEAR(A371),NymexData!$AP$12:$AP$250))</f>
        <v>7.419254655232</v>
      </c>
      <c r="C371" s="317" t="n">
        <f aca="false">BD371*BJ371*BI371</f>
        <v>0</v>
      </c>
      <c r="D371" s="319" t="n">
        <f aca="false">C371+B371</f>
        <v>7.419254655232</v>
      </c>
      <c r="E371" s="320" t="n">
        <f aca="false" t="array" ref="E371:E371">SUM(IF(MONTH(NymexData!$A$12:$A$250)&amp;YEAR(NymexData!$A$12:$A$250)=MONTH(A371)&amp;YEAR(A371),NymexData!$F$12:$F$250))</f>
        <v>4.83138367499136</v>
      </c>
      <c r="F371" s="320" t="n">
        <f aca="false">G371-E371</f>
        <v>-0.0763058643961783</v>
      </c>
      <c r="G371" s="321" t="n">
        <f aca="false" t="array" ref="G371:G371">IF(NymexData!$H$12="",GasPosn!E371,SUM(IF(MONTH(NymexData!$H$12:$H$250)&amp;YEAR(NymexData!$H$12:$H$250)=MONTH(A371)&amp;YEAR(A371),NymexData!$L$12:$L$250)))</f>
        <v>4.75507781059518</v>
      </c>
      <c r="H371" s="76" t="n">
        <f aca="false">B371*10000*F371</f>
        <v>-5661.32639642847</v>
      </c>
      <c r="I371" s="82" t="n">
        <f aca="false">(((G371-Q371)*P371+(G371-S371)*R371+(G371-U371)*T371+(G371-W371)*V371+(G371-Y371)*X371+(G371-AA371)*Z371+(G371-AC371)*AB371+(G371-AE371)*AD371+(G371-AG371)*AF371+(G371-AI371)*AH371+(G371-AK371)*AJ371+(G371-AM371)*AL371+(G371-AO371)*AN371+(G371-AQ371)*AP371+(G371-AS371)*AR371+(G371-AU371)*AT371+(G371-AW371)*AV371+(G371-AY371)*AX371+(G371-BA371)*AZ371+(G371-BC371)*BB371)*BJ371*BI371)*10000</f>
        <v>0</v>
      </c>
      <c r="J371" s="82" t="n">
        <f aca="false">H371+I371</f>
        <v>-5661.32639642847</v>
      </c>
      <c r="O371" s="95" t="n">
        <f aca="false">A371</f>
        <v>38473</v>
      </c>
      <c r="BD371" s="100" t="n">
        <f aca="false">(P371+R371+T371+V371+X371+Z371+AB371+AD371+AF371+AH371+AJ371+AL371+AN371+AP371+AR371+AT371+AV371+AX371+AZ371+BB371)</f>
        <v>0</v>
      </c>
      <c r="BE371" s="322" t="n">
        <f aca="false">IF(AND(BD371=0,BH371=0),0,(ABS(P371)*Q371+ABS(R371)*S371+ABS(T371)*U371+ABS(V371)*W371+ABS(X371)*Y371+ABS(Z371)*AA371+ABS(AB371)*AC371+ABS(AD371)*AE371+ABS(AF371)*AG371+ABS(AH371)*AI371+ABS(AJ371)*AK371+ABS(AL371)*AM371+ABS(AN371)*AO371+ABS(AP371)*AQ371+ABS(AR371)*AS371+ABS(AT371)*AU371+ABS(AV371)*AW371+ABS(AX371)*AY371+ABS(AZ371)*BA371+ABS(BB371)*BC371)/BH371)</f>
        <v>0</v>
      </c>
      <c r="BG371" s="103" t="n">
        <f aca="false">O371</f>
        <v>38473</v>
      </c>
      <c r="BH371" s="323" t="n">
        <f aca="false">(ABS(P371)+ABS(R371)+ABS(T371)+ABS(V371)+ABS(X371)+ABS(Z371)+ABS(AB371)+ABS(AD371)+ABS(AF371)+ABS(AH371)+ABS(AJ371)+ABS(AL371)+ABS(AN371)+ABS(AP371)+ABS(AR371)+ABS(AT371)+ABS(AV371)+ABS(AX371)+ABS(AZ371)+ABS(BB371))</f>
        <v>0</v>
      </c>
      <c r="BI371" s="104" t="n">
        <f aca="false">VLOOKUP(GasPosn!A371,'Pricing Summary'!$AB$12:$AD$250,3)</f>
        <v>31</v>
      </c>
      <c r="BJ371" s="102" t="n">
        <f aca="false">VLOOKUP(A371,Interest!$AF$8:$AK$367,6)</f>
        <v>0.864580900722143</v>
      </c>
      <c r="BL371" s="0" t="n">
        <f aca="false">H371/VLOOKUP(A371,NymexData!$J$12:$K$128,2)</f>
        <v>-3600.9066169976</v>
      </c>
      <c r="BM371" s="0" t="n">
        <f aca="false">I371/VLOOKUP(A371,NymexData!$J$12:$K$128,2)</f>
        <v>0</v>
      </c>
      <c r="BO371" s="0" t="n">
        <f aca="false">BO54</f>
        <v>0.864580900722143</v>
      </c>
      <c r="BP371" s="0" t="n">
        <f aca="false">G371*BO371</f>
        <v>4.11114945648826</v>
      </c>
      <c r="BQ371" s="0" t="n">
        <f aca="false">IF(AND(A371&gt;=$B$320,A371&lt;=$B$321),1,0)</f>
        <v>1</v>
      </c>
      <c r="BR371" s="0" t="n">
        <f aca="false">BO371*BQ371</f>
        <v>0.864580900722143</v>
      </c>
      <c r="BS371" s="0" t="n">
        <f aca="false">BP371*BQ371</f>
        <v>4.11114945648826</v>
      </c>
    </row>
    <row r="372" customFormat="false" ht="18" hidden="false" customHeight="false" outlineLevel="0" collapsed="false">
      <c r="A372" s="112" t="n">
        <f aca="false">A55</f>
        <v>38504</v>
      </c>
      <c r="B372" s="324" t="n">
        <f aca="false" t="array" ref="B372:B372">SUM(IF(MONTH(NymexData!$AO$12:$AO$250)&amp;YEAR(NymexData!$AO$12:$AO$250)=MONTH(A372)&amp;YEAR(A372),NymexData!$AP$12:$AP$250))</f>
        <v>7.146879208532</v>
      </c>
      <c r="C372" s="325" t="n">
        <f aca="false">BD372*BJ372*BI372</f>
        <v>0</v>
      </c>
      <c r="D372" s="326" t="n">
        <f aca="false">C372+B372</f>
        <v>7.146879208532</v>
      </c>
      <c r="E372" s="327" t="n">
        <f aca="false" t="array" ref="E372:E372">SUM(IF(MONTH(NymexData!$A$12:$A$250)&amp;YEAR(NymexData!$A$12:$A$250)=MONTH(A372)&amp;YEAR(A372),NymexData!$F$12:$F$250))</f>
        <v>4.88726750527546</v>
      </c>
      <c r="F372" s="327" t="n">
        <f aca="false">G372-E372</f>
        <v>-0.0761027038649766</v>
      </c>
      <c r="G372" s="328" t="n">
        <f aca="false" t="array" ref="G372:G372">IF(NymexData!$H$12="",GasPosn!E372,SUM(IF(MONTH(NymexData!$H$12:$H$250)&amp;YEAR(NymexData!$H$12:$H$250)=MONTH(A372)&amp;YEAR(A372),NymexData!$L$12:$L$250)))</f>
        <v>4.81116480141048</v>
      </c>
      <c r="H372" s="115" t="n">
        <f aca="false">B372*10000*F372</f>
        <v>-5438.9683196567</v>
      </c>
      <c r="I372" s="119" t="n">
        <f aca="false">(((G372-Q372)*P372+(G372-S372)*R372+(G372-U372)*T372+(G372-W372)*V372+(G372-Y372)*X372+(G372-AA372)*Z372+(G372-AC372)*AB372+(G372-AE372)*AD372+(G372-AG372)*AF372+(G372-AI372)*AH372+(G372-AK372)*AJ372+(G372-AM372)*AL372+(G372-AO372)*AN372+(G372-AQ372)*AP372+(G372-AS372)*AR372+(G372-AU372)*AT372+(G372-AW372)*AV372+(G372-AY372)*AX372+(G372-BA372)*AZ372+(G372-BC372)*BB372)*BJ372*BI372)*10000</f>
        <v>0</v>
      </c>
      <c r="J372" s="119" t="n">
        <f aca="false">H372+I372</f>
        <v>-5438.9683196567</v>
      </c>
      <c r="O372" s="95" t="n">
        <f aca="false">A372</f>
        <v>38504</v>
      </c>
      <c r="BD372" s="100" t="n">
        <f aca="false">(P372+R372+T372+V372+X372+Z372+AB372+AD372+AF372+AH372+AJ372+AL372+AN372+AP372+AR372+AT372+AV372+AX372+AZ372+BB372)</f>
        <v>0</v>
      </c>
      <c r="BE372" s="322" t="n">
        <f aca="false">IF(AND(BD372=0,BH372=0),0,(ABS(P372)*Q372+ABS(R372)*S372+ABS(T372)*U372+ABS(V372)*W372+ABS(X372)*Y372+ABS(Z372)*AA372+ABS(AB372)*AC372+ABS(AD372)*AE372+ABS(AF372)*AG372+ABS(AH372)*AI372+ABS(AJ372)*AK372+ABS(AL372)*AM372+ABS(AN372)*AO372+ABS(AP372)*AQ372+ABS(AR372)*AS372+ABS(AT372)*AU372+ABS(AV372)*AW372+ABS(AX372)*AY372+ABS(AZ372)*BA372+ABS(BB372)*BC372)/BH372)</f>
        <v>0</v>
      </c>
      <c r="BG372" s="103" t="n">
        <f aca="false">O372</f>
        <v>38504</v>
      </c>
      <c r="BH372" s="323" t="n">
        <f aca="false">(ABS(P372)+ABS(R372)+ABS(T372)+ABS(V372)+ABS(X372)+ABS(Z372)+ABS(AB372)+ABS(AD372)+ABS(AF372)+ABS(AH372)+ABS(AJ372)+ABS(AL372)+ABS(AN372)+ABS(AP372)+ABS(AR372)+ABS(AT372)+ABS(AV372)+ABS(AX372)+ABS(AZ372)+ABS(BB372))</f>
        <v>0</v>
      </c>
      <c r="BI372" s="104" t="n">
        <f aca="false">VLOOKUP(GasPosn!A372,'Pricing Summary'!$AB$12:$AD$250,3)</f>
        <v>30</v>
      </c>
      <c r="BJ372" s="102" t="n">
        <f aca="false">VLOOKUP(A372,Interest!$AF$8:$AK$367,6)</f>
        <v>0.860555281711277</v>
      </c>
      <c r="BL372" s="0" t="n">
        <f aca="false">H372/VLOOKUP(A372,NymexData!$J$12:$K$128,2)</f>
        <v>-3459.86241625983</v>
      </c>
      <c r="BM372" s="0" t="n">
        <f aca="false">I372/VLOOKUP(A372,NymexData!$J$12:$K$128,2)</f>
        <v>0</v>
      </c>
      <c r="BO372" s="0" t="n">
        <f aca="false">BO55</f>
        <v>0.860555281711277</v>
      </c>
      <c r="BP372" s="0" t="n">
        <f aca="false">G372*BO372</f>
        <v>4.14027328103718</v>
      </c>
      <c r="BQ372" s="0" t="n">
        <f aca="false">IF(AND(A372&gt;=$B$320,A372&lt;=$B$321),1,0)</f>
        <v>1</v>
      </c>
      <c r="BR372" s="0" t="n">
        <f aca="false">BO372*BQ372</f>
        <v>0.860555281711277</v>
      </c>
      <c r="BS372" s="0" t="n">
        <f aca="false">BP372*BQ372</f>
        <v>4.14027328103718</v>
      </c>
    </row>
    <row r="373" customFormat="false" ht="18" hidden="false" customHeight="false" outlineLevel="0" collapsed="false">
      <c r="A373" s="75" t="n">
        <f aca="false">A56</f>
        <v>38534</v>
      </c>
      <c r="B373" s="317" t="n">
        <f aca="false" t="array" ref="B373:B373">SUM(IF(MONTH(NymexData!$AO$12:$AO$250)&amp;YEAR(NymexData!$AO$12:$AO$250)=MONTH(A373)&amp;YEAR(A373),NymexData!$AP$12:$AP$250))</f>
        <v>7.351805795152</v>
      </c>
      <c r="C373" s="318" t="n">
        <f aca="false">BD373*BJ373*BI373</f>
        <v>0</v>
      </c>
      <c r="D373" s="319" t="n">
        <f aca="false">C373+B373</f>
        <v>7.351805795152</v>
      </c>
      <c r="E373" s="320" t="n">
        <f aca="false" t="array" ref="E373:E373">SUM(IF(MONTH(NymexData!$A$12:$A$250)&amp;YEAR(NymexData!$A$12:$A$250)=MONTH(A373)&amp;YEAR(A373),NymexData!$F$12:$F$250))</f>
        <v>4.95379863282088</v>
      </c>
      <c r="F373" s="320" t="n">
        <f aca="false">G373-E373</f>
        <v>-0.0758796306950229</v>
      </c>
      <c r="G373" s="321" t="n">
        <f aca="false" t="array" ref="G373:G373">IF(NymexData!$H$12="",GasPosn!E373,SUM(IF(MONTH(NymexData!$H$12:$H$250)&amp;YEAR(NymexData!$H$12:$H$250)=MONTH(A373)&amp;YEAR(A373),NymexData!$L$12:$L$250)))</f>
        <v>4.87791900212585</v>
      </c>
      <c r="H373" s="76" t="n">
        <f aca="false">B373*10000*F373</f>
        <v>-5578.52308677663</v>
      </c>
      <c r="I373" s="82" t="n">
        <f aca="false">(((G373-Q373)*P373+(G373-S373)*R373+(G373-U373)*T373+(G373-W373)*V373+(G373-Y373)*X373+(G373-AA373)*Z373+(G373-AC373)*AB373+(G373-AE373)*AD373+(G373-AG373)*AF373+(G373-AI373)*AH373+(G373-AK373)*AJ373+(G373-AM373)*AL373+(G373-AO373)*AN373+(G373-AQ373)*AP373+(G373-AS373)*AR373+(G373-AU373)*AT373+(G373-AW373)*AV373+(G373-AY373)*AX373+(G373-BA373)*AZ373+(G373-BC373)*BB373)*BJ373*BI373)*10000</f>
        <v>0</v>
      </c>
      <c r="J373" s="82" t="n">
        <f aca="false">H373+I373</f>
        <v>-5578.52308677663</v>
      </c>
      <c r="O373" s="95" t="n">
        <f aca="false">A373</f>
        <v>38534</v>
      </c>
      <c r="BD373" s="100" t="n">
        <f aca="false">(P373+R373+T373+V373+X373+Z373+AB373+AD373+AF373+AH373+AJ373+AL373+AN373+AP373+AR373+AT373+AV373+AX373+AZ373+BB373)</f>
        <v>0</v>
      </c>
      <c r="BE373" s="322" t="n">
        <f aca="false">IF(AND(BD373=0,BH373=0),0,(ABS(P373)*Q373+ABS(R373)*S373+ABS(T373)*U373+ABS(V373)*W373+ABS(X373)*Y373+ABS(Z373)*AA373+ABS(AB373)*AC373+ABS(AD373)*AE373+ABS(AF373)*AG373+ABS(AH373)*AI373+ABS(AJ373)*AK373+ABS(AL373)*AM373+ABS(AN373)*AO373+ABS(AP373)*AQ373+ABS(AR373)*AS373+ABS(AT373)*AU373+ABS(AV373)*AW373+ABS(AX373)*AY373+ABS(AZ373)*BA373+ABS(BB373)*BC373)/BH373)</f>
        <v>0</v>
      </c>
      <c r="BG373" s="103" t="n">
        <f aca="false">O373</f>
        <v>38534</v>
      </c>
      <c r="BH373" s="323" t="n">
        <f aca="false">(ABS(P373)+ABS(R373)+ABS(T373)+ABS(V373)+ABS(X373)+ABS(Z373)+ABS(AB373)+ABS(AD373)+ABS(AF373)+ABS(AH373)+ABS(AJ373)+ABS(AL373)+ABS(AN373)+ABS(AP373)+ABS(AR373)+ABS(AT373)+ABS(AV373)+ABS(AX373)+ABS(AZ373)+ABS(BB373))</f>
        <v>0</v>
      </c>
      <c r="BI373" s="104" t="n">
        <f aca="false">VLOOKUP(GasPosn!A373,'Pricing Summary'!$AB$12:$AD$250,3)</f>
        <v>31</v>
      </c>
      <c r="BJ373" s="102" t="n">
        <f aca="false">VLOOKUP(A373,Interest!$AF$8:$AK$367,6)</f>
        <v>0.856483326701183</v>
      </c>
      <c r="BL373" s="0" t="n">
        <f aca="false">H373/VLOOKUP(A373,NymexData!$J$12:$K$128,2)</f>
        <v>-3548.85139172166</v>
      </c>
      <c r="BM373" s="0" t="n">
        <f aca="false">I373/VLOOKUP(A373,NymexData!$J$12:$K$128,2)</f>
        <v>0</v>
      </c>
      <c r="BO373" s="0" t="n">
        <f aca="false">BO56</f>
        <v>0.856483326701183</v>
      </c>
      <c r="BP373" s="0" t="n">
        <f aca="false">G373*BO373</f>
        <v>4.17785629431966</v>
      </c>
      <c r="BQ373" s="0" t="n">
        <f aca="false">IF(AND(A373&gt;=$B$320,A373&lt;=$B$321),1,0)</f>
        <v>1</v>
      </c>
      <c r="BR373" s="0" t="n">
        <f aca="false">BO373*BQ373</f>
        <v>0.856483326701183</v>
      </c>
      <c r="BS373" s="0" t="n">
        <f aca="false">BP373*BQ373</f>
        <v>4.17785629431966</v>
      </c>
    </row>
    <row r="374" customFormat="false" ht="18" hidden="false" customHeight="false" outlineLevel="0" collapsed="false">
      <c r="A374" s="112" t="n">
        <f aca="false">A57</f>
        <v>38565</v>
      </c>
      <c r="B374" s="324" t="n">
        <f aca="false" t="array" ref="B374:B374">SUM(IF(MONTH(NymexData!$AO$12:$AO$250)&amp;YEAR(NymexData!$AO$12:$AO$250)=MONTH(A374)&amp;YEAR(A374),NymexData!$AP$12:$AP$250))</f>
        <v>7.317131555776</v>
      </c>
      <c r="C374" s="325" t="n">
        <f aca="false">BD374*BJ374*BI374</f>
        <v>0</v>
      </c>
      <c r="D374" s="326" t="n">
        <f aca="false">C374+B374</f>
        <v>7.317131555776</v>
      </c>
      <c r="E374" s="327" t="n">
        <f aca="false" t="array" ref="E374:E374">SUM(IF(MONTH(NymexData!$A$12:$A$250)&amp;YEAR(NymexData!$A$12:$A$250)=MONTH(A374)&amp;YEAR(A374),NymexData!$F$12:$F$250))</f>
        <v>5.01013735244917</v>
      </c>
      <c r="F374" s="327" t="n">
        <f aca="false">G374-E374</f>
        <v>-0.0756674416984762</v>
      </c>
      <c r="G374" s="328" t="n">
        <f aca="false" t="array" ref="G374:G374">IF(NymexData!$H$12="",GasPosn!E374,SUM(IF(MONTH(NymexData!$H$12:$H$250)&amp;YEAR(NymexData!$H$12:$H$250)=MONTH(A374)&amp;YEAR(A374),NymexData!$L$12:$L$250)))</f>
        <v>4.93446991075069</v>
      </c>
      <c r="H374" s="115" t="n">
        <f aca="false">B374*10000*F374</f>
        <v>-5536.68625396761</v>
      </c>
      <c r="I374" s="119" t="n">
        <f aca="false">(((G374-Q374)*P374+(G374-S374)*R374+(G374-U374)*T374+(G374-W374)*V374+(G374-Y374)*X374+(G374-AA374)*Z374+(G374-AC374)*AB374+(G374-AE374)*AD374+(G374-AG374)*AF374+(G374-AI374)*AH374+(G374-AK374)*AJ374+(G374-AM374)*AL374+(G374-AO374)*AN374+(G374-AQ374)*AP374+(G374-AS374)*AR374+(G374-AU374)*AT374+(G374-AW374)*AV374+(G374-AY374)*AX374+(G374-BA374)*AZ374+(G374-BC374)*BB374)*BJ374*BI374)*10000</f>
        <v>0</v>
      </c>
      <c r="J374" s="119" t="n">
        <f aca="false">H374+I374</f>
        <v>-5536.68625396761</v>
      </c>
      <c r="O374" s="95" t="n">
        <f aca="false">A374</f>
        <v>38565</v>
      </c>
      <c r="BD374" s="100" t="n">
        <f aca="false">(P374+R374+T374+V374+X374+Z374+AB374+AD374+AF374+AH374+AJ374+AL374+AN374+AP374+AR374+AT374+AV374+AX374+AZ374+BB374)</f>
        <v>0</v>
      </c>
      <c r="BE374" s="322" t="n">
        <f aca="false">IF(AND(BD374=0,BH374=0),0,(ABS(P374)*Q374+ABS(R374)*S374+ABS(T374)*U374+ABS(V374)*W374+ABS(X374)*Y374+ABS(Z374)*AA374+ABS(AB374)*AC374+ABS(AD374)*AE374+ABS(AF374)*AG374+ABS(AH374)*AI374+ABS(AJ374)*AK374+ABS(AL374)*AM374+ABS(AN374)*AO374+ABS(AP374)*AQ374+ABS(AR374)*AS374+ABS(AT374)*AU374+ABS(AV374)*AW374+ABS(AX374)*AY374+ABS(AZ374)*BA374+ABS(BB374)*BC374)/BH374)</f>
        <v>0</v>
      </c>
      <c r="BG374" s="103" t="n">
        <f aca="false">O374</f>
        <v>38565</v>
      </c>
      <c r="BH374" s="323" t="n">
        <f aca="false">(ABS(P374)+ABS(R374)+ABS(T374)+ABS(V374)+ABS(X374)+ABS(Z374)+ABS(AB374)+ABS(AD374)+ABS(AF374)+ABS(AH374)+ABS(AJ374)+ABS(AL374)+ABS(AN374)+ABS(AP374)+ABS(AR374)+ABS(AT374)+ABS(AV374)+ABS(AX374)+ABS(AZ374)+ABS(BB374))</f>
        <v>0</v>
      </c>
      <c r="BI374" s="104" t="n">
        <f aca="false">VLOOKUP(GasPosn!A374,'Pricing Summary'!$AB$12:$AD$250,3)</f>
        <v>31</v>
      </c>
      <c r="BJ374" s="102" t="n">
        <f aca="false">VLOOKUP(A374,Interest!$AF$8:$AK$367,6)</f>
        <v>0.852387171908071</v>
      </c>
      <c r="BL374" s="0" t="n">
        <f aca="false">H374/VLOOKUP(A374,NymexData!$J$12:$K$128,2)</f>
        <v>-3522.28282856508</v>
      </c>
      <c r="BM374" s="0" t="n">
        <f aca="false">I374/VLOOKUP(A374,NymexData!$J$12:$K$128,2)</f>
        <v>0</v>
      </c>
      <c r="BO374" s="0" t="n">
        <f aca="false">BO57</f>
        <v>0.852387171908071</v>
      </c>
      <c r="BP374" s="0" t="n">
        <f aca="false">G374*BO374</f>
        <v>4.20607885209026</v>
      </c>
      <c r="BQ374" s="0" t="n">
        <f aca="false">IF(AND(A374&gt;=$B$320,A374&lt;=$B$321),1,0)</f>
        <v>1</v>
      </c>
      <c r="BR374" s="0" t="n">
        <f aca="false">BO374*BQ374</f>
        <v>0.852387171908071</v>
      </c>
      <c r="BS374" s="0" t="n">
        <f aca="false">BP374*BQ374</f>
        <v>4.20607885209026</v>
      </c>
    </row>
    <row r="375" customFormat="false" ht="18" hidden="false" customHeight="false" outlineLevel="0" collapsed="false">
      <c r="A375" s="75" t="n">
        <f aca="false">A58</f>
        <v>38596</v>
      </c>
      <c r="B375" s="317" t="n">
        <f aca="false" t="array" ref="B375:B375">SUM(IF(MONTH(NymexData!$AO$12:$AO$250)&amp;YEAR(NymexData!$AO$12:$AO$250)=MONTH(A375)&amp;YEAR(A375),NymexData!$AP$12:$AP$250))</f>
        <v>7.047287351146</v>
      </c>
      <c r="C375" s="317" t="n">
        <f aca="false">BD375*BJ375*BI375</f>
        <v>0</v>
      </c>
      <c r="D375" s="319" t="n">
        <f aca="false">C375+B375</f>
        <v>7.047287351146</v>
      </c>
      <c r="E375" s="320" t="n">
        <f aca="false" t="array" ref="E375:E375">SUM(IF(MONTH(NymexData!$A$12:$A$250)&amp;YEAR(NymexData!$A$12:$A$250)=MONTH(A375)&amp;YEAR(A375),NymexData!$F$12:$F$250))</f>
        <v>5.00104425855351</v>
      </c>
      <c r="F375" s="320" t="n">
        <f aca="false">G375-E375</f>
        <v>-0.0755780518626734</v>
      </c>
      <c r="G375" s="321" t="n">
        <f aca="false" t="array" ref="G375:G375">IF(NymexData!$H$12="",GasPosn!E375,SUM(IF(MONTH(NymexData!$H$12:$H$250)&amp;YEAR(NymexData!$H$12:$H$250)=MONTH(A375)&amp;YEAR(A375),NymexData!$L$12:$L$250)))</f>
        <v>4.92546620669084</v>
      </c>
      <c r="H375" s="76" t="n">
        <f aca="false">B375*10000*F375</f>
        <v>-5326.20248916075</v>
      </c>
      <c r="I375" s="82" t="n">
        <f aca="false">(((G375-Q375)*P375+(G375-S375)*R375+(G375-U375)*T375+(G375-W375)*V375+(G375-Y375)*X375+(G375-AA375)*Z375+(G375-AC375)*AB375+(G375-AE375)*AD375+(G375-AG375)*AF375+(G375-AI375)*AH375+(G375-AK375)*AJ375+(G375-AM375)*AL375+(G375-AO375)*AN375+(G375-AQ375)*AP375+(G375-AS375)*AR375+(G375-AU375)*AT375+(G375-AW375)*AV375+(G375-AY375)*AX375+(G375-BA375)*AZ375+(G375-BC375)*BB375)*BJ375*BI375)*10000</f>
        <v>0</v>
      </c>
      <c r="J375" s="82" t="n">
        <f aca="false">H375+I375</f>
        <v>-5326.20248916075</v>
      </c>
      <c r="O375" s="95" t="n">
        <f aca="false">A375</f>
        <v>38596</v>
      </c>
      <c r="BD375" s="100" t="n">
        <f aca="false">(P375+R375+T375+V375+X375+Z375+AB375+AD375+AF375+AH375+AJ375+AL375+AN375+AP375+AR375+AT375+AV375+AX375+AZ375+BB375)</f>
        <v>0</v>
      </c>
      <c r="BE375" s="322" t="n">
        <f aca="false">IF(AND(BD375=0,BH375=0),0,(ABS(P375)*Q375+ABS(R375)*S375+ABS(T375)*U375+ABS(V375)*W375+ABS(X375)*Y375+ABS(Z375)*AA375+ABS(AB375)*AC375+ABS(AD375)*AE375+ABS(AF375)*AG375+ABS(AH375)*AI375+ABS(AJ375)*AK375+ABS(AL375)*AM375+ABS(AN375)*AO375+ABS(AP375)*AQ375+ABS(AR375)*AS375+ABS(AT375)*AU375+ABS(AV375)*AW375+ABS(AX375)*AY375+ABS(AZ375)*BA375+ABS(BB375)*BC375)/BH375)</f>
        <v>0</v>
      </c>
      <c r="BG375" s="103" t="n">
        <f aca="false">O375</f>
        <v>38596</v>
      </c>
      <c r="BH375" s="323" t="n">
        <f aca="false">(ABS(P375)+ABS(R375)+ABS(T375)+ABS(V375)+ABS(X375)+ABS(Z375)+ABS(AB375)+ABS(AD375)+ABS(AF375)+ABS(AH375)+ABS(AJ375)+ABS(AL375)+ABS(AN375)+ABS(AP375)+ABS(AR375)+ABS(AT375)+ABS(AV375)+ABS(AX375)+ABS(AZ375)+ABS(BB375))</f>
        <v>0</v>
      </c>
      <c r="BI375" s="104" t="n">
        <f aca="false">VLOOKUP(GasPosn!A375,'Pricing Summary'!$AB$12:$AD$250,3)</f>
        <v>30</v>
      </c>
      <c r="BJ375" s="102" t="n">
        <f aca="false">VLOOKUP(A375,Interest!$AF$8:$AK$367,6)</f>
        <v>0.84835863810767</v>
      </c>
      <c r="BL375" s="0" t="n">
        <f aca="false">H375/VLOOKUP(A375,NymexData!$J$12:$K$128,2)</f>
        <v>-3388.42335970117</v>
      </c>
      <c r="BM375" s="0" t="n">
        <f aca="false">I375/VLOOKUP(A375,NymexData!$J$12:$K$128,2)</f>
        <v>0</v>
      </c>
      <c r="BO375" s="0" t="n">
        <f aca="false">BO58</f>
        <v>0.84835863810767</v>
      </c>
      <c r="BP375" s="0" t="n">
        <f aca="false">G375*BO375</f>
        <v>4.17856180315359</v>
      </c>
      <c r="BQ375" s="0" t="n">
        <f aca="false">IF(AND(A375&gt;=$B$320,A375&lt;=$B$321),1,0)</f>
        <v>1</v>
      </c>
      <c r="BR375" s="0" t="n">
        <f aca="false">BO375*BQ375</f>
        <v>0.84835863810767</v>
      </c>
      <c r="BS375" s="0" t="n">
        <f aca="false">BP375*BQ375</f>
        <v>4.17856180315359</v>
      </c>
    </row>
    <row r="376" customFormat="false" ht="18" hidden="false" customHeight="false" outlineLevel="0" collapsed="false">
      <c r="A376" s="112" t="n">
        <f aca="false">A59</f>
        <v>38626</v>
      </c>
      <c r="B376" s="324" t="n">
        <f aca="false" t="array" ref="B376:B376">SUM(IF(MONTH(NymexData!$AO$12:$AO$250)&amp;YEAR(NymexData!$AO$12:$AO$250)=MONTH(A376)&amp;YEAR(A376),NymexData!$AP$12:$AP$250))</f>
        <v>7.248146406676</v>
      </c>
      <c r="C376" s="325" t="n">
        <f aca="false">BD376*BJ376*BI376</f>
        <v>0</v>
      </c>
      <c r="D376" s="326" t="n">
        <f aca="false">C376+B376</f>
        <v>7.248146406676</v>
      </c>
      <c r="E376" s="327" t="n">
        <f aca="false" t="array" ref="E376:E376">SUM(IF(MONTH(NymexData!$A$12:$A$250)&amp;YEAR(NymexData!$A$12:$A$250)=MONTH(A376)&amp;YEAR(A376),NymexData!$F$12:$F$250))</f>
        <v>5.00105238191237</v>
      </c>
      <c r="F376" s="327" t="n">
        <f aca="false">G376-E376</f>
        <v>-0.0754836662091707</v>
      </c>
      <c r="G376" s="328" t="n">
        <f aca="false" t="array" ref="G376:G376">IF(NymexData!$H$12="",GasPosn!E376,SUM(IF(MONTH(NymexData!$H$12:$H$250)&amp;YEAR(NymexData!$H$12:$H$250)=MONTH(A376)&amp;YEAR(A376),NymexData!$L$12:$L$250)))</f>
        <v>4.9255687157032</v>
      </c>
      <c r="H376" s="115" t="n">
        <f aca="false">B376*10000*F376</f>
        <v>-5471.16663996731</v>
      </c>
      <c r="I376" s="119" t="n">
        <f aca="false">(((G376-Q376)*P376+(G376-S376)*R376+(G376-U376)*T376+(G376-W376)*V376+(G376-Y376)*X376+(G376-AA376)*Z376+(G376-AC376)*AB376+(G376-AE376)*AD376+(G376-AG376)*AF376+(G376-AI376)*AH376+(G376-AK376)*AJ376+(G376-AM376)*AL376+(G376-AO376)*AN376+(G376-AQ376)*AP376+(G376-AS376)*AR376+(G376-AU376)*AT376+(G376-AW376)*AV376+(G376-AY376)*AX376+(G376-BA376)*AZ376+(G376-BC376)*BB376)*BJ376*BI376)*10000</f>
        <v>0</v>
      </c>
      <c r="J376" s="119" t="n">
        <f aca="false">H376+I376</f>
        <v>-5471.16663996731</v>
      </c>
      <c r="O376" s="95" t="n">
        <f aca="false">A376</f>
        <v>38626</v>
      </c>
      <c r="BD376" s="100" t="n">
        <f aca="false">(P376+R376+T376+V376+X376+Z376+AB376+AD376+AF376+AH376+AJ376+AL376+AN376+AP376+AR376+AT376+AV376+AX376+AZ376+BB376)</f>
        <v>0</v>
      </c>
      <c r="BE376" s="322" t="n">
        <f aca="false">IF(AND(BD376=0,BH376=0),0,(ABS(P376)*Q376+ABS(R376)*S376+ABS(T376)*U376+ABS(V376)*W376+ABS(X376)*Y376+ABS(Z376)*AA376+ABS(AB376)*AC376+ABS(AD376)*AE376+ABS(AF376)*AG376+ABS(AH376)*AI376+ABS(AJ376)*AK376+ABS(AL376)*AM376+ABS(AN376)*AO376+ABS(AP376)*AQ376+ABS(AR376)*AS376+ABS(AT376)*AU376+ABS(AV376)*AW376+ABS(AX376)*AY376+ABS(AZ376)*BA376+ABS(BB376)*BC376)/BH376)</f>
        <v>0</v>
      </c>
      <c r="BG376" s="103" t="n">
        <f aca="false">O376</f>
        <v>38626</v>
      </c>
      <c r="BH376" s="323" t="n">
        <f aca="false">(ABS(P376)+ABS(R376)+ABS(T376)+ABS(V376)+ABS(X376)+ABS(Z376)+ABS(AB376)+ABS(AD376)+ABS(AF376)+ABS(AH376)+ABS(AJ376)+ABS(AL376)+ABS(AN376)+ABS(AP376)+ABS(AR376)+ABS(AT376)+ABS(AV376)+ABS(AX376)+ABS(AZ376)+ABS(BB376))</f>
        <v>0</v>
      </c>
      <c r="BI376" s="104" t="n">
        <f aca="false">VLOOKUP(GasPosn!A376,'Pricing Summary'!$AB$12:$AD$250,3)</f>
        <v>31</v>
      </c>
      <c r="BJ376" s="102" t="n">
        <f aca="false">VLOOKUP(A376,Interest!$AF$8:$AK$367,6)</f>
        <v>0.844271662341034</v>
      </c>
      <c r="BL376" s="0" t="n">
        <f aca="false">H376/VLOOKUP(A376,NymexData!$J$12:$K$128,2)</f>
        <v>-3480.57421149624</v>
      </c>
      <c r="BM376" s="0" t="n">
        <f aca="false">I376/VLOOKUP(A376,NymexData!$J$12:$K$128,2)</f>
        <v>0</v>
      </c>
      <c r="BO376" s="0" t="n">
        <f aca="false">BO59</f>
        <v>0.844271662341034</v>
      </c>
      <c r="BP376" s="0" t="n">
        <f aca="false">G376*BO376</f>
        <v>4.15851808758173</v>
      </c>
      <c r="BQ376" s="0" t="n">
        <f aca="false">IF(AND(A376&gt;=$B$320,A376&lt;=$B$321),1,0)</f>
        <v>1</v>
      </c>
      <c r="BR376" s="0" t="n">
        <f aca="false">BO376*BQ376</f>
        <v>0.844271662341034</v>
      </c>
      <c r="BS376" s="0" t="n">
        <f aca="false">BP376*BQ376</f>
        <v>4.15851808758173</v>
      </c>
    </row>
    <row r="377" customFormat="false" ht="18" hidden="false" customHeight="false" outlineLevel="0" collapsed="false">
      <c r="A377" s="75" t="n">
        <f aca="false">A60</f>
        <v>38657</v>
      </c>
      <c r="B377" s="317" t="n">
        <f aca="false" t="array" ref="B377:B377">SUM(IF(MONTH(NymexData!$AO$12:$AO$250)&amp;YEAR(NymexData!$AO$12:$AO$250)=MONTH(A377)&amp;YEAR(A377),NymexData!$AP$12:$AP$250))</f>
        <v>6.98004698811</v>
      </c>
      <c r="C377" s="317" t="n">
        <f aca="false">BD377*BJ377*BI377</f>
        <v>0</v>
      </c>
      <c r="D377" s="319" t="n">
        <f aca="false">C377+B377</f>
        <v>6.98004698811</v>
      </c>
      <c r="E377" s="320" t="n">
        <f aca="false" t="array" ref="E377:E377">SUM(IF(MONTH(NymexData!$A$12:$A$250)&amp;YEAR(NymexData!$A$12:$A$250)=MONTH(A377)&amp;YEAR(A377),NymexData!$F$12:$F$250))</f>
        <v>5.28848053814541</v>
      </c>
      <c r="F377" s="320" t="n">
        <f aca="false">G377-E377</f>
        <v>-0.0733575241199329</v>
      </c>
      <c r="G377" s="321" t="n">
        <f aca="false" t="array" ref="G377:G377">IF(NymexData!$H$12="",GasPosn!E377,SUM(IF(MONTH(NymexData!$H$12:$H$250)&amp;YEAR(NymexData!$H$12:$H$250)=MONTH(A377)&amp;YEAR(A377),NymexData!$L$12:$L$250)))</f>
        <v>5.21512301402548</v>
      </c>
      <c r="H377" s="76" t="n">
        <f aca="false">B377*10000*F377</f>
        <v>-5120.38965288545</v>
      </c>
      <c r="I377" s="82" t="n">
        <f aca="false">(((G377-Q377)*P377+(G377-S377)*R377+(G377-U377)*T377+(G377-W377)*V377+(G377-Y377)*X377+(G377-AA377)*Z377+(G377-AC377)*AB377+(G377-AE377)*AD377+(G377-AG377)*AF377+(G377-AI377)*AH377+(G377-AK377)*AJ377+(G377-AM377)*AL377+(G377-AO377)*AN377+(G377-AQ377)*AP377+(G377-AS377)*AR377+(G377-AU377)*AT377+(G377-AW377)*AV377+(G377-AY377)*AX377+(G377-BA377)*AZ377+(G377-BC377)*BB377)*BJ377*BI377)*10000</f>
        <v>0</v>
      </c>
      <c r="J377" s="82" t="n">
        <f aca="false">H377+I377</f>
        <v>-5120.38965288545</v>
      </c>
      <c r="O377" s="95" t="n">
        <f aca="false">A377</f>
        <v>38657</v>
      </c>
      <c r="BD377" s="100" t="n">
        <f aca="false">(P377+R377+T377+V377+X377+Z377+AB377+AD377+AF377+AH377+AJ377+AL377+AN377+AP377+AR377+AT377+AV377+AX377+AZ377+BB377)</f>
        <v>0</v>
      </c>
      <c r="BE377" s="322" t="n">
        <f aca="false">IF(AND(BD377=0,BH377=0),0,(ABS(P377)*Q377+ABS(R377)*S377+ABS(T377)*U377+ABS(V377)*W377+ABS(X377)*Y377+ABS(Z377)*AA377+ABS(AB377)*AC377+ABS(AD377)*AE377+ABS(AF377)*AG377+ABS(AH377)*AI377+ABS(AJ377)*AK377+ABS(AL377)*AM377+ABS(AN377)*AO377+ABS(AP377)*AQ377+ABS(AR377)*AS377+ABS(AT377)*AU377+ABS(AV377)*AW377+ABS(AX377)*AY377+ABS(AZ377)*BA377+ABS(BB377)*BC377)/BH377)</f>
        <v>0</v>
      </c>
      <c r="BG377" s="103" t="n">
        <f aca="false">O377</f>
        <v>38657</v>
      </c>
      <c r="BH377" s="323" t="n">
        <f aca="false">(ABS(P377)+ABS(R377)+ABS(T377)+ABS(V377)+ABS(X377)+ABS(Z377)+ABS(AB377)+ABS(AD377)+ABS(AF377)+ABS(AH377)+ABS(AJ377)+ABS(AL377)+ABS(AN377)+ABS(AP377)+ABS(AR377)+ABS(AT377)+ABS(AV377)+ABS(AX377)+ABS(AZ377)+ABS(BB377))</f>
        <v>0</v>
      </c>
      <c r="BI377" s="104" t="n">
        <f aca="false">VLOOKUP(GasPosn!A377,'Pricing Summary'!$AB$12:$AD$250,3)</f>
        <v>30</v>
      </c>
      <c r="BJ377" s="102" t="n">
        <f aca="false">VLOOKUP(A377,Interest!$AF$8:$AK$367,6)</f>
        <v>0.840284509808529</v>
      </c>
      <c r="BL377" s="0" t="n">
        <f aca="false">H377/VLOOKUP(A377,NymexData!$J$12:$K$128,2)</f>
        <v>-3257.09920866894</v>
      </c>
      <c r="BM377" s="0" t="n">
        <f aca="false">I377/VLOOKUP(A377,NymexData!$J$12:$K$128,2)</f>
        <v>0</v>
      </c>
      <c r="BO377" s="0" t="n">
        <f aca="false">BO60</f>
        <v>0.840284509808529</v>
      </c>
      <c r="BP377" s="0" t="n">
        <f aca="false">G377*BO377</f>
        <v>4.38218708543158</v>
      </c>
      <c r="BQ377" s="0" t="n">
        <f aca="false">IF(AND(A377&gt;=$B$320,A377&lt;=$B$321),1,0)</f>
        <v>1</v>
      </c>
      <c r="BR377" s="0" t="n">
        <f aca="false">BO377*BQ377</f>
        <v>0.840284509808529</v>
      </c>
      <c r="BS377" s="0" t="n">
        <f aca="false">BP377*BQ377</f>
        <v>4.38218708543158</v>
      </c>
    </row>
    <row r="378" customFormat="false" ht="18" hidden="false" customHeight="false" outlineLevel="0" collapsed="false">
      <c r="A378" s="112" t="n">
        <f aca="false">A61</f>
        <v>38687</v>
      </c>
      <c r="B378" s="324" t="n">
        <f aca="false" t="array" ref="B378:B378">SUM(IF(MONTH(NymexData!$AO$12:$AO$250)&amp;YEAR(NymexData!$AO$12:$AO$250)=MONTH(A378)&amp;YEAR(A378),NymexData!$AP$12:$AP$250))</f>
        <v>7.178194330972</v>
      </c>
      <c r="C378" s="325" t="n">
        <f aca="false">BD378*BJ378*BI378</f>
        <v>0</v>
      </c>
      <c r="D378" s="326" t="n">
        <f aca="false">C378+B378</f>
        <v>7.178194330972</v>
      </c>
      <c r="E378" s="327" t="n">
        <f aca="false" t="array" ref="E378:E378">SUM(IF(MONTH(NymexData!$A$12:$A$250)&amp;YEAR(NymexData!$A$12:$A$250)=MONTH(A378)&amp;YEAR(A378),NymexData!$F$12:$F$250))</f>
        <v>5.51498850893819</v>
      </c>
      <c r="F378" s="327" t="n">
        <f aca="false">G378-E378</f>
        <v>-0.0728342593298148</v>
      </c>
      <c r="G378" s="328" t="n">
        <f aca="false" t="array" ref="G378:G378">IF(NymexData!$H$12="",GasPosn!E378,SUM(IF(MONTH(NymexData!$H$12:$H$250)&amp;YEAR(NymexData!$H$12:$H$250)=MONTH(A378)&amp;YEAR(A378),NymexData!$L$12:$L$250)))</f>
        <v>5.44215424960837</v>
      </c>
      <c r="H378" s="115" t="n">
        <f aca="false">B378*10000*F378</f>
        <v>-5228.18467421821</v>
      </c>
      <c r="I378" s="119" t="n">
        <f aca="false">(((G378-Q378)*P378+(G378-S378)*R378+(G378-U378)*T378+(G378-W378)*V378+(G378-Y378)*X378+(G378-AA378)*Z378+(G378-AC378)*AB378+(G378-AE378)*AD378+(G378-AG378)*AF378+(G378-AI378)*AH378+(G378-AK378)*AJ378+(G378-AM378)*AL378+(G378-AO378)*AN378+(G378-AQ378)*AP378+(G378-AS378)*AR378+(G378-AU378)*AT378+(G378-AW378)*AV378+(G378-AY378)*AX378+(G378-BA378)*AZ378+(G378-BC378)*BB378)*BJ378*BI378)*10000</f>
        <v>0</v>
      </c>
      <c r="J378" s="119" t="n">
        <f aca="false">H378+I378</f>
        <v>-5228.18467421821</v>
      </c>
      <c r="O378" s="95" t="n">
        <f aca="false">A378</f>
        <v>38687</v>
      </c>
      <c r="BD378" s="100" t="n">
        <f aca="false">(P378+R378+T378+V378+X378+Z378+AB378+AD378+AF378+AH378+AJ378+AL378+AN378+AP378+AR378+AT378+AV378+AX378+AZ378+BB378)</f>
        <v>0</v>
      </c>
      <c r="BE378" s="322" t="n">
        <f aca="false">IF(AND(BD378=0,BH378=0),0,(ABS(P378)*Q378+ABS(R378)*S378+ABS(T378)*U378+ABS(V378)*W378+ABS(X378)*Y378+ABS(Z378)*AA378+ABS(AB378)*AC378+ABS(AD378)*AE378+ABS(AF378)*AG378+ABS(AH378)*AI378+ABS(AJ378)*AK378+ABS(AL378)*AM378+ABS(AN378)*AO378+ABS(AP378)*AQ378+ABS(AR378)*AS378+ABS(AT378)*AU378+ABS(AV378)*AW378+ABS(AX378)*AY378+ABS(AZ378)*BA378+ABS(BB378)*BC378)/BH378)</f>
        <v>0</v>
      </c>
      <c r="BG378" s="103" t="n">
        <f aca="false">O378</f>
        <v>38687</v>
      </c>
      <c r="BH378" s="323" t="n">
        <f aca="false">(ABS(P378)+ABS(R378)+ABS(T378)+ABS(V378)+ABS(X378)+ABS(Z378)+ABS(AB378)+ABS(AD378)+ABS(AF378)+ABS(AH378)+ABS(AJ378)+ABS(AL378)+ABS(AN378)+ABS(AP378)+ABS(AR378)+ABS(AT378)+ABS(AV378)+ABS(AX378)+ABS(AZ378)+ABS(BB378))</f>
        <v>0</v>
      </c>
      <c r="BI378" s="104" t="n">
        <f aca="false">VLOOKUP(GasPosn!A378,'Pricing Summary'!$AB$12:$AD$250,3)</f>
        <v>31</v>
      </c>
      <c r="BJ378" s="102" t="n">
        <f aca="false">VLOOKUP(A378,Interest!$AF$8:$AK$367,6)</f>
        <v>0.836211209785273</v>
      </c>
      <c r="BL378" s="0" t="n">
        <f aca="false">H378/VLOOKUP(A378,NymexData!$J$12:$K$128,2)</f>
        <v>-3325.33443698936</v>
      </c>
      <c r="BM378" s="0" t="n">
        <f aca="false">I378/VLOOKUP(A378,NymexData!$J$12:$K$128,2)</f>
        <v>0</v>
      </c>
      <c r="BO378" s="0" t="n">
        <f aca="false">BO61</f>
        <v>0.836211209785273</v>
      </c>
      <c r="BP378" s="0" t="n">
        <f aca="false">G378*BO378</f>
        <v>4.55079038890308</v>
      </c>
      <c r="BQ378" s="0" t="n">
        <f aca="false">IF(AND(A378&gt;=$B$320,A378&lt;=$B$321),1,0)</f>
        <v>1</v>
      </c>
      <c r="BR378" s="0" t="n">
        <f aca="false">BO378*BQ378</f>
        <v>0.836211209785273</v>
      </c>
      <c r="BS378" s="0" t="n">
        <f aca="false">BP378*BQ378</f>
        <v>4.55079038890308</v>
      </c>
    </row>
    <row r="379" customFormat="false" ht="18" hidden="false" customHeight="false" outlineLevel="0" collapsed="false">
      <c r="A379" s="75" t="n">
        <f aca="false">A62</f>
        <v>38718</v>
      </c>
      <c r="B379" s="317" t="n">
        <f aca="false" t="array" ref="B379:B379">SUM(IF(MONTH(NymexData!$AO$12:$AO$250)&amp;YEAR(NymexData!$AO$12:$AO$250)=MONTH(A379)&amp;YEAR(A379),NymexData!$AP$12:$AP$250))</f>
        <v>7.1422876483</v>
      </c>
      <c r="C379" s="317" t="n">
        <f aca="false">BD379*BJ379*BI379</f>
        <v>0</v>
      </c>
      <c r="D379" s="319" t="n">
        <f aca="false">C379+B379</f>
        <v>7.1422876483</v>
      </c>
      <c r="E379" s="320" t="n">
        <f aca="false" t="array" ref="E379:E379">SUM(IF(MONTH(NymexData!$A$12:$A$250)&amp;YEAR(NymexData!$A$12:$A$250)=MONTH(A379)&amp;YEAR(A379),NymexData!$F$12:$F$250))</f>
        <v>5.60148502186301</v>
      </c>
      <c r="F379" s="320" t="n">
        <f aca="false">G379-E379</f>
        <v>-0.0652414071544056</v>
      </c>
      <c r="G379" s="321" t="n">
        <f aca="false" t="array" ref="G379:G379">IF(NymexData!$H$12="",GasPosn!E379,SUM(IF(MONTH(NymexData!$H$12:$H$250)&amp;YEAR(NymexData!$H$12:$H$250)=MONTH(A379)&amp;YEAR(A379),NymexData!$L$12:$L$250)))</f>
        <v>5.5362436147086</v>
      </c>
      <c r="H379" s="76" t="n">
        <f aca="false">B379*10000*F379</f>
        <v>-4659.72896476623</v>
      </c>
      <c r="I379" s="82" t="n">
        <f aca="false">(((G379-Q379)*P379+(G379-S379)*R379+(G379-U379)*T379+(G379-W379)*V379+(G379-Y379)*X379+(G379-AA379)*Z379+(G379-AC379)*AB379+(G379-AE379)*AD379+(G379-AG379)*AF379+(G379-AI379)*AH379+(G379-AK379)*AJ379+(G379-AM379)*AL379+(G379-AO379)*AN379+(G379-AQ379)*AP379+(G379-AS379)*AR379+(G379-AU379)*AT379+(G379-AW379)*AV379+(G379-AY379)*AX379+(G379-BA379)*AZ379+(G379-BC379)*BB379)*BJ379*BI379)*10000</f>
        <v>0</v>
      </c>
      <c r="J379" s="82" t="n">
        <f aca="false">H379+I379</f>
        <v>-4659.72896476623</v>
      </c>
      <c r="O379" s="95" t="n">
        <f aca="false">A379</f>
        <v>38718</v>
      </c>
      <c r="BD379" s="100" t="n">
        <f aca="false">(P379+R379+T379+V379+X379+Z379+AB379+AD379+AF379+AH379+AJ379+AL379+AN379+AP379+AR379+AT379+AV379+AX379+AZ379+BB379)</f>
        <v>0</v>
      </c>
      <c r="BE379" s="322" t="n">
        <f aca="false">IF(AND(BD379=0,BH379=0),0,(ABS(P379)*Q379+ABS(R379)*S379+ABS(T379)*U379+ABS(V379)*W379+ABS(X379)*Y379+ABS(Z379)*AA379+ABS(AB379)*AC379+ABS(AD379)*AE379+ABS(AF379)*AG379+ABS(AH379)*AI379+ABS(AJ379)*AK379+ABS(AL379)*AM379+ABS(AN379)*AO379+ABS(AP379)*AQ379+ABS(AR379)*AS379+ABS(AT379)*AU379+ABS(AV379)*AW379+ABS(AX379)*AY379+ABS(AZ379)*BA379+ABS(BB379)*BC379)/BH379)</f>
        <v>0</v>
      </c>
      <c r="BG379" s="103" t="n">
        <f aca="false">O379</f>
        <v>38718</v>
      </c>
      <c r="BH379" s="323" t="n">
        <f aca="false">(ABS(P379)+ABS(R379)+ABS(T379)+ABS(V379)+ABS(X379)+ABS(Z379)+ABS(AB379)+ABS(AD379)+ABS(AF379)+ABS(AH379)+ABS(AJ379)+ABS(AL379)+ABS(AN379)+ABS(AP379)+ABS(AR379)+ABS(AT379)+ABS(AV379)+ABS(AX379)+ABS(AZ379)+ABS(BB379))</f>
        <v>0</v>
      </c>
      <c r="BI379" s="104" t="n">
        <f aca="false">VLOOKUP(GasPosn!A379,'Pricing Summary'!$AB$12:$AD$250,3)</f>
        <v>31</v>
      </c>
      <c r="BJ379" s="102" t="n">
        <f aca="false">VLOOKUP(A379,Interest!$AF$8:$AK$367,6)</f>
        <v>0.832150625982754</v>
      </c>
      <c r="BL379" s="0" t="n">
        <f aca="false">H379/VLOOKUP(A379,NymexData!$J$12:$K$128,2)</f>
        <v>-2963.26379700928</v>
      </c>
      <c r="BM379" s="0" t="n">
        <f aca="false">I379/VLOOKUP(A379,NymexData!$J$12:$K$128,2)</f>
        <v>0</v>
      </c>
      <c r="BO379" s="0" t="n">
        <f aca="false">BO62</f>
        <v>0.832150625982754</v>
      </c>
      <c r="BP379" s="0" t="n">
        <f aca="false">G379*BO379</f>
        <v>4.60698858957279</v>
      </c>
      <c r="BQ379" s="0" t="n">
        <f aca="false">IF(AND(A379&gt;=$B$320,A379&lt;=$B$321),1,0)</f>
        <v>1</v>
      </c>
      <c r="BR379" s="0" t="n">
        <f aca="false">BO379*BQ379</f>
        <v>0.832150625982754</v>
      </c>
      <c r="BS379" s="0" t="n">
        <f aca="false">BP379*BQ379</f>
        <v>4.60698858957279</v>
      </c>
    </row>
    <row r="380" customFormat="false" ht="18" hidden="false" customHeight="false" outlineLevel="0" collapsed="false">
      <c r="A380" s="112" t="n">
        <f aca="false">A63</f>
        <v>38749</v>
      </c>
      <c r="B380" s="324" t="n">
        <f aca="false" t="array" ref="B380:B380">SUM(IF(MONTH(NymexData!$AO$12:$AO$250)&amp;YEAR(NymexData!$AO$12:$AO$250)=MONTH(A380)&amp;YEAR(A380),NymexData!$AP$12:$AP$250))</f>
        <v>6.418455745436</v>
      </c>
      <c r="C380" s="325" t="n">
        <f aca="false">BD380*BJ380*BI380</f>
        <v>0</v>
      </c>
      <c r="D380" s="326" t="n">
        <f aca="false">C380+B380</f>
        <v>6.418455745436</v>
      </c>
      <c r="E380" s="327" t="n">
        <f aca="false" t="array" ref="E380:E380">SUM(IF(MONTH(NymexData!$A$12:$A$250)&amp;YEAR(NymexData!$A$12:$A$250)=MONTH(A380)&amp;YEAR(A380),NymexData!$F$12:$F$250))</f>
        <v>5.47391799124807</v>
      </c>
      <c r="F380" s="327" t="n">
        <f aca="false">G380-E380</f>
        <v>-0.0672236481455562</v>
      </c>
      <c r="G380" s="328" t="n">
        <f aca="false" t="array" ref="G380:G380">IF(NymexData!$H$12="",GasPosn!E380,SUM(IF(MONTH(NymexData!$H$12:$H$250)&amp;YEAR(NymexData!$H$12:$H$250)=MONTH(A380)&amp;YEAR(A380),NymexData!$L$12:$L$250)))</f>
        <v>5.40669434310252</v>
      </c>
      <c r="H380" s="115" t="n">
        <f aca="false">B380*10000*F380</f>
        <v>-4314.72010669013</v>
      </c>
      <c r="I380" s="119" t="n">
        <f aca="false">(((G380-Q380)*P380+(G380-S380)*R380+(G380-U380)*T380+(G380-W380)*V380+(G380-Y380)*X380+(G380-AA380)*Z380+(G380-AC380)*AB380+(G380-AE380)*AD380+(G380-AG380)*AF380+(G380-AI380)*AH380+(G380-AK380)*AJ380+(G380-AM380)*AL380+(G380-AO380)*AN380+(G380-AQ380)*AP380+(G380-AS380)*AR380+(G380-AU380)*AT380+(G380-AW380)*AV380+(G380-AY380)*AX380+(G380-BA380)*AZ380+(G380-BC380)*BB380)*BJ380*BI380)*10000</f>
        <v>0</v>
      </c>
      <c r="J380" s="119" t="n">
        <f aca="false">H380+I380</f>
        <v>-4314.72010669013</v>
      </c>
      <c r="O380" s="95" t="n">
        <f aca="false">A380</f>
        <v>38749</v>
      </c>
      <c r="BD380" s="100" t="n">
        <f aca="false">(P380+R380+T380+V380+X380+Z380+AB380+AD380+AF380+AH380+AJ380+AL380+AN380+AP380+AR380+AT380+AV380+AX380+AZ380+BB380)</f>
        <v>0</v>
      </c>
      <c r="BE380" s="322" t="n">
        <f aca="false">IF(AND(BD380=0,BH380=0),0,(ABS(P380)*Q380+ABS(R380)*S380+ABS(T380)*U380+ABS(V380)*W380+ABS(X380)*Y380+ABS(Z380)*AA380+ABS(AB380)*AC380+ABS(AD380)*AE380+ABS(AF380)*AG380+ABS(AH380)*AI380+ABS(AJ380)*AK380+ABS(AL380)*AM380+ABS(AN380)*AO380+ABS(AP380)*AQ380+ABS(AR380)*AS380+ABS(AT380)*AU380+ABS(AV380)*AW380+ABS(AX380)*AY380+ABS(AZ380)*BA380+ABS(BB380)*BC380)/BH380)</f>
        <v>0</v>
      </c>
      <c r="BG380" s="103" t="n">
        <f aca="false">O380</f>
        <v>38749</v>
      </c>
      <c r="BH380" s="323" t="n">
        <f aca="false">(ABS(P380)+ABS(R380)+ABS(T380)+ABS(V380)+ABS(X380)+ABS(Z380)+ABS(AB380)+ABS(AD380)+ABS(AF380)+ABS(AH380)+ABS(AJ380)+ABS(AL380)+ABS(AN380)+ABS(AP380)+ABS(AR380)+ABS(AT380)+ABS(AV380)+ABS(AX380)+ABS(AZ380)+ABS(BB380))</f>
        <v>0</v>
      </c>
      <c r="BI380" s="104" t="n">
        <f aca="false">VLOOKUP(GasPosn!A380,'Pricing Summary'!$AB$12:$AD$250,3)</f>
        <v>28</v>
      </c>
      <c r="BJ380" s="102" t="n">
        <f aca="false">VLOOKUP(A380,Interest!$AF$8:$AK$367,6)</f>
        <v>0.828494182220687</v>
      </c>
      <c r="BL380" s="0" t="n">
        <f aca="false">H380/VLOOKUP(A380,NymexData!$J$12:$K$128,2)</f>
        <v>-2743.04530393669</v>
      </c>
      <c r="BM380" s="0" t="n">
        <f aca="false">I380/VLOOKUP(A380,NymexData!$J$12:$K$128,2)</f>
        <v>0</v>
      </c>
      <c r="BO380" s="0" t="n">
        <f aca="false">BO63</f>
        <v>0.828494182220687</v>
      </c>
      <c r="BP380" s="0" t="n">
        <f aca="false">G380*BO380</f>
        <v>4.47941480830594</v>
      </c>
      <c r="BQ380" s="0" t="n">
        <f aca="false">IF(AND(A380&gt;=$B$320,A380&lt;=$B$321),1,0)</f>
        <v>1</v>
      </c>
      <c r="BR380" s="0" t="n">
        <f aca="false">BO380*BQ380</f>
        <v>0.828494182220687</v>
      </c>
      <c r="BS380" s="0" t="n">
        <f aca="false">BP380*BQ380</f>
        <v>4.47941480830594</v>
      </c>
    </row>
    <row r="381" customFormat="false" ht="18" hidden="false" customHeight="false" outlineLevel="0" collapsed="false">
      <c r="A381" s="75" t="n">
        <f aca="false">A64</f>
        <v>38777</v>
      </c>
      <c r="B381" s="317" t="n">
        <f aca="false" t="array" ref="B381:B381">SUM(IF(MONTH(NymexData!$AO$12:$AO$250)&amp;YEAR(NymexData!$AO$12:$AO$250)=MONTH(A381)&amp;YEAR(A381),NymexData!$AP$12:$AP$250))</f>
        <v>7.073308479818</v>
      </c>
      <c r="C381" s="317" t="n">
        <f aca="false">BD381*BJ381*BI381</f>
        <v>0</v>
      </c>
      <c r="D381" s="319" t="n">
        <f aca="false">C381+B381</f>
        <v>7.073308479818</v>
      </c>
      <c r="E381" s="320" t="n">
        <f aca="false" t="array" ref="E381:E381">SUM(IF(MONTH(NymexData!$A$12:$A$250)&amp;YEAR(NymexData!$A$12:$A$250)=MONTH(A381)&amp;YEAR(A381),NymexData!$F$12:$F$250))</f>
        <v>5.26875214851447</v>
      </c>
      <c r="F381" s="320" t="n">
        <f aca="false">G381-E381</f>
        <v>-0.0678387417972237</v>
      </c>
      <c r="G381" s="321" t="n">
        <f aca="false" t="array" ref="G381:G381">IF(NymexData!$H$12="",GasPosn!E381,SUM(IF(MONTH(NymexData!$H$12:$H$250)&amp;YEAR(NymexData!$H$12:$H$250)=MONTH(A381)&amp;YEAR(A381),NymexData!$L$12:$L$250)))</f>
        <v>5.20091340671725</v>
      </c>
      <c r="H381" s="76" t="n">
        <f aca="false">B381*10000*F381</f>
        <v>-4798.44347614486</v>
      </c>
      <c r="I381" s="82" t="n">
        <f aca="false">(((G381-Q381)*P381+(G381-S381)*R381+(G381-U381)*T381+(G381-W381)*V381+(G381-Y381)*X381+(G381-AA381)*Z381+(G381-AC381)*AB381+(G381-AE381)*AD381+(G381-AG381)*AF381+(G381-AI381)*AH381+(G381-AK381)*AJ381+(G381-AM381)*AL381+(G381-AO381)*AN381+(G381-AQ381)*AP381+(G381-AS381)*AR381+(G381-AU381)*AT381+(G381-AW381)*AV381+(G381-AY381)*AX381+(G381-BA381)*AZ381+(G381-BC381)*BB381)*BJ381*BI381)*10000</f>
        <v>0</v>
      </c>
      <c r="J381" s="82" t="n">
        <f aca="false">H381+I381</f>
        <v>-4798.44347614486</v>
      </c>
      <c r="O381" s="95" t="n">
        <f aca="false">A381</f>
        <v>38777</v>
      </c>
      <c r="BD381" s="100" t="n">
        <f aca="false">(P381+R381+T381+V381+X381+Z381+AB381+AD381+AF381+AH381+AJ381+AL381+AN381+AP381+AR381+AT381+AV381+AX381+AZ381+BB381)</f>
        <v>0</v>
      </c>
      <c r="BE381" s="322" t="n">
        <f aca="false">IF(AND(BD381=0,BH381=0),0,(ABS(P381)*Q381+ABS(R381)*S381+ABS(T381)*U381+ABS(V381)*W381+ABS(X381)*Y381+ABS(Z381)*AA381+ABS(AB381)*AC381+ABS(AD381)*AE381+ABS(AF381)*AG381+ABS(AH381)*AI381+ABS(AJ381)*AK381+ABS(AL381)*AM381+ABS(AN381)*AO381+ABS(AP381)*AQ381+ABS(AR381)*AS381+ABS(AT381)*AU381+ABS(AV381)*AW381+ABS(AX381)*AY381+ABS(AZ381)*BA381+ABS(BB381)*BC381)/BH381)</f>
        <v>0</v>
      </c>
      <c r="BG381" s="103" t="n">
        <f aca="false">O381</f>
        <v>38777</v>
      </c>
      <c r="BH381" s="323" t="n">
        <f aca="false">(ABS(P381)+ABS(R381)+ABS(T381)+ABS(V381)+ABS(X381)+ABS(Z381)+ABS(AB381)+ABS(AD381)+ABS(AF381)+ABS(AH381)+ABS(AJ381)+ABS(AL381)+ABS(AN381)+ABS(AP381)+ABS(AR381)+ABS(AT381)+ABS(AV381)+ABS(AX381)+ABS(AZ381)+ABS(BB381))</f>
        <v>0</v>
      </c>
      <c r="BI381" s="104" t="n">
        <f aca="false">VLOOKUP(GasPosn!A381,'Pricing Summary'!$AB$12:$AD$250,3)</f>
        <v>31</v>
      </c>
      <c r="BJ381" s="102" t="n">
        <f aca="false">VLOOKUP(A381,Interest!$AF$8:$AK$367,6)</f>
        <v>0.824618102879487</v>
      </c>
      <c r="BL381" s="0" t="n">
        <f aca="false">H381/VLOOKUP(A381,NymexData!$J$12:$K$128,2)</f>
        <v>-3049.71646889951</v>
      </c>
      <c r="BM381" s="0" t="n">
        <f aca="false">I381/VLOOKUP(A381,NymexData!$J$12:$K$128,2)</f>
        <v>0</v>
      </c>
      <c r="BO381" s="0" t="n">
        <f aca="false">BO64</f>
        <v>0.824618102879487</v>
      </c>
      <c r="BP381" s="0" t="n">
        <f aca="false">G381*BO381</f>
        <v>4.28876734668767</v>
      </c>
      <c r="BQ381" s="0" t="n">
        <f aca="false">IF(AND(A381&gt;=$B$320,A381&lt;=$B$321),1,0)</f>
        <v>1</v>
      </c>
      <c r="BR381" s="0" t="n">
        <f aca="false">BO381*BQ381</f>
        <v>0.824618102879487</v>
      </c>
      <c r="BS381" s="0" t="n">
        <f aca="false">BP381*BQ381</f>
        <v>4.28876734668767</v>
      </c>
    </row>
    <row r="382" customFormat="false" ht="18" hidden="false" customHeight="false" outlineLevel="0" collapsed="false">
      <c r="A382" s="112" t="n">
        <f aca="false">A65</f>
        <v>38808</v>
      </c>
      <c r="B382" s="324" t="n">
        <f aca="false" t="array" ref="B382:B382">SUM(IF(MONTH(NymexData!$AO$12:$AO$250)&amp;YEAR(NymexData!$AO$12:$AO$250)=MONTH(A382)&amp;YEAR(A382),NymexData!$AP$12:$AP$250))</f>
        <v>6.809747355124</v>
      </c>
      <c r="C382" s="325" t="n">
        <f aca="false">BD382*BJ382*BI382</f>
        <v>0</v>
      </c>
      <c r="D382" s="326" t="n">
        <f aca="false">C382+B382</f>
        <v>6.809747355124</v>
      </c>
      <c r="E382" s="327" t="n">
        <f aca="false" t="array" ref="E382:E382">SUM(IF(MONTH(NymexData!$A$12:$A$250)&amp;YEAR(NymexData!$A$12:$A$250)=MONTH(A382)&amp;YEAR(A382),NymexData!$F$12:$F$250))</f>
        <v>4.97435321691647</v>
      </c>
      <c r="F382" s="327" t="n">
        <f aca="false">G382-E382</f>
        <v>-0.068636445917214</v>
      </c>
      <c r="G382" s="328" t="n">
        <f aca="false" t="array" ref="G382:G382">IF(NymexData!$H$12="",GasPosn!E382,SUM(IF(MONTH(NymexData!$H$12:$H$250)&amp;YEAR(NymexData!$H$12:$H$250)=MONTH(A382)&amp;YEAR(A382),NymexData!$L$12:$L$250)))</f>
        <v>4.90571677099926</v>
      </c>
      <c r="H382" s="115" t="n">
        <f aca="false">B382*10000*F382</f>
        <v>-4673.96856049859</v>
      </c>
      <c r="I382" s="119" t="n">
        <f aca="false">(((G382-Q382)*P382+(G382-S382)*R382+(G382-U382)*T382+(G382-W382)*V382+(G382-Y382)*X382+(G382-AA382)*Z382+(G382-AC382)*AB382+(G382-AE382)*AD382+(G382-AG382)*AF382+(G382-AI382)*AH382+(G382-AK382)*AJ382+(G382-AM382)*AL382+(G382-AO382)*AN382+(G382-AQ382)*AP382+(G382-AS382)*AR382+(G382-AU382)*AT382+(G382-AW382)*AV382+(G382-AY382)*AX382+(G382-BA382)*AZ382+(G382-BC382)*BB382)*BJ382*BI382)*10000</f>
        <v>0</v>
      </c>
      <c r="J382" s="119" t="n">
        <f aca="false">H382+I382</f>
        <v>-4673.96856049859</v>
      </c>
      <c r="O382" s="95" t="n">
        <f aca="false">A382</f>
        <v>38808</v>
      </c>
      <c r="BD382" s="100" t="n">
        <f aca="false">(P382+R382+T382+V382+X382+Z382+AB382+AD382+AF382+AH382+AJ382+AL382+AN382+AP382+AR382+AT382+AV382+AX382+AZ382+BB382)</f>
        <v>0</v>
      </c>
      <c r="BE382" s="322" t="n">
        <f aca="false">IF(AND(BD382=0,BH382=0),0,(ABS(P382)*Q382+ABS(R382)*S382+ABS(T382)*U382+ABS(V382)*W382+ABS(X382)*Y382+ABS(Z382)*AA382+ABS(AB382)*AC382+ABS(AD382)*AE382+ABS(AF382)*AG382+ABS(AH382)*AI382+ABS(AJ382)*AK382+ABS(AL382)*AM382+ABS(AN382)*AO382+ABS(AP382)*AQ382+ABS(AR382)*AS382+ABS(AT382)*AU382+ABS(AV382)*AW382+ABS(AX382)*AY382+ABS(AZ382)*BA382+ABS(BB382)*BC382)/BH382)</f>
        <v>0</v>
      </c>
      <c r="BG382" s="103" t="n">
        <f aca="false">O382</f>
        <v>38808</v>
      </c>
      <c r="BH382" s="323" t="n">
        <f aca="false">(ABS(P382)+ABS(R382)+ABS(T382)+ABS(V382)+ABS(X382)+ABS(Z382)+ABS(AB382)+ABS(AD382)+ABS(AF382)+ABS(AH382)+ABS(AJ382)+ABS(AL382)+ABS(AN382)+ABS(AP382)+ABS(AR382)+ABS(AT382)+ABS(AV382)+ABS(AX382)+ABS(AZ382)+ABS(BB382))</f>
        <v>0</v>
      </c>
      <c r="BI382" s="104" t="n">
        <f aca="false">VLOOKUP(GasPosn!A382,'Pricing Summary'!$AB$12:$AD$250,3)</f>
        <v>30</v>
      </c>
      <c r="BJ382" s="102" t="n">
        <f aca="false">VLOOKUP(A382,Interest!$AF$8:$AK$367,6)</f>
        <v>0.820734271783372</v>
      </c>
      <c r="BL382" s="0" t="n">
        <f aca="false">H382/VLOOKUP(A382,NymexData!$J$12:$K$128,2)</f>
        <v>-2969.65262375478</v>
      </c>
      <c r="BM382" s="0" t="n">
        <f aca="false">I382/VLOOKUP(A382,NymexData!$J$12:$K$128,2)</f>
        <v>0</v>
      </c>
      <c r="BO382" s="0" t="n">
        <f aca="false">BO65</f>
        <v>0.820734271783372</v>
      </c>
      <c r="BP382" s="0" t="n">
        <f aca="false">G382*BO382</f>
        <v>4.02628988162155</v>
      </c>
      <c r="BQ382" s="0" t="n">
        <f aca="false">IF(AND(A382&gt;=$B$320,A382&lt;=$B$321),1,0)</f>
        <v>1</v>
      </c>
      <c r="BR382" s="0" t="n">
        <f aca="false">BO382*BQ382</f>
        <v>0.820734271783372</v>
      </c>
      <c r="BS382" s="0" t="n">
        <f aca="false">BP382*BQ382</f>
        <v>4.02628988162155</v>
      </c>
    </row>
    <row r="383" customFormat="false" ht="18" hidden="false" customHeight="false" outlineLevel="0" collapsed="false">
      <c r="A383" s="75" t="n">
        <f aca="false">A66</f>
        <v>38838</v>
      </c>
      <c r="B383" s="317" t="n">
        <f aca="false" t="array" ref="B383:B383">SUM(IF(MONTH(NymexData!$AO$12:$AO$250)&amp;YEAR(NymexData!$AO$12:$AO$250)=MONTH(A383)&amp;YEAR(A383),NymexData!$AP$12:$AP$250))</f>
        <v>7.001141803068</v>
      </c>
      <c r="C383" s="317" t="n">
        <f aca="false">BD383*BJ383*BI383</f>
        <v>0</v>
      </c>
      <c r="D383" s="319" t="n">
        <f aca="false">C383+B383</f>
        <v>7.001141803068</v>
      </c>
      <c r="E383" s="320" t="n">
        <f aca="false" t="array" ref="E383:E383">SUM(IF(MONTH(NymexData!$A$12:$A$250)&amp;YEAR(NymexData!$A$12:$A$250)=MONTH(A383)&amp;YEAR(A383),NymexData!$F$12:$F$250))</f>
        <v>4.98363787026452</v>
      </c>
      <c r="F383" s="320" t="n">
        <f aca="false">G383-E383</f>
        <v>-0.0688817249661957</v>
      </c>
      <c r="G383" s="321" t="n">
        <f aca="false" t="array" ref="G383:G383">IF(NymexData!$H$12="",GasPosn!E383,SUM(IF(MONTH(NymexData!$H$12:$H$250)&amp;YEAR(NymexData!$H$12:$H$250)=MONTH(A383)&amp;YEAR(A383),NymexData!$L$12:$L$250)))</f>
        <v>4.91475614529832</v>
      </c>
      <c r="H383" s="76" t="n">
        <f aca="false">B383*10000*F383</f>
        <v>-4822.50724128266</v>
      </c>
      <c r="I383" s="82" t="n">
        <f aca="false">(((G383-Q383)*P383+(G383-S383)*R383+(G383-U383)*T383+(G383-W383)*V383+(G383-Y383)*X383+(G383-AA383)*Z383+(G383-AC383)*AB383+(G383-AE383)*AD383+(G383-AG383)*AF383+(G383-AI383)*AH383+(G383-AK383)*AJ383+(G383-AM383)*AL383+(G383-AO383)*AN383+(G383-AQ383)*AP383+(G383-AS383)*AR383+(G383-AU383)*AT383+(G383-AW383)*AV383+(G383-AY383)*AX383+(G383-BA383)*AZ383+(G383-BC383)*BB383)*BJ383*BI383)*10000</f>
        <v>0</v>
      </c>
      <c r="J383" s="82" t="n">
        <f aca="false">H383+I383</f>
        <v>-4822.50724128266</v>
      </c>
      <c r="O383" s="95" t="n">
        <f aca="false">A383</f>
        <v>38838</v>
      </c>
      <c r="BD383" s="100" t="n">
        <f aca="false">(P383+R383+T383+V383+X383+Z383+AB383+AD383+AF383+AH383+AJ383+AL383+AN383+AP383+AR383+AT383+AV383+AX383+AZ383+BB383)</f>
        <v>0</v>
      </c>
      <c r="BE383" s="322" t="n">
        <f aca="false">IF(AND(BD383=0,BH383=0),0,(ABS(P383)*Q383+ABS(R383)*S383+ABS(T383)*U383+ABS(V383)*W383+ABS(X383)*Y383+ABS(Z383)*AA383+ABS(AB383)*AC383+ABS(AD383)*AE383+ABS(AF383)*AG383+ABS(AH383)*AI383+ABS(AJ383)*AK383+ABS(AL383)*AM383+ABS(AN383)*AO383+ABS(AP383)*AQ383+ABS(AR383)*AS383+ABS(AT383)*AU383+ABS(AV383)*AW383+ABS(AX383)*AY383+ABS(AZ383)*BA383+ABS(BB383)*BC383)/BH383)</f>
        <v>0</v>
      </c>
      <c r="BG383" s="103" t="n">
        <f aca="false">O383</f>
        <v>38838</v>
      </c>
      <c r="BH383" s="323" t="n">
        <f aca="false">(ABS(P383)+ABS(R383)+ABS(T383)+ABS(V383)+ABS(X383)+ABS(Z383)+ABS(AB383)+ABS(AD383)+ABS(AF383)+ABS(AH383)+ABS(AJ383)+ABS(AL383)+ABS(AN383)+ABS(AP383)+ABS(AR383)+ABS(AT383)+ABS(AV383)+ABS(AX383)+ABS(AZ383)+ABS(BB383))</f>
        <v>0</v>
      </c>
      <c r="BI383" s="104" t="n">
        <f aca="false">VLOOKUP(GasPosn!A383,'Pricing Summary'!$AB$12:$AD$250,3)</f>
        <v>31</v>
      </c>
      <c r="BJ383" s="102" t="n">
        <f aca="false">VLOOKUP(A383,Interest!$AF$8:$AK$367,6)</f>
        <v>0.816767412940281</v>
      </c>
      <c r="BL383" s="0" t="n">
        <f aca="false">H383/VLOOKUP(A383,NymexData!$J$12:$K$128,2)</f>
        <v>-3063.04283493062</v>
      </c>
      <c r="BM383" s="0" t="n">
        <f aca="false">I383/VLOOKUP(A383,NymexData!$J$12:$K$128,2)</f>
        <v>0</v>
      </c>
      <c r="BO383" s="0" t="n">
        <f aca="false">BO66</f>
        <v>0.816767412940281</v>
      </c>
      <c r="BP383" s="0" t="n">
        <f aca="false">G383*BO383</f>
        <v>4.01421266202766</v>
      </c>
      <c r="BQ383" s="0" t="n">
        <f aca="false">IF(AND(A383&gt;=$B$320,A383&lt;=$B$321),1,0)</f>
        <v>1</v>
      </c>
      <c r="BR383" s="0" t="n">
        <f aca="false">BO383*BQ383</f>
        <v>0.816767412940281</v>
      </c>
      <c r="BS383" s="0" t="n">
        <f aca="false">BP383*BQ383</f>
        <v>4.01421266202766</v>
      </c>
    </row>
    <row r="384" customFormat="false" ht="18" hidden="false" customHeight="false" outlineLevel="0" collapsed="false">
      <c r="A384" s="112" t="n">
        <f aca="false">A67</f>
        <v>38869</v>
      </c>
      <c r="B384" s="324" t="n">
        <f aca="false" t="array" ref="B384:B384">SUM(IF(MONTH(NymexData!$AO$12:$AO$250)&amp;YEAR(NymexData!$AO$12:$AO$250)=MONTH(A384)&amp;YEAR(A384),NymexData!$AP$12:$AP$250))</f>
        <v>6.739499319392</v>
      </c>
      <c r="C384" s="325" t="n">
        <f aca="false">BD384*BJ384*BI384</f>
        <v>0</v>
      </c>
      <c r="D384" s="326" t="n">
        <f aca="false">C384+B384</f>
        <v>6.739499319392</v>
      </c>
      <c r="E384" s="327" t="n">
        <f aca="false" t="array" ref="E384:E384">SUM(IF(MONTH(NymexData!$A$12:$A$250)&amp;YEAR(NymexData!$A$12:$A$250)=MONTH(A384)&amp;YEAR(A384),NymexData!$F$12:$F$250))</f>
        <v>5.04224116778255</v>
      </c>
      <c r="F384" s="327" t="n">
        <f aca="false">G384-E384</f>
        <v>-0.0690680206817662</v>
      </c>
      <c r="G384" s="328" t="n">
        <f aca="false" t="array" ref="G384:G384">IF(NymexData!$H$12="",GasPosn!E384,SUM(IF(MONTH(NymexData!$H$12:$H$250)&amp;YEAR(NymexData!$H$12:$H$250)=MONTH(A384)&amp;YEAR(A384),NymexData!$L$12:$L$250)))</f>
        <v>4.97317314710078</v>
      </c>
      <c r="H384" s="115" t="n">
        <f aca="false">B384*10000*F384</f>
        <v>-4654.83878376516</v>
      </c>
      <c r="I384" s="119" t="n">
        <f aca="false">(((G384-Q384)*P384+(G384-S384)*R384+(G384-U384)*T384+(G384-W384)*V384+(G384-Y384)*X384+(G384-AA384)*Z384+(G384-AC384)*AB384+(G384-AE384)*AD384+(G384-AG384)*AF384+(G384-AI384)*AH384+(G384-AK384)*AJ384+(G384-AM384)*AL384+(G384-AO384)*AN384+(G384-AQ384)*AP384+(G384-AS384)*AR384+(G384-AU384)*AT384+(G384-AW384)*AV384+(G384-AY384)*AX384+(G384-BA384)*AZ384+(G384-BC384)*BB384)*BJ384*BI384)*10000</f>
        <v>0</v>
      </c>
      <c r="J384" s="119" t="n">
        <f aca="false">H384+I384</f>
        <v>-4654.83878376516</v>
      </c>
      <c r="O384" s="95" t="n">
        <f aca="false">A384</f>
        <v>38869</v>
      </c>
      <c r="BD384" s="100" t="n">
        <f aca="false">(P384+R384+T384+V384+X384+Z384+AB384+AD384+AF384+AH384+AJ384+AL384+AN384+AP384+AR384+AT384+AV384+AX384+AZ384+BB384)</f>
        <v>0</v>
      </c>
      <c r="BE384" s="322" t="n">
        <f aca="false">IF(AND(BD384=0,BH384=0),0,(ABS(P384)*Q384+ABS(R384)*S384+ABS(T384)*U384+ABS(V384)*W384+ABS(X384)*Y384+ABS(Z384)*AA384+ABS(AB384)*AC384+ABS(AD384)*AE384+ABS(AF384)*AG384+ABS(AH384)*AI384+ABS(AJ384)*AK384+ABS(AL384)*AM384+ABS(AN384)*AO384+ABS(AP384)*AQ384+ABS(AR384)*AS384+ABS(AT384)*AU384+ABS(AV384)*AW384+ABS(AX384)*AY384+ABS(AZ384)*BA384+ABS(BB384)*BC384)/BH384)</f>
        <v>0</v>
      </c>
      <c r="BG384" s="103" t="n">
        <f aca="false">O384</f>
        <v>38869</v>
      </c>
      <c r="BH384" s="323" t="n">
        <f aca="false">(ABS(P384)+ABS(R384)+ABS(T384)+ABS(V384)+ABS(X384)+ABS(Z384)+ABS(AB384)+ABS(AD384)+ABS(AF384)+ABS(AH384)+ABS(AJ384)+ABS(AL384)+ABS(AN384)+ABS(AP384)+ABS(AR384)+ABS(AT384)+ABS(AV384)+ABS(AX384)+ABS(AZ384)+ABS(BB384))</f>
        <v>0</v>
      </c>
      <c r="BI384" s="104" t="n">
        <f aca="false">VLOOKUP(GasPosn!A384,'Pricing Summary'!$AB$12:$AD$250,3)</f>
        <v>30</v>
      </c>
      <c r="BJ384" s="102" t="n">
        <f aca="false">VLOOKUP(A384,Interest!$AF$8:$AK$367,6)</f>
        <v>0.812852535184464</v>
      </c>
      <c r="BL384" s="0" t="n">
        <f aca="false">H384/VLOOKUP(A384,NymexData!$J$12:$K$128,2)</f>
        <v>-2955.52998754271</v>
      </c>
      <c r="BM384" s="0" t="n">
        <f aca="false">I384/VLOOKUP(A384,NymexData!$J$12:$K$128,2)</f>
        <v>0</v>
      </c>
      <c r="BO384" s="0" t="n">
        <f aca="false">BO67</f>
        <v>0.812852535184464</v>
      </c>
      <c r="BP384" s="0" t="n">
        <f aca="false">G384*BO384</f>
        <v>4.04245640053217</v>
      </c>
      <c r="BQ384" s="0" t="n">
        <f aca="false">IF(AND(A384&gt;=$B$320,A384&lt;=$B$321),1,0)</f>
        <v>1</v>
      </c>
      <c r="BR384" s="0" t="n">
        <f aca="false">BO384*BQ384</f>
        <v>0.812852535184464</v>
      </c>
      <c r="BS384" s="0" t="n">
        <f aca="false">BP384*BQ384</f>
        <v>4.04245640053217</v>
      </c>
    </row>
    <row r="385" customFormat="false" ht="18" hidden="false" customHeight="false" outlineLevel="0" collapsed="false">
      <c r="A385" s="75" t="n">
        <f aca="false">A68</f>
        <v>38899</v>
      </c>
      <c r="B385" s="317" t="n">
        <f aca="false" t="array" ref="B385:B385">SUM(IF(MONTH(NymexData!$AO$12:$AO$250)&amp;YEAR(NymexData!$AO$12:$AO$250)=MONTH(A385)&amp;YEAR(A385),NymexData!$AP$12:$AP$250))</f>
        <v>6.928153194158</v>
      </c>
      <c r="C385" s="317" t="n">
        <f aca="false">BD385*BJ385*BI385</f>
        <v>0</v>
      </c>
      <c r="D385" s="319" t="n">
        <f aca="false">C385+B385</f>
        <v>6.928153194158</v>
      </c>
      <c r="E385" s="320" t="n">
        <f aca="false" t="array" ref="E385:E385">SUM(IF(MONTH(NymexData!$A$12:$A$250)&amp;YEAR(NymexData!$A$12:$A$250)=MONTH(A385)&amp;YEAR(A385),NymexData!$F$12:$F$250))</f>
        <v>5.1113329196242</v>
      </c>
      <c r="F385" s="320" t="n">
        <f aca="false">G385-E385</f>
        <v>-0.0692486315422771</v>
      </c>
      <c r="G385" s="321" t="n">
        <f aca="false" t="array" ref="G385:G385">IF(NymexData!$H$12="",GasPosn!E385,SUM(IF(MONTH(NymexData!$H$12:$H$250)&amp;YEAR(NymexData!$H$12:$H$250)=MONTH(A385)&amp;YEAR(A385),NymexData!$L$12:$L$250)))</f>
        <v>5.04208428808192</v>
      </c>
      <c r="H385" s="76" t="n">
        <f aca="false">B385*10000*F385</f>
        <v>-4797.65127810698</v>
      </c>
      <c r="I385" s="82" t="n">
        <f aca="false">(((G385-Q385)*P385+(G385-S385)*R385+(G385-U385)*T385+(G385-W385)*V385+(G385-Y385)*X385+(G385-AA385)*Z385+(G385-AC385)*AB385+(G385-AE385)*AD385+(G385-AG385)*AF385+(G385-AI385)*AH385+(G385-AK385)*AJ385+(G385-AM385)*AL385+(G385-AO385)*AN385+(G385-AQ385)*AP385+(G385-AS385)*AR385+(G385-AU385)*AT385+(G385-AW385)*AV385+(G385-AY385)*AX385+(G385-BA385)*AZ385+(G385-BC385)*BB385)*BJ385*BI385)*10000</f>
        <v>0</v>
      </c>
      <c r="J385" s="82" t="n">
        <f aca="false">H385+I385</f>
        <v>-4797.65127810698</v>
      </c>
      <c r="O385" s="95" t="n">
        <f aca="false">A385</f>
        <v>38899</v>
      </c>
      <c r="BD385" s="100" t="n">
        <f aca="false">(P385+R385+T385+V385+X385+Z385+AB385+AD385+AF385+AH385+AJ385+AL385+AN385+AP385+AR385+AT385+AV385+AX385+AZ385+BB385)</f>
        <v>0</v>
      </c>
      <c r="BE385" s="322" t="n">
        <f aca="false">IF(AND(BD385=0,BH385=0),0,(ABS(P385)*Q385+ABS(R385)*S385+ABS(T385)*U385+ABS(V385)*W385+ABS(X385)*Y385+ABS(Z385)*AA385+ABS(AB385)*AC385+ABS(AD385)*AE385+ABS(AF385)*AG385+ABS(AH385)*AI385+ABS(AJ385)*AK385+ABS(AL385)*AM385+ABS(AN385)*AO385+ABS(AP385)*AQ385+ABS(AR385)*AS385+ABS(AT385)*AU385+ABS(AV385)*AW385+ABS(AX385)*AY385+ABS(AZ385)*BA385+ABS(BB385)*BC385)/BH385)</f>
        <v>0</v>
      </c>
      <c r="BG385" s="103" t="n">
        <f aca="false">O385</f>
        <v>38899</v>
      </c>
      <c r="BH385" s="323" t="n">
        <f aca="false">(ABS(P385)+ABS(R385)+ABS(T385)+ABS(V385)+ABS(X385)+ABS(Z385)+ABS(AB385)+ABS(AD385)+ABS(AF385)+ABS(AH385)+ABS(AJ385)+ABS(AL385)+ABS(AN385)+ABS(AP385)+ABS(AR385)+ABS(AT385)+ABS(AV385)+ABS(AX385)+ABS(AZ385)+ABS(BB385))</f>
        <v>0</v>
      </c>
      <c r="BI385" s="104" t="n">
        <f aca="false">VLOOKUP(GasPosn!A385,'Pricing Summary'!$AB$12:$AD$250,3)</f>
        <v>31</v>
      </c>
      <c r="BJ385" s="102" t="n">
        <f aca="false">VLOOKUP(A385,Interest!$AF$8:$AK$367,6)</f>
        <v>0.808856088364466</v>
      </c>
      <c r="BL385" s="0" t="n">
        <f aca="false">H385/VLOOKUP(A385,NymexData!$J$12:$K$128,2)</f>
        <v>-3045.15791189643</v>
      </c>
      <c r="BM385" s="0" t="n">
        <f aca="false">I385/VLOOKUP(A385,NymexData!$J$12:$K$128,2)</f>
        <v>0</v>
      </c>
      <c r="BO385" s="0" t="n">
        <f aca="false">BO68</f>
        <v>0.808856088364466</v>
      </c>
      <c r="BP385" s="0" t="n">
        <f aca="false">G385*BO385</f>
        <v>4.07832057446188</v>
      </c>
      <c r="BQ385" s="0" t="n">
        <f aca="false">IF(AND(A385&gt;=$B$320,A385&lt;=$B$321),1,0)</f>
        <v>1</v>
      </c>
      <c r="BR385" s="0" t="n">
        <f aca="false">BO385*BQ385</f>
        <v>0.808856088364466</v>
      </c>
      <c r="BS385" s="0" t="n">
        <f aca="false">BP385*BQ385</f>
        <v>4.07832057446188</v>
      </c>
    </row>
    <row r="386" customFormat="false" ht="18" hidden="false" customHeight="false" outlineLevel="0" collapsed="false">
      <c r="A386" s="112" t="n">
        <f aca="false">A69</f>
        <v>38930</v>
      </c>
      <c r="B386" s="324" t="n">
        <f aca="false" t="array" ref="B386:B386">SUM(IF(MONTH(NymexData!$AO$12:$AO$250)&amp;YEAR(NymexData!$AO$12:$AO$250)=MONTH(A386)&amp;YEAR(A386),NymexData!$AP$12:$AP$250))</f>
        <v>6.890759081556</v>
      </c>
      <c r="C386" s="325" t="n">
        <f aca="false">BD386*BJ386*BI386</f>
        <v>0</v>
      </c>
      <c r="D386" s="326" t="n">
        <f aca="false">C386+B386</f>
        <v>6.890759081556</v>
      </c>
      <c r="E386" s="327" t="n">
        <f aca="false" t="array" ref="E386:E386">SUM(IF(MONTH(NymexData!$A$12:$A$250)&amp;YEAR(NymexData!$A$12:$A$250)=MONTH(A386)&amp;YEAR(A386),NymexData!$F$12:$F$250))</f>
        <v>5.17018277895524</v>
      </c>
      <c r="F386" s="327" t="n">
        <f aca="false">G386-E386</f>
        <v>-0.0694784610342705</v>
      </c>
      <c r="G386" s="328" t="n">
        <f aca="false" t="array" ref="G386:G386">IF(NymexData!$H$12="",GasPosn!E386,SUM(IF(MONTH(NymexData!$H$12:$H$250)&amp;YEAR(NymexData!$H$12:$H$250)=MONTH(A386)&amp;YEAR(A386),NymexData!$L$12:$L$250)))</f>
        <v>5.10070431792097</v>
      </c>
      <c r="H386" s="115" t="n">
        <f aca="false">B386*10000*F386</f>
        <v>-4787.59336344434</v>
      </c>
      <c r="I386" s="119" t="n">
        <f aca="false">(((G386-Q386)*P386+(G386-S386)*R386+(G386-U386)*T386+(G386-W386)*V386+(G386-Y386)*X386+(G386-AA386)*Z386+(G386-AC386)*AB386+(G386-AE386)*AD386+(G386-AG386)*AF386+(G386-AI386)*AH386+(G386-AK386)*AJ386+(G386-AM386)*AL386+(G386-AO386)*AN386+(G386-AQ386)*AP386+(G386-AS386)*AR386+(G386-AU386)*AT386+(G386-AW386)*AV386+(G386-AY386)*AX386+(G386-BA386)*AZ386+(G386-BC386)*BB386)*BJ386*BI386)*10000</f>
        <v>0</v>
      </c>
      <c r="J386" s="119" t="n">
        <f aca="false">H386+I386</f>
        <v>-4787.59336344434</v>
      </c>
      <c r="O386" s="95" t="n">
        <f aca="false">A386</f>
        <v>38930</v>
      </c>
      <c r="BD386" s="100" t="n">
        <f aca="false">(P386+R386+T386+V386+X386+Z386+AB386+AD386+AF386+AH386+AJ386+AL386+AN386+AP386+AR386+AT386+AV386+AX386+AZ386+BB386)</f>
        <v>0</v>
      </c>
      <c r="BE386" s="322" t="n">
        <f aca="false">IF(AND(BD386=0,BH386=0),0,(ABS(P386)*Q386+ABS(R386)*S386+ABS(T386)*U386+ABS(V386)*W386+ABS(X386)*Y386+ABS(Z386)*AA386+ABS(AB386)*AC386+ABS(AD386)*AE386+ABS(AF386)*AG386+ABS(AH386)*AI386+ABS(AJ386)*AK386+ABS(AL386)*AM386+ABS(AN386)*AO386+ABS(AP386)*AQ386+ABS(AR386)*AS386+ABS(AT386)*AU386+ABS(AV386)*AW386+ABS(AX386)*AY386+ABS(AZ386)*BA386+ABS(BB386)*BC386)/BH386)</f>
        <v>0</v>
      </c>
      <c r="BG386" s="103" t="n">
        <f aca="false">O386</f>
        <v>38930</v>
      </c>
      <c r="BH386" s="323" t="n">
        <f aca="false">(ABS(P386)+ABS(R386)+ABS(T386)+ABS(V386)+ABS(X386)+ABS(Z386)+ABS(AB386)+ABS(AD386)+ABS(AF386)+ABS(AH386)+ABS(AJ386)+ABS(AL386)+ABS(AN386)+ABS(AP386)+ABS(AR386)+ABS(AT386)+ABS(AV386)+ABS(AX386)+ABS(AZ386)+ABS(BB386))</f>
        <v>0</v>
      </c>
      <c r="BI386" s="104" t="n">
        <f aca="false">VLOOKUP(GasPosn!A386,'Pricing Summary'!$AB$12:$AD$250,3)</f>
        <v>31</v>
      </c>
      <c r="BJ386" s="102" t="n">
        <f aca="false">VLOOKUP(A386,Interest!$AF$8:$AK$367,6)</f>
        <v>0.804813390873511</v>
      </c>
      <c r="BL386" s="0" t="n">
        <f aca="false">H386/VLOOKUP(A386,NymexData!$J$12:$K$128,2)</f>
        <v>-3037.65685670866</v>
      </c>
      <c r="BM386" s="0" t="n">
        <f aca="false">I386/VLOOKUP(A386,NymexData!$J$12:$K$128,2)</f>
        <v>0</v>
      </c>
      <c r="BO386" s="0" t="n">
        <f aca="false">BO69</f>
        <v>0.804813390873511</v>
      </c>
      <c r="BP386" s="0" t="n">
        <f aca="false">G386*BO386</f>
        <v>4.10511513794913</v>
      </c>
      <c r="BQ386" s="0" t="n">
        <f aca="false">IF(AND(A386&gt;=$B$320,A386&lt;=$B$321),1,0)</f>
        <v>1</v>
      </c>
      <c r="BR386" s="0" t="n">
        <f aca="false">BO386*BQ386</f>
        <v>0.804813390873511</v>
      </c>
      <c r="BS386" s="0" t="n">
        <f aca="false">BP386*BQ386</f>
        <v>4.10511513794913</v>
      </c>
    </row>
    <row r="387" customFormat="false" ht="18" hidden="false" customHeight="false" outlineLevel="0" collapsed="false">
      <c r="A387" s="75" t="n">
        <f aca="false">A70</f>
        <v>38961</v>
      </c>
      <c r="B387" s="317" t="n">
        <f aca="false" t="array" ref="B387:B387">SUM(IF(MONTH(NymexData!$AO$12:$AO$250)&amp;YEAR(NymexData!$AO$12:$AO$250)=MONTH(A387)&amp;YEAR(A387),NymexData!$AP$12:$AP$250))</f>
        <v>6.63209908753</v>
      </c>
      <c r="C387" s="317" t="n">
        <f aca="false">BD387*BJ387*BI387</f>
        <v>0</v>
      </c>
      <c r="D387" s="319" t="n">
        <f aca="false">C387+B387</f>
        <v>6.63209908753</v>
      </c>
      <c r="E387" s="320" t="n">
        <f aca="false" t="array" ref="E387:E387">SUM(IF(MONTH(NymexData!$A$12:$A$250)&amp;YEAR(NymexData!$A$12:$A$250)=MONTH(A387)&amp;YEAR(A387),NymexData!$F$12:$F$250))</f>
        <v>5.16350576207311</v>
      </c>
      <c r="F387" s="320" t="n">
        <f aca="false">G387-E387</f>
        <v>-0.0698310298771601</v>
      </c>
      <c r="G387" s="321" t="n">
        <f aca="false" t="array" ref="G387:G387">IF(NymexData!$H$12="",GasPosn!E387,SUM(IF(MONTH(NymexData!$H$12:$H$250)&amp;YEAR(NymexData!$H$12:$H$250)=MONTH(A387)&amp;YEAR(A387),NymexData!$L$12:$L$250)))</f>
        <v>5.09367473219595</v>
      </c>
      <c r="H387" s="76" t="n">
        <f aca="false">B387*10000*F387</f>
        <v>-4631.26309529593</v>
      </c>
      <c r="I387" s="82" t="n">
        <f aca="false">(((G387-Q387)*P387+(G387-S387)*R387+(G387-U387)*T387+(G387-W387)*V387+(G387-Y387)*X387+(G387-AA387)*Z387+(G387-AC387)*AB387+(G387-AE387)*AD387+(G387-AG387)*AF387+(G387-AI387)*AH387+(G387-AK387)*AJ387+(G387-AM387)*AL387+(G387-AO387)*AN387+(G387-AQ387)*AP387+(G387-AS387)*AR387+(G387-AU387)*AT387+(G387-AW387)*AV387+(G387-AY387)*AX387+(G387-BA387)*AZ387+(G387-BC387)*BB387)*BJ387*BI387)*10000</f>
        <v>0</v>
      </c>
      <c r="J387" s="82" t="n">
        <f aca="false">H387+I387</f>
        <v>-4631.26309529593</v>
      </c>
      <c r="O387" s="95" t="n">
        <f aca="false">A387</f>
        <v>38961</v>
      </c>
      <c r="BD387" s="100" t="n">
        <f aca="false">(P387+R387+T387+V387+X387+Z387+AB387+AD387+AF387+AH387+AJ387+AL387+AN387+AP387+AR387+AT387+AV387+AX387+AZ387+BB387)</f>
        <v>0</v>
      </c>
      <c r="BE387" s="322" t="n">
        <f aca="false">IF(AND(BD387=0,BH387=0),0,(ABS(P387)*Q387+ABS(R387)*S387+ABS(T387)*U387+ABS(V387)*W387+ABS(X387)*Y387+ABS(Z387)*AA387+ABS(AB387)*AC387+ABS(AD387)*AE387+ABS(AF387)*AG387+ABS(AH387)*AI387+ABS(AJ387)*AK387+ABS(AL387)*AM387+ABS(AN387)*AO387+ABS(AP387)*AQ387+ABS(AR387)*AS387+ABS(AT387)*AU387+ABS(AV387)*AW387+ABS(AX387)*AY387+ABS(AZ387)*BA387+ABS(BB387)*BC387)/BH387)</f>
        <v>0</v>
      </c>
      <c r="BG387" s="103" t="n">
        <f aca="false">O387</f>
        <v>38961</v>
      </c>
      <c r="BH387" s="323" t="n">
        <f aca="false">(ABS(P387)+ABS(R387)+ABS(T387)+ABS(V387)+ABS(X387)+ABS(Z387)+ABS(AB387)+ABS(AD387)+ABS(AF387)+ABS(AH387)+ABS(AJ387)+ABS(AL387)+ABS(AN387)+ABS(AP387)+ABS(AR387)+ABS(AT387)+ABS(AV387)+ABS(AX387)+ABS(AZ387)+ABS(BB387))</f>
        <v>0</v>
      </c>
      <c r="BI387" s="104" t="n">
        <f aca="false">VLOOKUP(GasPosn!A387,'Pricing Summary'!$AB$12:$AD$250,3)</f>
        <v>30</v>
      </c>
      <c r="BJ387" s="102" t="n">
        <f aca="false">VLOOKUP(A387,Interest!$AF$8:$AK$367,6)</f>
        <v>0.800854779478237</v>
      </c>
      <c r="BL387" s="0" t="n">
        <f aca="false">H387/VLOOKUP(A387,NymexData!$J$12:$K$128,2)</f>
        <v>-2937.35225486365</v>
      </c>
      <c r="BM387" s="0" t="n">
        <f aca="false">I387/VLOOKUP(A387,NymexData!$J$12:$K$128,2)</f>
        <v>0</v>
      </c>
      <c r="BO387" s="0" t="n">
        <f aca="false">BO70</f>
        <v>0.800854779478237</v>
      </c>
      <c r="BP387" s="0" t="n">
        <f aca="false">G387*BO387</f>
        <v>4.07929375438665</v>
      </c>
      <c r="BQ387" s="0" t="n">
        <f aca="false">IF(AND(A387&gt;=$B$320,A387&lt;=$B$321),1,0)</f>
        <v>1</v>
      </c>
      <c r="BR387" s="0" t="n">
        <f aca="false">BO387*BQ387</f>
        <v>0.800854779478237</v>
      </c>
      <c r="BS387" s="0" t="n">
        <f aca="false">BP387*BQ387</f>
        <v>4.07929375438665</v>
      </c>
    </row>
    <row r="388" customFormat="false" ht="18" hidden="false" customHeight="false" outlineLevel="0" collapsed="false">
      <c r="A388" s="112" t="n">
        <f aca="false">A71</f>
        <v>38991</v>
      </c>
      <c r="B388" s="324" t="n">
        <f aca="false" t="array" ref="B388:B388">SUM(IF(MONTH(NymexData!$AO$12:$AO$250)&amp;YEAR(NymexData!$AO$12:$AO$250)=MONTH(A388)&amp;YEAR(A388),NymexData!$AP$12:$AP$250))</f>
        <v>6.816610289622</v>
      </c>
      <c r="C388" s="325" t="n">
        <f aca="false">BD388*BJ388*BI388</f>
        <v>0</v>
      </c>
      <c r="D388" s="326" t="n">
        <f aca="false">C388+B388</f>
        <v>6.816610289622</v>
      </c>
      <c r="E388" s="327" t="n">
        <f aca="false" t="array" ref="E388:E388">SUM(IF(MONTH(NymexData!$A$12:$A$250)&amp;YEAR(NymexData!$A$12:$A$250)=MONTH(A388)&amp;YEAR(A388),NymexData!$F$12:$F$250))</f>
        <v>5.16577817491802</v>
      </c>
      <c r="F388" s="327" t="n">
        <f aca="false">G388-E388</f>
        <v>-0.0701736773967063</v>
      </c>
      <c r="G388" s="328" t="n">
        <f aca="false" t="array" ref="G388:G388">IF(NymexData!$H$12="",GasPosn!E388,SUM(IF(MONTH(NymexData!$H$12:$H$250)&amp;YEAR(NymexData!$H$12:$H$250)=MONTH(A388)&amp;YEAR(A388),NymexData!$L$12:$L$250)))</f>
        <v>5.09560449752132</v>
      </c>
      <c r="H388" s="115" t="n">
        <f aca="false">B388*10000*F388</f>
        <v>-4783.46611403003</v>
      </c>
      <c r="I388" s="119" t="n">
        <f aca="false">(((G388-Q388)*P388+(G388-S388)*R388+(G388-U388)*T388+(G388-W388)*V388+(G388-Y388)*X388+(G388-AA388)*Z388+(G388-AC388)*AB388+(G388-AE388)*AD388+(G388-AG388)*AF388+(G388-AI388)*AH388+(G388-AK388)*AJ388+(G388-AM388)*AL388+(G388-AO388)*AN388+(G388-AQ388)*AP388+(G388-AS388)*AR388+(G388-AU388)*AT388+(G388-AW388)*AV388+(G388-AY388)*AX388+(G388-BA388)*AZ388+(G388-BC388)*BB388)*BJ388*BI388)*10000</f>
        <v>0</v>
      </c>
      <c r="J388" s="119" t="n">
        <f aca="false">H388+I388</f>
        <v>-4783.46611403003</v>
      </c>
      <c r="O388" s="95" t="n">
        <f aca="false">A388</f>
        <v>38991</v>
      </c>
      <c r="BD388" s="100" t="n">
        <f aca="false">(P388+R388+T388+V388+X388+Z388+AB388+AD388+AF388+AH388+AJ388+AL388+AN388+AP388+AR388+AT388+AV388+AX388+AZ388+BB388)</f>
        <v>0</v>
      </c>
      <c r="BE388" s="322" t="n">
        <f aca="false">IF(AND(BD388=0,BH388=0),0,(ABS(P388)*Q388+ABS(R388)*S388+ABS(T388)*U388+ABS(V388)*W388+ABS(X388)*Y388+ABS(Z388)*AA388+ABS(AB388)*AC388+ABS(AD388)*AE388+ABS(AF388)*AG388+ABS(AH388)*AI388+ABS(AJ388)*AK388+ABS(AL388)*AM388+ABS(AN388)*AO388+ABS(AP388)*AQ388+ABS(AR388)*AS388+ABS(AT388)*AU388+ABS(AV388)*AW388+ABS(AX388)*AY388+ABS(AZ388)*BA388+ABS(BB388)*BC388)/BH388)</f>
        <v>0</v>
      </c>
      <c r="BG388" s="103" t="n">
        <f aca="false">O388</f>
        <v>38991</v>
      </c>
      <c r="BH388" s="323" t="n">
        <f aca="false">(ABS(P388)+ABS(R388)+ABS(T388)+ABS(V388)+ABS(X388)+ABS(Z388)+ABS(AB388)+ABS(AD388)+ABS(AF388)+ABS(AH388)+ABS(AJ388)+ABS(AL388)+ABS(AN388)+ABS(AP388)+ABS(AR388)+ABS(AT388)+ABS(AV388)+ABS(AX388)+ABS(AZ388)+ABS(BB388))</f>
        <v>0</v>
      </c>
      <c r="BI388" s="104" t="n">
        <f aca="false">VLOOKUP(GasPosn!A388,'Pricing Summary'!$AB$12:$AD$250,3)</f>
        <v>31</v>
      </c>
      <c r="BJ388" s="102" t="n">
        <f aca="false">VLOOKUP(A388,Interest!$AF$8:$AK$367,6)</f>
        <v>0.796816805901599</v>
      </c>
      <c r="BL388" s="0" t="n">
        <f aca="false">H388/VLOOKUP(A388,NymexData!$J$12:$K$128,2)</f>
        <v>-3032.73718473309</v>
      </c>
      <c r="BM388" s="0" t="n">
        <f aca="false">I388/VLOOKUP(A388,NymexData!$J$12:$K$128,2)</f>
        <v>0</v>
      </c>
      <c r="BO388" s="0" t="n">
        <f aca="false">BO71</f>
        <v>0.796816805901599</v>
      </c>
      <c r="BP388" s="0" t="n">
        <f aca="false">G388*BO388</f>
        <v>4.06026329985276</v>
      </c>
      <c r="BQ388" s="0" t="n">
        <f aca="false">IF(AND(A388&gt;=$B$320,A388&lt;=$B$321),1,0)</f>
        <v>1</v>
      </c>
      <c r="BR388" s="0" t="n">
        <f aca="false">BO388*BQ388</f>
        <v>0.796816805901599</v>
      </c>
      <c r="BS388" s="0" t="n">
        <f aca="false">BP388*BQ388</f>
        <v>4.06026329985276</v>
      </c>
    </row>
    <row r="389" customFormat="false" ht="18" hidden="false" customHeight="false" outlineLevel="0" collapsed="false">
      <c r="A389" s="75" t="n">
        <f aca="false">A72</f>
        <v>39022</v>
      </c>
      <c r="B389" s="317" t="n">
        <f aca="false" t="array" ref="B389:B389">SUM(IF(MONTH(NymexData!$AO$12:$AO$250)&amp;YEAR(NymexData!$AO$12:$AO$250)=MONTH(A389)&amp;YEAR(A389),NymexData!$AP$12:$AP$250))</f>
        <v>6.561363190704</v>
      </c>
      <c r="C389" s="317" t="n">
        <f aca="false">BD389*BJ389*BI389</f>
        <v>0</v>
      </c>
      <c r="D389" s="319" t="n">
        <f aca="false">C389+B389</f>
        <v>6.561363190704</v>
      </c>
      <c r="E389" s="320" t="n">
        <f aca="false" t="array" ref="E389:E389">SUM(IF(MONTH(NymexData!$A$12:$A$250)&amp;YEAR(NymexData!$A$12:$A$250)=MONTH(A389)&amp;YEAR(A389),NymexData!$F$12:$F$250))</f>
        <v>5.44819387111297</v>
      </c>
      <c r="F389" s="320" t="n">
        <f aca="false">G389-E389</f>
        <v>-0.0687560933988856</v>
      </c>
      <c r="G389" s="321" t="n">
        <f aca="false" t="array" ref="G389:G389">IF(NymexData!$H$12="",GasPosn!E389,SUM(IF(MONTH(NymexData!$H$12:$H$250)&amp;YEAR(NymexData!$H$12:$H$250)=MONTH(A389)&amp;YEAR(A389),NymexData!$L$12:$L$250)))</f>
        <v>5.37943777771408</v>
      </c>
      <c r="H389" s="76" t="n">
        <f aca="false">B389*10000*F389</f>
        <v>-4511.33700364054</v>
      </c>
      <c r="I389" s="82" t="n">
        <f aca="false">(((G389-Q389)*P389+(G389-S389)*R389+(G389-U389)*T389+(G389-W389)*V389+(G389-Y389)*X389+(G389-AA389)*Z389+(G389-AC389)*AB389+(G389-AE389)*AD389+(G389-AG389)*AF389+(G389-AI389)*AH389+(G389-AK389)*AJ389+(G389-AM389)*AL389+(G389-AO389)*AN389+(G389-AQ389)*AP389+(G389-AS389)*AR389+(G389-AU389)*AT389+(G389-AW389)*AV389+(G389-AY389)*AX389+(G389-BA389)*AZ389+(G389-BC389)*BB389)*BJ389*BI389)*10000</f>
        <v>0</v>
      </c>
      <c r="J389" s="82" t="n">
        <f aca="false">H389+I389</f>
        <v>-4511.33700364054</v>
      </c>
      <c r="O389" s="95" t="n">
        <f aca="false">A389</f>
        <v>39022</v>
      </c>
      <c r="BD389" s="100" t="n">
        <f aca="false">(P389+R389+T389+V389+X389+Z389+AB389+AD389+AF389+AH389+AJ389+AL389+AN389+AP389+AR389+AT389+AV389+AX389+AZ389+BB389)</f>
        <v>0</v>
      </c>
      <c r="BE389" s="322" t="n">
        <f aca="false">IF(AND(BD389=0,BH389=0),0,(ABS(P389)*Q389+ABS(R389)*S389+ABS(T389)*U389+ABS(V389)*W389+ABS(X389)*Y389+ABS(Z389)*AA389+ABS(AB389)*AC389+ABS(AD389)*AE389+ABS(AF389)*AG389+ABS(AH389)*AI389+ABS(AJ389)*AK389+ABS(AL389)*AM389+ABS(AN389)*AO389+ABS(AP389)*AQ389+ABS(AR389)*AS389+ABS(AT389)*AU389+ABS(AV389)*AW389+ABS(AX389)*AY389+ABS(AZ389)*BA389+ABS(BB389)*BC389)/BH389)</f>
        <v>0</v>
      </c>
      <c r="BG389" s="103" t="n">
        <f aca="false">O389</f>
        <v>39022</v>
      </c>
      <c r="BH389" s="323" t="n">
        <f aca="false">(ABS(P389)+ABS(R389)+ABS(T389)+ABS(V389)+ABS(X389)+ABS(Z389)+ABS(AB389)+ABS(AD389)+ABS(AF389)+ABS(AH389)+ABS(AJ389)+ABS(AL389)+ABS(AN389)+ABS(AP389)+ABS(AR389)+ABS(AT389)+ABS(AV389)+ABS(AX389)+ABS(AZ389)+ABS(BB389))</f>
        <v>0</v>
      </c>
      <c r="BI389" s="104" t="n">
        <f aca="false">VLOOKUP(GasPosn!A389,'Pricing Summary'!$AB$12:$AD$250,3)</f>
        <v>30</v>
      </c>
      <c r="BJ389" s="102" t="n">
        <f aca="false">VLOOKUP(A389,Interest!$AF$8:$AK$367,6)</f>
        <v>0.79288469694292</v>
      </c>
      <c r="BL389" s="0" t="n">
        <f aca="false">H389/VLOOKUP(A389,NymexData!$J$12:$K$128,2)</f>
        <v>-2859.52352121486</v>
      </c>
      <c r="BM389" s="0" t="n">
        <f aca="false">I389/VLOOKUP(A389,NymexData!$J$12:$K$128,2)</f>
        <v>0</v>
      </c>
      <c r="BO389" s="0" t="n">
        <f aca="false">BO72</f>
        <v>0.79288469694292</v>
      </c>
      <c r="BP389" s="0" t="n">
        <f aca="false">G389*BO389</f>
        <v>4.26527389210613</v>
      </c>
      <c r="BQ389" s="0" t="n">
        <f aca="false">IF(AND(A389&gt;=$B$320,A389&lt;=$B$321),1,0)</f>
        <v>1</v>
      </c>
      <c r="BR389" s="0" t="n">
        <f aca="false">BO389*BQ389</f>
        <v>0.79288469694292</v>
      </c>
      <c r="BS389" s="0" t="n">
        <f aca="false">BP389*BQ389</f>
        <v>4.26527389210613</v>
      </c>
    </row>
    <row r="390" customFormat="false" ht="18" hidden="false" customHeight="false" outlineLevel="0" collapsed="false">
      <c r="A390" s="112" t="n">
        <f aca="false">A73</f>
        <v>39052</v>
      </c>
      <c r="B390" s="324" t="n">
        <f aca="false" t="array" ref="B390:B390">SUM(IF(MONTH(NymexData!$AO$12:$AO$250)&amp;YEAR(NymexData!$AO$12:$AO$250)=MONTH(A390)&amp;YEAR(A390),NymexData!$AP$12:$AP$250))</f>
        <v>6.748586058074</v>
      </c>
      <c r="C390" s="325" t="n">
        <f aca="false">BD390*BJ390*BI390</f>
        <v>0</v>
      </c>
      <c r="D390" s="326" t="n">
        <f aca="false">C390+B390</f>
        <v>6.748586058074</v>
      </c>
      <c r="E390" s="327" t="n">
        <f aca="false" t="array" ref="E390:E390">SUM(IF(MONTH(NymexData!$A$12:$A$250)&amp;YEAR(NymexData!$A$12:$A$250)=MONTH(A390)&amp;YEAR(A390),NymexData!$F$12:$F$250))</f>
        <v>5.67518050029598</v>
      </c>
      <c r="F390" s="327" t="n">
        <f aca="false">G390-E390</f>
        <v>-0.0684621700089263</v>
      </c>
      <c r="G390" s="328" t="n">
        <f aca="false" t="array" ref="G390:G390">IF(NymexData!$H$12="",GasPosn!E390,SUM(IF(MONTH(NymexData!$H$12:$H$250)&amp;YEAR(NymexData!$H$12:$H$250)=MONTH(A390)&amp;YEAR(A390),NymexData!$L$12:$L$250)))</f>
        <v>5.60671833028705</v>
      </c>
      <c r="H390" s="115" t="n">
        <f aca="false">B390*10000*F390</f>
        <v>-4620.22846027732</v>
      </c>
      <c r="I390" s="119" t="n">
        <f aca="false">(((G390-Q390)*P390+(G390-S390)*R390+(G390-U390)*T390+(G390-W390)*V390+(G390-Y390)*X390+(G390-AA390)*Z390+(G390-AC390)*AB390+(G390-AE390)*AD390+(G390-AG390)*AF390+(G390-AI390)*AH390+(G390-AK390)*AJ390+(G390-AM390)*AL390+(G390-AO390)*AN390+(G390-AQ390)*AP390+(G390-AS390)*AR390+(G390-AU390)*AT390+(G390-AW390)*AV390+(G390-AY390)*AX390+(G390-BA390)*AZ390+(G390-BC390)*BB390)*BJ390*BI390)*10000</f>
        <v>0</v>
      </c>
      <c r="J390" s="119" t="n">
        <f aca="false">H390+I390</f>
        <v>-4620.22846027732</v>
      </c>
      <c r="O390" s="95" t="n">
        <f aca="false">A390</f>
        <v>39052</v>
      </c>
      <c r="BD390" s="100" t="n">
        <f aca="false">(P390+R390+T390+V390+X390+Z390+AB390+AD390+AF390+AH390+AJ390+AL390+AN390+AP390+AR390+AT390+AV390+AX390+AZ390+BB390)</f>
        <v>0</v>
      </c>
      <c r="BE390" s="322" t="n">
        <f aca="false">IF(AND(BD390=0,BH390=0),0,(ABS(P390)*Q390+ABS(R390)*S390+ABS(T390)*U390+ABS(V390)*W390+ABS(X390)*Y390+ABS(Z390)*AA390+ABS(AB390)*AC390+ABS(AD390)*AE390+ABS(AF390)*AG390+ABS(AH390)*AI390+ABS(AJ390)*AK390+ABS(AL390)*AM390+ABS(AN390)*AO390+ABS(AP390)*AQ390+ABS(AR390)*AS390+ABS(AT390)*AU390+ABS(AV390)*AW390+ABS(AX390)*AY390+ABS(AZ390)*BA390+ABS(BB390)*BC390)/BH390)</f>
        <v>0</v>
      </c>
      <c r="BG390" s="103" t="n">
        <f aca="false">O390</f>
        <v>39052</v>
      </c>
      <c r="BH390" s="323" t="n">
        <f aca="false">(ABS(P390)+ABS(R390)+ABS(T390)+ABS(V390)+ABS(X390)+ABS(Z390)+ABS(AB390)+ABS(AD390)+ABS(AF390)+ABS(AH390)+ABS(AJ390)+ABS(AL390)+ABS(AN390)+ABS(AP390)+ABS(AR390)+ABS(AT390)+ABS(AV390)+ABS(AX390)+ABS(AZ390)+ABS(BB390))</f>
        <v>0</v>
      </c>
      <c r="BI390" s="104" t="n">
        <f aca="false">VLOOKUP(GasPosn!A390,'Pricing Summary'!$AB$12:$AD$250,3)</f>
        <v>31</v>
      </c>
      <c r="BJ390" s="102" t="n">
        <f aca="false">VLOOKUP(A390,Interest!$AF$8:$AK$367,6)</f>
        <v>0.789092182819624</v>
      </c>
      <c r="BL390" s="0" t="n">
        <f aca="false">H390/VLOOKUP(A390,NymexData!$J$12:$K$128,2)</f>
        <v>-2928.5494298664</v>
      </c>
      <c r="BM390" s="0" t="n">
        <f aca="false">I390/VLOOKUP(A390,NymexData!$J$12:$K$128,2)</f>
        <v>0</v>
      </c>
      <c r="BO390" s="0" t="n">
        <f aca="false">BO73</f>
        <v>0.789092182819624</v>
      </c>
      <c r="BP390" s="0" t="n">
        <f aca="false">G390*BO390</f>
        <v>4.424217605701</v>
      </c>
      <c r="BQ390" s="0" t="n">
        <f aca="false">IF(AND(A390&gt;=$B$320,A390&lt;=$B$321),1,0)</f>
        <v>1</v>
      </c>
      <c r="BR390" s="0" t="n">
        <f aca="false">BO390*BQ390</f>
        <v>0.789092182819624</v>
      </c>
      <c r="BS390" s="0" t="n">
        <f aca="false">BP390*BQ390</f>
        <v>4.424217605701</v>
      </c>
    </row>
    <row r="391" customFormat="false" ht="18" hidden="false" customHeight="false" outlineLevel="0" collapsed="false">
      <c r="A391" s="75" t="n">
        <f aca="false">A74</f>
        <v>39083</v>
      </c>
      <c r="B391" s="317" t="n">
        <f aca="false" t="array" ref="B391:B391">SUM(IF(MONTH(NymexData!$AO$12:$AO$250)&amp;YEAR(NymexData!$AO$12:$AO$250)=MONTH(A391)&amp;YEAR(A391),NymexData!$AP$12:$AP$250))</f>
        <v>5.328505279594</v>
      </c>
      <c r="C391" s="317" t="n">
        <f aca="false">BD391*BJ391*BI391</f>
        <v>0</v>
      </c>
      <c r="D391" s="319" t="n">
        <f aca="false">C391+B391</f>
        <v>5.328505279594</v>
      </c>
      <c r="E391" s="320" t="n">
        <f aca="false" t="array" ref="E391:E391">SUM(IF(MONTH(NymexData!$A$12:$A$250)&amp;YEAR(NymexData!$A$12:$A$250)=MONTH(A391)&amp;YEAR(A391),NymexData!$F$12:$F$250))</f>
        <v>5.76478128577768</v>
      </c>
      <c r="F391" s="320" t="n">
        <f aca="false">G391-E391</f>
        <v>-0.0608860398128801</v>
      </c>
      <c r="G391" s="321" t="n">
        <f aca="false" t="array" ref="G391:G391">IF(NymexData!$H$12="",GasPosn!E391,SUM(IF(MONTH(NymexData!$H$12:$H$250)&amp;YEAR(NymexData!$H$12:$H$250)=MONTH(A391)&amp;YEAR(A391),NymexData!$L$12:$L$250)))</f>
        <v>5.7038952459648</v>
      </c>
      <c r="H391" s="76" t="n">
        <f aca="false">B391*10000*F391</f>
        <v>-3244.31584596502</v>
      </c>
      <c r="I391" s="82" t="n">
        <f aca="false">(((G391-Q391)*P391+(G391-S391)*R391+(G391-U391)*T391+(G391-W391)*V391+(G391-Y391)*X391+(G391-AA391)*Z391+(G391-AC391)*AB391+(G391-AE391)*AD391+(G391-AG391)*AF391+(G391-AI391)*AH391+(G391-AK391)*AJ391+(G391-AM391)*AL391+(G391-AO391)*AN391+(G391-AQ391)*AP391+(G391-AS391)*AR391+(G391-AU391)*AT391+(G391-AW391)*AV391+(G391-AY391)*AX391+(G391-BA391)*AZ391+(G391-BC391)*BB391)*BJ391*BI391)*10000</f>
        <v>0</v>
      </c>
      <c r="J391" s="82" t="n">
        <f aca="false">H391+I391</f>
        <v>-3244.31584596502</v>
      </c>
      <c r="O391" s="95" t="n">
        <f aca="false">A391</f>
        <v>39083</v>
      </c>
      <c r="BD391" s="100" t="n">
        <f aca="false">(P391+R391+T391+V391+X391+Z391+AB391+AD391+AF391+AH391+AJ391+AL391+AN391+AP391+AR391+AT391+AV391+AX391+AZ391+BB391)</f>
        <v>0</v>
      </c>
      <c r="BE391" s="322" t="n">
        <f aca="false">IF(AND(BD391=0,BH391=0),0,(ABS(P391)*Q391+ABS(R391)*S391+ABS(T391)*U391+ABS(V391)*W391+ABS(X391)*Y391+ABS(Z391)*AA391+ABS(AB391)*AC391+ABS(AD391)*AE391+ABS(AF391)*AG391+ABS(AH391)*AI391+ABS(AJ391)*AK391+ABS(AL391)*AM391+ABS(AN391)*AO391+ABS(AP391)*AQ391+ABS(AR391)*AS391+ABS(AT391)*AU391+ABS(AV391)*AW391+ABS(AX391)*AY391+ABS(AZ391)*BA391+ABS(BB391)*BC391)/BH391)</f>
        <v>0</v>
      </c>
      <c r="BG391" s="103" t="n">
        <f aca="false">O391</f>
        <v>39083</v>
      </c>
      <c r="BH391" s="323" t="n">
        <f aca="false">(ABS(P391)+ABS(R391)+ABS(T391)+ABS(V391)+ABS(X391)+ABS(Z391)+ABS(AB391)+ABS(AD391)+ABS(AF391)+ABS(AH391)+ABS(AJ391)+ABS(AL391)+ABS(AN391)+ABS(AP391)+ABS(AR391)+ABS(AT391)+ABS(AV391)+ABS(AX391)+ABS(AZ391)+ABS(BB391))</f>
        <v>0</v>
      </c>
      <c r="BI391" s="104" t="n">
        <f aca="false">VLOOKUP(GasPosn!A391,'Pricing Summary'!$AB$12:$AD$250,3)</f>
        <v>31</v>
      </c>
      <c r="BJ391" s="102" t="n">
        <f aca="false">VLOOKUP(A391,Interest!$AF$8:$AK$367,6)</f>
        <v>0.785268696455368</v>
      </c>
      <c r="BL391" s="0" t="n">
        <f aca="false">H391/VLOOKUP(A391,NymexData!$J$12:$K$128,2)</f>
        <v>-2056.4288802136</v>
      </c>
      <c r="BM391" s="0" t="n">
        <f aca="false">I391/VLOOKUP(A391,NymexData!$J$12:$K$128,2)</f>
        <v>0</v>
      </c>
      <c r="BO391" s="0" t="n">
        <f aca="false">BO74</f>
        <v>0.785268696455368</v>
      </c>
      <c r="BP391" s="0" t="n">
        <f aca="false">G391*BO391</f>
        <v>4.47909038451675</v>
      </c>
      <c r="BQ391" s="0" t="n">
        <f aca="false">IF(AND(A391&gt;=$B$320,A391&lt;=$B$321),1,0)</f>
        <v>0</v>
      </c>
      <c r="BR391" s="0" t="n">
        <f aca="false">BO391*BQ391</f>
        <v>0</v>
      </c>
      <c r="BS391" s="0" t="n">
        <f aca="false">BP391*BQ391</f>
        <v>0</v>
      </c>
    </row>
    <row r="392" customFormat="false" ht="18" hidden="false" customHeight="false" outlineLevel="0" collapsed="false">
      <c r="A392" s="112" t="n">
        <f aca="false">A75</f>
        <v>39114</v>
      </c>
      <c r="B392" s="324" t="n">
        <f aca="false" t="array" ref="B392:B392">SUM(IF(MONTH(NymexData!$AO$12:$AO$250)&amp;YEAR(NymexData!$AO$12:$AO$250)=MONTH(A392)&amp;YEAR(A392),NymexData!$AP$12:$AP$250))</f>
        <v>4.789456028742</v>
      </c>
      <c r="C392" s="325" t="n">
        <f aca="false">BD392*BJ392*BI392</f>
        <v>0</v>
      </c>
      <c r="D392" s="326" t="n">
        <f aca="false">C392+B392</f>
        <v>4.789456028742</v>
      </c>
      <c r="E392" s="327" t="n">
        <f aca="false" t="array" ref="E392:E392">SUM(IF(MONTH(NymexData!$A$12:$A$250)&amp;YEAR(NymexData!$A$12:$A$250)=MONTH(A392)&amp;YEAR(A392),NymexData!$F$12:$F$250))</f>
        <v>5.63486523513625</v>
      </c>
      <c r="F392" s="327" t="n">
        <f aca="false">G392-E392</f>
        <v>-0.0625863217553206</v>
      </c>
      <c r="G392" s="328" t="n">
        <f aca="false" t="array" ref="G392:G392">IF(NymexData!$H$12="",GasPosn!E392,SUM(IF(MONTH(NymexData!$H$12:$H$250)&amp;YEAR(NymexData!$H$12:$H$250)=MONTH(A392)&amp;YEAR(A392),NymexData!$L$12:$L$250)))</f>
        <v>5.57227891338093</v>
      </c>
      <c r="H392" s="115" t="n">
        <f aca="false">B392*10000*F392</f>
        <v>-2997.54436047807</v>
      </c>
      <c r="I392" s="119" t="n">
        <f aca="false">(((G392-Q392)*P392+(G392-S392)*R392+(G392-U392)*T392+(G392-W392)*V392+(G392-Y392)*X392+(G392-AA392)*Z392+(G392-AC392)*AB392+(G392-AE392)*AD392+(G392-AG392)*AF392+(G392-AI392)*AH392+(G392-AK392)*AJ392+(G392-AM392)*AL392+(G392-AO392)*AN392+(G392-AQ392)*AP392+(G392-AS392)*AR392+(G392-AU392)*AT392+(G392-AW392)*AV392+(G392-AY392)*AX392+(G392-BA392)*AZ392+(G392-BC392)*BB392)*BJ392*BI392)*10000</f>
        <v>0</v>
      </c>
      <c r="J392" s="119" t="n">
        <f aca="false">H392+I392</f>
        <v>-2997.54436047807</v>
      </c>
      <c r="O392" s="95" t="n">
        <f aca="false">A392</f>
        <v>39114</v>
      </c>
      <c r="BD392" s="100" t="n">
        <f aca="false">(P392+R392+T392+V392+X392+Z392+AB392+AD392+AF392+AH392+AJ392+AL392+AN392+AP392+AR392+AT392+AV392+AX392+AZ392+BB392)</f>
        <v>0</v>
      </c>
      <c r="BE392" s="322" t="n">
        <f aca="false">IF(AND(BD392=0,BH392=0),0,(ABS(P392)*Q392+ABS(R392)*S392+ABS(T392)*U392+ABS(V392)*W392+ABS(X392)*Y392+ABS(Z392)*AA392+ABS(AB392)*AC392+ABS(AD392)*AE392+ABS(AF392)*AG392+ABS(AH392)*AI392+ABS(AJ392)*AK392+ABS(AL392)*AM392+ABS(AN392)*AO392+ABS(AP392)*AQ392+ABS(AR392)*AS392+ABS(AT392)*AU392+ABS(AV392)*AW392+ABS(AX392)*AY392+ABS(AZ392)*BA392+ABS(BB392)*BC392)/BH392)</f>
        <v>0</v>
      </c>
      <c r="BG392" s="103" t="n">
        <f aca="false">O392</f>
        <v>39114</v>
      </c>
      <c r="BH392" s="323" t="n">
        <f aca="false">(ABS(P392)+ABS(R392)+ABS(T392)+ABS(V392)+ABS(X392)+ABS(Z392)+ABS(AB392)+ABS(AD392)+ABS(AF392)+ABS(AH392)+ABS(AJ392)+ABS(AL392)+ABS(AN392)+ABS(AP392)+ABS(AR392)+ABS(AT392)+ABS(AV392)+ABS(AX392)+ABS(AZ392)+ABS(BB392))</f>
        <v>0</v>
      </c>
      <c r="BI392" s="104" t="n">
        <f aca="false">VLOOKUP(GasPosn!A392,'Pricing Summary'!$AB$12:$AD$250,3)</f>
        <v>28</v>
      </c>
      <c r="BJ392" s="102" t="n">
        <f aca="false">VLOOKUP(A392,Interest!$AF$8:$AK$367,6)</f>
        <v>0.781734016081202</v>
      </c>
      <c r="BL392" s="0" t="n">
        <f aca="false">H392/VLOOKUP(A392,NymexData!$J$12:$K$128,2)</f>
        <v>-1900.02093648324</v>
      </c>
      <c r="BM392" s="0" t="n">
        <f aca="false">I392/VLOOKUP(A392,NymexData!$J$12:$K$128,2)</f>
        <v>0</v>
      </c>
      <c r="BO392" s="0" t="n">
        <f aca="false">BO75</f>
        <v>0.781734016081202</v>
      </c>
      <c r="BP392" s="0" t="n">
        <f aca="false">G392*BO392</f>
        <v>4.35603997368187</v>
      </c>
      <c r="BQ392" s="0" t="n">
        <f aca="false">IF(AND(A392&gt;=$B$320,A392&lt;=$B$321),1,0)</f>
        <v>0</v>
      </c>
      <c r="BR392" s="0" t="n">
        <f aca="false">BO392*BQ392</f>
        <v>0</v>
      </c>
      <c r="BS392" s="0" t="n">
        <f aca="false">BP392*BQ392</f>
        <v>0</v>
      </c>
    </row>
    <row r="393" customFormat="false" ht="18" hidden="false" customHeight="false" outlineLevel="0" collapsed="false">
      <c r="A393" s="75" t="n">
        <f aca="false">A76</f>
        <v>39142</v>
      </c>
      <c r="B393" s="317" t="n">
        <f aca="false" t="array" ref="B393:B393">SUM(IF(MONTH(NymexData!$AO$12:$AO$250)&amp;YEAR(NymexData!$AO$12:$AO$250)=MONTH(A393)&amp;YEAR(A393),NymexData!$AP$12:$AP$250))</f>
        <v>5.279193577182</v>
      </c>
      <c r="C393" s="317" t="n">
        <f aca="false">BD393*BJ393*BI393</f>
        <v>0</v>
      </c>
      <c r="D393" s="319" t="n">
        <f aca="false">C393+B393</f>
        <v>5.279193577182</v>
      </c>
      <c r="E393" s="320" t="n">
        <f aca="false" t="array" ref="E393:E393">SUM(IF(MONTH(NymexData!$A$12:$A$250)&amp;YEAR(NymexData!$A$12:$A$250)=MONTH(A393)&amp;YEAR(A393),NymexData!$F$12:$F$250))</f>
        <v>5.42729452184165</v>
      </c>
      <c r="F393" s="320" t="n">
        <f aca="false">G393-E393</f>
        <v>-0.0628963599101517</v>
      </c>
      <c r="G393" s="321" t="n">
        <f aca="false" t="array" ref="G393:G393">IF(NymexData!$H$12="",GasPosn!E393,SUM(IF(MONTH(NymexData!$H$12:$H$250)&amp;YEAR(NymexData!$H$12:$H$250)=MONTH(A393)&amp;YEAR(A393),NymexData!$L$12:$L$250)))</f>
        <v>5.3643981619315</v>
      </c>
      <c r="H393" s="76" t="n">
        <f aca="false">B393*10000*F393</f>
        <v>-3320.42059265801</v>
      </c>
      <c r="I393" s="82" t="n">
        <f aca="false">(((G393-Q393)*P393+(G393-S393)*R393+(G393-U393)*T393+(G393-W393)*V393+(G393-Y393)*X393+(G393-AA393)*Z393+(G393-AC393)*AB393+(G393-AE393)*AD393+(G393-AG393)*AF393+(G393-AI393)*AH393+(G393-AK393)*AJ393+(G393-AM393)*AL393+(G393-AO393)*AN393+(G393-AQ393)*AP393+(G393-AS393)*AR393+(G393-AU393)*AT393+(G393-AW393)*AV393+(G393-AY393)*AX393+(G393-BA393)*AZ393+(G393-BC393)*BB393)*BJ393*BI393)*10000</f>
        <v>0</v>
      </c>
      <c r="J393" s="82" t="n">
        <f aca="false">H393+I393</f>
        <v>-3320.42059265801</v>
      </c>
      <c r="O393" s="95" t="n">
        <f aca="false">A393</f>
        <v>39142</v>
      </c>
      <c r="BD393" s="100" t="n">
        <f aca="false">(P393+R393+T393+V393+X393+Z393+AB393+AD393+AF393+AH393+AJ393+AL393+AN393+AP393+AR393+AT393+AV393+AX393+AZ393+BB393)</f>
        <v>0</v>
      </c>
      <c r="BE393" s="322" t="n">
        <f aca="false">IF(AND(BD393=0,BH393=0),0,(ABS(P393)*Q393+ABS(R393)*S393+ABS(T393)*U393+ABS(V393)*W393+ABS(X393)*Y393+ABS(Z393)*AA393+ABS(AB393)*AC393+ABS(AD393)*AE393+ABS(AF393)*AG393+ABS(AH393)*AI393+ABS(AJ393)*AK393+ABS(AL393)*AM393+ABS(AN393)*AO393+ABS(AP393)*AQ393+ABS(AR393)*AS393+ABS(AT393)*AU393+ABS(AV393)*AW393+ABS(AX393)*AY393+ABS(AZ393)*BA393+ABS(BB393)*BC393)/BH393)</f>
        <v>0</v>
      </c>
      <c r="BG393" s="103" t="n">
        <f aca="false">O393</f>
        <v>39142</v>
      </c>
      <c r="BH393" s="323" t="n">
        <f aca="false">(ABS(P393)+ABS(R393)+ABS(T393)+ABS(V393)+ABS(X393)+ABS(Z393)+ABS(AB393)+ABS(AD393)+ABS(AF393)+ABS(AH393)+ABS(AJ393)+ABS(AL393)+ABS(AN393)+ABS(AP393)+ABS(AR393)+ABS(AT393)+ABS(AV393)+ABS(AX393)+ABS(AZ393)+ABS(BB393))</f>
        <v>0</v>
      </c>
      <c r="BI393" s="104" t="n">
        <f aca="false">VLOOKUP(GasPosn!A393,'Pricing Summary'!$AB$12:$AD$250,3)</f>
        <v>31</v>
      </c>
      <c r="BJ393" s="102" t="n">
        <f aca="false">VLOOKUP(A393,Interest!$AF$8:$AK$367,6)</f>
        <v>0.777974770387315</v>
      </c>
      <c r="BL393" s="0" t="n">
        <f aca="false">H393/VLOOKUP(A393,NymexData!$J$12:$K$128,2)</f>
        <v>-2104.69171604806</v>
      </c>
      <c r="BM393" s="0" t="n">
        <f aca="false">I393/VLOOKUP(A393,NymexData!$J$12:$K$128,2)</f>
        <v>0</v>
      </c>
      <c r="BO393" s="0" t="n">
        <f aca="false">BO76</f>
        <v>0.777974770387315</v>
      </c>
      <c r="BP393" s="0" t="n">
        <f aca="false">G393*BO393</f>
        <v>4.17336642829479</v>
      </c>
      <c r="BQ393" s="0" t="n">
        <f aca="false">IF(AND(A393&gt;=$B$320,A393&lt;=$B$321),1,0)</f>
        <v>0</v>
      </c>
      <c r="BR393" s="0" t="n">
        <f aca="false">BO393*BQ393</f>
        <v>0</v>
      </c>
      <c r="BS393" s="0" t="n">
        <f aca="false">BP393*BQ393</f>
        <v>0</v>
      </c>
    </row>
    <row r="394" customFormat="false" ht="18" hidden="false" customHeight="false" outlineLevel="0" collapsed="false">
      <c r="A394" s="112" t="n">
        <f aca="false">A77</f>
        <v>39173</v>
      </c>
      <c r="B394" s="324" t="n">
        <f aca="false" t="array" ref="B394:B394">SUM(IF(MONTH(NymexData!$AO$12:$AO$250)&amp;YEAR(NymexData!$AO$12:$AO$250)=MONTH(A394)&amp;YEAR(A394),NymexData!$AP$12:$AP$250))</f>
        <v>5.083774182802</v>
      </c>
      <c r="C394" s="325" t="n">
        <f aca="false">BD394*BJ394*BI394</f>
        <v>0</v>
      </c>
      <c r="D394" s="326" t="n">
        <f aca="false">C394+B394</f>
        <v>5.083774182802</v>
      </c>
      <c r="E394" s="327" t="n">
        <f aca="false" t="array" ref="E394:E394">SUM(IF(MONTH(NymexData!$A$12:$A$250)&amp;YEAR(NymexData!$A$12:$A$250)=MONTH(A394)&amp;YEAR(A394),NymexData!$F$12:$F$250))</f>
        <v>5.12265625797922</v>
      </c>
      <c r="F394" s="327" t="n">
        <f aca="false">G394-E394</f>
        <v>-0.0633419152584445</v>
      </c>
      <c r="G394" s="328" t="n">
        <f aca="false" t="array" ref="G394:G394">IF(NymexData!$H$12="",GasPosn!E394,SUM(IF(MONTH(NymexData!$H$12:$H$250)&amp;YEAR(NymexData!$H$12:$H$250)=MONTH(A394)&amp;YEAR(A394),NymexData!$L$12:$L$250)))</f>
        <v>5.05931434272078</v>
      </c>
      <c r="H394" s="115" t="n">
        <f aca="false">B394*10000*F394</f>
        <v>-3220.15993480112</v>
      </c>
      <c r="I394" s="119" t="n">
        <f aca="false">(((G394-Q394)*P394+(G394-S394)*R394+(G394-U394)*T394+(G394-W394)*V394+(G394-Y394)*X394+(G394-AA394)*Z394+(G394-AC394)*AB394+(G394-AE394)*AD394+(G394-AG394)*AF394+(G394-AI394)*AH394+(G394-AK394)*AJ394+(G394-AM394)*AL394+(G394-AO394)*AN394+(G394-AQ394)*AP394+(G394-AS394)*AR394+(G394-AU394)*AT394+(G394-AW394)*AV394+(G394-AY394)*AX394+(G394-BA394)*AZ394+(G394-BC394)*BB394)*BJ394*BI394)*10000</f>
        <v>0</v>
      </c>
      <c r="J394" s="119" t="n">
        <f aca="false">H394+I394</f>
        <v>-3220.15993480112</v>
      </c>
      <c r="O394" s="95" t="n">
        <f aca="false">A394</f>
        <v>39173</v>
      </c>
      <c r="BD394" s="100" t="n">
        <f aca="false">(P394+R394+T394+V394+X394+Z394+AB394+AD394+AF394+AH394+AJ394+AL394+AN394+AP394+AR394+AT394+AV394+AX394+AZ394+BB394)</f>
        <v>0</v>
      </c>
      <c r="BE394" s="322" t="n">
        <f aca="false">IF(AND(BD394=0,BH394=0),0,(ABS(P394)*Q394+ABS(R394)*S394+ABS(T394)*U394+ABS(V394)*W394+ABS(X394)*Y394+ABS(Z394)*AA394+ABS(AB394)*AC394+ABS(AD394)*AE394+ABS(AF394)*AG394+ABS(AH394)*AI394+ABS(AJ394)*AK394+ABS(AL394)*AM394+ABS(AN394)*AO394+ABS(AP394)*AQ394+ABS(AR394)*AS394+ABS(AT394)*AU394+ABS(AV394)*AW394+ABS(AX394)*AY394+ABS(AZ394)*BA394+ABS(BB394)*BC394)/BH394)</f>
        <v>0</v>
      </c>
      <c r="BG394" s="103" t="n">
        <f aca="false">O394</f>
        <v>39173</v>
      </c>
      <c r="BH394" s="323" t="n">
        <f aca="false">(ABS(P394)+ABS(R394)+ABS(T394)+ABS(V394)+ABS(X394)+ABS(Z394)+ABS(AB394)+ABS(AD394)+ABS(AF394)+ABS(AH394)+ABS(AJ394)+ABS(AL394)+ABS(AN394)+ABS(AP394)+ABS(AR394)+ABS(AT394)+ABS(AV394)+ABS(AX394)+ABS(AZ394)+ABS(BB394))</f>
        <v>0</v>
      </c>
      <c r="BI394" s="104" t="n">
        <f aca="false">VLOOKUP(GasPosn!A394,'Pricing Summary'!$AB$12:$AD$250,3)</f>
        <v>30</v>
      </c>
      <c r="BJ394" s="102" t="n">
        <f aca="false">VLOOKUP(A394,Interest!$AF$8:$AK$367,6)</f>
        <v>0.774232140134311</v>
      </c>
      <c r="BL394" s="0" t="n">
        <f aca="false">H394/VLOOKUP(A394,NymexData!$J$12:$K$128,2)</f>
        <v>-2041.1571744069</v>
      </c>
      <c r="BM394" s="0" t="n">
        <f aca="false">I394/VLOOKUP(A394,NymexData!$J$12:$K$128,2)</f>
        <v>0</v>
      </c>
      <c r="BO394" s="0" t="n">
        <f aca="false">BO77</f>
        <v>0.774232140134311</v>
      </c>
      <c r="BP394" s="0" t="n">
        <f aca="false">G394*BO394</f>
        <v>3.91708377117692</v>
      </c>
      <c r="BQ394" s="0" t="n">
        <f aca="false">IF(AND(A394&gt;=$B$320,A394&lt;=$B$321),1,0)</f>
        <v>0</v>
      </c>
      <c r="BR394" s="0" t="n">
        <f aca="false">BO394*BQ394</f>
        <v>0</v>
      </c>
      <c r="BS394" s="0" t="n">
        <f aca="false">BP394*BQ394</f>
        <v>0</v>
      </c>
    </row>
    <row r="395" customFormat="false" ht="18" hidden="false" customHeight="false" outlineLevel="0" collapsed="false">
      <c r="A395" s="75" t="n">
        <f aca="false">A78</f>
        <v>39203</v>
      </c>
      <c r="B395" s="317" t="n">
        <f aca="false" t="array" ref="B395:B395">SUM(IF(MONTH(NymexData!$AO$12:$AO$250)&amp;YEAR(NymexData!$AO$12:$AO$250)=MONTH(A395)&amp;YEAR(A395),NymexData!$AP$12:$AP$250))</f>
        <v>5.228079415076</v>
      </c>
      <c r="C395" s="318" t="n">
        <f aca="false">BD395*BJ395*BI395</f>
        <v>0</v>
      </c>
      <c r="D395" s="319" t="n">
        <f aca="false">C395+B395</f>
        <v>5.228079415076</v>
      </c>
      <c r="E395" s="320" t="n">
        <f aca="false" t="array" ref="E395:E395">SUM(IF(MONTH(NymexData!$A$12:$A$250)&amp;YEAR(NymexData!$A$12:$A$250)=MONTH(A395)&amp;YEAR(A395),NymexData!$F$12:$F$250))</f>
        <v>5.1301071299251</v>
      </c>
      <c r="F395" s="320" t="n">
        <f aca="false">G395-E395</f>
        <v>-0.0633653580281717</v>
      </c>
      <c r="G395" s="321" t="n">
        <f aca="false" t="array" ref="G395:G395">IF(NymexData!$H$12="",GasPosn!E395,SUM(IF(MONTH(NymexData!$H$12:$H$250)&amp;YEAR(NymexData!$H$12:$H$250)=MONTH(A395)&amp;YEAR(A395),NymexData!$L$12:$L$250)))</f>
        <v>5.06674177189693</v>
      </c>
      <c r="H395" s="76" t="n">
        <f aca="false">B395*10000*F395</f>
        <v>-3312.79123936005</v>
      </c>
      <c r="I395" s="82" t="n">
        <f aca="false">(((G395-Q395)*P395+(G395-S395)*R395+(G395-U395)*T395+(G395-W395)*V395+(G395-Y395)*X395+(G395-AA395)*Z395+(G395-AC395)*AB395+(G395-AE395)*AD395+(G395-AG395)*AF395+(G395-AI395)*AH395+(G395-AK395)*AJ395+(G395-AM395)*AL395+(G395-AO395)*AN395+(G395-AQ395)*AP395+(G395-AS395)*AR395+(G395-AU395)*AT395+(G395-AW395)*AV395+(G395-AY395)*AX395+(G395-BA395)*AZ395+(G395-BC395)*BB395)*BJ395*BI395)*10000</f>
        <v>0</v>
      </c>
      <c r="J395" s="82" t="n">
        <f aca="false">H395+I395</f>
        <v>-3312.79123936005</v>
      </c>
      <c r="O395" s="95" t="n">
        <f aca="false">A395</f>
        <v>39203</v>
      </c>
      <c r="BD395" s="100" t="n">
        <f aca="false">(P395+R395+T395+V395+X395+Z395+AB395+AD395+AF395+AH395+AJ395+AL395+AN395+AP395+AR395+AT395+AV395+AX395+AZ395+BB395)</f>
        <v>0</v>
      </c>
      <c r="BE395" s="322" t="n">
        <f aca="false">IF(AND(BD395=0,BH395=0),0,(ABS(P395)*Q395+ABS(R395)*S395+ABS(T395)*U395+ABS(V395)*W395+ABS(X395)*Y395+ABS(Z395)*AA395+ABS(AB395)*AC395+ABS(AD395)*AE395+ABS(AF395)*AG395+ABS(AH395)*AI395+ABS(AJ395)*AK395+ABS(AL395)*AM395+ABS(AN395)*AO395+ABS(AP395)*AQ395+ABS(AR395)*AS395+ABS(AT395)*AU395+ABS(AV395)*AW395+ABS(AX395)*AY395+ABS(AZ395)*BA395+ABS(BB395)*BC395)/BH395)</f>
        <v>0</v>
      </c>
      <c r="BG395" s="103" t="n">
        <f aca="false">O395</f>
        <v>39203</v>
      </c>
      <c r="BH395" s="323" t="n">
        <f aca="false">(ABS(P395)+ABS(R395)+ABS(T395)+ABS(V395)+ABS(X395)+ABS(Z395)+ABS(AB395)+ABS(AD395)+ABS(AF395)+ABS(AH395)+ABS(AJ395)+ABS(AL395)+ABS(AN395)+ABS(AP395)+ABS(AR395)+ABS(AT395)+ABS(AV395)+ABS(AX395)+ABS(AZ395)+ABS(BB395))</f>
        <v>0</v>
      </c>
      <c r="BI395" s="104" t="n">
        <f aca="false">VLOOKUP(GasPosn!A395,'Pricing Summary'!$AB$12:$AD$250,3)</f>
        <v>31</v>
      </c>
      <c r="BJ395" s="102" t="n">
        <f aca="false">VLOOKUP(A395,Interest!$AF$8:$AK$367,6)</f>
        <v>0.77041190341347</v>
      </c>
      <c r="BL395" s="0" t="n">
        <f aca="false">H395/VLOOKUP(A395,NymexData!$J$12:$K$128,2)</f>
        <v>-2099.89353493618</v>
      </c>
      <c r="BM395" s="0" t="n">
        <f aca="false">I395/VLOOKUP(A395,NymexData!$J$12:$K$128,2)</f>
        <v>0</v>
      </c>
      <c r="BO395" s="0" t="n">
        <f aca="false">BO78</f>
        <v>0.77041190341347</v>
      </c>
      <c r="BP395" s="0" t="n">
        <f aca="false">G395*BO395</f>
        <v>3.90347817259165</v>
      </c>
      <c r="BQ395" s="0" t="n">
        <f aca="false">IF(AND(A395&gt;=$B$320,A395&lt;=$B$321),1,0)</f>
        <v>0</v>
      </c>
      <c r="BR395" s="0" t="n">
        <f aca="false">BO395*BQ395</f>
        <v>0</v>
      </c>
      <c r="BS395" s="0" t="n">
        <f aca="false">BP395*BQ395</f>
        <v>0</v>
      </c>
    </row>
    <row r="396" customFormat="false" ht="18" hidden="false" customHeight="false" outlineLevel="0" collapsed="false">
      <c r="A396" s="112" t="n">
        <f aca="false">A79</f>
        <v>39234</v>
      </c>
      <c r="B396" s="324" t="n">
        <f aca="false" t="array" ref="B396:B396">SUM(IF(MONTH(NymexData!$AO$12:$AO$250)&amp;YEAR(NymexData!$AO$12:$AO$250)=MONTH(A396)&amp;YEAR(A396),NymexData!$AP$12:$AP$250))</f>
        <v>5.034248381848</v>
      </c>
      <c r="C396" s="325" t="n">
        <f aca="false">BD396*BJ396*BI396</f>
        <v>0</v>
      </c>
      <c r="D396" s="326" t="n">
        <f aca="false">C396+B396</f>
        <v>5.034248381848</v>
      </c>
      <c r="E396" s="327" t="n">
        <f aca="false" t="array" ref="E396:E396">SUM(IF(MONTH(NymexData!$A$12:$A$250)&amp;YEAR(NymexData!$A$12:$A$250)=MONTH(A396)&amp;YEAR(A396),NymexData!$F$12:$F$250))</f>
        <v>5.18682988299701</v>
      </c>
      <c r="F396" s="327" t="n">
        <f aca="false">G396-E396</f>
        <v>-0.0633274601587717</v>
      </c>
      <c r="G396" s="328" t="n">
        <f aca="false" t="array" ref="G396:G396">IF(NymexData!$H$12="",GasPosn!E396,SUM(IF(MONTH(NymexData!$H$12:$H$250)&amp;YEAR(NymexData!$H$12:$H$250)=MONTH(A396)&amp;YEAR(A396),NymexData!$L$12:$L$250)))</f>
        <v>5.12350242283824</v>
      </c>
      <c r="H396" s="115" t="n">
        <f aca="false">B396*10000*F396</f>
        <v>-3188.0616383084</v>
      </c>
      <c r="I396" s="119" t="n">
        <f aca="false">(((G396-Q396)*P396+(G396-S396)*R396+(G396-U396)*T396+(G396-W396)*V396+(G396-Y396)*X396+(G396-AA396)*Z396+(G396-AC396)*AB396+(G396-AE396)*AD396+(G396-AG396)*AF396+(G396-AI396)*AH396+(G396-AK396)*AJ396+(G396-AM396)*AL396+(G396-AO396)*AN396+(G396-AQ396)*AP396+(G396-AS396)*AR396+(G396-AU396)*AT396+(G396-AW396)*AV396+(G396-AY396)*AX396+(G396-BA396)*AZ396+(G396-BC396)*BB396)*BJ396*BI396)*10000</f>
        <v>0</v>
      </c>
      <c r="J396" s="119" t="n">
        <f aca="false">H396+I396</f>
        <v>-3188.0616383084</v>
      </c>
      <c r="O396" s="95" t="n">
        <f aca="false">A396</f>
        <v>39234</v>
      </c>
      <c r="BD396" s="100" t="n">
        <f aca="false">(P396+R396+T396+V396+X396+Z396+AB396+AD396+AF396+AH396+AJ396+AL396+AN396+AP396+AR396+AT396+AV396+AX396+AZ396+BB396)</f>
        <v>0</v>
      </c>
      <c r="BE396" s="322" t="n">
        <f aca="false">IF(AND(BD396=0,BH396=0),0,(ABS(P396)*Q396+ABS(R396)*S396+ABS(T396)*U396+ABS(V396)*W396+ABS(X396)*Y396+ABS(Z396)*AA396+ABS(AB396)*AC396+ABS(AD396)*AE396+ABS(AF396)*AG396+ABS(AH396)*AI396+ABS(AJ396)*AK396+ABS(AL396)*AM396+ABS(AN396)*AO396+ABS(AP396)*AQ396+ABS(AR396)*AS396+ABS(AT396)*AU396+ABS(AV396)*AW396+ABS(AX396)*AY396+ABS(AZ396)*BA396+ABS(BB396)*BC396)/BH396)</f>
        <v>0</v>
      </c>
      <c r="BG396" s="103" t="n">
        <f aca="false">O396</f>
        <v>39234</v>
      </c>
      <c r="BH396" s="323" t="n">
        <f aca="false">(ABS(P396)+ABS(R396)+ABS(T396)+ABS(V396)+ABS(X396)+ABS(Z396)+ABS(AB396)+ABS(AD396)+ABS(AF396)+ABS(AH396)+ABS(AJ396)+ABS(AL396)+ABS(AN396)+ABS(AP396)+ABS(AR396)+ABS(AT396)+ABS(AV396)+ABS(AX396)+ABS(AZ396)+ABS(BB396))</f>
        <v>0</v>
      </c>
      <c r="BI396" s="104" t="n">
        <f aca="false">VLOOKUP(GasPosn!A396,'Pricing Summary'!$AB$12:$AD$250,3)</f>
        <v>30</v>
      </c>
      <c r="BJ396" s="102" t="n">
        <f aca="false">VLOOKUP(A396,Interest!$AF$8:$AK$367,6)</f>
        <v>0.766658667910148</v>
      </c>
      <c r="BL396" s="0" t="n">
        <f aca="false">H396/VLOOKUP(A396,NymexData!$J$12:$K$128,2)</f>
        <v>-2020.85423175207</v>
      </c>
      <c r="BM396" s="0" t="n">
        <f aca="false">I396/VLOOKUP(A396,NymexData!$J$12:$K$128,2)</f>
        <v>0</v>
      </c>
      <c r="BO396" s="0" t="n">
        <f aca="false">BO79</f>
        <v>0.766658667910148</v>
      </c>
      <c r="BP396" s="0" t="n">
        <f aca="false">G396*BO396</f>
        <v>3.92797754252758</v>
      </c>
      <c r="BQ396" s="0" t="n">
        <f aca="false">IF(AND(A396&gt;=$B$320,A396&lt;=$B$321),1,0)</f>
        <v>0</v>
      </c>
      <c r="BR396" s="0" t="n">
        <f aca="false">BO396*BQ396</f>
        <v>0</v>
      </c>
      <c r="BS396" s="0" t="n">
        <f aca="false">BP396*BQ396</f>
        <v>0</v>
      </c>
    </row>
    <row r="397" customFormat="false" ht="18" hidden="false" customHeight="false" outlineLevel="0" collapsed="false">
      <c r="A397" s="75" t="n">
        <f aca="false">A80</f>
        <v>39264</v>
      </c>
      <c r="B397" s="317" t="n">
        <f aca="false" t="array" ref="B397:B397">SUM(IF(MONTH(NymexData!$AO$12:$AO$250)&amp;YEAR(NymexData!$AO$12:$AO$250)=MONTH(A397)&amp;YEAR(A397),NymexData!$AP$12:$AP$250))</f>
        <v>5.176845583742</v>
      </c>
      <c r="C397" s="317" t="n">
        <f aca="false">BD397*BJ397*BI397</f>
        <v>0</v>
      </c>
      <c r="D397" s="319" t="n">
        <f aca="false">C397+B397</f>
        <v>5.176845583742</v>
      </c>
      <c r="E397" s="320" t="n">
        <f aca="false" t="array" ref="E397:E397">SUM(IF(MONTH(NymexData!$A$12:$A$250)&amp;YEAR(NymexData!$A$12:$A$250)=MONTH(A397)&amp;YEAR(A397),NymexData!$F$12:$F$250))</f>
        <v>5.25400062419559</v>
      </c>
      <c r="F397" s="320" t="n">
        <f aca="false">G397-E397</f>
        <v>-0.0632786683284969</v>
      </c>
      <c r="G397" s="321" t="n">
        <f aca="false" t="array" ref="G397:G397">IF(NymexData!$H$12="",GasPosn!E397,SUM(IF(MONTH(NymexData!$H$12:$H$250)&amp;YEAR(NymexData!$H$12:$H$250)=MONTH(A397)&amp;YEAR(A397),NymexData!$L$12:$L$250)))</f>
        <v>5.19072195586709</v>
      </c>
      <c r="H397" s="76" t="n">
        <f aca="false">B397*10000*F397</f>
        <v>-3275.83894681454</v>
      </c>
      <c r="I397" s="82" t="n">
        <f aca="false">(((G397-Q397)*P397+(G397-S397)*R397+(G397-U397)*T397+(G397-W397)*V397+(G397-Y397)*X397+(G397-AA397)*Z397+(G397-AC397)*AB397+(G397-AE397)*AD397+(G397-AG397)*AF397+(G397-AI397)*AH397+(G397-AK397)*AJ397+(G397-AM397)*AL397+(G397-AO397)*AN397+(G397-AQ397)*AP397+(G397-AS397)*AR397+(G397-AU397)*AT397+(G397-AW397)*AV397+(G397-AY397)*AX397+(G397-BA397)*AZ397+(G397-BC397)*BB397)*BJ397*BI397)*10000</f>
        <v>0</v>
      </c>
      <c r="J397" s="82" t="n">
        <f aca="false">H397+I397</f>
        <v>-3275.83894681454</v>
      </c>
      <c r="O397" s="95" t="n">
        <f aca="false">A397</f>
        <v>39264</v>
      </c>
      <c r="BD397" s="100" t="n">
        <f aca="false">(P397+R397+T397+V397+X397+Z397+AB397+AD397+AF397+AH397+AJ397+AL397+AN397+AP397+AR397+AT397+AV397+AX397+AZ397+BB397)</f>
        <v>0</v>
      </c>
      <c r="BE397" s="322" t="n">
        <f aca="false">IF(AND(BD397=0,BH397=0),0,(ABS(P397)*Q397+ABS(R397)*S397+ABS(T397)*U397+ABS(V397)*W397+ABS(X397)*Y397+ABS(Z397)*AA397+ABS(AB397)*AC397+ABS(AD397)*AE397+ABS(AF397)*AG397+ABS(AH397)*AI397+ABS(AJ397)*AK397+ABS(AL397)*AM397+ABS(AN397)*AO397+ABS(AP397)*AQ397+ABS(AR397)*AS397+ABS(AT397)*AU397+ABS(AV397)*AW397+ABS(AX397)*AY397+ABS(AZ397)*BA397+ABS(BB397)*BC397)/BH397)</f>
        <v>0</v>
      </c>
      <c r="BG397" s="103" t="n">
        <f aca="false">O397</f>
        <v>39264</v>
      </c>
      <c r="BH397" s="323" t="n">
        <f aca="false">(ABS(P397)+ABS(R397)+ABS(T397)+ABS(V397)+ABS(X397)+ABS(Z397)+ABS(AB397)+ABS(AD397)+ABS(AF397)+ABS(AH397)+ABS(AJ397)+ABS(AL397)+ABS(AN397)+ABS(AP397)+ABS(AR397)+ABS(AT397)+ABS(AV397)+ABS(AX397)+ABS(AZ397)+ABS(BB397))</f>
        <v>0</v>
      </c>
      <c r="BI397" s="104" t="n">
        <f aca="false">VLOOKUP(GasPosn!A397,'Pricing Summary'!$AB$12:$AD$250,3)</f>
        <v>31</v>
      </c>
      <c r="BJ397" s="102" t="n">
        <f aca="false">VLOOKUP(A397,Interest!$AF$8:$AK$367,6)</f>
        <v>0.7628290486285</v>
      </c>
      <c r="BL397" s="0" t="n">
        <f aca="false">H397/VLOOKUP(A397,NymexData!$J$12:$K$128,2)</f>
        <v>-2076.52150767308</v>
      </c>
      <c r="BM397" s="0" t="n">
        <f aca="false">I397/VLOOKUP(A397,NymexData!$J$12:$K$128,2)</f>
        <v>0</v>
      </c>
      <c r="BO397" s="0" t="n">
        <f aca="false">BO80</f>
        <v>0.7628290486285</v>
      </c>
      <c r="BP397" s="0" t="n">
        <f aca="false">G397*BO397</f>
        <v>3.95963349128916</v>
      </c>
      <c r="BQ397" s="0" t="n">
        <f aca="false">IF(AND(A397&gt;=$B$320,A397&lt;=$B$321),1,0)</f>
        <v>0</v>
      </c>
      <c r="BR397" s="0" t="n">
        <f aca="false">BO397*BQ397</f>
        <v>0</v>
      </c>
      <c r="BS397" s="0" t="n">
        <f aca="false">BP397*BQ397</f>
        <v>0</v>
      </c>
    </row>
    <row r="398" customFormat="false" ht="18" hidden="false" customHeight="false" outlineLevel="0" collapsed="false">
      <c r="A398" s="112" t="n">
        <f aca="false">A81</f>
        <v>39295</v>
      </c>
      <c r="B398" s="324" t="n">
        <f aca="false" t="array" ref="B398:B398">SUM(IF(MONTH(NymexData!$AO$12:$AO$250)&amp;YEAR(NymexData!$AO$12:$AO$250)=MONTH(A398)&amp;YEAR(A398),NymexData!$AP$12:$AP$250))</f>
        <v>5.150767170038</v>
      </c>
      <c r="C398" s="325" t="n">
        <f aca="false">BD398*BJ398*BI398</f>
        <v>0</v>
      </c>
      <c r="D398" s="326" t="n">
        <f aca="false">C398+B398</f>
        <v>5.150767170038</v>
      </c>
      <c r="E398" s="327" t="n">
        <f aca="false" t="array" ref="E398:E398">SUM(IF(MONTH(NymexData!$A$12:$A$250)&amp;YEAR(NymexData!$A$12:$A$250)=MONTH(A398)&amp;YEAR(A398),NymexData!$F$12:$F$250))</f>
        <v>5.31071191187292</v>
      </c>
      <c r="F398" s="327" t="n">
        <f aca="false">G398-E398</f>
        <v>-0.063249765789644</v>
      </c>
      <c r="G398" s="328" t="n">
        <f aca="false" t="array" ref="G398:G398">IF(NymexData!$H$12="",GasPosn!E398,SUM(IF(MONTH(NymexData!$H$12:$H$250)&amp;YEAR(NymexData!$H$12:$H$250)=MONTH(A398)&amp;YEAR(A398),NymexData!$L$12:$L$250)))</f>
        <v>5.24746214608327</v>
      </c>
      <c r="H398" s="115" t="n">
        <f aca="false">B398*10000*F398</f>
        <v>-3257.84817141891</v>
      </c>
      <c r="I398" s="119" t="n">
        <f aca="false">(((G398-Q398)*P398+(G398-S398)*R398+(G398-U398)*T398+(G398-W398)*V398+(G398-Y398)*X398+(G398-AA398)*Z398+(G398-AC398)*AB398+(G398-AE398)*AD398+(G398-AG398)*AF398+(G398-AI398)*AH398+(G398-AK398)*AJ398+(G398-AM398)*AL398+(G398-AO398)*AN398+(G398-AQ398)*AP398+(G398-AS398)*AR398+(G398-AU398)*AT398+(G398-AW398)*AV398+(G398-AY398)*AX398+(G398-BA398)*AZ398+(G398-BC398)*BB398)*BJ398*BI398)*10000</f>
        <v>0</v>
      </c>
      <c r="J398" s="119" t="n">
        <f aca="false">H398+I398</f>
        <v>-3257.84817141891</v>
      </c>
      <c r="O398" s="95" t="n">
        <f aca="false">A398</f>
        <v>39295</v>
      </c>
      <c r="BD398" s="100" t="n">
        <f aca="false">(P398+R398+T398+V398+X398+Z398+AB398+AD398+AF398+AH398+AJ398+AL398+AN398+AP398+AR398+AT398+AV398+AX398+AZ398+BB398)</f>
        <v>0</v>
      </c>
      <c r="BE398" s="322" t="n">
        <f aca="false">IF(AND(BD398=0,BH398=0),0,(ABS(P398)*Q398+ABS(R398)*S398+ABS(T398)*U398+ABS(V398)*W398+ABS(X398)*Y398+ABS(Z398)*AA398+ABS(AB398)*AC398+ABS(AD398)*AE398+ABS(AF398)*AG398+ABS(AH398)*AI398+ABS(AJ398)*AK398+ABS(AL398)*AM398+ABS(AN398)*AO398+ABS(AP398)*AQ398+ABS(AR398)*AS398+ABS(AT398)*AU398+ABS(AV398)*AW398+ABS(AX398)*AY398+ABS(AZ398)*BA398+ABS(BB398)*BC398)/BH398)</f>
        <v>0</v>
      </c>
      <c r="BG398" s="103" t="n">
        <f aca="false">O398</f>
        <v>39295</v>
      </c>
      <c r="BH398" s="323" t="n">
        <f aca="false">(ABS(P398)+ABS(R398)+ABS(T398)+ABS(V398)+ABS(X398)+ABS(Z398)+ABS(AB398)+ABS(AD398)+ABS(AF398)+ABS(AH398)+ABS(AJ398)+ABS(AL398)+ABS(AN398)+ABS(AP398)+ABS(AR398)+ABS(AT398)+ABS(AV398)+ABS(AX398)+ABS(AZ398)+ABS(BB398))</f>
        <v>0</v>
      </c>
      <c r="BI398" s="104" t="n">
        <f aca="false">VLOOKUP(GasPosn!A398,'Pricing Summary'!$AB$12:$AD$250,3)</f>
        <v>31</v>
      </c>
      <c r="BJ398" s="102" t="n">
        <f aca="false">VLOOKUP(A398,Interest!$AF$8:$AK$367,6)</f>
        <v>0.758968471168259</v>
      </c>
      <c r="BL398" s="0" t="n">
        <f aca="false">H398/VLOOKUP(A398,NymexData!$J$12:$K$128,2)</f>
        <v>-2065.14838182774</v>
      </c>
      <c r="BM398" s="0" t="n">
        <f aca="false">I398/VLOOKUP(A398,NymexData!$J$12:$K$128,2)</f>
        <v>0</v>
      </c>
      <c r="BO398" s="0" t="n">
        <f aca="false">BO81</f>
        <v>0.758968471168259</v>
      </c>
      <c r="BP398" s="0" t="n">
        <f aca="false">G398*BO398</f>
        <v>3.98265832252613</v>
      </c>
      <c r="BQ398" s="0" t="n">
        <f aca="false">IF(AND(A398&gt;=$B$320,A398&lt;=$B$321),1,0)</f>
        <v>0</v>
      </c>
      <c r="BR398" s="0" t="n">
        <f aca="false">BO398*BQ398</f>
        <v>0</v>
      </c>
      <c r="BS398" s="0" t="n">
        <f aca="false">BP398*BQ398</f>
        <v>0</v>
      </c>
    </row>
    <row r="399" customFormat="false" ht="18" hidden="false" customHeight="false" outlineLevel="0" collapsed="false">
      <c r="A399" s="75" t="n">
        <f aca="false">A82</f>
        <v>39326</v>
      </c>
      <c r="B399" s="317" t="n">
        <f aca="false" t="array" ref="B399:B399">SUM(IF(MONTH(NymexData!$AO$12:$AO$250)&amp;YEAR(NymexData!$AO$12:$AO$250)=MONTH(A399)&amp;YEAR(A399),NymexData!$AP$12:$AP$250))</f>
        <v>4.959351358682</v>
      </c>
      <c r="C399" s="317" t="n">
        <f aca="false">BD399*BJ399*BI399</f>
        <v>0</v>
      </c>
      <c r="D399" s="319" t="n">
        <f aca="false">C399+B399</f>
        <v>4.959351358682</v>
      </c>
      <c r="E399" s="320" t="n">
        <f aca="false" t="array" ref="E399:E399">SUM(IF(MONTH(NymexData!$A$12:$A$250)&amp;YEAR(NymexData!$A$12:$A$250)=MONTH(A399)&amp;YEAR(A399),NymexData!$F$12:$F$250))</f>
        <v>5.30171500489444</v>
      </c>
      <c r="F399" s="320" t="n">
        <f aca="false">G399-E399</f>
        <v>-0.0633118436513209</v>
      </c>
      <c r="G399" s="321" t="n">
        <f aca="false" t="array" ref="G399:G399">IF(NymexData!$H$12="",GasPosn!E399,SUM(IF(MONTH(NymexData!$H$12:$H$250)&amp;YEAR(NymexData!$H$12:$H$250)=MONTH(A399)&amp;YEAR(A399),NymexData!$L$12:$L$250)))</f>
        <v>5.23840316124312</v>
      </c>
      <c r="H399" s="76" t="n">
        <f aca="false">B399*10000*F399</f>
        <v>-3139.85677832841</v>
      </c>
      <c r="I399" s="82" t="n">
        <f aca="false">(((G399-Q399)*P399+(G399-S399)*R399+(G399-U399)*T399+(G399-W399)*V399+(G399-Y399)*X399+(G399-AA399)*Z399+(G399-AC399)*AB399+(G399-AE399)*AD399+(G399-AG399)*AF399+(G399-AI399)*AH399+(G399-AK399)*AJ399+(G399-AM399)*AL399+(G399-AO399)*AN399+(G399-AQ399)*AP399+(G399-AS399)*AR399+(G399-AU399)*AT399+(G399-AW399)*AV399+(G399-AY399)*AX399+(G399-BA399)*AZ399+(G399-BC399)*BB399)*BJ399*BI399)*10000</f>
        <v>0</v>
      </c>
      <c r="J399" s="82" t="n">
        <f aca="false">H399+I399</f>
        <v>-3139.85677832841</v>
      </c>
      <c r="O399" s="95" t="n">
        <f aca="false">A399</f>
        <v>39326</v>
      </c>
      <c r="BD399" s="100" t="n">
        <f aca="false">(P399+R399+T399+V399+X399+Z399+AB399+AD399+AF399+AH399+AJ399+AL399+AN399+AP399+AR399+AT399+AV399+AX399+AZ399+BB399)</f>
        <v>0</v>
      </c>
      <c r="BE399" s="322" t="n">
        <f aca="false">IF(AND(BD399=0,BH399=0),0,(ABS(P399)*Q399+ABS(R399)*S399+ABS(T399)*U399+ABS(V399)*W399+ABS(X399)*Y399+ABS(Z399)*AA399+ABS(AB399)*AC399+ABS(AD399)*AE399+ABS(AF399)*AG399+ABS(AH399)*AI399+ABS(AJ399)*AK399+ABS(AL399)*AM399+ABS(AN399)*AO399+ABS(AP399)*AQ399+ABS(AR399)*AS399+ABS(AT399)*AU399+ABS(AV399)*AW399+ABS(AX399)*AY399+ABS(AZ399)*BA399+ABS(BB399)*BC399)/BH399)</f>
        <v>0</v>
      </c>
      <c r="BG399" s="103" t="n">
        <f aca="false">O399</f>
        <v>39326</v>
      </c>
      <c r="BH399" s="323" t="n">
        <f aca="false">(ABS(P399)+ABS(R399)+ABS(T399)+ABS(V399)+ABS(X399)+ABS(Z399)+ABS(AB399)+ABS(AD399)+ABS(AF399)+ABS(AH399)+ABS(AJ399)+ABS(AL399)+ABS(AN399)+ABS(AP399)+ABS(AR399)+ABS(AT399)+ABS(AV399)+ABS(AX399)+ABS(AZ399)+ABS(BB399))</f>
        <v>0</v>
      </c>
      <c r="BI399" s="104" t="n">
        <f aca="false">VLOOKUP(GasPosn!A399,'Pricing Summary'!$AB$12:$AD$250,3)</f>
        <v>30</v>
      </c>
      <c r="BJ399" s="102" t="n">
        <f aca="false">VLOOKUP(A399,Interest!$AF$8:$AK$367,6)</f>
        <v>0.755201199742492</v>
      </c>
      <c r="BL399" s="0" t="n">
        <f aca="false">H399/VLOOKUP(A399,NymexData!$J$12:$K$128,2)</f>
        <v>-1990.38701146992</v>
      </c>
      <c r="BM399" s="0" t="n">
        <f aca="false">I399/VLOOKUP(A399,NymexData!$J$12:$K$128,2)</f>
        <v>0</v>
      </c>
      <c r="BO399" s="0" t="n">
        <f aca="false">BO82</f>
        <v>0.755201199742492</v>
      </c>
      <c r="BP399" s="0" t="n">
        <f aca="false">G399*BO399</f>
        <v>3.95604835210567</v>
      </c>
      <c r="BQ399" s="0" t="n">
        <f aca="false">IF(AND(A399&gt;=$B$320,A399&lt;=$B$321),1,0)</f>
        <v>0</v>
      </c>
      <c r="BR399" s="0" t="n">
        <f aca="false">BO399*BQ399</f>
        <v>0</v>
      </c>
      <c r="BS399" s="0" t="n">
        <f aca="false">BP399*BQ399</f>
        <v>0</v>
      </c>
    </row>
    <row r="400" customFormat="false" ht="18" hidden="false" customHeight="false" outlineLevel="0" collapsed="false">
      <c r="A400" s="112" t="n">
        <f aca="false">A83</f>
        <v>39356</v>
      </c>
      <c r="B400" s="324" t="n">
        <f aca="false" t="array" ref="B400:B400">SUM(IF(MONTH(NymexData!$AO$12:$AO$250)&amp;YEAR(NymexData!$AO$12:$AO$250)=MONTH(A400)&amp;YEAR(A400),NymexData!$AP$12:$AP$250))</f>
        <v>5.099378240712</v>
      </c>
      <c r="C400" s="325" t="n">
        <f aca="false">BD400*BJ400*BI400</f>
        <v>0</v>
      </c>
      <c r="D400" s="326" t="n">
        <f aca="false">C400+B400</f>
        <v>5.099378240712</v>
      </c>
      <c r="E400" s="327" t="n">
        <f aca="false" t="array" ref="E400:E400">SUM(IF(MONTH(NymexData!$A$12:$A$250)&amp;YEAR(NymexData!$A$12:$A$250)=MONTH(A400)&amp;YEAR(A400),NymexData!$F$12:$F$250))</f>
        <v>5.3016737107358</v>
      </c>
      <c r="F400" s="327" t="n">
        <f aca="false">G400-E400</f>
        <v>-0.0633639085339111</v>
      </c>
      <c r="G400" s="328" t="n">
        <f aca="false" t="array" ref="G400:G400">IF(NymexData!$H$12="",GasPosn!E400,SUM(IF(MONTH(NymexData!$H$12:$H$250)&amp;YEAR(NymexData!$H$12:$H$250)=MONTH(A400)&amp;YEAR(A400),NymexData!$L$12:$L$250)))</f>
        <v>5.23830980220189</v>
      </c>
      <c r="H400" s="115" t="n">
        <f aca="false">B400*10000*F400</f>
        <v>-3231.16536424291</v>
      </c>
      <c r="I400" s="119" t="n">
        <f aca="false">(((G400-Q400)*P400+(G400-S400)*R400+(G400-U400)*T400+(G400-W400)*V400+(G400-Y400)*X400+(G400-AA400)*Z400+(G400-AC400)*AB400+(G400-AE400)*AD400+(G400-AG400)*AF400+(G400-AI400)*AH400+(G400-AK400)*AJ400+(G400-AM400)*AL400+(G400-AO400)*AN400+(G400-AQ400)*AP400+(G400-AS400)*AR400+(G400-AU400)*AT400+(G400-AW400)*AV400+(G400-AY400)*AX400+(G400-BA400)*AZ400+(G400-BC400)*BB400)*BJ400*BI400)*10000</f>
        <v>0</v>
      </c>
      <c r="J400" s="119" t="n">
        <f aca="false">H400+I400</f>
        <v>-3231.16536424291</v>
      </c>
      <c r="O400" s="95" t="n">
        <f aca="false">A400</f>
        <v>39356</v>
      </c>
      <c r="BD400" s="100" t="n">
        <f aca="false">(P400+R400+T400+V400+X400+Z400+AB400+AD400+AF400+AH400+AJ400+AL400+AN400+AP400+AR400+AT400+AV400+AX400+AZ400+BB400)</f>
        <v>0</v>
      </c>
      <c r="BE400" s="322" t="n">
        <f aca="false">IF(AND(BD400=0,BH400=0),0,(ABS(P400)*Q400+ABS(R400)*S400+ABS(T400)*U400+ABS(V400)*W400+ABS(X400)*Y400+ABS(Z400)*AA400+ABS(AB400)*AC400+ABS(AD400)*AE400+ABS(AF400)*AG400+ABS(AH400)*AI400+ABS(AJ400)*AK400+ABS(AL400)*AM400+ABS(AN400)*AO400+ABS(AP400)*AQ400+ABS(AR400)*AS400+ABS(AT400)*AU400+ABS(AV400)*AW400+ABS(AX400)*AY400+ABS(AZ400)*BA400+ABS(BB400)*BC400)/BH400)</f>
        <v>0</v>
      </c>
      <c r="BG400" s="103" t="n">
        <f aca="false">O400</f>
        <v>39356</v>
      </c>
      <c r="BH400" s="323" t="n">
        <f aca="false">(ABS(P400)+ABS(R400)+ABS(T400)+ABS(V400)+ABS(X400)+ABS(Z400)+ABS(AB400)+ABS(AD400)+ABS(AF400)+ABS(AH400)+ABS(AJ400)+ABS(AL400)+ABS(AN400)+ABS(AP400)+ABS(AR400)+ABS(AT400)+ABS(AV400)+ABS(AX400)+ABS(AZ400)+ABS(BB400))</f>
        <v>0</v>
      </c>
      <c r="BI400" s="104" t="n">
        <f aca="false">VLOOKUP(GasPosn!A400,'Pricing Summary'!$AB$12:$AD$250,3)</f>
        <v>31</v>
      </c>
      <c r="BJ400" s="102" t="n">
        <f aca="false">VLOOKUP(A400,Interest!$AF$8:$AK$367,6)</f>
        <v>0.751359384964995</v>
      </c>
      <c r="BL400" s="0" t="n">
        <f aca="false">H400/VLOOKUP(A400,NymexData!$J$12:$K$128,2)</f>
        <v>-2048.30495380869</v>
      </c>
      <c r="BM400" s="0" t="n">
        <f aca="false">I400/VLOOKUP(A400,NymexData!$J$12:$K$128,2)</f>
        <v>0</v>
      </c>
      <c r="BO400" s="0" t="n">
        <f aca="false">BO83</f>
        <v>0.751359384964995</v>
      </c>
      <c r="BP400" s="0" t="n">
        <f aca="false">G400*BO400</f>
        <v>3.93585323123852</v>
      </c>
      <c r="BQ400" s="0" t="n">
        <f aca="false">IF(AND(A400&gt;=$B$320,A400&lt;=$B$321),1,0)</f>
        <v>0</v>
      </c>
      <c r="BR400" s="0" t="n">
        <f aca="false">BO400*BQ400</f>
        <v>0</v>
      </c>
      <c r="BS400" s="0" t="n">
        <f aca="false">BP400*BQ400</f>
        <v>0</v>
      </c>
    </row>
    <row r="401" customFormat="false" ht="18" hidden="false" customHeight="false" outlineLevel="0" collapsed="false">
      <c r="A401" s="75" t="n">
        <f aca="false">A84</f>
        <v>39387</v>
      </c>
      <c r="B401" s="317" t="n">
        <f aca="false" t="array" ref="B401:B401">SUM(IF(MONTH(NymexData!$AO$12:$AO$250)&amp;YEAR(NymexData!$AO$12:$AO$250)=MONTH(A401)&amp;YEAR(A401),NymexData!$AP$12:$AP$250))</f>
        <v>4.909576172592</v>
      </c>
      <c r="C401" s="317" t="n">
        <f aca="false">BD401*BJ401*BI401</f>
        <v>0</v>
      </c>
      <c r="D401" s="319" t="n">
        <f aca="false">C401+B401</f>
        <v>4.909576172592</v>
      </c>
      <c r="E401" s="320" t="n">
        <f aca="false" t="array" ref="E401:E401">SUM(IF(MONTH(NymexData!$A$12:$A$250)&amp;YEAR(NymexData!$A$12:$A$250)=MONTH(A401)&amp;YEAR(A401),NymexData!$F$12:$F$250))</f>
        <v>5.58234844981453</v>
      </c>
      <c r="F401" s="320" t="n">
        <f aca="false">G401-E401</f>
        <v>-0.0615634354900587</v>
      </c>
      <c r="G401" s="321" t="n">
        <f aca="false" t="array" ref="G401:G401">IF(NymexData!$H$12="",GasPosn!E401,SUM(IF(MONTH(NymexData!$H$12:$H$250)&amp;YEAR(NymexData!$H$12:$H$250)=MONTH(A401)&amp;YEAR(A401),NymexData!$L$12:$L$250)))</f>
        <v>5.52078501432447</v>
      </c>
      <c r="H401" s="76" t="n">
        <f aca="false">B401*10000*F401</f>
        <v>-3022.50375984897</v>
      </c>
      <c r="I401" s="82" t="n">
        <f aca="false">(((G401-Q401)*P401+(G401-S401)*R401+(G401-U401)*T401+(G401-W401)*V401+(G401-Y401)*X401+(G401-AA401)*Z401+(G401-AC401)*AB401+(G401-AE401)*AD401+(G401-AG401)*AF401+(G401-AI401)*AH401+(G401-AK401)*AJ401+(G401-AM401)*AL401+(G401-AO401)*AN401+(G401-AQ401)*AP401+(G401-AS401)*AR401+(G401-AU401)*AT401+(G401-AW401)*AV401+(G401-AY401)*AX401+(G401-BA401)*AZ401+(G401-BC401)*BB401)*BJ401*BI401)*10000</f>
        <v>0</v>
      </c>
      <c r="J401" s="82" t="n">
        <f aca="false">H401+I401</f>
        <v>-3022.50375984897</v>
      </c>
      <c r="O401" s="95" t="n">
        <f aca="false">A401</f>
        <v>39387</v>
      </c>
      <c r="BD401" s="100" t="n">
        <f aca="false">(P401+R401+T401+V401+X401+Z401+AB401+AD401+AF401+AH401+AJ401+AL401+AN401+AP401+AR401+AT401+AV401+AX401+AZ401+BB401)</f>
        <v>0</v>
      </c>
      <c r="BE401" s="322" t="n">
        <f aca="false">IF(AND(BD401=0,BH401=0),0,(ABS(P401)*Q401+ABS(R401)*S401+ABS(T401)*U401+ABS(V401)*W401+ABS(X401)*Y401+ABS(Z401)*AA401+ABS(AB401)*AC401+ABS(AD401)*AE401+ABS(AF401)*AG401+ABS(AH401)*AI401+ABS(AJ401)*AK401+ABS(AL401)*AM401+ABS(AN401)*AO401+ABS(AP401)*AQ401+ABS(AR401)*AS401+ABS(AT401)*AU401+ABS(AV401)*AW401+ABS(AX401)*AY401+ABS(AZ401)*BA401+ABS(BB401)*BC401)/BH401)</f>
        <v>0</v>
      </c>
      <c r="BG401" s="103" t="n">
        <f aca="false">O401</f>
        <v>39387</v>
      </c>
      <c r="BH401" s="323" t="n">
        <f aca="false">(ABS(P401)+ABS(R401)+ABS(T401)+ABS(V401)+ABS(X401)+ABS(Z401)+ABS(AB401)+ABS(AD401)+ABS(AF401)+ABS(AH401)+ABS(AJ401)+ABS(AL401)+ABS(AN401)+ABS(AP401)+ABS(AR401)+ABS(AT401)+ABS(AV401)+ABS(AX401)+ABS(AZ401)+ABS(BB401))</f>
        <v>0</v>
      </c>
      <c r="BI401" s="104" t="n">
        <f aca="false">VLOOKUP(GasPosn!A401,'Pricing Summary'!$AB$12:$AD$250,3)</f>
        <v>30</v>
      </c>
      <c r="BJ401" s="102" t="n">
        <f aca="false">VLOOKUP(A401,Interest!$AF$8:$AK$367,6)</f>
        <v>0.747584095261325</v>
      </c>
      <c r="BL401" s="0" t="n">
        <f aca="false">H401/VLOOKUP(A401,NymexData!$J$12:$K$128,2)</f>
        <v>-1916.06839155382</v>
      </c>
      <c r="BM401" s="0" t="n">
        <f aca="false">I401/VLOOKUP(A401,NymexData!$J$12:$K$128,2)</f>
        <v>0</v>
      </c>
      <c r="BO401" s="0" t="n">
        <f aca="false">BO84</f>
        <v>0.747584095261325</v>
      </c>
      <c r="BP401" s="0" t="n">
        <f aca="false">G401*BO401</f>
        <v>4.12725107006604</v>
      </c>
      <c r="BQ401" s="0" t="n">
        <f aca="false">IF(AND(A401&gt;=$B$320,A401&lt;=$B$321),1,0)</f>
        <v>0</v>
      </c>
      <c r="BR401" s="0" t="n">
        <f aca="false">BO401*BQ401</f>
        <v>0</v>
      </c>
      <c r="BS401" s="0" t="n">
        <f aca="false">BP401*BQ401</f>
        <v>0</v>
      </c>
    </row>
    <row r="402" customFormat="false" ht="18" hidden="false" customHeight="false" outlineLevel="0" collapsed="false">
      <c r="A402" s="112" t="n">
        <f aca="false">A85</f>
        <v>39417</v>
      </c>
      <c r="B402" s="324" t="n">
        <f aca="false" t="array" ref="B402:B402">SUM(IF(MONTH(NymexData!$AO$12:$AO$250)&amp;YEAR(NymexData!$AO$12:$AO$250)=MONTH(A402)&amp;YEAR(A402),NymexData!$AP$12:$AP$250))</f>
        <v>5.047903156366</v>
      </c>
      <c r="C402" s="325" t="n">
        <f aca="false">BD402*BJ402*BI402</f>
        <v>0</v>
      </c>
      <c r="D402" s="326" t="n">
        <f aca="false">C402+B402</f>
        <v>5.047903156366</v>
      </c>
      <c r="E402" s="327" t="n">
        <f aca="false" t="array" ref="E402:E402">SUM(IF(MONTH(NymexData!$A$12:$A$250)&amp;YEAR(NymexData!$A$12:$A$250)=MONTH(A402)&amp;YEAR(A402),NymexData!$F$12:$F$250))</f>
        <v>5.80925937967969</v>
      </c>
      <c r="F402" s="327" t="n">
        <f aca="false">G402-E402</f>
        <v>-0.0613349801007654</v>
      </c>
      <c r="G402" s="328" t="n">
        <f aca="false" t="array" ref="G402:G402">IF(NymexData!$H$12="",GasPosn!E402,SUM(IF(MONTH(NymexData!$H$12:$H$250)&amp;YEAR(NymexData!$H$12:$H$250)=MONTH(A402)&amp;YEAR(A402),NymexData!$L$12:$L$250)))</f>
        <v>5.74792439957892</v>
      </c>
      <c r="H402" s="115" t="n">
        <f aca="false">B402*10000*F402</f>
        <v>-3096.130396463</v>
      </c>
      <c r="I402" s="119" t="n">
        <f aca="false">(((G402-Q402)*P402+(G402-S402)*R402+(G402-U402)*T402+(G402-W402)*V402+(G402-Y402)*X402+(G402-AA402)*Z402+(G402-AC402)*AB402+(G402-AE402)*AD402+(G402-AG402)*AF402+(G402-AI402)*AH402+(G402-AK402)*AJ402+(G402-AM402)*AL402+(G402-AO402)*AN402+(G402-AQ402)*AP402+(G402-AS402)*AR402+(G402-AU402)*AT402+(G402-AW402)*AV402+(G402-AY402)*AX402+(G402-BA402)*AZ402+(G402-BC402)*BB402)*BJ402*BI402)*10000</f>
        <v>0</v>
      </c>
      <c r="J402" s="119" t="n">
        <f aca="false">H402+I402</f>
        <v>-3096.130396463</v>
      </c>
      <c r="O402" s="95" t="n">
        <f aca="false">A402</f>
        <v>39417</v>
      </c>
      <c r="BD402" s="100" t="n">
        <f aca="false">(P402+R402+T402+V402+X402+Z402+AB402+AD402+AF402+AH402+AJ402+AL402+AN402+AP402+AR402+AT402+AV402+AX402+AZ402+BB402)</f>
        <v>0</v>
      </c>
      <c r="BE402" s="322" t="n">
        <f aca="false">IF(AND(BD402=0,BH402=0),0,(ABS(P402)*Q402+ABS(R402)*S402+ABS(T402)*U402+ABS(V402)*W402+ABS(X402)*Y402+ABS(Z402)*AA402+ABS(AB402)*AC402+ABS(AD402)*AE402+ABS(AF402)*AG402+ABS(AH402)*AI402+ABS(AJ402)*AK402+ABS(AL402)*AM402+ABS(AN402)*AO402+ABS(AP402)*AQ402+ABS(AR402)*AS402+ABS(AT402)*AU402+ABS(AV402)*AW402+ABS(AX402)*AY402+ABS(AZ402)*BA402+ABS(BB402)*BC402)/BH402)</f>
        <v>0</v>
      </c>
      <c r="BG402" s="103" t="n">
        <f aca="false">O402</f>
        <v>39417</v>
      </c>
      <c r="BH402" s="323" t="n">
        <f aca="false">(ABS(P402)+ABS(R402)+ABS(T402)+ABS(V402)+ABS(X402)+ABS(Z402)+ABS(AB402)+ABS(AD402)+ABS(AF402)+ABS(AH402)+ABS(AJ402)+ABS(AL402)+ABS(AN402)+ABS(AP402)+ABS(AR402)+ABS(AT402)+ABS(AV402)+ABS(AX402)+ABS(AZ402)+ABS(BB402))</f>
        <v>0</v>
      </c>
      <c r="BI402" s="104" t="n">
        <f aca="false">VLOOKUP(GasPosn!A402,'Pricing Summary'!$AB$12:$AD$250,3)</f>
        <v>31</v>
      </c>
      <c r="BJ402" s="102" t="n">
        <f aca="false">VLOOKUP(A402,Interest!$AF$8:$AK$367,6)</f>
        <v>0.743735479489769</v>
      </c>
      <c r="BL402" s="0" t="n">
        <f aca="false">H402/VLOOKUP(A402,NymexData!$J$12:$K$128,2)</f>
        <v>-1962.78418200266</v>
      </c>
      <c r="BM402" s="0" t="n">
        <f aca="false">I402/VLOOKUP(A402,NymexData!$J$12:$K$128,2)</f>
        <v>0</v>
      </c>
      <c r="BO402" s="0" t="n">
        <f aca="false">BO85</f>
        <v>0.743735479489769</v>
      </c>
      <c r="BP402" s="0" t="n">
        <f aca="false">G402*BO402</f>
        <v>4.27493530939178</v>
      </c>
      <c r="BQ402" s="0" t="n">
        <f aca="false">IF(AND(A402&gt;=$B$320,A402&lt;=$B$321),1,0)</f>
        <v>0</v>
      </c>
      <c r="BR402" s="0" t="n">
        <f aca="false">BO402*BQ402</f>
        <v>0</v>
      </c>
      <c r="BS402" s="0" t="n">
        <f aca="false">BP402*BQ402</f>
        <v>0</v>
      </c>
    </row>
    <row r="403" customFormat="false" ht="18" hidden="false" customHeight="false" outlineLevel="0" collapsed="false">
      <c r="A403" s="75" t="n">
        <f aca="false">A86</f>
        <v>39448</v>
      </c>
      <c r="B403" s="317" t="n">
        <f aca="false" t="array" ref="B403:B403">SUM(IF(MONTH(NymexData!$AO$12:$AO$250)&amp;YEAR(NymexData!$AO$12:$AO$250)=MONTH(A403)&amp;YEAR(A403),NymexData!$AP$12:$AP$250))</f>
        <v>5.02171490212</v>
      </c>
      <c r="C403" s="317" t="n">
        <f aca="false">BD403*BJ403*BI403</f>
        <v>0</v>
      </c>
      <c r="D403" s="319" t="n">
        <f aca="false">C403+B403</f>
        <v>5.02171490212</v>
      </c>
      <c r="E403" s="320" t="n">
        <f aca="false" t="array" ref="E403:E403">SUM(IF(MONTH(NymexData!$A$12:$A$250)&amp;YEAR(NymexData!$A$12:$A$250)=MONTH(A403)&amp;YEAR(A403),NymexData!$F$12:$F$250))</f>
        <v>5.90251891388506</v>
      </c>
      <c r="F403" s="320" t="n">
        <f aca="false">G403-E403</f>
        <v>-0.0538121734711661</v>
      </c>
      <c r="G403" s="321" t="n">
        <f aca="false" t="array" ref="G403:G403">IF(NymexData!$H$12="",GasPosn!E403,SUM(IF(MONTH(NymexData!$H$12:$H$250)&amp;YEAR(NymexData!$H$12:$H$250)=MONTH(A403)&amp;YEAR(A403),NymexData!$L$12:$L$250)))</f>
        <v>5.84870674041389</v>
      </c>
      <c r="H403" s="76" t="n">
        <f aca="false">B403*10000*F403</f>
        <v>-2702.29393435621</v>
      </c>
      <c r="I403" s="82" t="n">
        <f aca="false">(((G403-Q403)*P403+(G403-S403)*R403+(G403-U403)*T403+(G403-W403)*V403+(G403-Y403)*X403+(G403-AA403)*Z403+(G403-AC403)*AB403+(G403-AE403)*AD403+(G403-AG403)*AF403+(G403-AI403)*AH403+(G403-AK403)*AJ403+(G403-AM403)*AL403+(G403-AO403)*AN403+(G403-AQ403)*AP403+(G403-AS403)*AR403+(G403-AU403)*AT403+(G403-AW403)*AV403+(G403-AY403)*AX403+(G403-BA403)*AZ403+(G403-BC403)*BB403)*BJ403*BI403)*10000</f>
        <v>0</v>
      </c>
      <c r="J403" s="82" t="n">
        <f aca="false">H403+I403</f>
        <v>-2702.29393435621</v>
      </c>
      <c r="O403" s="95" t="n">
        <f aca="false">A403</f>
        <v>39448</v>
      </c>
      <c r="BD403" s="100" t="n">
        <f aca="false">(P403+R403+T403+V403+X403+Z403+AB403+AD403+AF403+AH403+AJ403+AL403+AN403+AP403+AR403+AT403+AV403+AX403+AZ403+BB403)</f>
        <v>0</v>
      </c>
      <c r="BE403" s="322" t="n">
        <f aca="false">IF(AND(BD403=0,BH403=0),0,(ABS(P403)*Q403+ABS(R403)*S403+ABS(T403)*U403+ABS(V403)*W403+ABS(X403)*Y403+ABS(Z403)*AA403+ABS(AB403)*AC403+ABS(AD403)*AE403+ABS(AF403)*AG403+ABS(AH403)*AI403+ABS(AJ403)*AK403+ABS(AL403)*AM403+ABS(AN403)*AO403+ABS(AP403)*AQ403+ABS(AR403)*AS403+ABS(AT403)*AU403+ABS(AV403)*AW403+ABS(AX403)*AY403+ABS(AZ403)*BA403+ABS(BB403)*BC403)/BH403)</f>
        <v>0</v>
      </c>
      <c r="BG403" s="103" t="n">
        <f aca="false">O403</f>
        <v>39448</v>
      </c>
      <c r="BH403" s="323" t="n">
        <f aca="false">(ABS(P403)+ABS(R403)+ABS(T403)+ABS(V403)+ABS(X403)+ABS(Z403)+ABS(AB403)+ABS(AD403)+ABS(AF403)+ABS(AH403)+ABS(AJ403)+ABS(AL403)+ABS(AN403)+ABS(AP403)+ABS(AR403)+ABS(AT403)+ABS(AV403)+ABS(AX403)+ABS(AZ403)+ABS(BB403))</f>
        <v>0</v>
      </c>
      <c r="BI403" s="104" t="n">
        <f aca="false">VLOOKUP(GasPosn!A403,'Pricing Summary'!$AB$12:$AD$250,3)</f>
        <v>31</v>
      </c>
      <c r="BJ403" s="102" t="n">
        <f aca="false">VLOOKUP(A403,Interest!$AF$8:$AK$367,6)</f>
        <v>0.739856008662002</v>
      </c>
      <c r="BL403" s="0" t="n">
        <f aca="false">H403/VLOOKUP(A403,NymexData!$J$12:$K$128,2)</f>
        <v>-1713.15269946326</v>
      </c>
      <c r="BM403" s="0" t="n">
        <f aca="false">I403/VLOOKUP(A403,NymexData!$J$12:$K$128,2)</f>
        <v>0</v>
      </c>
      <c r="BO403" s="0" t="n">
        <f aca="false">BO86</f>
        <v>0.739856008662002</v>
      </c>
      <c r="BP403" s="0" t="n">
        <f aca="false">G403*BO403</f>
        <v>4.32720082479717</v>
      </c>
      <c r="BQ403" s="0" t="n">
        <f aca="false">IF(AND(A403&gt;=$B$320,A403&lt;=$B$321),1,0)</f>
        <v>0</v>
      </c>
      <c r="BR403" s="0" t="n">
        <f aca="false">BO403*BQ403</f>
        <v>0</v>
      </c>
      <c r="BS403" s="0" t="n">
        <f aca="false">BP403*BQ403</f>
        <v>0</v>
      </c>
    </row>
    <row r="404" customFormat="false" ht="18" hidden="false" customHeight="false" outlineLevel="0" collapsed="false">
      <c r="A404" s="112" t="n">
        <f aca="false">A87</f>
        <v>39479</v>
      </c>
      <c r="B404" s="324" t="n">
        <f aca="false" t="array" ref="B404:B404">SUM(IF(MONTH(NymexData!$AO$12:$AO$250)&amp;YEAR(NymexData!$AO$12:$AO$250)=MONTH(A404)&amp;YEAR(A404),NymexData!$AP$12:$AP$250))</f>
        <v>4.673218576026</v>
      </c>
      <c r="C404" s="325" t="n">
        <f aca="false">BD404*BJ404*BI404</f>
        <v>0</v>
      </c>
      <c r="D404" s="326" t="n">
        <f aca="false">C404+B404</f>
        <v>4.673218576026</v>
      </c>
      <c r="E404" s="327" t="n">
        <f aca="false" t="array" ref="E404:E404">SUM(IF(MONTH(NymexData!$A$12:$A$250)&amp;YEAR(NymexData!$A$12:$A$250)=MONTH(A404)&amp;YEAR(A404),NymexData!$F$12:$F$250))</f>
        <v>5.77254349900795</v>
      </c>
      <c r="F404" s="327" t="n">
        <f aca="false">G404-E404</f>
        <v>-0.0555465348466964</v>
      </c>
      <c r="G404" s="328" t="n">
        <f aca="false" t="array" ref="G404:G404">IF(NymexData!$H$12="",GasPosn!E404,SUM(IF(MONTH(NymexData!$H$12:$H$250)&amp;YEAR(NymexData!$H$12:$H$250)=MONTH(A404)&amp;YEAR(A404),NymexData!$L$12:$L$250)))</f>
        <v>5.71699696416125</v>
      </c>
      <c r="H404" s="115" t="n">
        <f aca="false">B404*10000*F404</f>
        <v>-2595.81098479457</v>
      </c>
      <c r="I404" s="119" t="n">
        <f aca="false">(((G404-Q404)*P404+(G404-S404)*R404+(G404-U404)*T404+(G404-W404)*V404+(G404-Y404)*X404+(G404-AA404)*Z404+(G404-AC404)*AB404+(G404-AE404)*AD404+(G404-AG404)*AF404+(G404-AI404)*AH404+(G404-AK404)*AJ404+(G404-AM404)*AL404+(G404-AO404)*AN404+(G404-AQ404)*AP404+(G404-AS404)*AR404+(G404-AU404)*AT404+(G404-AW404)*AV404+(G404-AY404)*AX404+(G404-BA404)*AZ404+(G404-BC404)*BB404)*BJ404*BI404)*10000</f>
        <v>0</v>
      </c>
      <c r="J404" s="119" t="n">
        <f aca="false">H404+I404</f>
        <v>-2595.81098479457</v>
      </c>
      <c r="O404" s="95" t="n">
        <f aca="false">A404</f>
        <v>39479</v>
      </c>
      <c r="BD404" s="100" t="n">
        <f aca="false">(P404+R404+T404+V404+X404+Z404+AB404+AD404+AF404+AH404+AJ404+AL404+AN404+AP404+AR404+AT404+AV404+AX404+AZ404+BB404)</f>
        <v>0</v>
      </c>
      <c r="BE404" s="322" t="n">
        <f aca="false">IF(AND(BD404=0,BH404=0),0,(ABS(P404)*Q404+ABS(R404)*S404+ABS(T404)*U404+ABS(V404)*W404+ABS(X404)*Y404+ABS(Z404)*AA404+ABS(AB404)*AC404+ABS(AD404)*AE404+ABS(AF404)*AG404+ABS(AH404)*AI404+ABS(AJ404)*AK404+ABS(AL404)*AM404+ABS(AN404)*AO404+ABS(AP404)*AQ404+ABS(AR404)*AS404+ABS(AT404)*AU404+ABS(AV404)*AW404+ABS(AX404)*AY404+ABS(AZ404)*BA404+ABS(BB404)*BC404)/BH404)</f>
        <v>0</v>
      </c>
      <c r="BG404" s="103" t="n">
        <f aca="false">O404</f>
        <v>39479</v>
      </c>
      <c r="BH404" s="323" t="n">
        <f aca="false">(ABS(P404)+ABS(R404)+ABS(T404)+ABS(V404)+ABS(X404)+ABS(Z404)+ABS(AB404)+ABS(AD404)+ABS(AF404)+ABS(AH404)+ABS(AJ404)+ABS(AL404)+ABS(AN404)+ABS(AP404)+ABS(AR404)+ABS(AT404)+ABS(AV404)+ABS(AX404)+ABS(AZ404)+ABS(BB404))</f>
        <v>0</v>
      </c>
      <c r="BI404" s="104" t="n">
        <f aca="false">VLOOKUP(GasPosn!A404,'Pricing Summary'!$AB$12:$AD$250,3)</f>
        <v>29</v>
      </c>
      <c r="BJ404" s="102" t="n">
        <f aca="false">VLOOKUP(A404,Interest!$AF$8:$AK$367,6)</f>
        <v>0.736167609246348</v>
      </c>
      <c r="BL404" s="0" t="n">
        <f aca="false">H404/VLOOKUP(A404,NymexData!$J$12:$K$128,2)</f>
        <v>-1645.68790125181</v>
      </c>
      <c r="BM404" s="0" t="n">
        <f aca="false">I404/VLOOKUP(A404,NymexData!$J$12:$K$128,2)</f>
        <v>0</v>
      </c>
      <c r="BO404" s="0" t="n">
        <f aca="false">BO87</f>
        <v>0.736167609246348</v>
      </c>
      <c r="BP404" s="0" t="n">
        <f aca="false">G404*BO404</f>
        <v>4.20866798717522</v>
      </c>
      <c r="BQ404" s="0" t="n">
        <f aca="false">IF(AND(A404&gt;=$B$320,A404&lt;=$B$321),1,0)</f>
        <v>0</v>
      </c>
      <c r="BR404" s="0" t="n">
        <f aca="false">BO404*BQ404</f>
        <v>0</v>
      </c>
      <c r="BS404" s="0" t="n">
        <f aca="false">BP404*BQ404</f>
        <v>0</v>
      </c>
    </row>
    <row r="405" customFormat="false" ht="18" hidden="false" customHeight="false" outlineLevel="0" collapsed="false">
      <c r="A405" s="75" t="n">
        <f aca="false">A88</f>
        <v>39508</v>
      </c>
      <c r="B405" s="317" t="n">
        <f aca="false" t="array" ref="B405:B405">SUM(IF(MONTH(NymexData!$AO$12:$AO$250)&amp;YEAR(NymexData!$AO$12:$AO$250)=MONTH(A405)&amp;YEAR(A405),NymexData!$AP$12:$AP$250))</f>
        <v>4.970980807814</v>
      </c>
      <c r="C405" s="317" t="n">
        <f aca="false">BD405*BJ405*BI405</f>
        <v>0</v>
      </c>
      <c r="D405" s="319" t="n">
        <f aca="false">C405+B405</f>
        <v>4.970980807814</v>
      </c>
      <c r="E405" s="320" t="n">
        <f aca="false" t="array" ref="E405:E405">SUM(IF(MONTH(NymexData!$A$12:$A$250)&amp;YEAR(NymexData!$A$12:$A$250)=MONTH(A405)&amp;YEAR(A405),NymexData!$F$12:$F$250))</f>
        <v>5.56492726798826</v>
      </c>
      <c r="F405" s="320" t="n">
        <f aca="false">G405-E405</f>
        <v>-0.0558776545777739</v>
      </c>
      <c r="G405" s="321" t="n">
        <f aca="false" t="array" ref="G405:G405">IF(NymexData!$H$12="",GasPosn!E405,SUM(IF(MONTH(NymexData!$H$12:$H$250)&amp;YEAR(NymexData!$H$12:$H$250)=MONTH(A405)&amp;YEAR(A405),NymexData!$L$12:$L$250)))</f>
        <v>5.50904961341048</v>
      </c>
      <c r="H405" s="76" t="n">
        <f aca="false">B405*10000*F405</f>
        <v>-2777.66748491774</v>
      </c>
      <c r="I405" s="82" t="n">
        <f aca="false">(((G405-Q405)*P405+(G405-S405)*R405+(G405-U405)*T405+(G405-W405)*V405+(G405-Y405)*X405+(G405-AA405)*Z405+(G405-AC405)*AB405+(G405-AE405)*AD405+(G405-AG405)*AF405+(G405-AI405)*AH405+(G405-AK405)*AJ405+(G405-AM405)*AL405+(G405-AO405)*AN405+(G405-AQ405)*AP405+(G405-AS405)*AR405+(G405-AU405)*AT405+(G405-AW405)*AV405+(G405-AY405)*AX405+(G405-BA405)*AZ405+(G405-BC405)*BB405)*BJ405*BI405)*10000</f>
        <v>0</v>
      </c>
      <c r="J405" s="82" t="n">
        <f aca="false">H405+I405</f>
        <v>-2777.66748491774</v>
      </c>
      <c r="O405" s="95" t="n">
        <f aca="false">A405</f>
        <v>39508</v>
      </c>
      <c r="BD405" s="100" t="n">
        <f aca="false">(P405+R405+T405+V405+X405+Z405+AB405+AD405+AF405+AH405+AJ405+AL405+AN405+AP405+AR405+AT405+AV405+AX405+AZ405+BB405)</f>
        <v>0</v>
      </c>
      <c r="BE405" s="322" t="n">
        <f aca="false">IF(AND(BD405=0,BH405=0),0,(ABS(P405)*Q405+ABS(R405)*S405+ABS(T405)*U405+ABS(V405)*W405+ABS(X405)*Y405+ABS(Z405)*AA405+ABS(AB405)*AC405+ABS(AD405)*AE405+ABS(AF405)*AG405+ABS(AH405)*AI405+ABS(AJ405)*AK405+ABS(AL405)*AM405+ABS(AN405)*AO405+ABS(AP405)*AQ405+ABS(AR405)*AS405+ABS(AT405)*AU405+ABS(AV405)*AW405+ABS(AX405)*AY405+ABS(AZ405)*BA405+ABS(BB405)*BC405)/BH405)</f>
        <v>0</v>
      </c>
      <c r="BG405" s="103" t="n">
        <f aca="false">O405</f>
        <v>39508</v>
      </c>
      <c r="BH405" s="323" t="n">
        <f aca="false">(ABS(P405)+ABS(R405)+ABS(T405)+ABS(V405)+ABS(X405)+ABS(Z405)+ABS(AB405)+ABS(AD405)+ABS(AF405)+ABS(AH405)+ABS(AJ405)+ABS(AL405)+ABS(AN405)+ABS(AP405)+ABS(AR405)+ABS(AT405)+ABS(AV405)+ABS(AX405)+ABS(AZ405)+ABS(BB405))</f>
        <v>0</v>
      </c>
      <c r="BI405" s="104" t="n">
        <f aca="false">VLOOKUP(GasPosn!A405,'Pricing Summary'!$AB$12:$AD$250,3)</f>
        <v>31</v>
      </c>
      <c r="BJ405" s="102" t="n">
        <f aca="false">VLOOKUP(A405,Interest!$AF$8:$AK$367,6)</f>
        <v>0.73233896283891</v>
      </c>
      <c r="BL405" s="0" t="n">
        <f aca="false">H405/VLOOKUP(A405,NymexData!$J$12:$K$128,2)</f>
        <v>-1761.02512440158</v>
      </c>
      <c r="BM405" s="0" t="n">
        <f aca="false">I405/VLOOKUP(A405,NymexData!$J$12:$K$128,2)</f>
        <v>0</v>
      </c>
      <c r="BO405" s="0" t="n">
        <f aca="false">BO88</f>
        <v>0.73233896283891</v>
      </c>
      <c r="BP405" s="0" t="n">
        <f aca="false">G405*BO405</f>
        <v>4.03449168011313</v>
      </c>
      <c r="BQ405" s="0" t="n">
        <f aca="false">IF(AND(A405&gt;=$B$320,A405&lt;=$B$321),1,0)</f>
        <v>0</v>
      </c>
      <c r="BR405" s="0" t="n">
        <f aca="false">BO405*BQ405</f>
        <v>0</v>
      </c>
      <c r="BS405" s="0" t="n">
        <f aca="false">BP405*BQ405</f>
        <v>0</v>
      </c>
    </row>
    <row r="406" customFormat="false" ht="18" hidden="false" customHeight="false" outlineLevel="0" collapsed="false">
      <c r="A406" s="112" t="n">
        <f aca="false">A89</f>
        <v>39539</v>
      </c>
      <c r="B406" s="324" t="n">
        <f aca="false" t="array" ref="B406:B406">SUM(IF(MONTH(NymexData!$AO$12:$AO$250)&amp;YEAR(NymexData!$AO$12:$AO$250)=MONTH(A406)&amp;YEAR(A406),NymexData!$AP$12:$AP$250))</f>
        <v>4.785239152806</v>
      </c>
      <c r="C406" s="325" t="n">
        <f aca="false">BD406*BJ406*BI406</f>
        <v>0</v>
      </c>
      <c r="D406" s="326" t="n">
        <f aca="false">C406+B406</f>
        <v>4.785239152806</v>
      </c>
      <c r="E406" s="327" t="n">
        <f aca="false" t="array" ref="E406:E406">SUM(IF(MONTH(NymexData!$A$12:$A$250)&amp;YEAR(NymexData!$A$12:$A$250)=MONTH(A406)&amp;YEAR(A406),NymexData!$F$12:$F$250))</f>
        <v>5.25278817929018</v>
      </c>
      <c r="F406" s="327" t="n">
        <f aca="false">G406-E406</f>
        <v>-0.056339932546007</v>
      </c>
      <c r="G406" s="328" t="n">
        <f aca="false" t="array" ref="G406:G406">IF(NymexData!$H$12="",GasPosn!E406,SUM(IF(MONTH(NymexData!$H$12:$H$250)&amp;YEAR(NymexData!$H$12:$H$250)=MONTH(A406)&amp;YEAR(A406),NymexData!$L$12:$L$250)))</f>
        <v>5.19644824674417</v>
      </c>
      <c r="H406" s="115" t="n">
        <f aca="false">B406*10000*F406</f>
        <v>-2696.00051085602</v>
      </c>
      <c r="I406" s="119" t="n">
        <f aca="false">(((G406-Q406)*P406+(G406-S406)*R406+(G406-U406)*T406+(G406-W406)*V406+(G406-Y406)*X406+(G406-AA406)*Z406+(G406-AC406)*AB406+(G406-AE406)*AD406+(G406-AG406)*AF406+(G406-AI406)*AH406+(G406-AK406)*AJ406+(G406-AM406)*AL406+(G406-AO406)*AN406+(G406-AQ406)*AP406+(G406-AS406)*AR406+(G406-AU406)*AT406+(G406-AW406)*AV406+(G406-AY406)*AX406+(G406-BA406)*AZ406+(G406-BC406)*BB406)*BJ406*BI406)*10000</f>
        <v>0</v>
      </c>
      <c r="J406" s="119" t="n">
        <f aca="false">H406+I406</f>
        <v>-2696.00051085602</v>
      </c>
      <c r="O406" s="95" t="n">
        <f aca="false">A406</f>
        <v>39539</v>
      </c>
      <c r="BD406" s="100" t="n">
        <f aca="false">(P406+R406+T406+V406+X406+Z406+AB406+AD406+AF406+AH406+AJ406+AL406+AN406+AP406+AR406+AT406+AV406+AX406+AZ406+BB406)</f>
        <v>0</v>
      </c>
      <c r="BE406" s="322" t="n">
        <f aca="false">IF(AND(BD406=0,BH406=0),0,(ABS(P406)*Q406+ABS(R406)*S406+ABS(T406)*U406+ABS(V406)*W406+ABS(X406)*Y406+ABS(Z406)*AA406+ABS(AB406)*AC406+ABS(AD406)*AE406+ABS(AF406)*AG406+ABS(AH406)*AI406+ABS(AJ406)*AK406+ABS(AL406)*AM406+ABS(AN406)*AO406+ABS(AP406)*AQ406+ABS(AR406)*AS406+ABS(AT406)*AU406+ABS(AV406)*AW406+ABS(AX406)*AY406+ABS(AZ406)*BA406+ABS(BB406)*BC406)/BH406)</f>
        <v>0</v>
      </c>
      <c r="BG406" s="103" t="n">
        <f aca="false">O406</f>
        <v>39539</v>
      </c>
      <c r="BH406" s="323" t="n">
        <f aca="false">(ABS(P406)+ABS(R406)+ABS(T406)+ABS(V406)+ABS(X406)+ABS(Z406)+ABS(AB406)+ABS(AD406)+ABS(AF406)+ABS(AH406)+ABS(AJ406)+ABS(AL406)+ABS(AN406)+ABS(AP406)+ABS(AR406)+ABS(AT406)+ABS(AV406)+ABS(AX406)+ABS(AZ406)+ABS(BB406))</f>
        <v>0</v>
      </c>
      <c r="BI406" s="104" t="n">
        <f aca="false">VLOOKUP(GasPosn!A406,'Pricing Summary'!$AB$12:$AD$250,3)</f>
        <v>30</v>
      </c>
      <c r="BJ406" s="102" t="n">
        <f aca="false">VLOOKUP(A406,Interest!$AF$8:$AK$367,6)</f>
        <v>0.728548104309011</v>
      </c>
      <c r="BL406" s="0" t="n">
        <f aca="false">H406/VLOOKUP(A406,NymexData!$J$12:$K$128,2)</f>
        <v>-1709.29735251433</v>
      </c>
      <c r="BM406" s="0" t="n">
        <f aca="false">I406/VLOOKUP(A406,NymexData!$J$12:$K$128,2)</f>
        <v>0</v>
      </c>
      <c r="BO406" s="0" t="n">
        <f aca="false">BO89</f>
        <v>0.728548104309011</v>
      </c>
      <c r="BP406" s="0" t="n">
        <f aca="false">G406*BO406</f>
        <v>3.78586251930535</v>
      </c>
      <c r="BQ406" s="0" t="n">
        <f aca="false">IF(AND(A406&gt;=$B$320,A406&lt;=$B$321),1,0)</f>
        <v>0</v>
      </c>
      <c r="BR406" s="0" t="n">
        <f aca="false">BO406*BQ406</f>
        <v>0</v>
      </c>
      <c r="BS406" s="0" t="n">
        <f aca="false">BP406*BQ406</f>
        <v>0</v>
      </c>
    </row>
    <row r="407" customFormat="false" ht="18" hidden="false" customHeight="false" outlineLevel="0" collapsed="false">
      <c r="A407" s="75" t="n">
        <f aca="false">A90</f>
        <v>39569</v>
      </c>
      <c r="B407" s="317" t="n">
        <f aca="false" t="array" ref="B407:B407">SUM(IF(MONTH(NymexData!$AO$12:$AO$250)&amp;YEAR(NymexData!$AO$12:$AO$250)=MONTH(A407)&amp;YEAR(A407),NymexData!$AP$12:$AP$250))</f>
        <v>4.919348132762</v>
      </c>
      <c r="C407" s="317" t="n">
        <f aca="false">BD407*BJ407*BI407</f>
        <v>0</v>
      </c>
      <c r="D407" s="319" t="n">
        <f aca="false">C407+B407</f>
        <v>4.919348132762</v>
      </c>
      <c r="E407" s="320" t="n">
        <f aca="false" t="array" ref="E407:E407">SUM(IF(MONTH(NymexData!$A$12:$A$250)&amp;YEAR(NymexData!$A$12:$A$250)=MONTH(A407)&amp;YEAR(A407),NymexData!$F$12:$F$250))</f>
        <v>5.26017789641459</v>
      </c>
      <c r="F407" s="320" t="n">
        <f aca="false">G407-E407</f>
        <v>-0.0564065681365396</v>
      </c>
      <c r="G407" s="321" t="n">
        <f aca="false" t="array" ref="G407:G407">IF(NymexData!$H$12="",GasPosn!E407,SUM(IF(MONTH(NymexData!$H$12:$H$250)&amp;YEAR(NymexData!$H$12:$H$250)=MONTH(A407)&amp;YEAR(A407),NymexData!$L$12:$L$250)))</f>
        <v>5.20377132827805</v>
      </c>
      <c r="H407" s="76" t="n">
        <f aca="false">B407*10000*F407</f>
        <v>-2774.83545637998</v>
      </c>
      <c r="I407" s="82" t="n">
        <f aca="false">(((G407-Q407)*P407+(G407-S407)*R407+(G407-U407)*T407+(G407-W407)*V407+(G407-Y407)*X407+(G407-AA407)*Z407+(G407-AC407)*AB407+(G407-AE407)*AD407+(G407-AG407)*AF407+(G407-AI407)*AH407+(G407-AK407)*AJ407+(G407-AM407)*AL407+(G407-AO407)*AN407+(G407-AQ407)*AP407+(G407-AS407)*AR407+(G407-AU407)*AT407+(G407-AW407)*AV407+(G407-AY407)*AX407+(G407-BA407)*AZ407+(G407-BC407)*BB407)*BJ407*BI407)*10000</f>
        <v>0</v>
      </c>
      <c r="J407" s="82" t="n">
        <f aca="false">H407+I407</f>
        <v>-2774.83545637998</v>
      </c>
      <c r="O407" s="95" t="n">
        <f aca="false">A407</f>
        <v>39569</v>
      </c>
      <c r="BD407" s="100" t="n">
        <f aca="false">(P407+R407+T407+V407+X407+Z407+AB407+AD407+AF407+AH407+AJ407+AL407+AN407+AP407+AR407+AT407+AV407+AX407+AZ407+BB407)</f>
        <v>0</v>
      </c>
      <c r="BE407" s="322" t="n">
        <f aca="false">IF(AND(BD407=0,BH407=0),0,(ABS(P407)*Q407+ABS(R407)*S407+ABS(T407)*U407+ABS(V407)*W407+ABS(X407)*Y407+ABS(Z407)*AA407+ABS(AB407)*AC407+ABS(AD407)*AE407+ABS(AF407)*AG407+ABS(AH407)*AI407+ABS(AJ407)*AK407+ABS(AL407)*AM407+ABS(AN407)*AO407+ABS(AP407)*AQ407+ABS(AR407)*AS407+ABS(AT407)*AU407+ABS(AV407)*AW407+ABS(AX407)*AY407+ABS(AZ407)*BA407+ABS(BB407)*BC407)/BH407)</f>
        <v>0</v>
      </c>
      <c r="BG407" s="103" t="n">
        <f aca="false">O407</f>
        <v>39569</v>
      </c>
      <c r="BH407" s="323" t="n">
        <f aca="false">(ABS(P407)+ABS(R407)+ABS(T407)+ABS(V407)+ABS(X407)+ABS(Z407)+ABS(AB407)+ABS(AD407)+ABS(AF407)+ABS(AH407)+ABS(AJ407)+ABS(AL407)+ABS(AN407)+ABS(AP407)+ABS(AR407)+ABS(AT407)+ABS(AV407)+ABS(AX407)+ABS(AZ407)+ABS(BB407))</f>
        <v>0</v>
      </c>
      <c r="BI407" s="104" t="n">
        <f aca="false">VLOOKUP(GasPosn!A407,'Pricing Summary'!$AB$12:$AD$250,3)</f>
        <v>31</v>
      </c>
      <c r="BJ407" s="102" t="n">
        <f aca="false">VLOOKUP(A407,Interest!$AF$8:$AK$367,6)</f>
        <v>0.724686939677706</v>
      </c>
      <c r="BL407" s="0" t="n">
        <f aca="false">H407/VLOOKUP(A407,NymexData!$J$12:$K$128,2)</f>
        <v>-1759.33095052131</v>
      </c>
      <c r="BM407" s="0" t="n">
        <f aca="false">I407/VLOOKUP(A407,NymexData!$J$12:$K$128,2)</f>
        <v>0</v>
      </c>
      <c r="BO407" s="0" t="n">
        <f aca="false">BO90</f>
        <v>0.724686939677706</v>
      </c>
      <c r="BP407" s="0" t="n">
        <f aca="false">G407*BO407</f>
        <v>3.77110511867241</v>
      </c>
      <c r="BQ407" s="0" t="n">
        <f aca="false">IF(AND(A407&gt;=$B$320,A407&lt;=$B$321),1,0)</f>
        <v>0</v>
      </c>
      <c r="BR407" s="0" t="n">
        <f aca="false">BO407*BQ407</f>
        <v>0</v>
      </c>
      <c r="BS407" s="0" t="n">
        <f aca="false">BP407*BQ407</f>
        <v>0</v>
      </c>
    </row>
    <row r="408" customFormat="false" ht="18" hidden="false" customHeight="false" outlineLevel="0" collapsed="false">
      <c r="A408" s="112" t="n">
        <f aca="false">A91</f>
        <v>39600</v>
      </c>
      <c r="B408" s="324" t="n">
        <f aca="false" t="array" ref="B408:B408">SUM(IF(MONTH(NymexData!$AO$12:$AO$250)&amp;YEAR(NymexData!$AO$12:$AO$250)=MONTH(A408)&amp;YEAR(A408),NymexData!$AP$12:$AP$250))</f>
        <v>4.735250512678</v>
      </c>
      <c r="C408" s="325" t="n">
        <f aca="false">BD408*BJ408*BI408</f>
        <v>0</v>
      </c>
      <c r="D408" s="326" t="n">
        <f aca="false">C408+B408</f>
        <v>4.735250512678</v>
      </c>
      <c r="E408" s="327" t="n">
        <f aca="false" t="array" ref="E408:E408">SUM(IF(MONTH(NymexData!$A$12:$A$250)&amp;YEAR(NymexData!$A$12:$A$250)=MONTH(A408)&amp;YEAR(A408),NymexData!$F$12:$F$250))</f>
        <v>5.31683109277564</v>
      </c>
      <c r="F408" s="327" t="n">
        <f aca="false">G408-E408</f>
        <v>-0.056420535771168</v>
      </c>
      <c r="G408" s="328" t="n">
        <f aca="false" t="array" ref="G408:G408">IF(NymexData!$H$12="",GasPosn!E408,SUM(IF(MONTH(NymexData!$H$12:$H$250)&amp;YEAR(NymexData!$H$12:$H$250)=MONTH(A408)&amp;YEAR(A408),NymexData!$L$12:$L$250)))</f>
        <v>5.26041055700447</v>
      </c>
      <c r="H408" s="115" t="n">
        <f aca="false">B408*10000*F408</f>
        <v>-2671.65370935991</v>
      </c>
      <c r="I408" s="119" t="n">
        <f aca="false">(((G408-Q408)*P408+(G408-S408)*R408+(G408-U408)*T408+(G408-W408)*V408+(G408-Y408)*X408+(G408-AA408)*Z408+(G408-AC408)*AB408+(G408-AE408)*AD408+(G408-AG408)*AF408+(G408-AI408)*AH408+(G408-AK408)*AJ408+(G408-AM408)*AL408+(G408-AO408)*AN408+(G408-AQ408)*AP408+(G408-AS408)*AR408+(G408-AU408)*AT408+(G408-AW408)*AV408+(G408-AY408)*AX408+(G408-BA408)*AZ408+(G408-BC408)*BB408)*BJ408*BI408)*10000</f>
        <v>0</v>
      </c>
      <c r="J408" s="119" t="n">
        <f aca="false">H408+I408</f>
        <v>-2671.65370935991</v>
      </c>
      <c r="O408" s="95" t="n">
        <f aca="false">A408</f>
        <v>39600</v>
      </c>
      <c r="BD408" s="100" t="n">
        <f aca="false">(P408+R408+T408+V408+X408+Z408+AB408+AD408+AF408+AH408+AJ408+AL408+AN408+AP408+AR408+AT408+AV408+AX408+AZ408+BB408)</f>
        <v>0</v>
      </c>
      <c r="BE408" s="322" t="n">
        <f aca="false">IF(AND(BD408=0,BH408=0),0,(ABS(P408)*Q408+ABS(R408)*S408+ABS(T408)*U408+ABS(V408)*W408+ABS(X408)*Y408+ABS(Z408)*AA408+ABS(AB408)*AC408+ABS(AD408)*AE408+ABS(AF408)*AG408+ABS(AH408)*AI408+ABS(AJ408)*AK408+ABS(AL408)*AM408+ABS(AN408)*AO408+ABS(AP408)*AQ408+ABS(AR408)*AS408+ABS(AT408)*AU408+ABS(AV408)*AW408+ABS(AX408)*AY408+ABS(AZ408)*BA408+ABS(BB408)*BC408)/BH408)</f>
        <v>0</v>
      </c>
      <c r="BG408" s="103" t="n">
        <f aca="false">O408</f>
        <v>39600</v>
      </c>
      <c r="BH408" s="323" t="n">
        <f aca="false">(ABS(P408)+ABS(R408)+ABS(T408)+ABS(V408)+ABS(X408)+ABS(Z408)+ABS(AB408)+ABS(AD408)+ABS(AF408)+ABS(AH408)+ABS(AJ408)+ABS(AL408)+ABS(AN408)+ABS(AP408)+ABS(AR408)+ABS(AT408)+ABS(AV408)+ABS(AX408)+ABS(AZ408)+ABS(BB408))</f>
        <v>0</v>
      </c>
      <c r="BI408" s="104" t="n">
        <f aca="false">VLOOKUP(GasPosn!A408,'Pricing Summary'!$AB$12:$AD$250,3)</f>
        <v>30</v>
      </c>
      <c r="BJ408" s="102" t="n">
        <f aca="false">VLOOKUP(A408,Interest!$AF$8:$AK$367,6)</f>
        <v>0.720891581071059</v>
      </c>
      <c r="BL408" s="0" t="n">
        <f aca="false">H408/VLOOKUP(A408,NymexData!$J$12:$K$128,2)</f>
        <v>-1693.96440459018</v>
      </c>
      <c r="BM408" s="0" t="n">
        <f aca="false">I408/VLOOKUP(A408,NymexData!$J$12:$K$128,2)</f>
        <v>0</v>
      </c>
      <c r="BO408" s="0" t="n">
        <f aca="false">BO91</f>
        <v>0.720891581071059</v>
      </c>
      <c r="BP408" s="0" t="n">
        <f aca="false">G408*BO408</f>
        <v>3.79218568352184</v>
      </c>
      <c r="BQ408" s="0" t="n">
        <f aca="false">IF(AND(A408&gt;=$B$320,A408&lt;=$B$321),1,0)</f>
        <v>0</v>
      </c>
      <c r="BR408" s="0" t="n">
        <f aca="false">BO408*BQ408</f>
        <v>0</v>
      </c>
      <c r="BS408" s="0" t="n">
        <f aca="false">BP408*BQ408</f>
        <v>0</v>
      </c>
    </row>
    <row r="409" customFormat="false" ht="18" hidden="false" customHeight="false" outlineLevel="0" collapsed="false">
      <c r="A409" s="75" t="n">
        <f aca="false">A92</f>
        <v>39630</v>
      </c>
      <c r="B409" s="317" t="n">
        <f aca="false" t="array" ref="B409:B409">SUM(IF(MONTH(NymexData!$AO$12:$AO$250)&amp;YEAR(NymexData!$AO$12:$AO$250)=MONTH(A409)&amp;YEAR(A409),NymexData!$AP$12:$AP$250))</f>
        <v>4.867674816046</v>
      </c>
      <c r="C409" s="317" t="n">
        <f aca="false">BD409*BJ409*BI409</f>
        <v>0</v>
      </c>
      <c r="D409" s="319" t="n">
        <f aca="false">C409+B409</f>
        <v>4.867674816046</v>
      </c>
      <c r="E409" s="320" t="n">
        <f aca="false" t="array" ref="E409:E409">SUM(IF(MONTH(NymexData!$A$12:$A$250)&amp;YEAR(NymexData!$A$12:$A$250)=MONTH(A409)&amp;YEAR(A409),NymexData!$F$12:$F$250))</f>
        <v>5.38393148000998</v>
      </c>
      <c r="F409" s="320" t="n">
        <f aca="false">G409-E409</f>
        <v>-0.0564247804421685</v>
      </c>
      <c r="G409" s="321" t="n">
        <f aca="false" t="array" ref="G409:G409">IF(NymexData!$H$12="",GasPosn!E409,SUM(IF(MONTH(NymexData!$H$12:$H$250)&amp;YEAR(NymexData!$H$12:$H$250)=MONTH(A409)&amp;YEAR(A409),NymexData!$L$12:$L$250)))</f>
        <v>5.32750669956781</v>
      </c>
      <c r="H409" s="76" t="n">
        <f aca="false">B409*10000*F409</f>
        <v>-2746.57482759268</v>
      </c>
      <c r="I409" s="82" t="n">
        <f aca="false">(((G409-Q409)*P409+(G409-S409)*R409+(G409-U409)*T409+(G409-W409)*V409+(G409-Y409)*X409+(G409-AA409)*Z409+(G409-AC409)*AB409+(G409-AE409)*AD409+(G409-AG409)*AF409+(G409-AI409)*AH409+(G409-AK409)*AJ409+(G409-AM409)*AL409+(G409-AO409)*AN409+(G409-AQ409)*AP409+(G409-AS409)*AR409+(G409-AU409)*AT409+(G409-AW409)*AV409+(G409-AY409)*AX409+(G409-BA409)*AZ409+(G409-BC409)*BB409)*BJ409*BI409)*10000</f>
        <v>0</v>
      </c>
      <c r="J409" s="82" t="n">
        <f aca="false">H409+I409</f>
        <v>-2746.57482759268</v>
      </c>
      <c r="O409" s="95" t="n">
        <f aca="false">A409</f>
        <v>39630</v>
      </c>
      <c r="BD409" s="100" t="n">
        <f aca="false">(P409+R409+T409+V409+X409+Z409+AB409+AD409+AF409+AH409+AJ409+AL409+AN409+AP409+AR409+AT409+AV409+AX409+AZ409+BB409)</f>
        <v>0</v>
      </c>
      <c r="BE409" s="322" t="n">
        <f aca="false">IF(AND(BD409=0,BH409=0),0,(ABS(P409)*Q409+ABS(R409)*S409+ABS(T409)*U409+ABS(V409)*W409+ABS(X409)*Y409+ABS(Z409)*AA409+ABS(AB409)*AC409+ABS(AD409)*AE409+ABS(AF409)*AG409+ABS(AH409)*AI409+ABS(AJ409)*AK409+ABS(AL409)*AM409+ABS(AN409)*AO409+ABS(AP409)*AQ409+ABS(AR409)*AS409+ABS(AT409)*AU409+ABS(AV409)*AW409+ABS(AX409)*AY409+ABS(AZ409)*BA409+ABS(BB409)*BC409)/BH409)</f>
        <v>0</v>
      </c>
      <c r="BG409" s="103" t="n">
        <f aca="false">O409</f>
        <v>39630</v>
      </c>
      <c r="BH409" s="323" t="n">
        <f aca="false">(ABS(P409)+ABS(R409)+ABS(T409)+ABS(V409)+ABS(X409)+ABS(Z409)+ABS(AB409)+ABS(AD409)+ABS(AF409)+ABS(AH409)+ABS(AJ409)+ABS(AL409)+ABS(AN409)+ABS(AP409)+ABS(AR409)+ABS(AT409)+ABS(AV409)+ABS(AX409)+ABS(AZ409)+ABS(BB409))</f>
        <v>0</v>
      </c>
      <c r="BI409" s="104" t="n">
        <f aca="false">VLOOKUP(GasPosn!A409,'Pricing Summary'!$AB$12:$AD$250,3)</f>
        <v>31</v>
      </c>
      <c r="BJ409" s="102" t="n">
        <f aca="false">VLOOKUP(A409,Interest!$AF$8:$AK$367,6)</f>
        <v>0.717027121992884</v>
      </c>
      <c r="BL409" s="0" t="n">
        <f aca="false">H409/VLOOKUP(A409,NymexData!$J$12:$K$128,2)</f>
        <v>-1741.52460460924</v>
      </c>
      <c r="BM409" s="0" t="n">
        <f aca="false">I409/VLOOKUP(A409,NymexData!$J$12:$K$128,2)</f>
        <v>0</v>
      </c>
      <c r="BO409" s="0" t="n">
        <f aca="false">BO92</f>
        <v>0.717027121992884</v>
      </c>
      <c r="BP409" s="0" t="n">
        <f aca="false">G409*BO409</f>
        <v>3.81996679618891</v>
      </c>
      <c r="BQ409" s="0" t="n">
        <f aca="false">IF(AND(A409&gt;=$B$320,A409&lt;=$B$321),1,0)</f>
        <v>0</v>
      </c>
      <c r="BR409" s="0" t="n">
        <f aca="false">BO409*BQ409</f>
        <v>0</v>
      </c>
      <c r="BS409" s="0" t="n">
        <f aca="false">BP409*BQ409</f>
        <v>0</v>
      </c>
    </row>
    <row r="410" customFormat="false" ht="18" hidden="false" customHeight="false" outlineLevel="0" collapsed="false">
      <c r="A410" s="112" t="n">
        <f aca="false">A93</f>
        <v>39661</v>
      </c>
      <c r="B410" s="324" t="n">
        <f aca="false" t="array" ref="B410:B410">SUM(IF(MONTH(NymexData!$AO$12:$AO$250)&amp;YEAR(NymexData!$AO$12:$AO$250)=MONTH(A410)&amp;YEAR(A410),NymexData!$AP$12:$AP$250))</f>
        <v>4.841403117488</v>
      </c>
      <c r="C410" s="325" t="n">
        <f aca="false">BD410*BJ410*BI410</f>
        <v>0</v>
      </c>
      <c r="D410" s="326" t="n">
        <f aca="false">C410+B410</f>
        <v>4.841403117488</v>
      </c>
      <c r="E410" s="327" t="n">
        <f aca="false" t="array" ref="E410:E410">SUM(IF(MONTH(NymexData!$A$12:$A$250)&amp;YEAR(NymexData!$A$12:$A$250)=MONTH(A410)&amp;YEAR(A410),NymexData!$F$12:$F$250))</f>
        <v>5.44057021693205</v>
      </c>
      <c r="F410" s="327" t="n">
        <f aca="false">G410-E410</f>
        <v>-0.0564498838554783</v>
      </c>
      <c r="G410" s="328" t="n">
        <f aca="false" t="array" ref="G410:G410">IF(NymexData!$H$12="",GasPosn!E410,SUM(IF(MONTH(NymexData!$H$12:$H$250)&amp;YEAR(NymexData!$H$12:$H$250)=MONTH(A410)&amp;YEAR(A410),NymexData!$L$12:$L$250)))</f>
        <v>5.38412033307658</v>
      </c>
      <c r="H410" s="115" t="n">
        <f aca="false">B410*10000*F410</f>
        <v>-2732.96643679748</v>
      </c>
      <c r="I410" s="119" t="n">
        <f aca="false">(((G410-Q410)*P410+(G410-S410)*R410+(G410-U410)*T410+(G410-W410)*V410+(G410-Y410)*X410+(G410-AA410)*Z410+(G410-AC410)*AB410+(G410-AE410)*AD410+(G410-AG410)*AF410+(G410-AI410)*AH410+(G410-AK410)*AJ410+(G410-AM410)*AL410+(G410-AO410)*AN410+(G410-AQ410)*AP410+(G410-AS410)*AR410+(G410-AU410)*AT410+(G410-AW410)*AV410+(G410-AY410)*AX410+(G410-BA410)*AZ410+(G410-BC410)*BB410)*BJ410*BI410)*10000</f>
        <v>0</v>
      </c>
      <c r="J410" s="119" t="n">
        <f aca="false">H410+I410</f>
        <v>-2732.96643679748</v>
      </c>
      <c r="O410" s="95" t="n">
        <f aca="false">A410</f>
        <v>39661</v>
      </c>
      <c r="BD410" s="100" t="n">
        <f aca="false">(P410+R410+T410+V410+X410+Z410+AB410+AD410+AF410+AH410+AJ410+AL410+AN410+AP410+AR410+AT410+AV410+AX410+AZ410+BB410)</f>
        <v>0</v>
      </c>
      <c r="BE410" s="322" t="n">
        <f aca="false">IF(AND(BD410=0,BH410=0),0,(ABS(P410)*Q410+ABS(R410)*S410+ABS(T410)*U410+ABS(V410)*W410+ABS(X410)*Y410+ABS(Z410)*AA410+ABS(AB410)*AC410+ABS(AD410)*AE410+ABS(AF410)*AG410+ABS(AH410)*AI410+ABS(AJ410)*AK410+ABS(AL410)*AM410+ABS(AN410)*AO410+ABS(AP410)*AQ410+ABS(AR410)*AS410+ABS(AT410)*AU410+ABS(AV410)*AW410+ABS(AX410)*AY410+ABS(AZ410)*BA410+ABS(BB410)*BC410)/BH410)</f>
        <v>0</v>
      </c>
      <c r="BG410" s="103" t="n">
        <f aca="false">O410</f>
        <v>39661</v>
      </c>
      <c r="BH410" s="323" t="n">
        <f aca="false">(ABS(P410)+ABS(R410)+ABS(T410)+ABS(V410)+ABS(X410)+ABS(Z410)+ABS(AB410)+ABS(AD410)+ABS(AF410)+ABS(AH410)+ABS(AJ410)+ABS(AL410)+ABS(AN410)+ABS(AP410)+ABS(AR410)+ABS(AT410)+ABS(AV410)+ABS(AX410)+ABS(AZ410)+ABS(BB410))</f>
        <v>0</v>
      </c>
      <c r="BI410" s="104" t="n">
        <f aca="false">VLOOKUP(GasPosn!A410,'Pricing Summary'!$AB$12:$AD$250,3)</f>
        <v>31</v>
      </c>
      <c r="BJ410" s="102" t="n">
        <f aca="false">VLOOKUP(A410,Interest!$AF$8:$AK$367,6)</f>
        <v>0.713132072922188</v>
      </c>
      <c r="BL410" s="0" t="n">
        <f aca="false">H410/VLOOKUP(A410,NymexData!$J$12:$K$128,2)</f>
        <v>-1732.9568035488</v>
      </c>
      <c r="BM410" s="0" t="n">
        <f aca="false">I410/VLOOKUP(A410,NymexData!$J$12:$K$128,2)</f>
        <v>0</v>
      </c>
      <c r="BO410" s="0" t="n">
        <f aca="false">BO93</f>
        <v>0.713132072922188</v>
      </c>
      <c r="BP410" s="0" t="n">
        <f aca="false">G410*BO410</f>
        <v>3.8395888939894</v>
      </c>
      <c r="BQ410" s="0" t="n">
        <f aca="false">IF(AND(A410&gt;=$B$320,A410&lt;=$B$321),1,0)</f>
        <v>0</v>
      </c>
      <c r="BR410" s="0" t="n">
        <f aca="false">BO410*BQ410</f>
        <v>0</v>
      </c>
      <c r="BS410" s="0" t="n">
        <f aca="false">BP410*BQ410</f>
        <v>0</v>
      </c>
    </row>
    <row r="411" customFormat="false" ht="18" hidden="false" customHeight="false" outlineLevel="0" collapsed="false">
      <c r="A411" s="75" t="n">
        <f aca="false">A94</f>
        <v>39692</v>
      </c>
      <c r="B411" s="317" t="n">
        <f aca="false" t="array" ref="B411:B411">SUM(IF(MONTH(NymexData!$AO$12:$AO$250)&amp;YEAR(NymexData!$AO$12:$AO$250)=MONTH(A411)&amp;YEAR(A411),NymexData!$AP$12:$AP$250))</f>
        <v>4.659799253984</v>
      </c>
      <c r="C411" s="317" t="n">
        <f aca="false">BD411*BJ411*BI411</f>
        <v>0</v>
      </c>
      <c r="D411" s="319" t="n">
        <f aca="false">C411+B411</f>
        <v>4.659799253984</v>
      </c>
      <c r="E411" s="320" t="n">
        <f aca="false" t="array" ref="E411:E411">SUM(IF(MONTH(NymexData!$A$12:$A$250)&amp;YEAR(NymexData!$A$12:$A$250)=MONTH(A411)&amp;YEAR(A411),NymexData!$F$12:$F$250))</f>
        <v>5.43150974916816</v>
      </c>
      <c r="F411" s="320" t="n">
        <f aca="false">G411-E411</f>
        <v>-0.056555969807178</v>
      </c>
      <c r="G411" s="321" t="n">
        <f aca="false" t="array" ref="G411:G411">IF(NymexData!$H$12="",GasPosn!E411,SUM(IF(MONTH(NymexData!$H$12:$H$250)&amp;YEAR(NymexData!$H$12:$H$250)=MONTH(A411)&amp;YEAR(A411),NymexData!$L$12:$L$250)))</f>
        <v>5.37495377936098</v>
      </c>
      <c r="H411" s="76" t="n">
        <f aca="false">B411*10000*F411</f>
        <v>-2635.3946591583</v>
      </c>
      <c r="I411" s="82" t="n">
        <f aca="false">(((G411-Q411)*P411+(G411-S411)*R411+(G411-U411)*T411+(G411-W411)*V411+(G411-Y411)*X411+(G411-AA411)*Z411+(G411-AC411)*AB411+(G411-AE411)*AD411+(G411-AG411)*AF411+(G411-AI411)*AH411+(G411-AK411)*AJ411+(G411-AM411)*AL411+(G411-AO411)*AN411+(G411-AQ411)*AP411+(G411-AS411)*AR411+(G411-AU411)*AT411+(G411-AW411)*AV411+(G411-AY411)*AX411+(G411-BA411)*AZ411+(G411-BC411)*BB411)*BJ411*BI411)*10000</f>
        <v>0</v>
      </c>
      <c r="J411" s="82" t="n">
        <f aca="false">H411+I411</f>
        <v>-2635.3946591583</v>
      </c>
      <c r="O411" s="95" t="n">
        <f aca="false">A411</f>
        <v>39692</v>
      </c>
      <c r="BD411" s="100" t="n">
        <f aca="false">(P411+R411+T411+V411+X411+Z411+AB411+AD411+AF411+AH411+AJ411+AL411+AN411+AP411+AR411+AT411+AV411+AX411+AZ411+BB411)</f>
        <v>0</v>
      </c>
      <c r="BE411" s="322" t="n">
        <f aca="false">IF(AND(BD411=0,BH411=0),0,(ABS(P411)*Q411+ABS(R411)*S411+ABS(T411)*U411+ABS(V411)*W411+ABS(X411)*Y411+ABS(Z411)*AA411+ABS(AB411)*AC411+ABS(AD411)*AE411+ABS(AF411)*AG411+ABS(AH411)*AI411+ABS(AJ411)*AK411+ABS(AL411)*AM411+ABS(AN411)*AO411+ABS(AP411)*AQ411+ABS(AR411)*AS411+ABS(AT411)*AU411+ABS(AV411)*AW411+ABS(AX411)*AY411+ABS(AZ411)*BA411+ABS(BB411)*BC411)/BH411)</f>
        <v>0</v>
      </c>
      <c r="BG411" s="103" t="n">
        <f aca="false">O411</f>
        <v>39692</v>
      </c>
      <c r="BH411" s="323" t="n">
        <f aca="false">(ABS(P411)+ABS(R411)+ABS(T411)+ABS(V411)+ABS(X411)+ABS(Z411)+ABS(AB411)+ABS(AD411)+ABS(AF411)+ABS(AH411)+ABS(AJ411)+ABS(AL411)+ABS(AN411)+ABS(AP411)+ABS(AR411)+ABS(AT411)+ABS(AV411)+ABS(AX411)+ABS(AZ411)+ABS(BB411))</f>
        <v>0</v>
      </c>
      <c r="BI411" s="104" t="n">
        <f aca="false">VLOOKUP(GasPosn!A411,'Pricing Summary'!$AB$12:$AD$250,3)</f>
        <v>30</v>
      </c>
      <c r="BJ411" s="102" t="n">
        <f aca="false">VLOOKUP(A411,Interest!$AF$8:$AK$367,6)</f>
        <v>0.709331792142431</v>
      </c>
      <c r="BL411" s="0" t="n">
        <f aca="false">H411/VLOOKUP(A411,NymexData!$J$12:$K$128,2)</f>
        <v>-1671.14871336817</v>
      </c>
      <c r="BM411" s="0" t="n">
        <f aca="false">I411/VLOOKUP(A411,NymexData!$J$12:$K$128,2)</f>
        <v>0</v>
      </c>
      <c r="BO411" s="0" t="n">
        <f aca="false">BO94</f>
        <v>0.709331792142431</v>
      </c>
      <c r="BP411" s="0" t="n">
        <f aca="false">G411*BO411</f>
        <v>3.81262559699685</v>
      </c>
      <c r="BQ411" s="0" t="n">
        <f aca="false">IF(AND(A411&gt;=$B$320,A411&lt;=$B$321),1,0)</f>
        <v>0</v>
      </c>
      <c r="BR411" s="0" t="n">
        <f aca="false">BO411*BQ411</f>
        <v>0</v>
      </c>
      <c r="BS411" s="0" t="n">
        <f aca="false">BP411*BQ411</f>
        <v>0</v>
      </c>
    </row>
    <row r="412" customFormat="false" ht="18" hidden="false" customHeight="false" outlineLevel="0" collapsed="false">
      <c r="A412" s="112" t="n">
        <f aca="false">A95</f>
        <v>39722</v>
      </c>
      <c r="B412" s="324" t="n">
        <f aca="false" t="array" ref="B412:B412">SUM(IF(MONTH(NymexData!$AO$12:$AO$250)&amp;YEAR(NymexData!$AO$12:$AO$250)=MONTH(A412)&amp;YEAR(A412),NymexData!$AP$12:$AP$250))</f>
        <v>4.7896926091</v>
      </c>
      <c r="C412" s="325" t="n">
        <f aca="false">BD412*BJ412*BI412</f>
        <v>0</v>
      </c>
      <c r="D412" s="326" t="n">
        <f aca="false">C412+B412</f>
        <v>4.7896926091</v>
      </c>
      <c r="E412" s="327" t="n">
        <f aca="false" t="array" ref="E412:E412">SUM(IF(MONTH(NymexData!$A$12:$A$250)&amp;YEAR(NymexData!$A$12:$A$250)=MONTH(A412)&amp;YEAR(A412),NymexData!$F$12:$F$250))</f>
        <v>5.43140556435459</v>
      </c>
      <c r="F412" s="327" t="n">
        <f aca="false">G412-E412</f>
        <v>-0.0566520897278027</v>
      </c>
      <c r="G412" s="328" t="n">
        <f aca="false" t="array" ref="G412:G412">IF(NymexData!$H$12="",GasPosn!E412,SUM(IF(MONTH(NymexData!$H$12:$H$250)&amp;YEAR(NymexData!$H$12:$H$250)=MONTH(A412)&amp;YEAR(A412),NymexData!$L$12:$L$250)))</f>
        <v>5.37475347462679</v>
      </c>
      <c r="H412" s="115" t="n">
        <f aca="false">B412*10000*F412</f>
        <v>-2713.46095459327</v>
      </c>
      <c r="I412" s="119" t="n">
        <f aca="false">(((G412-Q412)*P412+(G412-S412)*R412+(G412-U412)*T412+(G412-W412)*V412+(G412-Y412)*X412+(G412-AA412)*Z412+(G412-AC412)*AB412+(G412-AE412)*AD412+(G412-AG412)*AF412+(G412-AI412)*AH412+(G412-AK412)*AJ412+(G412-AM412)*AL412+(G412-AO412)*AN412+(G412-AQ412)*AP412+(G412-AS412)*AR412+(G412-AU412)*AT412+(G412-AW412)*AV412+(G412-AY412)*AX412+(G412-BA412)*AZ412+(G412-BC412)*BB412)*BJ412*BI412)*10000</f>
        <v>0</v>
      </c>
      <c r="J412" s="119" t="n">
        <f aca="false">H412+I412</f>
        <v>-2713.46095459327</v>
      </c>
      <c r="O412" s="95" t="n">
        <f aca="false">A412</f>
        <v>39722</v>
      </c>
      <c r="BD412" s="100" t="n">
        <f aca="false">(P412+R412+T412+V412+X412+Z412+AB412+AD412+AF412+AH412+AJ412+AL412+AN412+AP412+AR412+AT412+AV412+AX412+AZ412+BB412)</f>
        <v>0</v>
      </c>
      <c r="BE412" s="322" t="n">
        <f aca="false">IF(AND(BD412=0,BH412=0),0,(ABS(P412)*Q412+ABS(R412)*S412+ABS(T412)*U412+ABS(V412)*W412+ABS(X412)*Y412+ABS(Z412)*AA412+ABS(AB412)*AC412+ABS(AD412)*AE412+ABS(AF412)*AG412+ABS(AH412)*AI412+ABS(AJ412)*AK412+ABS(AL412)*AM412+ABS(AN412)*AO412+ABS(AP412)*AQ412+ABS(AR412)*AS412+ABS(AT412)*AU412+ABS(AV412)*AW412+ABS(AX412)*AY412+ABS(AZ412)*BA412+ABS(BB412)*BC412)/BH412)</f>
        <v>0</v>
      </c>
      <c r="BG412" s="103" t="n">
        <f aca="false">O412</f>
        <v>39722</v>
      </c>
      <c r="BH412" s="323" t="n">
        <f aca="false">(ABS(P412)+ABS(R412)+ABS(T412)+ABS(V412)+ABS(X412)+ABS(Z412)+ABS(AB412)+ABS(AD412)+ABS(AF412)+ABS(AH412)+ABS(AJ412)+ABS(AL412)+ABS(AN412)+ABS(AP412)+ABS(AR412)+ABS(AT412)+ABS(AV412)+ABS(AX412)+ABS(AZ412)+ABS(BB412))</f>
        <v>0</v>
      </c>
      <c r="BI412" s="104" t="n">
        <f aca="false">VLOOKUP(GasPosn!A412,'Pricing Summary'!$AB$12:$AD$250,3)</f>
        <v>31</v>
      </c>
      <c r="BJ412" s="102" t="n">
        <f aca="false">VLOOKUP(A412,Interest!$AF$8:$AK$367,6)</f>
        <v>0.705464221177491</v>
      </c>
      <c r="BL412" s="0" t="n">
        <f aca="false">H412/VLOOKUP(A412,NymexData!$J$12:$K$128,2)</f>
        <v>-1720.71600786842</v>
      </c>
      <c r="BM412" s="0" t="n">
        <f aca="false">I412/VLOOKUP(A412,NymexData!$J$12:$K$128,2)</f>
        <v>0</v>
      </c>
      <c r="BO412" s="0" t="n">
        <f aca="false">BO95</f>
        <v>0.705464221177491</v>
      </c>
      <c r="BP412" s="0" t="n">
        <f aca="false">G412*BO412</f>
        <v>3.7916962739986</v>
      </c>
      <c r="BQ412" s="0" t="n">
        <f aca="false">IF(AND(A412&gt;=$B$320,A412&lt;=$B$321),1,0)</f>
        <v>0</v>
      </c>
      <c r="BR412" s="0" t="n">
        <f aca="false">BO412*BQ412</f>
        <v>0</v>
      </c>
      <c r="BS412" s="0" t="n">
        <f aca="false">BP412*BQ412</f>
        <v>0</v>
      </c>
    </row>
    <row r="413" customFormat="false" ht="18" hidden="false" customHeight="false" outlineLevel="0" collapsed="false">
      <c r="A413" s="75" t="n">
        <f aca="false">A96</f>
        <v>39753</v>
      </c>
      <c r="B413" s="317" t="n">
        <f aca="false" t="array" ref="B413:B413">SUM(IF(MONTH(NymexData!$AO$12:$AO$250)&amp;YEAR(NymexData!$AO$12:$AO$250)=MONTH(A413)&amp;YEAR(A413),NymexData!$AP$12:$AP$250))</f>
        <v>4.609750940368</v>
      </c>
      <c r="C413" s="317" t="n">
        <f aca="false">BD413*BJ413*BI413</f>
        <v>0</v>
      </c>
      <c r="D413" s="319" t="n">
        <f aca="false">C413+B413</f>
        <v>4.609750940368</v>
      </c>
      <c r="E413" s="320" t="n">
        <f aca="false" t="array" ref="E413:E413">SUM(IF(MONTH(NymexData!$A$12:$A$250)&amp;YEAR(NymexData!$A$12:$A$250)=MONTH(A413)&amp;YEAR(A413),NymexData!$F$12:$F$250))</f>
        <v>5.69009218731253</v>
      </c>
      <c r="F413" s="320" t="n">
        <f aca="false">G413-E413</f>
        <v>-0.0551951675076952</v>
      </c>
      <c r="G413" s="321" t="n">
        <f aca="false" t="array" ref="G413:G413">IF(NymexData!$H$12="",GasPosn!E413,SUM(IF(MONTH(NymexData!$H$12:$H$250)&amp;YEAR(NymexData!$H$12:$H$250)=MONTH(A413)&amp;YEAR(A413),NymexData!$L$12:$L$250)))</f>
        <v>5.63489701980484</v>
      </c>
      <c r="H413" s="76" t="n">
        <f aca="false">B413*10000*F413</f>
        <v>-2544.35975322367</v>
      </c>
      <c r="I413" s="82" t="n">
        <f aca="false">(((G413-Q413)*P413+(G413-S413)*R413+(G413-U413)*T413+(G413-W413)*V413+(G413-Y413)*X413+(G413-AA413)*Z413+(G413-AC413)*AB413+(G413-AE413)*AD413+(G413-AG413)*AF413+(G413-AI413)*AH413+(G413-AK413)*AJ413+(G413-AM413)*AL413+(G413-AO413)*AN413+(G413-AQ413)*AP413+(G413-AS413)*AR413+(G413-AU413)*AT413+(G413-AW413)*AV413+(G413-AY413)*AX413+(G413-BA413)*AZ413+(G413-BC413)*BB413)*BJ413*BI413)*10000</f>
        <v>0</v>
      </c>
      <c r="J413" s="82" t="n">
        <f aca="false">H413+I413</f>
        <v>-2544.35975322367</v>
      </c>
      <c r="O413" s="95" t="n">
        <f aca="false">A413</f>
        <v>39753</v>
      </c>
      <c r="BD413" s="100" t="n">
        <f aca="false">(P413+R413+T413+V413+X413+Z413+AB413+AD413+AF413+AH413+AJ413+AL413+AN413+AP413+AR413+AT413+AV413+AX413+AZ413+BB413)</f>
        <v>0</v>
      </c>
      <c r="BE413" s="322" t="n">
        <f aca="false">IF(AND(BD413=0,BH413=0),0,(ABS(P413)*Q413+ABS(R413)*S413+ABS(T413)*U413+ABS(V413)*W413+ABS(X413)*Y413+ABS(Z413)*AA413+ABS(AB413)*AC413+ABS(AD413)*AE413+ABS(AF413)*AG413+ABS(AH413)*AI413+ABS(AJ413)*AK413+ABS(AL413)*AM413+ABS(AN413)*AO413+ABS(AP413)*AQ413+ABS(AR413)*AS413+ABS(AT413)*AU413+ABS(AV413)*AW413+ABS(AX413)*AY413+ABS(AZ413)*BA413+ABS(BB413)*BC413)/BH413)</f>
        <v>0</v>
      </c>
      <c r="BG413" s="103" t="n">
        <f aca="false">O413</f>
        <v>39753</v>
      </c>
      <c r="BH413" s="323" t="n">
        <f aca="false">(ABS(P413)+ABS(R413)+ABS(T413)+ABS(V413)+ABS(X413)+ABS(Z413)+ABS(AB413)+ABS(AD413)+ABS(AF413)+ABS(AH413)+ABS(AJ413)+ABS(AL413)+ABS(AN413)+ABS(AP413)+ABS(AR413)+ABS(AT413)+ABS(AV413)+ABS(AX413)+ABS(AZ413)+ABS(BB413))</f>
        <v>0</v>
      </c>
      <c r="BI413" s="104" t="n">
        <f aca="false">VLOOKUP(GasPosn!A413,'Pricing Summary'!$AB$12:$AD$250,3)</f>
        <v>30</v>
      </c>
      <c r="BJ413" s="102" t="n">
        <f aca="false">VLOOKUP(A413,Interest!$AF$8:$AK$367,6)</f>
        <v>0.701727112178413</v>
      </c>
      <c r="BL413" s="0" t="n">
        <f aca="false">H413/VLOOKUP(A413,NymexData!$J$12:$K$128,2)</f>
        <v>-1613.46062873952</v>
      </c>
      <c r="BM413" s="0" t="n">
        <f aca="false">I413/VLOOKUP(A413,NymexData!$J$12:$K$128,2)</f>
        <v>0</v>
      </c>
      <c r="BO413" s="0" t="n">
        <f aca="false">BO96</f>
        <v>0.701727112178413</v>
      </c>
      <c r="BP413" s="0" t="n">
        <f aca="false">G413*BO413</f>
        <v>3.95416001313039</v>
      </c>
      <c r="BQ413" s="0" t="n">
        <f aca="false">IF(AND(A413&gt;=$B$320,A413&lt;=$B$321),1,0)</f>
        <v>0</v>
      </c>
      <c r="BR413" s="0" t="n">
        <f aca="false">BO413*BQ413</f>
        <v>0</v>
      </c>
      <c r="BS413" s="0" t="n">
        <f aca="false">BP413*BQ413</f>
        <v>0</v>
      </c>
    </row>
    <row r="414" customFormat="false" ht="18" hidden="false" customHeight="false" outlineLevel="0" collapsed="false">
      <c r="A414" s="112" t="n">
        <f aca="false">A97</f>
        <v>39783</v>
      </c>
      <c r="B414" s="324" t="n">
        <f aca="false" t="array" ref="B414:B414">SUM(IF(MONTH(NymexData!$AO$12:$AO$250)&amp;YEAR(NymexData!$AO$12:$AO$250)=MONTH(A414)&amp;YEAR(A414),NymexData!$AP$12:$AP$250))</f>
        <v>4.737973219826</v>
      </c>
      <c r="C414" s="325" t="n">
        <f aca="false">BD414*BJ414*BI414</f>
        <v>0</v>
      </c>
      <c r="D414" s="326" t="n">
        <f aca="false">C414+B414</f>
        <v>4.737973219826</v>
      </c>
      <c r="E414" s="327" t="n">
        <f aca="false" t="array" ref="E414:E414">SUM(IF(MONTH(NymexData!$A$12:$A$250)&amp;YEAR(NymexData!$A$12:$A$250)=MONTH(A414)&amp;YEAR(A414),NymexData!$F$12:$F$250))</f>
        <v>5.92021679267059</v>
      </c>
      <c r="F414" s="327" t="n">
        <f aca="false">G414-E414</f>
        <v>-0.0551930001327765</v>
      </c>
      <c r="G414" s="328" t="n">
        <f aca="false" t="array" ref="G414:G414">IF(NymexData!$H$12="",GasPosn!E414,SUM(IF(MONTH(NymexData!$H$12:$H$250)&amp;YEAR(NymexData!$H$12:$H$250)=MONTH(A414)&amp;YEAR(A414),NymexData!$L$12:$L$250)))</f>
        <v>5.86502379253781</v>
      </c>
      <c r="H414" s="115" t="n">
        <f aca="false">B414*10000*F414</f>
        <v>-2615.02956550948</v>
      </c>
      <c r="I414" s="119" t="n">
        <f aca="false">(((G414-Q414)*P414+(G414-S414)*R414+(G414-U414)*T414+(G414-W414)*V414+(G414-Y414)*X414+(G414-AA414)*Z414+(G414-AC414)*AB414+(G414-AE414)*AD414+(G414-AG414)*AF414+(G414-AI414)*AH414+(G414-AK414)*AJ414+(G414-AM414)*AL414+(G414-AO414)*AN414+(G414-AQ414)*AP414+(G414-AS414)*AR414+(G414-AU414)*AT414+(G414-AW414)*AV414+(G414-AY414)*AX414+(G414-BA414)*AZ414+(G414-BC414)*BB414)*BJ414*BI414)*10000</f>
        <v>0</v>
      </c>
      <c r="J414" s="119" t="n">
        <f aca="false">H414+I414</f>
        <v>-2615.02956550948</v>
      </c>
      <c r="O414" s="95" t="n">
        <f aca="false">A414</f>
        <v>39783</v>
      </c>
      <c r="BD414" s="100" t="n">
        <f aca="false">(P414+R414+T414+V414+X414+Z414+AB414+AD414+AF414+AH414+AJ414+AL414+AN414+AP414+AR414+AT414+AV414+AX414+AZ414+BB414)</f>
        <v>0</v>
      </c>
      <c r="BE414" s="322" t="n">
        <f aca="false">IF(AND(BD414=0,BH414=0),0,(ABS(P414)*Q414+ABS(R414)*S414+ABS(T414)*U414+ABS(V414)*W414+ABS(X414)*Y414+ABS(Z414)*AA414+ABS(AB414)*AC414+ABS(AD414)*AE414+ABS(AF414)*AG414+ABS(AH414)*AI414+ABS(AJ414)*AK414+ABS(AL414)*AM414+ABS(AN414)*AO414+ABS(AP414)*AQ414+ABS(AR414)*AS414+ABS(AT414)*AU414+ABS(AV414)*AW414+ABS(AX414)*AY414+ABS(AZ414)*BA414+ABS(BB414)*BC414)/BH414)</f>
        <v>0</v>
      </c>
      <c r="BG414" s="103" t="n">
        <f aca="false">O414</f>
        <v>39783</v>
      </c>
      <c r="BH414" s="323" t="n">
        <f aca="false">(ABS(P414)+ABS(R414)+ABS(T414)+ABS(V414)+ABS(X414)+ABS(Z414)+ABS(AB414)+ABS(AD414)+ABS(AF414)+ABS(AH414)+ABS(AJ414)+ABS(AL414)+ABS(AN414)+ABS(AP414)+ABS(AR414)+ABS(AT414)+ABS(AV414)+ABS(AX414)+ABS(AZ414)+ABS(BB414))</f>
        <v>0</v>
      </c>
      <c r="BI414" s="104" t="n">
        <f aca="false">VLOOKUP(GasPosn!A414,'Pricing Summary'!$AB$12:$AD$250,3)</f>
        <v>31</v>
      </c>
      <c r="BJ414" s="102" t="n">
        <f aca="false">VLOOKUP(A414,Interest!$AF$8:$AK$367,6)</f>
        <v>0.698252970929119</v>
      </c>
      <c r="BL414" s="0" t="n">
        <f aca="false">H414/VLOOKUP(A414,NymexData!$J$12:$K$128,2)</f>
        <v>-1657.44414880577</v>
      </c>
      <c r="BM414" s="0" t="n">
        <f aca="false">I414/VLOOKUP(A414,NymexData!$J$12:$K$128,2)</f>
        <v>0</v>
      </c>
      <c r="BO414" s="0" t="n">
        <f aca="false">BO97</f>
        <v>0.698252970929119</v>
      </c>
      <c r="BP414" s="0" t="n">
        <f aca="false">G414*BO414</f>
        <v>4.0952702877095</v>
      </c>
      <c r="BQ414" s="0" t="n">
        <f aca="false">IF(AND(A414&gt;=$B$320,A414&lt;=$B$321),1,0)</f>
        <v>0</v>
      </c>
      <c r="BR414" s="0" t="n">
        <f aca="false">BO414*BQ414</f>
        <v>0</v>
      </c>
      <c r="BS414" s="0" t="n">
        <f aca="false">BP414*BQ414</f>
        <v>0</v>
      </c>
    </row>
    <row r="415" customFormat="false" ht="18" hidden="false" customHeight="false" outlineLevel="0" collapsed="false">
      <c r="A415" s="75" t="n">
        <f aca="false">A98</f>
        <v>39814</v>
      </c>
      <c r="B415" s="317" t="n">
        <f aca="false" t="array" ref="B415:B415">SUM(IF(MONTH(NymexData!$AO$12:$AO$250)&amp;YEAR(NymexData!$AO$12:$AO$250)=MONTH(A415)&amp;YEAR(A415),NymexData!$AP$12:$AP$250))</f>
        <v>4.711690176102</v>
      </c>
      <c r="C415" s="317" t="n">
        <f aca="false">BD415*BJ415*BI415</f>
        <v>0</v>
      </c>
      <c r="D415" s="319" t="n">
        <f aca="false">C415+B415</f>
        <v>4.711690176102</v>
      </c>
      <c r="E415" s="320" t="n">
        <f aca="false" t="array" ref="E415:E415">SUM(IF(MONTH(NymexData!$A$12:$A$250)&amp;YEAR(NymexData!$A$12:$A$250)=MONTH(A415)&amp;YEAR(A415),NymexData!$F$12:$F$250))</f>
        <v>6.02073303755902</v>
      </c>
      <c r="F415" s="320" t="n">
        <f aca="false">G415-E415</f>
        <v>-0.0478711102844809</v>
      </c>
      <c r="G415" s="321" t="n">
        <f aca="false" t="array" ref="G415:G415">IF(NymexData!$H$12="",GasPosn!E415,SUM(IF(MONTH(NymexData!$H$12:$H$250)&amp;YEAR(NymexData!$H$12:$H$250)=MONTH(A415)&amp;YEAR(A415),NymexData!$L$12:$L$250)))</f>
        <v>5.97286192727453</v>
      </c>
      <c r="H415" s="76" t="n">
        <f aca="false">B415*10000*F415</f>
        <v>-2255.53840046484</v>
      </c>
      <c r="I415" s="82" t="n">
        <f aca="false">(((G415-Q415)*P415+(G415-S415)*R415+(G415-U415)*T415+(G415-W415)*V415+(G415-Y415)*X415+(G415-AA415)*Z415+(G415-AC415)*AB415+(G415-AE415)*AD415+(G415-AG415)*AF415+(G415-AI415)*AH415+(G415-AK415)*AJ415+(G415-AM415)*AL415+(G415-AO415)*AN415+(G415-AQ415)*AP415+(G415-AS415)*AR415+(G415-AU415)*AT415+(G415-AW415)*AV415+(G415-AY415)*AX415+(G415-BA415)*AZ415+(G415-BC415)*BB415)*BJ415*BI415)*10000</f>
        <v>0</v>
      </c>
      <c r="J415" s="82" t="n">
        <f aca="false">H415+I415</f>
        <v>-2255.53840046484</v>
      </c>
      <c r="O415" s="95" t="n">
        <f aca="false">A415</f>
        <v>39814</v>
      </c>
      <c r="BD415" s="100" t="n">
        <f aca="false">(P415+R415+T415+V415+X415+Z415+AB415+AD415+AF415+AH415+AJ415+AL415+AN415+AP415+AR415+AT415+AV415+AX415+AZ415+BB415)</f>
        <v>0</v>
      </c>
      <c r="BE415" s="322" t="n">
        <f aca="false">IF(AND(BD415=0,BH415=0),0,(ABS(P415)*Q415+ABS(R415)*S415+ABS(T415)*U415+ABS(V415)*W415+ABS(X415)*Y415+ABS(Z415)*AA415+ABS(AB415)*AC415+ABS(AD415)*AE415+ABS(AF415)*AG415+ABS(AH415)*AI415+ABS(AJ415)*AK415+ABS(AL415)*AM415+ABS(AN415)*AO415+ABS(AP415)*AQ415+ABS(AR415)*AS415+ABS(AT415)*AU415+ABS(AV415)*AW415+ABS(AX415)*AY415+ABS(AZ415)*BA415+ABS(BB415)*BC415)/BH415)</f>
        <v>0</v>
      </c>
      <c r="BG415" s="103" t="n">
        <f aca="false">O415</f>
        <v>39814</v>
      </c>
      <c r="BH415" s="323" t="n">
        <f aca="false">(ABS(P415)+ABS(R415)+ABS(T415)+ABS(V415)+ABS(X415)+ABS(Z415)+ABS(AB415)+ABS(AD415)+ABS(AF415)+ABS(AH415)+ABS(AJ415)+ABS(AL415)+ABS(AN415)+ABS(AP415)+ABS(AR415)+ABS(AT415)+ABS(AV415)+ABS(AX415)+ABS(AZ415)+ABS(BB415))</f>
        <v>0</v>
      </c>
      <c r="BI415" s="104" t="n">
        <f aca="false">VLOOKUP(GasPosn!A415,'Pricing Summary'!$AB$12:$AD$250,3)</f>
        <v>31</v>
      </c>
      <c r="BJ415" s="102" t="n">
        <f aca="false">VLOOKUP(A415,Interest!$AF$8:$AK$367,6)</f>
        <v>0.694766727509116</v>
      </c>
      <c r="BL415" s="0" t="n">
        <f aca="false">H415/VLOOKUP(A415,NymexData!$J$12:$K$128,2)</f>
        <v>-1428.83727339034</v>
      </c>
      <c r="BM415" s="0" t="n">
        <f aca="false">I415/VLOOKUP(A415,NymexData!$J$12:$K$128,2)</f>
        <v>0</v>
      </c>
      <c r="BO415" s="0" t="n">
        <f aca="false">BO98</f>
        <v>0.694766727509116</v>
      </c>
      <c r="BP415" s="0" t="n">
        <f aca="false">G415*BO415</f>
        <v>4.14974573507632</v>
      </c>
      <c r="BQ415" s="0" t="n">
        <f aca="false">IF(AND(A415&gt;=$B$320,A415&lt;=$B$321),1,0)</f>
        <v>0</v>
      </c>
      <c r="BR415" s="0" t="n">
        <f aca="false">BO415*BQ415</f>
        <v>0</v>
      </c>
      <c r="BS415" s="0" t="n">
        <f aca="false">BP415*BQ415</f>
        <v>0</v>
      </c>
    </row>
    <row r="416" customFormat="false" ht="18" hidden="false" customHeight="false" outlineLevel="0" collapsed="false">
      <c r="A416" s="112" t="n">
        <f aca="false">A99</f>
        <v>39845</v>
      </c>
      <c r="B416" s="324" t="n">
        <f aca="false" t="array" ref="B416:B416">SUM(IF(MONTH(NymexData!$AO$12:$AO$250)&amp;YEAR(NymexData!$AO$12:$AO$250)=MONTH(A416)&amp;YEAR(A416),NymexData!$AP$12:$AP$250))</f>
        <v>4.231982929678</v>
      </c>
      <c r="C416" s="325" t="n">
        <f aca="false">BD416*BJ416*BI416</f>
        <v>0</v>
      </c>
      <c r="D416" s="326" t="n">
        <f aca="false">C416+B416</f>
        <v>4.231982929678</v>
      </c>
      <c r="E416" s="327" t="n">
        <f aca="false" t="array" ref="E416:E416">SUM(IF(MONTH(NymexData!$A$12:$A$250)&amp;YEAR(NymexData!$A$12:$A$250)=MONTH(A416)&amp;YEAR(A416),NymexData!$F$12:$F$250))</f>
        <v>5.89410971675014</v>
      </c>
      <c r="F416" s="327" t="n">
        <f aca="false">G416-E416</f>
        <v>-0.0497554701403731</v>
      </c>
      <c r="G416" s="328" t="n">
        <f aca="false" t="array" ref="G416:G416">IF(NymexData!$H$12="",GasPosn!E416,SUM(IF(MONTH(NymexData!$H$12:$H$250)&amp;YEAR(NymexData!$H$12:$H$250)=MONTH(A416)&amp;YEAR(A416),NymexData!$L$12:$L$250)))</f>
        <v>5.84435424660977</v>
      </c>
      <c r="H416" s="115" t="n">
        <f aca="false">B416*10000*F416</f>
        <v>-2105.64300292162</v>
      </c>
      <c r="I416" s="119" t="n">
        <f aca="false">(((G416-Q416)*P416+(G416-S416)*R416+(G416-U416)*T416+(G416-W416)*V416+(G416-Y416)*X416+(G416-AA416)*Z416+(G416-AC416)*AB416+(G416-AE416)*AD416+(G416-AG416)*AF416+(G416-AI416)*AH416+(G416-AK416)*AJ416+(G416-AM416)*AL416+(G416-AO416)*AN416+(G416-AQ416)*AP416+(G416-AS416)*AR416+(G416-AU416)*AT416+(G416-AW416)*AV416+(G416-AY416)*AX416+(G416-BA416)*AZ416+(G416-BC416)*BB416)*BJ416*BI416)*10000</f>
        <v>0</v>
      </c>
      <c r="J416" s="119" t="n">
        <f aca="false">H416+I416</f>
        <v>-2105.64300292162</v>
      </c>
      <c r="O416" s="95" t="n">
        <f aca="false">A416</f>
        <v>39845</v>
      </c>
      <c r="BD416" s="100" t="n">
        <f aca="false">(P416+R416+T416+V416+X416+Z416+AB416+AD416+AF416+AH416+AJ416+AL416+AN416+AP416+AR416+AT416+AV416+AX416+AZ416+BB416)</f>
        <v>0</v>
      </c>
      <c r="BE416" s="322" t="n">
        <f aca="false">IF(AND(BD416=0,BH416=0),0,(ABS(P416)*Q416+ABS(R416)*S416+ABS(T416)*U416+ABS(V416)*W416+ABS(X416)*Y416+ABS(Z416)*AA416+ABS(AB416)*AC416+ABS(AD416)*AE416+ABS(AF416)*AG416+ABS(AH416)*AI416+ABS(AJ416)*AK416+ABS(AL416)*AM416+ABS(AN416)*AO416+ABS(AP416)*AQ416+ABS(AR416)*AS416+ABS(AT416)*AU416+ABS(AV416)*AW416+ABS(AX416)*AY416+ABS(AZ416)*BA416+ABS(BB416)*BC416)/BH416)</f>
        <v>0</v>
      </c>
      <c r="BG416" s="103" t="n">
        <f aca="false">O416</f>
        <v>39845</v>
      </c>
      <c r="BH416" s="323" t="n">
        <f aca="false">(ABS(P416)+ABS(R416)+ABS(T416)+ABS(V416)+ABS(X416)+ABS(Z416)+ABS(AB416)+ABS(AD416)+ABS(AF416)+ABS(AH416)+ABS(AJ416)+ABS(AL416)+ABS(AN416)+ABS(AP416)+ABS(AR416)+ABS(AT416)+ABS(AV416)+ABS(AX416)+ABS(AZ416)+ABS(BB416))</f>
        <v>0</v>
      </c>
      <c r="BI416" s="104" t="n">
        <f aca="false">VLOOKUP(GasPosn!A416,'Pricing Summary'!$AB$12:$AD$250,3)</f>
        <v>28</v>
      </c>
      <c r="BJ416" s="102" t="n">
        <f aca="false">VLOOKUP(A416,Interest!$AF$8:$AK$367,6)</f>
        <v>0.691570099761067</v>
      </c>
      <c r="BL416" s="0" t="n">
        <f aca="false">H416/VLOOKUP(A416,NymexData!$J$12:$K$128,2)</f>
        <v>-1333.16071233875</v>
      </c>
      <c r="BM416" s="0" t="n">
        <f aca="false">I416/VLOOKUP(A416,NymexData!$J$12:$K$128,2)</f>
        <v>0</v>
      </c>
      <c r="BO416" s="0" t="n">
        <f aca="false">BO99</f>
        <v>0.691570099761067</v>
      </c>
      <c r="BP416" s="0" t="n">
        <f aca="false">G416*BO416</f>
        <v>4.04178064936693</v>
      </c>
      <c r="BQ416" s="0" t="n">
        <f aca="false">IF(AND(A416&gt;=$B$320,A416&lt;=$B$321),1,0)</f>
        <v>0</v>
      </c>
      <c r="BR416" s="0" t="n">
        <f aca="false">BO416*BQ416</f>
        <v>0</v>
      </c>
      <c r="BS416" s="0" t="n">
        <f aca="false">BP416*BQ416</f>
        <v>0</v>
      </c>
    </row>
    <row r="417" customFormat="false" ht="18" hidden="false" customHeight="false" outlineLevel="0" collapsed="false">
      <c r="A417" s="75" t="n">
        <f aca="false">A100</f>
        <v>39873</v>
      </c>
      <c r="B417" s="317" t="n">
        <f aca="false" t="array" ref="B417:B417">SUM(IF(MONTH(NymexData!$AO$12:$AO$250)&amp;YEAR(NymexData!$AO$12:$AO$250)=MONTH(A417)&amp;YEAR(A417),NymexData!$AP$12:$AP$250))</f>
        <v>4.66167596433</v>
      </c>
      <c r="C417" s="317" t="n">
        <f aca="false">BD417*BJ417*BI417</f>
        <v>0</v>
      </c>
      <c r="D417" s="319" t="n">
        <f aca="false">C417+B417</f>
        <v>4.66167596433</v>
      </c>
      <c r="E417" s="320" t="n">
        <f aca="false" t="array" ref="E417:E417">SUM(IF(MONTH(NymexData!$A$12:$A$250)&amp;YEAR(NymexData!$A$12:$A$250)=MONTH(A417)&amp;YEAR(A417),NymexData!$F$12:$F$250))</f>
        <v>5.68926441159102</v>
      </c>
      <c r="F417" s="320" t="n">
        <f aca="false">G417-E417</f>
        <v>-0.0501866577167132</v>
      </c>
      <c r="G417" s="321" t="n">
        <f aca="false" t="array" ref="G417:G417">IF(NymexData!$H$12="",GasPosn!E417,SUM(IF(MONTH(NymexData!$H$12:$H$250)&amp;YEAR(NymexData!$H$12:$H$250)=MONTH(A417)&amp;YEAR(A417),NymexData!$L$12:$L$250)))</f>
        <v>5.6390777538743</v>
      </c>
      <c r="H417" s="76" t="n">
        <f aca="false">B417*10000*F417</f>
        <v>-2339.53936008058</v>
      </c>
      <c r="I417" s="82" t="n">
        <f aca="false">(((G417-Q417)*P417+(G417-S417)*R417+(G417-U417)*T417+(G417-W417)*V417+(G417-Y417)*X417+(G417-AA417)*Z417+(G417-AC417)*AB417+(G417-AE417)*AD417+(G417-AG417)*AF417+(G417-AI417)*AH417+(G417-AK417)*AJ417+(G417-AM417)*AL417+(G417-AO417)*AN417+(G417-AQ417)*AP417+(G417-AS417)*AR417+(G417-AU417)*AT417+(G417-AW417)*AV417+(G417-AY417)*AX417+(G417-BA417)*AZ417+(G417-BC417)*BB417)*BJ417*BI417)*10000</f>
        <v>0</v>
      </c>
      <c r="J417" s="82" t="n">
        <f aca="false">H417+I417</f>
        <v>-2339.53936008058</v>
      </c>
      <c r="O417" s="95" t="n">
        <f aca="false">A417</f>
        <v>39873</v>
      </c>
      <c r="BD417" s="100" t="n">
        <f aca="false">(P417+R417+T417+V417+X417+Z417+AB417+AD417+AF417+AH417+AJ417+AL417+AN417+AP417+AR417+AT417+AV417+AX417+AZ417+BB417)</f>
        <v>0</v>
      </c>
      <c r="BE417" s="322" t="n">
        <f aca="false">IF(AND(BD417=0,BH417=0),0,(ABS(P417)*Q417+ABS(R417)*S417+ABS(T417)*U417+ABS(V417)*W417+ABS(X417)*Y417+ABS(Z417)*AA417+ABS(AB417)*AC417+ABS(AD417)*AE417+ABS(AF417)*AG417+ABS(AH417)*AI417+ABS(AJ417)*AK417+ABS(AL417)*AM417+ABS(AN417)*AO417+ABS(AP417)*AQ417+ABS(AR417)*AS417+ABS(AT417)*AU417+ABS(AV417)*AW417+ABS(AX417)*AY417+ABS(AZ417)*BA417+ABS(BB417)*BC417)/BH417)</f>
        <v>0</v>
      </c>
      <c r="BG417" s="103" t="n">
        <f aca="false">O417</f>
        <v>39873</v>
      </c>
      <c r="BH417" s="323" t="n">
        <f aca="false">(ABS(P417)+ABS(R417)+ABS(T417)+ABS(V417)+ABS(X417)+ABS(Z417)+ABS(AB417)+ABS(AD417)+ABS(AF417)+ABS(AH417)+ABS(AJ417)+ABS(AL417)+ABS(AN417)+ABS(AP417)+ABS(AR417)+ABS(AT417)+ABS(AV417)+ABS(AX417)+ABS(AZ417)+ABS(BB417))</f>
        <v>0</v>
      </c>
      <c r="BI417" s="104" t="n">
        <f aca="false">VLOOKUP(GasPosn!A417,'Pricing Summary'!$AB$12:$AD$250,3)</f>
        <v>31</v>
      </c>
      <c r="BJ417" s="102" t="n">
        <f aca="false">VLOOKUP(A417,Interest!$AF$8:$AK$367,6)</f>
        <v>0.6881455884701</v>
      </c>
      <c r="BL417" s="0" t="n">
        <f aca="false">H417/VLOOKUP(A417,NymexData!$J$12:$K$128,2)</f>
        <v>-1480.5113534153</v>
      </c>
      <c r="BM417" s="0" t="n">
        <f aca="false">I417/VLOOKUP(A417,NymexData!$J$12:$K$128,2)</f>
        <v>0</v>
      </c>
      <c r="BO417" s="0" t="n">
        <f aca="false">BO100</f>
        <v>0.6881455884701</v>
      </c>
      <c r="BP417" s="0" t="n">
        <f aca="false">G417*BO417</f>
        <v>3.88050647936848</v>
      </c>
      <c r="BQ417" s="0" t="n">
        <f aca="false">IF(AND(A417&gt;=$B$320,A417&lt;=$B$321),1,0)</f>
        <v>0</v>
      </c>
      <c r="BR417" s="0" t="n">
        <f aca="false">BO417*BQ417</f>
        <v>0</v>
      </c>
      <c r="BS417" s="0" t="n">
        <f aca="false">BP417*BQ417</f>
        <v>0</v>
      </c>
    </row>
    <row r="418" customFormat="false" ht="18" hidden="false" customHeight="false" outlineLevel="0" collapsed="false">
      <c r="A418" s="112" t="n">
        <f aca="false">A101</f>
        <v>39904</v>
      </c>
      <c r="B418" s="324" t="n">
        <f aca="false" t="array" ref="B418:B418">SUM(IF(MONTH(NymexData!$AO$12:$AO$250)&amp;YEAR(NymexData!$AO$12:$AO$250)=MONTH(A418)&amp;YEAR(A418),NymexData!$AP$12:$AP$250))</f>
        <v>4.485875537094</v>
      </c>
      <c r="C418" s="325" t="n">
        <f aca="false">BD418*BJ418*BI418</f>
        <v>0</v>
      </c>
      <c r="D418" s="326" t="n">
        <f aca="false">C418+B418</f>
        <v>4.485875537094</v>
      </c>
      <c r="E418" s="327" t="n">
        <f aca="false" t="array" ref="E418:E418">SUM(IF(MONTH(NymexData!$A$12:$A$250)&amp;YEAR(NymexData!$A$12:$A$250)=MONTH(A418)&amp;YEAR(A418),NymexData!$F$12:$F$250))</f>
        <v>5.32736298017426</v>
      </c>
      <c r="F418" s="327" t="n">
        <f aca="false">G418-E418</f>
        <v>-0.0507715069227519</v>
      </c>
      <c r="G418" s="328" t="n">
        <f aca="false" t="array" ref="G418:G418">IF(NymexData!$H$12="",GasPosn!E418,SUM(IF(MONTH(NymexData!$H$12:$H$250)&amp;YEAR(NymexData!$H$12:$H$250)=MONTH(A418)&amp;YEAR(A418),NymexData!$L$12:$L$250)))</f>
        <v>5.27659147325151</v>
      </c>
      <c r="H418" s="115" t="n">
        <f aca="false">B418*10000*F418</f>
        <v>-2277.54660886171</v>
      </c>
      <c r="I418" s="119" t="n">
        <f aca="false">(((G418-Q418)*P418+(G418-S418)*R418+(G418-U418)*T418+(G418-W418)*V418+(G418-Y418)*X418+(G418-AA418)*Z418+(G418-AC418)*AB418+(G418-AE418)*AD418+(G418-AG418)*AF418+(G418-AI418)*AH418+(G418-AK418)*AJ418+(G418-AM418)*AL418+(G418-AO418)*AN418+(G418-AQ418)*AP418+(G418-AS418)*AR418+(G418-AU418)*AT418+(G418-AW418)*AV418+(G418-AY418)*AX418+(G418-BA418)*AZ418+(G418-BC418)*BB418)*BJ418*BI418)*10000</f>
        <v>0</v>
      </c>
      <c r="J418" s="119" t="n">
        <f aca="false">H418+I418</f>
        <v>-2277.54660886171</v>
      </c>
      <c r="O418" s="95" t="n">
        <f aca="false">A418</f>
        <v>39904</v>
      </c>
      <c r="BD418" s="100" t="n">
        <f aca="false">(P418+R418+T418+V418+X418+Z418+AB418+AD418+AF418+AH418+AJ418+AL418+AN418+AP418+AR418+AT418+AV418+AX418+AZ418+BB418)</f>
        <v>0</v>
      </c>
      <c r="BE418" s="322" t="n">
        <f aca="false">IF(AND(BD418=0,BH418=0),0,(ABS(P418)*Q418+ABS(R418)*S418+ABS(T418)*U418+ABS(V418)*W418+ABS(X418)*Y418+ABS(Z418)*AA418+ABS(AB418)*AC418+ABS(AD418)*AE418+ABS(AF418)*AG418+ABS(AH418)*AI418+ABS(AJ418)*AK418+ABS(AL418)*AM418+ABS(AN418)*AO418+ABS(AP418)*AQ418+ABS(AR418)*AS418+ABS(AT418)*AU418+ABS(AV418)*AW418+ABS(AX418)*AY418+ABS(AZ418)*BA418+ABS(BB418)*BC418)/BH418)</f>
        <v>0</v>
      </c>
      <c r="BG418" s="103" t="n">
        <f aca="false">O418</f>
        <v>39904</v>
      </c>
      <c r="BH418" s="323" t="n">
        <f aca="false">(ABS(P418)+ABS(R418)+ABS(T418)+ABS(V418)+ABS(X418)+ABS(Z418)+ABS(AB418)+ABS(AD418)+ABS(AF418)+ABS(AH418)+ABS(AJ418)+ABS(AL418)+ABS(AN418)+ABS(AP418)+ABS(AR418)+ABS(AT418)+ABS(AV418)+ABS(AX418)+ABS(AZ418)+ABS(BB418))</f>
        <v>0</v>
      </c>
      <c r="BI418" s="104" t="n">
        <f aca="false">VLOOKUP(GasPosn!A418,'Pricing Summary'!$AB$12:$AD$250,3)</f>
        <v>30</v>
      </c>
      <c r="BJ418" s="102" t="n">
        <f aca="false">VLOOKUP(A418,Interest!$AF$8:$AK$367,6)</f>
        <v>0.684768533547132</v>
      </c>
      <c r="BL418" s="0" t="n">
        <f aca="false">H418/VLOOKUP(A418,NymexData!$J$12:$K$128,2)</f>
        <v>-1440.47032378442</v>
      </c>
      <c r="BM418" s="0" t="n">
        <f aca="false">I418/VLOOKUP(A418,NymexData!$J$12:$K$128,2)</f>
        <v>0</v>
      </c>
      <c r="BO418" s="0" t="n">
        <f aca="false">BO101</f>
        <v>0.684768533547132</v>
      </c>
      <c r="BP418" s="0" t="n">
        <f aca="false">G418*BO418</f>
        <v>3.61324380526573</v>
      </c>
      <c r="BQ418" s="0" t="n">
        <f aca="false">IF(AND(A418&gt;=$B$320,A418&lt;=$B$321),1,0)</f>
        <v>0</v>
      </c>
      <c r="BR418" s="0" t="n">
        <f aca="false">BO418*BQ418</f>
        <v>0</v>
      </c>
      <c r="BS418" s="0" t="n">
        <f aca="false">BP418*BQ418</f>
        <v>0</v>
      </c>
    </row>
    <row r="419" customFormat="false" ht="18" hidden="false" customHeight="false" outlineLevel="0" collapsed="false">
      <c r="A419" s="75" t="n">
        <f aca="false">A102</f>
        <v>39934</v>
      </c>
      <c r="B419" s="317" t="n">
        <f aca="false" t="array" ref="B419:B419">SUM(IF(MONTH(NymexData!$AO$12:$AO$250)&amp;YEAR(NymexData!$AO$12:$AO$250)=MONTH(A419)&amp;YEAR(A419),NymexData!$AP$12:$AP$250))</f>
        <v>4.609987757676</v>
      </c>
      <c r="C419" s="317" t="n">
        <f aca="false">BD419*BJ419*BI419</f>
        <v>0</v>
      </c>
      <c r="D419" s="319" t="n">
        <f aca="false">C419+B419</f>
        <v>4.609987757676</v>
      </c>
      <c r="E419" s="320" t="n">
        <f aca="false" t="array" ref="E419:E419">SUM(IF(MONTH(NymexData!$A$12:$A$250)&amp;YEAR(NymexData!$A$12:$A$250)=MONTH(A419)&amp;YEAR(A419),NymexData!$F$12:$F$250))</f>
        <v>5.33803329347677</v>
      </c>
      <c r="F419" s="320" t="n">
        <f aca="false">G419-E419</f>
        <v>-0.0510127364372739</v>
      </c>
      <c r="G419" s="321" t="n">
        <f aca="false" t="array" ref="G419:G419">IF(NymexData!$H$12="",GasPosn!E419,SUM(IF(MONTH(NymexData!$H$12:$H$250)&amp;YEAR(NymexData!$H$12:$H$250)=MONTH(A419)&amp;YEAR(A419),NymexData!$L$12:$L$250)))</f>
        <v>5.28702055703949</v>
      </c>
      <c r="H419" s="76" t="n">
        <f aca="false">B419*10000*F419</f>
        <v>-2351.68090461385</v>
      </c>
      <c r="I419" s="82" t="n">
        <f aca="false">(((G419-Q419)*P419+(G419-S419)*R419+(G419-U419)*T419+(G419-W419)*V419+(G419-Y419)*X419+(G419-AA419)*Z419+(G419-AC419)*AB419+(G419-AE419)*AD419+(G419-AG419)*AF419+(G419-AI419)*AH419+(G419-AK419)*AJ419+(G419-AM419)*AL419+(G419-AO419)*AN419+(G419-AQ419)*AP419+(G419-AS419)*AR419+(G419-AU419)*AT419+(G419-AW419)*AV419+(G419-AY419)*AX419+(G419-BA419)*AZ419+(G419-BC419)*BB419)*BJ419*BI419)*10000</f>
        <v>0</v>
      </c>
      <c r="J419" s="82" t="n">
        <f aca="false">H419+I419</f>
        <v>-2351.68090461385</v>
      </c>
      <c r="O419" s="95" t="n">
        <f aca="false">A419</f>
        <v>39934</v>
      </c>
      <c r="BD419" s="100" t="n">
        <f aca="false">(P419+R419+T419+V419+X419+Z419+AB419+AD419+AF419+AH419+AJ419+AL419+AN419+AP419+AR419+AT419+AV419+AX419+AZ419+BB419)</f>
        <v>0</v>
      </c>
      <c r="BE419" s="322" t="n">
        <f aca="false">IF(AND(BD419=0,BH419=0),0,(ABS(P419)*Q419+ABS(R419)*S419+ABS(T419)*U419+ABS(V419)*W419+ABS(X419)*Y419+ABS(Z419)*AA419+ABS(AB419)*AC419+ABS(AD419)*AE419+ABS(AF419)*AG419+ABS(AH419)*AI419+ABS(AJ419)*AK419+ABS(AL419)*AM419+ABS(AN419)*AO419+ABS(AP419)*AQ419+ABS(AR419)*AS419+ABS(AT419)*AU419+ABS(AV419)*AW419+ABS(AX419)*AY419+ABS(AZ419)*BA419+ABS(BB419)*BC419)/BH419)</f>
        <v>0</v>
      </c>
      <c r="BG419" s="103" t="n">
        <f aca="false">O419</f>
        <v>39934</v>
      </c>
      <c r="BH419" s="323" t="n">
        <f aca="false">(ABS(P419)+ABS(R419)+ABS(T419)+ABS(V419)+ABS(X419)+ABS(Z419)+ABS(AB419)+ABS(AD419)+ABS(AF419)+ABS(AH419)+ABS(AJ419)+ABS(AL419)+ABS(AN419)+ABS(AP419)+ABS(AR419)+ABS(AT419)+ABS(AV419)+ABS(AX419)+ABS(AZ419)+ABS(BB419))</f>
        <v>0</v>
      </c>
      <c r="BI419" s="104" t="n">
        <f aca="false">VLOOKUP(GasPosn!A419,'Pricing Summary'!$AB$12:$AD$250,3)</f>
        <v>31</v>
      </c>
      <c r="BJ419" s="102" t="n">
        <f aca="false">VLOOKUP(A419,Interest!$AF$8:$AK$367,6)</f>
        <v>0.681319877287582</v>
      </c>
      <c r="BL419" s="0" t="n">
        <f aca="false">H419/VLOOKUP(A419,NymexData!$J$12:$K$128,2)</f>
        <v>-1486.53175196037</v>
      </c>
      <c r="BM419" s="0" t="n">
        <f aca="false">I419/VLOOKUP(A419,NymexData!$J$12:$K$128,2)</f>
        <v>0</v>
      </c>
      <c r="BO419" s="0" t="n">
        <f aca="false">BO102</f>
        <v>0.681319877287582</v>
      </c>
      <c r="BP419" s="0" t="n">
        <f aca="false">G419*BO419</f>
        <v>3.60215219713907</v>
      </c>
      <c r="BQ419" s="0" t="n">
        <f aca="false">IF(AND(A419&gt;=$B$320,A419&lt;=$B$321),1,0)</f>
        <v>0</v>
      </c>
      <c r="BR419" s="0" t="n">
        <f aca="false">BO419*BQ419</f>
        <v>0</v>
      </c>
      <c r="BS419" s="0" t="n">
        <f aca="false">BP419*BQ419</f>
        <v>0</v>
      </c>
    </row>
    <row r="420" customFormat="false" ht="18" hidden="false" customHeight="false" outlineLevel="0" collapsed="false">
      <c r="A420" s="112" t="n">
        <f aca="false">A103</f>
        <v>39965</v>
      </c>
      <c r="B420" s="324" t="n">
        <f aca="false" t="array" ref="B420:B420">SUM(IF(MONTH(NymexData!$AO$12:$AO$250)&amp;YEAR(NymexData!$AO$12:$AO$250)=MONTH(A420)&amp;YEAR(A420),NymexData!$AP$12:$AP$250))</f>
        <v>4.435869808132</v>
      </c>
      <c r="C420" s="325" t="n">
        <f aca="false">BD420*BJ420*BI420</f>
        <v>0</v>
      </c>
      <c r="D420" s="326" t="n">
        <f aca="false">C420+B420</f>
        <v>4.435869808132</v>
      </c>
      <c r="E420" s="327" t="n">
        <f aca="false" t="array" ref="E420:E420">SUM(IF(MONTH(NymexData!$A$12:$A$250)&amp;YEAR(NymexData!$A$12:$A$250)=MONTH(A420)&amp;YEAR(A420),NymexData!$F$12:$F$250))</f>
        <v>5.39835863767274</v>
      </c>
      <c r="F420" s="327" t="n">
        <f aca="false">G420-E420</f>
        <v>-0.0512302229736612</v>
      </c>
      <c r="G420" s="328" t="n">
        <f aca="false" t="array" ref="G420:G420">IF(NymexData!$H$12="",GasPosn!E420,SUM(IF(MONTH(NymexData!$H$12:$H$250)&amp;YEAR(NymexData!$H$12:$H$250)=MONTH(A420)&amp;YEAR(A420),NymexData!$L$12:$L$250)))</f>
        <v>5.34712841469908</v>
      </c>
      <c r="H420" s="115" t="n">
        <f aca="false">B420*10000*F420</f>
        <v>-2272.50599352734</v>
      </c>
      <c r="I420" s="119" t="n">
        <f aca="false">(((G420-Q420)*P420+(G420-S420)*R420+(G420-U420)*T420+(G420-W420)*V420+(G420-Y420)*X420+(G420-AA420)*Z420+(G420-AC420)*AB420+(G420-AE420)*AD420+(G420-AG420)*AF420+(G420-AI420)*AH420+(G420-AK420)*AJ420+(G420-AM420)*AL420+(G420-AO420)*AN420+(G420-AQ420)*AP420+(G420-AS420)*AR420+(G420-AU420)*AT420+(G420-AW420)*AV420+(G420-AY420)*AX420+(G420-BA420)*AZ420+(G420-BC420)*BB420)*BJ420*BI420)*10000</f>
        <v>0</v>
      </c>
      <c r="J420" s="119" t="n">
        <f aca="false">H420+I420</f>
        <v>-2272.50599352734</v>
      </c>
      <c r="O420" s="95" t="n">
        <f aca="false">A420</f>
        <v>39965</v>
      </c>
      <c r="BD420" s="100" t="n">
        <f aca="false">(P420+R420+T420+V420+X420+Z420+AB420+AD420+AF420+AH420+AJ420+AL420+AN420+AP420+AR420+AT420+AV420+AX420+AZ420+BB420)</f>
        <v>0</v>
      </c>
      <c r="BE420" s="322" t="n">
        <f aca="false">IF(AND(BD420=0,BH420=0),0,(ABS(P420)*Q420+ABS(R420)*S420+ABS(T420)*U420+ABS(V420)*W420+ABS(X420)*Y420+ABS(Z420)*AA420+ABS(AB420)*AC420+ABS(AD420)*AE420+ABS(AF420)*AG420+ABS(AH420)*AI420+ABS(AJ420)*AK420+ABS(AL420)*AM420+ABS(AN420)*AO420+ABS(AP420)*AQ420+ABS(AR420)*AS420+ABS(AT420)*AU420+ABS(AV420)*AW420+ABS(AX420)*AY420+ABS(AZ420)*BA420+ABS(BB420)*BC420)/BH420)</f>
        <v>0</v>
      </c>
      <c r="BG420" s="103" t="n">
        <f aca="false">O420</f>
        <v>39965</v>
      </c>
      <c r="BH420" s="323" t="n">
        <f aca="false">(ABS(P420)+ABS(R420)+ABS(T420)+ABS(V420)+ABS(X420)+ABS(Z420)+ABS(AB420)+ABS(AD420)+ABS(AF420)+ABS(AH420)+ABS(AJ420)+ABS(AL420)+ABS(AN420)+ABS(AP420)+ABS(AR420)+ABS(AT420)+ABS(AV420)+ABS(AX420)+ABS(AZ420)+ABS(BB420))</f>
        <v>0</v>
      </c>
      <c r="BI420" s="104" t="n">
        <f aca="false">VLOOKUP(GasPosn!A420,'Pricing Summary'!$AB$12:$AD$250,3)</f>
        <v>30</v>
      </c>
      <c r="BJ420" s="102" t="n">
        <f aca="false">VLOOKUP(A420,Interest!$AF$8:$AK$367,6)</f>
        <v>0.677952820954559</v>
      </c>
      <c r="BL420" s="0" t="n">
        <f aca="false">H420/VLOOKUP(A420,NymexData!$J$12:$K$128,2)</f>
        <v>-1435.64349333555</v>
      </c>
      <c r="BM420" s="0" t="n">
        <f aca="false">I420/VLOOKUP(A420,NymexData!$J$12:$K$128,2)</f>
        <v>0</v>
      </c>
      <c r="BO420" s="0" t="n">
        <f aca="false">BO103</f>
        <v>0.677952820954559</v>
      </c>
      <c r="BP420" s="0" t="n">
        <f aca="false">G420*BO420</f>
        <v>3.62510079275152</v>
      </c>
      <c r="BQ420" s="0" t="n">
        <f aca="false">IF(AND(A420&gt;=$B$320,A420&lt;=$B$321),1,0)</f>
        <v>0</v>
      </c>
      <c r="BR420" s="0" t="n">
        <f aca="false">BO420*BQ420</f>
        <v>0</v>
      </c>
      <c r="BS420" s="0" t="n">
        <f aca="false">BP420*BQ420</f>
        <v>0</v>
      </c>
    </row>
    <row r="421" customFormat="false" ht="18" hidden="false" customHeight="false" outlineLevel="0" collapsed="false">
      <c r="A421" s="75" t="n">
        <f aca="false">A104</f>
        <v>39995</v>
      </c>
      <c r="B421" s="317" t="n">
        <f aca="false" t="array" ref="B421:B421">SUM(IF(MONTH(NymexData!$AO$12:$AO$250)&amp;YEAR(NymexData!$AO$12:$AO$250)=MONTH(A421)&amp;YEAR(A421),NymexData!$AP$12:$AP$250))</f>
        <v>4.558333245312</v>
      </c>
      <c r="C421" s="317" t="n">
        <f aca="false">BD421*BJ421*BI421</f>
        <v>0</v>
      </c>
      <c r="D421" s="319" t="n">
        <f aca="false">C421+B421</f>
        <v>4.558333245312</v>
      </c>
      <c r="E421" s="320" t="n">
        <f aca="false" t="array" ref="E421:E421">SUM(IF(MONTH(NymexData!$A$12:$A$250)&amp;YEAR(NymexData!$A$12:$A$250)=MONTH(A421)&amp;YEAR(A421),NymexData!$F$12:$F$250))</f>
        <v>5.46921320182962</v>
      </c>
      <c r="F421" s="320" t="n">
        <f aca="false">G421-E421</f>
        <v>-0.0514426473203793</v>
      </c>
      <c r="G421" s="321" t="n">
        <f aca="false" t="array" ref="G421:G421">IF(NymexData!$H$12="",GasPosn!E421,SUM(IF(MONTH(NymexData!$H$12:$H$250)&amp;YEAR(NymexData!$H$12:$H$250)=MONTH(A421)&amp;YEAR(A421),NymexData!$L$12:$L$250)))</f>
        <v>5.41777055450924</v>
      </c>
      <c r="H421" s="76" t="n">
        <f aca="false">B421*10000*F421</f>
        <v>-2344.92729507345</v>
      </c>
      <c r="I421" s="82" t="n">
        <f aca="false">(((G421-Q421)*P421+(G421-S421)*R421+(G421-U421)*T421+(G421-W421)*V421+(G421-Y421)*X421+(G421-AA421)*Z421+(G421-AC421)*AB421+(G421-AE421)*AD421+(G421-AG421)*AF421+(G421-AI421)*AH421+(G421-AK421)*AJ421+(G421-AM421)*AL421+(G421-AO421)*AN421+(G421-AQ421)*AP421+(G421-AS421)*AR421+(G421-AU421)*AT421+(G421-AW421)*AV421+(G421-AY421)*AX421+(G421-BA421)*AZ421+(G421-BC421)*BB421)*BJ421*BI421)*10000</f>
        <v>0</v>
      </c>
      <c r="J421" s="82" t="n">
        <f aca="false">H421+I421</f>
        <v>-2344.92729507345</v>
      </c>
      <c r="O421" s="95" t="n">
        <f aca="false">A421</f>
        <v>39995</v>
      </c>
      <c r="BD421" s="100" t="n">
        <f aca="false">(P421+R421+T421+V421+X421+Z421+AB421+AD421+AF421+AH421+AJ421+AL421+AN421+AP421+AR421+AT421+AV421+AX421+AZ421+BB421)</f>
        <v>0</v>
      </c>
      <c r="BE421" s="322" t="n">
        <f aca="false">IF(AND(BD421=0,BH421=0),0,(ABS(P421)*Q421+ABS(R421)*S421+ABS(T421)*U421+ABS(V421)*W421+ABS(X421)*Y421+ABS(Z421)*AA421+ABS(AB421)*AC421+ABS(AD421)*AE421+ABS(AF421)*AG421+ABS(AH421)*AI421+ABS(AJ421)*AK421+ABS(AL421)*AM421+ABS(AN421)*AO421+ABS(AP421)*AQ421+ABS(AR421)*AS421+ABS(AT421)*AU421+ABS(AV421)*AW421+ABS(AX421)*AY421+ABS(AZ421)*BA421+ABS(BB421)*BC421)/BH421)</f>
        <v>0</v>
      </c>
      <c r="BG421" s="103" t="n">
        <f aca="false">O421</f>
        <v>39995</v>
      </c>
      <c r="BH421" s="323" t="n">
        <f aca="false">(ABS(P421)+ABS(R421)+ABS(T421)+ABS(V421)+ABS(X421)+ABS(Z421)+ABS(AB421)+ABS(AD421)+ABS(AF421)+ABS(AH421)+ABS(AJ421)+ABS(AL421)+ABS(AN421)+ABS(AP421)+ABS(AR421)+ABS(AT421)+ABS(AV421)+ABS(AX421)+ABS(AZ421)+ABS(BB421))</f>
        <v>0</v>
      </c>
      <c r="BI421" s="104" t="n">
        <f aca="false">VLOOKUP(GasPosn!A421,'Pricing Summary'!$AB$12:$AD$250,3)</f>
        <v>31</v>
      </c>
      <c r="BJ421" s="102" t="n">
        <f aca="false">VLOOKUP(A421,Interest!$AF$8:$AK$367,6)</f>
        <v>0.67451511099681</v>
      </c>
      <c r="BL421" s="0" t="n">
        <f aca="false">H421/VLOOKUP(A421,NymexData!$J$12:$K$128,2)</f>
        <v>-1480.53999502585</v>
      </c>
      <c r="BM421" s="0" t="n">
        <f aca="false">I421/VLOOKUP(A421,NymexData!$J$12:$K$128,2)</f>
        <v>0</v>
      </c>
      <c r="BO421" s="0" t="n">
        <f aca="false">BO104</f>
        <v>0.67451511099681</v>
      </c>
      <c r="BP421" s="0" t="n">
        <f aca="false">G421*BO421</f>
        <v>3.65436810693005</v>
      </c>
      <c r="BQ421" s="0" t="n">
        <f aca="false">IF(AND(A421&gt;=$B$320,A421&lt;=$B$321),1,0)</f>
        <v>0</v>
      </c>
      <c r="BR421" s="0" t="n">
        <f aca="false">BO421*BQ421</f>
        <v>0</v>
      </c>
      <c r="BS421" s="0" t="n">
        <f aca="false">BP421*BQ421</f>
        <v>0</v>
      </c>
    </row>
    <row r="422" customFormat="false" ht="18" hidden="false" customHeight="false" outlineLevel="0" collapsed="false">
      <c r="A422" s="112" t="n">
        <f aca="false">A105</f>
        <v>40026</v>
      </c>
      <c r="B422" s="324" t="n">
        <f aca="false" t="array" ref="B422:B422">SUM(IF(MONTH(NymexData!$AO$12:$AO$250)&amp;YEAR(NymexData!$AO$12:$AO$250)=MONTH(A422)&amp;YEAR(A422),NymexData!$AP$12:$AP$250))</f>
        <v>4.53209933554</v>
      </c>
      <c r="C422" s="325" t="n">
        <f aca="false">BD422*BJ422*BI422</f>
        <v>0</v>
      </c>
      <c r="D422" s="326" t="n">
        <f aca="false">C422+B422</f>
        <v>4.53209933554</v>
      </c>
      <c r="E422" s="327" t="n">
        <f aca="false" t="array" ref="E422:E422">SUM(IF(MONTH(NymexData!$A$12:$A$250)&amp;YEAR(NymexData!$A$12:$A$250)=MONTH(A422)&amp;YEAR(A422),NymexData!$F$12:$F$250))</f>
        <v>5.52982998960987</v>
      </c>
      <c r="F422" s="327" t="n">
        <f aca="false">G422-E422</f>
        <v>-0.0516840606756377</v>
      </c>
      <c r="G422" s="328" t="n">
        <f aca="false" t="array" ref="G422:G422">IF(NymexData!$H$12="",GasPosn!E422,SUM(IF(MONTH(NymexData!$H$12:$H$250)&amp;YEAR(NymexData!$H$12:$H$250)=MONTH(A422)&amp;YEAR(A422),NymexData!$L$12:$L$250)))</f>
        <v>5.47814592893423</v>
      </c>
      <c r="H422" s="115" t="n">
        <f aca="false">B422*10000*F422</f>
        <v>-2342.37297046067</v>
      </c>
      <c r="I422" s="119" t="n">
        <f aca="false">(((G422-Q422)*P422+(G422-S422)*R422+(G422-U422)*T422+(G422-W422)*V422+(G422-Y422)*X422+(G422-AA422)*Z422+(G422-AC422)*AB422+(G422-AE422)*AD422+(G422-AG422)*AF422+(G422-AI422)*AH422+(G422-AK422)*AJ422+(G422-AM422)*AL422+(G422-AO422)*AN422+(G422-AQ422)*AP422+(G422-AS422)*AR422+(G422-AU422)*AT422+(G422-AW422)*AV422+(G422-AY422)*AX422+(G422-BA422)*AZ422+(G422-BC422)*BB422)*BJ422*BI422)*10000</f>
        <v>0</v>
      </c>
      <c r="J422" s="119" t="n">
        <f aca="false">H422+I422</f>
        <v>-2342.37297046067</v>
      </c>
      <c r="O422" s="95" t="n">
        <f aca="false">A422</f>
        <v>40026</v>
      </c>
      <c r="BD422" s="100" t="n">
        <f aca="false">(P422+R422+T422+V422+X422+Z422+AB422+AD422+AF422+AH422+AJ422+AL422+AN422+AP422+AR422+AT422+AV422+AX422+AZ422+BB422)</f>
        <v>0</v>
      </c>
      <c r="BE422" s="322" t="n">
        <f aca="false">IF(AND(BD422=0,BH422=0),0,(ABS(P422)*Q422+ABS(R422)*S422+ABS(T422)*U422+ABS(V422)*W422+ABS(X422)*Y422+ABS(Z422)*AA422+ABS(AB422)*AC422+ABS(AD422)*AE422+ABS(AF422)*AG422+ABS(AH422)*AI422+ABS(AJ422)*AK422+ABS(AL422)*AM422+ABS(AN422)*AO422+ABS(AP422)*AQ422+ABS(AR422)*AS422+ABS(AT422)*AU422+ABS(AV422)*AW422+ABS(AX422)*AY422+ABS(AZ422)*BA422+ABS(BB422)*BC422)/BH422)</f>
        <v>0</v>
      </c>
      <c r="BG422" s="103" t="n">
        <f aca="false">O422</f>
        <v>40026</v>
      </c>
      <c r="BH422" s="323" t="n">
        <f aca="false">(ABS(P422)+ABS(R422)+ABS(T422)+ABS(V422)+ABS(X422)+ABS(Z422)+ABS(AB422)+ABS(AD422)+ABS(AF422)+ABS(AH422)+ABS(AJ422)+ABS(AL422)+ABS(AN422)+ABS(AP422)+ABS(AR422)+ABS(AT422)+ABS(AV422)+ABS(AX422)+ABS(AZ422)+ABS(BB422))</f>
        <v>0</v>
      </c>
      <c r="BI422" s="104" t="n">
        <f aca="false">VLOOKUP(GasPosn!A422,'Pricing Summary'!$AB$12:$AD$250,3)</f>
        <v>31</v>
      </c>
      <c r="BJ422" s="102" t="n">
        <f aca="false">VLOOKUP(A422,Interest!$AF$8:$AK$367,6)</f>
        <v>0.671065214312622</v>
      </c>
      <c r="BL422" s="0" t="n">
        <f aca="false">H422/VLOOKUP(A422,NymexData!$J$12:$K$128,2)</f>
        <v>-1478.02814006477</v>
      </c>
      <c r="BM422" s="0" t="n">
        <f aca="false">I422/VLOOKUP(A422,NymexData!$J$12:$K$128,2)</f>
        <v>0</v>
      </c>
      <c r="BO422" s="0" t="n">
        <f aca="false">BO105</f>
        <v>0.671065214312622</v>
      </c>
      <c r="BP422" s="0" t="n">
        <f aca="false">G422*BO422</f>
        <v>3.67619317183606</v>
      </c>
      <c r="BQ422" s="0" t="n">
        <f aca="false">IF(AND(A422&gt;=$B$320,A422&lt;=$B$321),1,0)</f>
        <v>0</v>
      </c>
      <c r="BR422" s="0" t="n">
        <f aca="false">BO422*BQ422</f>
        <v>0</v>
      </c>
      <c r="BS422" s="0" t="n">
        <f aca="false">BP422*BQ422</f>
        <v>0</v>
      </c>
    </row>
    <row r="423" customFormat="false" ht="18" hidden="false" customHeight="false" outlineLevel="0" collapsed="false">
      <c r="A423" s="75" t="n">
        <f aca="false">A106</f>
        <v>40057</v>
      </c>
      <c r="B423" s="317" t="n">
        <f aca="false" t="array" ref="B423:B423">SUM(IF(MONTH(NymexData!$AO$12:$AO$250)&amp;YEAR(NymexData!$AO$12:$AO$250)=MONTH(A423)&amp;YEAR(A423),NymexData!$AP$12:$AP$250))</f>
        <v>4.360527830778</v>
      </c>
      <c r="C423" s="317" t="n">
        <f aca="false">BD423*BJ423*BI423</f>
        <v>0</v>
      </c>
      <c r="D423" s="319" t="n">
        <f aca="false">C423+B423</f>
        <v>4.360527830778</v>
      </c>
      <c r="E423" s="320" t="n">
        <f aca="false" t="array" ref="E423:E423">SUM(IF(MONTH(NymexData!$A$12:$A$250)&amp;YEAR(NymexData!$A$12:$A$250)=MONTH(A423)&amp;YEAR(A423),NymexData!$F$12:$F$250))</f>
        <v>5.52450466757615</v>
      </c>
      <c r="F423" s="320" t="n">
        <f aca="false">G423-E423</f>
        <v>-0.051981119122142</v>
      </c>
      <c r="G423" s="321" t="n">
        <f aca="false" t="array" ref="G423:G423">IF(NymexData!$H$12="",GasPosn!E423,SUM(IF(MONTH(NymexData!$H$12:$H$250)&amp;YEAR(NymexData!$H$12:$H$250)=MONTH(A423)&amp;YEAR(A423),NymexData!$L$12:$L$250)))</f>
        <v>5.47252354845401</v>
      </c>
      <c r="H423" s="76" t="n">
        <f aca="false">B423*10000*F423</f>
        <v>-2266.65116607087</v>
      </c>
      <c r="I423" s="82" t="n">
        <f aca="false">(((G423-Q423)*P423+(G423-S423)*R423+(G423-U423)*T423+(G423-W423)*V423+(G423-Y423)*X423+(G423-AA423)*Z423+(G423-AC423)*AB423+(G423-AE423)*AD423+(G423-AG423)*AF423+(G423-AI423)*AH423+(G423-AK423)*AJ423+(G423-AM423)*AL423+(G423-AO423)*AN423+(G423-AQ423)*AP423+(G423-AS423)*AR423+(G423-AU423)*AT423+(G423-AW423)*AV423+(G423-AY423)*AX423+(G423-BA423)*AZ423+(G423-BC423)*BB423)*BJ423*BI423)*10000</f>
        <v>0</v>
      </c>
      <c r="J423" s="82" t="n">
        <f aca="false">H423+I423</f>
        <v>-2266.65116607087</v>
      </c>
      <c r="O423" s="95" t="n">
        <f aca="false">A423</f>
        <v>40057</v>
      </c>
      <c r="BD423" s="100" t="n">
        <f aca="false">(P423+R423+T423+V423+X423+Z423+AB423+AD423+AF423+AH423+AJ423+AL423+AN423+AP423+AR423+AT423+AV423+AX423+AZ423+BB423)</f>
        <v>0</v>
      </c>
      <c r="BE423" s="322" t="n">
        <f aca="false">IF(AND(BD423=0,BH423=0),0,(ABS(P423)*Q423+ABS(R423)*S423+ABS(T423)*U423+ABS(V423)*W423+ABS(X423)*Y423+ABS(Z423)*AA423+ABS(AB423)*AC423+ABS(AD423)*AE423+ABS(AF423)*AG423+ABS(AH423)*AI423+ABS(AJ423)*AK423+ABS(AL423)*AM423+ABS(AN423)*AO423+ABS(AP423)*AQ423+ABS(AR423)*AS423+ABS(AT423)*AU423+ABS(AV423)*AW423+ABS(AX423)*AY423+ABS(AZ423)*BA423+ABS(BB423)*BC423)/BH423)</f>
        <v>0</v>
      </c>
      <c r="BG423" s="103" t="n">
        <f aca="false">O423</f>
        <v>40057</v>
      </c>
      <c r="BH423" s="323" t="n">
        <f aca="false">(ABS(P423)+ABS(R423)+ABS(T423)+ABS(V423)+ABS(X423)+ABS(Z423)+ABS(AB423)+ABS(AD423)+ABS(AF423)+ABS(AH423)+ABS(AJ423)+ABS(AL423)+ABS(AN423)+ABS(AP423)+ABS(AR423)+ABS(AT423)+ABS(AV423)+ABS(AX423)+ABS(AZ423)+ABS(BB423))</f>
        <v>0</v>
      </c>
      <c r="BI423" s="104" t="n">
        <f aca="false">VLOOKUP(GasPosn!A423,'Pricing Summary'!$AB$12:$AD$250,3)</f>
        <v>30</v>
      </c>
      <c r="BJ423" s="102" t="n">
        <f aca="false">VLOOKUP(A423,Interest!$AF$8:$AK$367,6)</f>
        <v>0.667713937714318</v>
      </c>
      <c r="BL423" s="0" t="n">
        <f aca="false">H423/VLOOKUP(A423,NymexData!$J$12:$K$128,2)</f>
        <v>-1429.36194821463</v>
      </c>
      <c r="BM423" s="0" t="n">
        <f aca="false">I423/VLOOKUP(A423,NymexData!$J$12:$K$128,2)</f>
        <v>0</v>
      </c>
      <c r="BO423" s="0" t="n">
        <f aca="false">BO106</f>
        <v>0.667713937714318</v>
      </c>
      <c r="BP423" s="0" t="n">
        <f aca="false">G423*BO423</f>
        <v>3.65408024777256</v>
      </c>
      <c r="BQ423" s="0" t="n">
        <f aca="false">IF(AND(A423&gt;=$B$320,A423&lt;=$B$321),1,0)</f>
        <v>0</v>
      </c>
      <c r="BR423" s="0" t="n">
        <f aca="false">BO423*BQ423</f>
        <v>0</v>
      </c>
      <c r="BS423" s="0" t="n">
        <f aca="false">BP423*BQ423</f>
        <v>0</v>
      </c>
    </row>
    <row r="424" customFormat="false" ht="18" hidden="false" customHeight="false" outlineLevel="0" collapsed="false">
      <c r="A424" s="112" t="n">
        <f aca="false">A107</f>
        <v>40087</v>
      </c>
      <c r="B424" s="324" t="n">
        <f aca="false" t="array" ref="B424:B424">SUM(IF(MONTH(NymexData!$AO$12:$AO$250)&amp;YEAR(NymexData!$AO$12:$AO$250)=MONTH(A424)&amp;YEAR(A424),NymexData!$AP$12:$AP$250))</f>
        <v>4.480518144984</v>
      </c>
      <c r="C424" s="325" t="n">
        <f aca="false">BD424*BJ424*BI424</f>
        <v>0</v>
      </c>
      <c r="D424" s="326" t="n">
        <f aca="false">C424+B424</f>
        <v>4.480518144984</v>
      </c>
      <c r="E424" s="327" t="n">
        <f aca="false" t="array" ref="E424:E424">SUM(IF(MONTH(NymexData!$A$12:$A$250)&amp;YEAR(NymexData!$A$12:$A$250)=MONTH(A424)&amp;YEAR(A424),NymexData!$F$12:$F$250))</f>
        <v>5.52813574222648</v>
      </c>
      <c r="F424" s="327" t="n">
        <f aca="false">G424-E424</f>
        <v>-0.0522691125305421</v>
      </c>
      <c r="G424" s="328" t="n">
        <f aca="false" t="array" ref="G424:G424">IF(NymexData!$H$12="",GasPosn!E424,SUM(IF(MONTH(NymexData!$H$12:$H$250)&amp;YEAR(NymexData!$H$12:$H$250)=MONTH(A424)&amp;YEAR(A424),NymexData!$L$12:$L$250)))</f>
        <v>5.47586662969594</v>
      </c>
      <c r="H424" s="115" t="n">
        <f aca="false">B424*10000*F424</f>
        <v>-2341.92707115305</v>
      </c>
      <c r="I424" s="119" t="n">
        <f aca="false">(((G424-Q424)*P424+(G424-S424)*R424+(G424-U424)*T424+(G424-W424)*V424+(G424-Y424)*X424+(G424-AA424)*Z424+(G424-AC424)*AB424+(G424-AE424)*AD424+(G424-AG424)*AF424+(G424-AI424)*AH424+(G424-AK424)*AJ424+(G424-AM424)*AL424+(G424-AO424)*AN424+(G424-AQ424)*AP424+(G424-AS424)*AR424+(G424-AU424)*AT424+(G424-AW424)*AV424+(G424-AY424)*AX424+(G424-BA424)*AZ424+(G424-BC424)*BB424)*BJ424*BI424)*10000</f>
        <v>0</v>
      </c>
      <c r="J424" s="119" t="n">
        <f aca="false">H424+I424</f>
        <v>-2341.92707115305</v>
      </c>
      <c r="O424" s="95" t="n">
        <f aca="false">A424</f>
        <v>40087</v>
      </c>
      <c r="BD424" s="100" t="n">
        <f aca="false">(P424+R424+T424+V424+X424+Z424+AB424+AD424+AF424+AH424+AJ424+AL424+AN424+AP424+AR424+AT424+AV424+AX424+AZ424+BB424)</f>
        <v>0</v>
      </c>
      <c r="BE424" s="322" t="n">
        <f aca="false">IF(AND(BD424=0,BH424=0),0,(ABS(P424)*Q424+ABS(R424)*S424+ABS(T424)*U424+ABS(V424)*W424+ABS(X424)*Y424+ABS(Z424)*AA424+ABS(AB424)*AC424+ABS(AD424)*AE424+ABS(AF424)*AG424+ABS(AH424)*AI424+ABS(AJ424)*AK424+ABS(AL424)*AM424+ABS(AN424)*AO424+ABS(AP424)*AQ424+ABS(AR424)*AS424+ABS(AT424)*AU424+ABS(AV424)*AW424+ABS(AX424)*AY424+ABS(AZ424)*BA424+ABS(BB424)*BC424)/BH424)</f>
        <v>0</v>
      </c>
      <c r="BG424" s="103" t="n">
        <f aca="false">O424</f>
        <v>40087</v>
      </c>
      <c r="BH424" s="323" t="n">
        <f aca="false">(ABS(P424)+ABS(R424)+ABS(T424)+ABS(V424)+ABS(X424)+ABS(Z424)+ABS(AB424)+ABS(AD424)+ABS(AF424)+ABS(AH424)+ABS(AJ424)+ABS(AL424)+ABS(AN424)+ABS(AP424)+ABS(AR424)+ABS(AT424)+ABS(AV424)+ABS(AX424)+ABS(AZ424)+ABS(BB424))</f>
        <v>0</v>
      </c>
      <c r="BI424" s="104" t="n">
        <f aca="false">VLOOKUP(GasPosn!A424,'Pricing Summary'!$AB$12:$AD$250,3)</f>
        <v>31</v>
      </c>
      <c r="BJ424" s="102" t="n">
        <f aca="false">VLOOKUP(A424,Interest!$AF$8:$AK$367,6)</f>
        <v>0.664293426573601</v>
      </c>
      <c r="BL424" s="0" t="n">
        <f aca="false">H424/VLOOKUP(A424,NymexData!$J$12:$K$128,2)</f>
        <v>-1475.92970031605</v>
      </c>
      <c r="BM424" s="0" t="n">
        <f aca="false">I424/VLOOKUP(A424,NymexData!$J$12:$K$128,2)</f>
        <v>0</v>
      </c>
      <c r="BO424" s="0" t="n">
        <f aca="false">BO107</f>
        <v>0.664293426573601</v>
      </c>
      <c r="BP424" s="0" t="n">
        <f aca="false">G424*BO424</f>
        <v>3.63758220690075</v>
      </c>
      <c r="BQ424" s="0" t="n">
        <f aca="false">IF(AND(A424&gt;=$B$320,A424&lt;=$B$321),1,0)</f>
        <v>0</v>
      </c>
      <c r="BR424" s="0" t="n">
        <f aca="false">BO424*BQ424</f>
        <v>0</v>
      </c>
      <c r="BS424" s="0" t="n">
        <f aca="false">BP424*BQ424</f>
        <v>0</v>
      </c>
    </row>
    <row r="425" customFormat="false" ht="18" hidden="false" customHeight="false" outlineLevel="0" collapsed="false">
      <c r="A425" s="75" t="n">
        <f aca="false">A108</f>
        <v>40118</v>
      </c>
      <c r="B425" s="317" t="n">
        <f aca="false" t="array" ref="B425:B425">SUM(IF(MONTH(NymexData!$AO$12:$AO$250)&amp;YEAR(NymexData!$AO$12:$AO$250)=MONTH(A425)&amp;YEAR(A425),NymexData!$AP$12:$AP$250))</f>
        <v>4.31064027352</v>
      </c>
      <c r="C425" s="317" t="n">
        <f aca="false">BD425*BJ425*BI425</f>
        <v>0</v>
      </c>
      <c r="D425" s="319" t="n">
        <f aca="false">C425+B425</f>
        <v>4.31064027352</v>
      </c>
      <c r="E425" s="320" t="n">
        <f aca="false" t="array" ref="E425:E425">SUM(IF(MONTH(NymexData!$A$12:$A$250)&amp;YEAR(NymexData!$A$12:$A$250)=MONTH(A425)&amp;YEAR(A425),NymexData!$F$12:$F$250))</f>
        <v>5.84480515130217</v>
      </c>
      <c r="F425" s="320" t="n">
        <f aca="false">G425-E425</f>
        <v>-0.0508929165388023</v>
      </c>
      <c r="G425" s="321" t="n">
        <f aca="false" t="array" ref="G425:G425">IF(NymexData!$H$12="",GasPosn!E425,SUM(IF(MONTH(NymexData!$H$12:$H$250)&amp;YEAR(NymexData!$H$12:$H$250)=MONTH(A425)&amp;YEAR(A425),NymexData!$L$12:$L$250)))</f>
        <v>5.79391223476337</v>
      </c>
      <c r="H425" s="76" t="n">
        <f aca="false">B425*10000*F425</f>
        <v>-2193.81055669053</v>
      </c>
      <c r="I425" s="82" t="n">
        <f aca="false">(((G425-Q425)*P425+(G425-S425)*R425+(G425-U425)*T425+(G425-W425)*V425+(G425-Y425)*X425+(G425-AA425)*Z425+(G425-AC425)*AB425+(G425-AE425)*AD425+(G425-AG425)*AF425+(G425-AI425)*AH425+(G425-AK425)*AJ425+(G425-AM425)*AL425+(G425-AO425)*AN425+(G425-AQ425)*AP425+(G425-AS425)*AR425+(G425-AU425)*AT425+(G425-AW425)*AV425+(G425-AY425)*AX425+(G425-BA425)*AZ425+(G425-BC425)*BB425)*BJ425*BI425)*10000</f>
        <v>0</v>
      </c>
      <c r="J425" s="82" t="n">
        <f aca="false">H425+I425</f>
        <v>-2193.81055669053</v>
      </c>
      <c r="O425" s="95" t="n">
        <f aca="false">A425</f>
        <v>40118</v>
      </c>
      <c r="BD425" s="100" t="n">
        <f aca="false">(P425+R425+T425+V425+X425+Z425+AB425+AD425+AF425+AH425+AJ425+AL425+AN425+AP425+AR425+AT425+AV425+AX425+AZ425+BB425)</f>
        <v>0</v>
      </c>
      <c r="BE425" s="322" t="n">
        <f aca="false">IF(AND(BD425=0,BH425=0),0,(ABS(P425)*Q425+ABS(R425)*S425+ABS(T425)*U425+ABS(V425)*W425+ABS(X425)*Y425+ABS(Z425)*AA425+ABS(AB425)*AC425+ABS(AD425)*AE425+ABS(AF425)*AG425+ABS(AH425)*AI425+ABS(AJ425)*AK425+ABS(AL425)*AM425+ABS(AN425)*AO425+ABS(AP425)*AQ425+ABS(AR425)*AS425+ABS(AT425)*AU425+ABS(AV425)*AW425+ABS(AX425)*AY425+ABS(AZ425)*BA425+ABS(BB425)*BC425)/BH425)</f>
        <v>0</v>
      </c>
      <c r="BG425" s="103" t="n">
        <f aca="false">O425</f>
        <v>40118</v>
      </c>
      <c r="BH425" s="323" t="n">
        <f aca="false">(ABS(P425)+ABS(R425)+ABS(T425)+ABS(V425)+ABS(X425)+ABS(Z425)+ABS(AB425)+ABS(AD425)+ABS(AF425)+ABS(AH425)+ABS(AJ425)+ABS(AL425)+ABS(AN425)+ABS(AP425)+ABS(AR425)+ABS(AT425)+ABS(AV425)+ABS(AX425)+ABS(AZ425)+ABS(BB425))</f>
        <v>0</v>
      </c>
      <c r="BI425" s="104" t="n">
        <f aca="false">VLOOKUP(GasPosn!A425,'Pricing Summary'!$AB$12:$AD$250,3)</f>
        <v>30</v>
      </c>
      <c r="BJ425" s="102" t="n">
        <f aca="false">VLOOKUP(A425,Interest!$AF$8:$AK$367,6)</f>
        <v>0.660953067879895</v>
      </c>
      <c r="BL425" s="0" t="n">
        <f aca="false">H425/VLOOKUP(A425,NymexData!$J$12:$K$128,2)</f>
        <v>-1381.69576861448</v>
      </c>
      <c r="BM425" s="0" t="n">
        <f aca="false">I425/VLOOKUP(A425,NymexData!$J$12:$K$128,2)</f>
        <v>0</v>
      </c>
      <c r="BO425" s="0" t="n">
        <f aca="false">BO108</f>
        <v>0.660953067879895</v>
      </c>
      <c r="BP425" s="0" t="n">
        <f aca="false">G425*BO425</f>
        <v>3.8295040665937</v>
      </c>
      <c r="BQ425" s="0" t="n">
        <f aca="false">IF(AND(A425&gt;=$B$320,A425&lt;=$B$321),1,0)</f>
        <v>0</v>
      </c>
      <c r="BR425" s="0" t="n">
        <f aca="false">BO425*BQ425</f>
        <v>0</v>
      </c>
      <c r="BS425" s="0" t="n">
        <f aca="false">BP425*BQ425</f>
        <v>0</v>
      </c>
    </row>
    <row r="426" customFormat="false" ht="18" hidden="false" customHeight="false" outlineLevel="0" collapsed="false">
      <c r="A426" s="112" t="n">
        <f aca="false">A109</f>
        <v>40148</v>
      </c>
      <c r="B426" s="324" t="n">
        <f aca="false" t="array" ref="B426:B426">SUM(IF(MONTH(NymexData!$AO$12:$AO$250)&amp;YEAR(NymexData!$AO$12:$AO$250)=MONTH(A426)&amp;YEAR(A426),NymexData!$AP$12:$AP$250))</f>
        <v>4.42900025799</v>
      </c>
      <c r="C426" s="325" t="n">
        <f aca="false">BD426*BJ426*BI426</f>
        <v>0</v>
      </c>
      <c r="D426" s="326" t="n">
        <f aca="false">C426+B426</f>
        <v>4.42900025799</v>
      </c>
      <c r="E426" s="327" t="n">
        <f aca="false" t="array" ref="E426:E426">SUM(IF(MONTH(NymexData!$A$12:$A$250)&amp;YEAR(NymexData!$A$12:$A$250)=MONTH(A426)&amp;YEAR(A426),NymexData!$F$12:$F$250))</f>
        <v>6.07756153324656</v>
      </c>
      <c r="F426" s="327" t="n">
        <f aca="false">G426-E426</f>
        <v>-0.0510909241926694</v>
      </c>
      <c r="G426" s="328" t="n">
        <f aca="false" t="array" ref="G426:G426">IF(NymexData!$H$12="",GasPosn!E426,SUM(IF(MONTH(NymexData!$H$12:$H$250)&amp;YEAR(NymexData!$H$12:$H$250)=MONTH(A426)&amp;YEAR(A426),NymexData!$L$12:$L$250)))</f>
        <v>6.0264706090539</v>
      </c>
      <c r="H426" s="115" t="n">
        <f aca="false">B426*10000*F426</f>
        <v>-2262.8171643028</v>
      </c>
      <c r="I426" s="119" t="n">
        <f aca="false">(((G426-Q426)*P426+(G426-S426)*R426+(G426-U426)*T426+(G426-W426)*V426+(G426-Y426)*X426+(G426-AA426)*Z426+(G426-AC426)*AB426+(G426-AE426)*AD426+(G426-AG426)*AF426+(G426-AI426)*AH426+(G426-AK426)*AJ426+(G426-AM426)*AL426+(G426-AO426)*AN426+(G426-AQ426)*AP426+(G426-AS426)*AR426+(G426-AU426)*AT426+(G426-AW426)*AV426+(G426-AY426)*AX426+(G426-BA426)*AZ426+(G426-BC426)*BB426)*BJ426*BI426)*10000</f>
        <v>0</v>
      </c>
      <c r="J426" s="119" t="n">
        <f aca="false">H426+I426</f>
        <v>-2262.8171643028</v>
      </c>
      <c r="O426" s="95" t="n">
        <f aca="false">A426</f>
        <v>40148</v>
      </c>
      <c r="BD426" s="100" t="n">
        <f aca="false">(P426+R426+T426+V426+X426+Z426+AB426+AD426+AF426+AH426+AJ426+AL426+AN426+AP426+AR426+AT426+AV426+AX426+AZ426+BB426)</f>
        <v>0</v>
      </c>
      <c r="BE426" s="322" t="n">
        <f aca="false">IF(AND(BD426=0,BH426=0),0,(ABS(P426)*Q426+ABS(R426)*S426+ABS(T426)*U426+ABS(V426)*W426+ABS(X426)*Y426+ABS(Z426)*AA426+ABS(AB426)*AC426+ABS(AD426)*AE426+ABS(AF426)*AG426+ABS(AH426)*AI426+ABS(AJ426)*AK426+ABS(AL426)*AM426+ABS(AN426)*AO426+ABS(AP426)*AQ426+ABS(AR426)*AS426+ABS(AT426)*AU426+ABS(AV426)*AW426+ABS(AX426)*AY426+ABS(AZ426)*BA426+ABS(BB426)*BC426)/BH426)</f>
        <v>0</v>
      </c>
      <c r="BG426" s="103" t="n">
        <f aca="false">O426</f>
        <v>40148</v>
      </c>
      <c r="BH426" s="323" t="n">
        <f aca="false">(ABS(P426)+ABS(R426)+ABS(T426)+ABS(V426)+ABS(X426)+ABS(Z426)+ABS(AB426)+ABS(AD426)+ABS(AF426)+ABS(AH426)+ABS(AJ426)+ABS(AL426)+ABS(AN426)+ABS(AP426)+ABS(AR426)+ABS(AT426)+ABS(AV426)+ABS(AX426)+ABS(AZ426)+ABS(BB426))</f>
        <v>0</v>
      </c>
      <c r="BI426" s="104" t="n">
        <f aca="false">VLOOKUP(GasPosn!A426,'Pricing Summary'!$AB$12:$AD$250,3)</f>
        <v>31</v>
      </c>
      <c r="BJ426" s="102" t="n">
        <f aca="false">VLOOKUP(A426,Interest!$AF$8:$AK$367,6)</f>
        <v>0.657544408611758</v>
      </c>
      <c r="BL426" s="0" t="n">
        <f aca="false">H426/VLOOKUP(A426,NymexData!$J$12:$K$128,2)</f>
        <v>-1424.25579171927</v>
      </c>
      <c r="BM426" s="0" t="n">
        <f aca="false">I426/VLOOKUP(A426,NymexData!$J$12:$K$128,2)</f>
        <v>0</v>
      </c>
      <c r="BO426" s="0" t="n">
        <f aca="false">BO109</f>
        <v>0.657544408611758</v>
      </c>
      <c r="BP426" s="0" t="n">
        <f aca="false">G426*BO426</f>
        <v>3.96267205264648</v>
      </c>
      <c r="BQ426" s="0" t="n">
        <f aca="false">IF(AND(A426&gt;=$B$320,A426&lt;=$B$321),1,0)</f>
        <v>0</v>
      </c>
      <c r="BR426" s="0" t="n">
        <f aca="false">BO426*BQ426</f>
        <v>0</v>
      </c>
      <c r="BS426" s="0" t="n">
        <f aca="false">BP426*BQ426</f>
        <v>0</v>
      </c>
    </row>
    <row r="427" customFormat="false" ht="18" hidden="false" customHeight="false" outlineLevel="0" collapsed="false">
      <c r="A427" s="75" t="n">
        <f aca="false">A110</f>
        <v>40179</v>
      </c>
      <c r="B427" s="317" t="n">
        <f aca="false" t="array" ref="B427:B427">SUM(IF(MONTH(NymexData!$AO$12:$AO$250)&amp;YEAR(NymexData!$AO$12:$AO$250)=MONTH(A427)&amp;YEAR(A427),NymexData!$AP$12:$AP$250))</f>
        <v>4.40284699652</v>
      </c>
      <c r="C427" s="317" t="n">
        <f aca="false">BD427*BJ427*BI427</f>
        <v>0</v>
      </c>
      <c r="D427" s="319" t="n">
        <f aca="false">C427+B427</f>
        <v>4.40284699652</v>
      </c>
      <c r="E427" s="320" t="n">
        <f aca="false" t="array" ref="E427:E427">SUM(IF(MONTH(NymexData!$A$12:$A$250)&amp;YEAR(NymexData!$A$12:$A$250)=MONTH(A427)&amp;YEAR(A427),NymexData!$F$12:$F$250))</f>
        <v>6.18358272801491</v>
      </c>
      <c r="F427" s="320" t="n">
        <f aca="false">G427-E427</f>
        <v>-0.0438544711641438</v>
      </c>
      <c r="G427" s="321" t="n">
        <f aca="false" t="array" ref="G427:G427">IF(NymexData!$H$12="",GasPosn!E427,SUM(IF(MONTH(NymexData!$H$12:$H$250)&amp;YEAR(NymexData!$H$12:$H$250)=MONTH(A427)&amp;YEAR(A427),NymexData!$L$12:$L$250)))</f>
        <v>6.13972825685077</v>
      </c>
      <c r="H427" s="76" t="n">
        <f aca="false">B427*10000*F427</f>
        <v>-1930.84526649023</v>
      </c>
      <c r="I427" s="82" t="n">
        <f aca="false">(((G427-Q427)*P427+(G427-S427)*R427+(G427-U427)*T427+(G427-W427)*V427+(G427-Y427)*X427+(G427-AA427)*Z427+(G427-AC427)*AB427+(G427-AE427)*AD427+(G427-AG427)*AF427+(G427-AI427)*AH427+(G427-AK427)*AJ427+(G427-AM427)*AL427+(G427-AO427)*AN427+(G427-AQ427)*AP427+(G427-AS427)*AR427+(G427-AU427)*AT427+(G427-AW427)*AV427+(G427-AY427)*AX427+(G427-BA427)*AZ427+(G427-BC427)*BB427)*BJ427*BI427)*10000</f>
        <v>0</v>
      </c>
      <c r="J427" s="82" t="n">
        <f aca="false">H427+I427</f>
        <v>-1930.84526649023</v>
      </c>
      <c r="O427" s="95" t="n">
        <f aca="false">A427</f>
        <v>40179</v>
      </c>
      <c r="BD427" s="100" t="n">
        <f aca="false">(P427+R427+T427+V427+X427+Z427+AB427+AD427+AF427+AH427+AJ427+AL427+AN427+AP427+AR427+AT427+AV427+AX427+AZ427+BB427)</f>
        <v>0</v>
      </c>
      <c r="BE427" s="322" t="n">
        <f aca="false">IF(AND(BD427=0,BH427=0),0,(ABS(P427)*Q427+ABS(R427)*S427+ABS(T427)*U427+ABS(V427)*W427+ABS(X427)*Y427+ABS(Z427)*AA427+ABS(AB427)*AC427+ABS(AD427)*AE427+ABS(AF427)*AG427+ABS(AH427)*AI427+ABS(AJ427)*AK427+ABS(AL427)*AM427+ABS(AN427)*AO427+ABS(AP427)*AQ427+ABS(AR427)*AS427+ABS(AT427)*AU427+ABS(AV427)*AW427+ABS(AX427)*AY427+ABS(AZ427)*BA427+ABS(BB427)*BC427)/BH427)</f>
        <v>0</v>
      </c>
      <c r="BG427" s="103" t="n">
        <f aca="false">O427</f>
        <v>40179</v>
      </c>
      <c r="BH427" s="323" t="n">
        <f aca="false">(ABS(P427)+ABS(R427)+ABS(T427)+ABS(V427)+ABS(X427)+ABS(Z427)+ABS(AB427)+ABS(AD427)+ABS(AF427)+ABS(AH427)+ABS(AJ427)+ABS(AL427)+ABS(AN427)+ABS(AP427)+ABS(AR427)+ABS(AT427)+ABS(AV427)+ABS(AX427)+ABS(AZ427)+ABS(BB427))</f>
        <v>0</v>
      </c>
      <c r="BI427" s="104" t="n">
        <f aca="false">VLOOKUP(GasPosn!A427,'Pricing Summary'!$AB$12:$AD$250,3)</f>
        <v>31</v>
      </c>
      <c r="BJ427" s="102" t="n">
        <f aca="false">VLOOKUP(A427,Interest!$AF$8:$AK$367,6)</f>
        <v>0.65412353264284</v>
      </c>
      <c r="BL427" s="0" t="n">
        <f aca="false">H427/VLOOKUP(A427,NymexData!$J$12:$K$128,2)</f>
        <v>-1214.49891890575</v>
      </c>
      <c r="BM427" s="0" t="n">
        <f aca="false">I427/VLOOKUP(A427,NymexData!$J$12:$K$128,2)</f>
        <v>0</v>
      </c>
      <c r="BO427" s="0" t="n">
        <f aca="false">BO110</f>
        <v>0.65412353264284</v>
      </c>
      <c r="BP427" s="0" t="n">
        <f aca="false">G427*BO427</f>
        <v>4.01614073683829</v>
      </c>
      <c r="BQ427" s="0" t="n">
        <f aca="false">IF(AND(A427&gt;=$B$320,A427&lt;=$B$321),1,0)</f>
        <v>0</v>
      </c>
      <c r="BR427" s="0" t="n">
        <f aca="false">BO427*BQ427</f>
        <v>0</v>
      </c>
      <c r="BS427" s="0" t="n">
        <f aca="false">BP427*BQ427</f>
        <v>0</v>
      </c>
    </row>
    <row r="428" customFormat="false" ht="18" hidden="false" customHeight="false" outlineLevel="0" collapsed="false">
      <c r="A428" s="112" t="n">
        <f aca="false">A111</f>
        <v>40210</v>
      </c>
      <c r="B428" s="324" t="n">
        <f aca="false" t="array" ref="B428:B428">SUM(IF(MONTH(NymexData!$AO$12:$AO$250)&amp;YEAR(NymexData!$AO$12:$AO$250)=MONTH(A428)&amp;YEAR(A428),NymexData!$AP$12:$AP$250))</f>
        <v>3.95316153309</v>
      </c>
      <c r="C428" s="325" t="n">
        <f aca="false">BD428*BJ428*BI428</f>
        <v>0</v>
      </c>
      <c r="D428" s="326" t="n">
        <f aca="false">C428+B428</f>
        <v>3.95316153309</v>
      </c>
      <c r="E428" s="327" t="n">
        <f aca="false" t="array" ref="E428:E428">SUM(IF(MONTH(NymexData!$A$12:$A$250)&amp;YEAR(NymexData!$A$12:$A$250)=MONTH(A428)&amp;YEAR(A428),NymexData!$F$12:$F$250))</f>
        <v>6.05695919635769</v>
      </c>
      <c r="F428" s="327" t="n">
        <f aca="false">G428-E428</f>
        <v>-0.0457688661303575</v>
      </c>
      <c r="G428" s="328" t="n">
        <f aca="false" t="array" ref="G428:G428">IF(NymexData!$H$12="",GasPosn!E428,SUM(IF(MONTH(NymexData!$H$12:$H$250)&amp;YEAR(NymexData!$H$12:$H$250)=MONTH(A428)&amp;YEAR(A428),NymexData!$L$12:$L$250)))</f>
        <v>6.01119033022733</v>
      </c>
      <c r="H428" s="115" t="n">
        <f aca="false">B428*10000*F428</f>
        <v>-1809.31720999675</v>
      </c>
      <c r="I428" s="119" t="n">
        <f aca="false">(((G428-Q428)*P428+(G428-S428)*R428+(G428-U428)*T428+(G428-W428)*V428+(G428-Y428)*X428+(G428-AA428)*Z428+(G428-AC428)*AB428+(G428-AE428)*AD428+(G428-AG428)*AF428+(G428-AI428)*AH428+(G428-AK428)*AJ428+(G428-AM428)*AL428+(G428-AO428)*AN428+(G428-AQ428)*AP428+(G428-AS428)*AR428+(G428-AU428)*AT428+(G428-AW428)*AV428+(G428-AY428)*AX428+(G428-BA428)*AZ428+(G428-BC428)*BB428)*BJ428*BI428)*10000</f>
        <v>0</v>
      </c>
      <c r="J428" s="119" t="n">
        <f aca="false">H428+I428</f>
        <v>-1809.31720999675</v>
      </c>
      <c r="O428" s="95" t="n">
        <f aca="false">A428</f>
        <v>40210</v>
      </c>
      <c r="BD428" s="100" t="n">
        <f aca="false">(P428+R428+T428+V428+X428+Z428+AB428+AD428+AF428+AH428+AJ428+AL428+AN428+AP428+AR428+AT428+AV428+AX428+AZ428+BB428)</f>
        <v>0</v>
      </c>
      <c r="BE428" s="322" t="n">
        <f aca="false">IF(AND(BD428=0,BH428=0),0,(ABS(P428)*Q428+ABS(R428)*S428+ABS(T428)*U428+ABS(V428)*W428+ABS(X428)*Y428+ABS(Z428)*AA428+ABS(AB428)*AC428+ABS(AD428)*AE428+ABS(AF428)*AG428+ABS(AH428)*AI428+ABS(AJ428)*AK428+ABS(AL428)*AM428+ABS(AN428)*AO428+ABS(AP428)*AQ428+ABS(AR428)*AS428+ABS(AT428)*AU428+ABS(AV428)*AW428+ABS(AX428)*AY428+ABS(AZ428)*BA428+ABS(BB428)*BC428)/BH428)</f>
        <v>0</v>
      </c>
      <c r="BG428" s="103" t="n">
        <f aca="false">O428</f>
        <v>40210</v>
      </c>
      <c r="BH428" s="323" t="n">
        <f aca="false">(ABS(P428)+ABS(R428)+ABS(T428)+ABS(V428)+ABS(X428)+ABS(Z428)+ABS(AB428)+ABS(AD428)+ABS(AF428)+ABS(AH428)+ABS(AJ428)+ABS(AL428)+ABS(AN428)+ABS(AP428)+ABS(AR428)+ABS(AT428)+ABS(AV428)+ABS(AX428)+ABS(AZ428)+ABS(BB428))</f>
        <v>0</v>
      </c>
      <c r="BI428" s="104" t="n">
        <f aca="false">VLOOKUP(GasPosn!A428,'Pricing Summary'!$AB$12:$AD$250,3)</f>
        <v>28</v>
      </c>
      <c r="BJ428" s="102" t="n">
        <f aca="false">VLOOKUP(A428,Interest!$AF$8:$AK$367,6)</f>
        <v>0.650983350641565</v>
      </c>
      <c r="BL428" s="0" t="n">
        <f aca="false">H428/VLOOKUP(A428,NymexData!$J$12:$K$128,2)</f>
        <v>-1137.28809198054</v>
      </c>
      <c r="BM428" s="0" t="n">
        <f aca="false">I428/VLOOKUP(A428,NymexData!$J$12:$K$128,2)</f>
        <v>0</v>
      </c>
      <c r="BO428" s="0" t="n">
        <f aca="false">BO111</f>
        <v>0.650983350641565</v>
      </c>
      <c r="BP428" s="0" t="n">
        <f aca="false">G428*BO428</f>
        <v>3.91318482251556</v>
      </c>
      <c r="BQ428" s="0" t="n">
        <f aca="false">IF(AND(A428&gt;=$B$320,A428&lt;=$B$321),1,0)</f>
        <v>0</v>
      </c>
      <c r="BR428" s="0" t="n">
        <f aca="false">BO428*BQ428</f>
        <v>0</v>
      </c>
      <c r="BS428" s="0" t="n">
        <f aca="false">BP428*BQ428</f>
        <v>0</v>
      </c>
    </row>
    <row r="429" customFormat="false" ht="18" hidden="false" customHeight="false" outlineLevel="0" collapsed="false">
      <c r="A429" s="75" t="n">
        <f aca="false">A112</f>
        <v>40238</v>
      </c>
      <c r="B429" s="317" t="n">
        <f aca="false" t="array" ref="B429:B429">SUM(IF(MONTH(NymexData!$AO$12:$AO$250)&amp;YEAR(NymexData!$AO$12:$AO$250)=MONTH(A429)&amp;YEAR(A429),NymexData!$AP$12:$AP$250))</f>
        <v>4.35313019491</v>
      </c>
      <c r="C429" s="317" t="n">
        <f aca="false">BD429*BJ429*BI429</f>
        <v>0</v>
      </c>
      <c r="D429" s="319" t="n">
        <f aca="false">C429+B429</f>
        <v>4.35313019491</v>
      </c>
      <c r="E429" s="320" t="n">
        <f aca="false" t="array" ref="E429:E429">SUM(IF(MONTH(NymexData!$A$12:$A$250)&amp;YEAR(NymexData!$A$12:$A$250)=MONTH(A429)&amp;YEAR(A429),NymexData!$F$12:$F$250))</f>
        <v>5.85136337358297</v>
      </c>
      <c r="F429" s="320" t="n">
        <f aca="false">G429-E429</f>
        <v>-0.046164656262965</v>
      </c>
      <c r="G429" s="321" t="n">
        <f aca="false" t="array" ref="G429:G429">IF(NymexData!$H$12="",GasPosn!E429,SUM(IF(MONTH(NymexData!$H$12:$H$250)&amp;YEAR(NymexData!$H$12:$H$250)=MONTH(A429)&amp;YEAR(A429),NymexData!$L$12:$L$250)))</f>
        <v>5.80519871732</v>
      </c>
      <c r="H429" s="76" t="n">
        <f aca="false">B429*10000*F429</f>
        <v>-2009.60759115954</v>
      </c>
      <c r="I429" s="82" t="n">
        <f aca="false">(((G429-Q429)*P429+(G429-S429)*R429+(G429-U429)*T429+(G429-W429)*V429+(G429-Y429)*X429+(G429-AA429)*Z429+(G429-AC429)*AB429+(G429-AE429)*AD429+(G429-AG429)*AF429+(G429-AI429)*AH429+(G429-AK429)*AJ429+(G429-AM429)*AL429+(G429-AO429)*AN429+(G429-AQ429)*AP429+(G429-AS429)*AR429+(G429-AU429)*AT429+(G429-AW429)*AV429+(G429-AY429)*AX429+(G429-BA429)*AZ429+(G429-BC429)*BB429)*BJ429*BI429)*10000</f>
        <v>0</v>
      </c>
      <c r="J429" s="82" t="n">
        <f aca="false">H429+I429</f>
        <v>-2009.60759115954</v>
      </c>
      <c r="O429" s="95" t="n">
        <f aca="false">A429</f>
        <v>40238</v>
      </c>
      <c r="BD429" s="100" t="n">
        <f aca="false">(P429+R429+T429+V429+X429+Z429+AB429+AD429+AF429+AH429+AJ429+AL429+AN429+AP429+AR429+AT429+AV429+AX429+AZ429+BB429)</f>
        <v>0</v>
      </c>
      <c r="BE429" s="322" t="n">
        <f aca="false">IF(AND(BD429=0,BH429=0),0,(ABS(P429)*Q429+ABS(R429)*S429+ABS(T429)*U429+ABS(V429)*W429+ABS(X429)*Y429+ABS(Z429)*AA429+ABS(AB429)*AC429+ABS(AD429)*AE429+ABS(AF429)*AG429+ABS(AH429)*AI429+ABS(AJ429)*AK429+ABS(AL429)*AM429+ABS(AN429)*AO429+ABS(AP429)*AQ429+ABS(AR429)*AS429+ABS(AT429)*AU429+ABS(AV429)*AW429+ABS(AX429)*AY429+ABS(AZ429)*BA429+ABS(BB429)*BC429)/BH429)</f>
        <v>0</v>
      </c>
      <c r="BG429" s="103" t="n">
        <f aca="false">O429</f>
        <v>40238</v>
      </c>
      <c r="BH429" s="323" t="n">
        <f aca="false">(ABS(P429)+ABS(R429)+ABS(T429)+ABS(V429)+ABS(X429)+ABS(Z429)+ABS(AB429)+ABS(AD429)+ABS(AF429)+ABS(AH429)+ABS(AJ429)+ABS(AL429)+ABS(AN429)+ABS(AP429)+ABS(AR429)+ABS(AT429)+ABS(AV429)+ABS(AX429)+ABS(AZ429)+ABS(BB429))</f>
        <v>0</v>
      </c>
      <c r="BI429" s="104" t="n">
        <f aca="false">VLOOKUP(GasPosn!A429,'Pricing Summary'!$AB$12:$AD$250,3)</f>
        <v>31</v>
      </c>
      <c r="BJ429" s="102" t="n">
        <f aca="false">VLOOKUP(A429,Interest!$AF$8:$AK$367,6)</f>
        <v>0.647629912467334</v>
      </c>
      <c r="BL429" s="0" t="n">
        <f aca="false">H429/VLOOKUP(A429,NymexData!$J$12:$K$128,2)</f>
        <v>-1262.40088065762</v>
      </c>
      <c r="BM429" s="0" t="n">
        <f aca="false">I429/VLOOKUP(A429,NymexData!$J$12:$K$128,2)</f>
        <v>0</v>
      </c>
      <c r="BO429" s="0" t="n">
        <f aca="false">BO112</f>
        <v>0.647629912467334</v>
      </c>
      <c r="BP429" s="0" t="n">
        <f aca="false">G429*BO429</f>
        <v>3.75962033715343</v>
      </c>
      <c r="BQ429" s="0" t="n">
        <f aca="false">IF(AND(A429&gt;=$B$320,A429&lt;=$B$321),1,0)</f>
        <v>0</v>
      </c>
      <c r="BR429" s="0" t="n">
        <f aca="false">BO429*BQ429</f>
        <v>0</v>
      </c>
      <c r="BS429" s="0" t="n">
        <f aca="false">BP429*BQ429</f>
        <v>0</v>
      </c>
    </row>
    <row r="430" customFormat="false" ht="18" hidden="false" customHeight="false" outlineLevel="0" collapsed="false">
      <c r="A430" s="112" t="n">
        <f aca="false">A113</f>
        <v>40269</v>
      </c>
      <c r="B430" s="324" t="n">
        <f aca="false" t="array" ref="B430:B430">SUM(IF(MONTH(NymexData!$AO$12:$AO$250)&amp;YEAR(NymexData!$AO$12:$AO$250)=MONTH(A430)&amp;YEAR(A430),NymexData!$AP$12:$AP$250))</f>
        <v>4.18745949391</v>
      </c>
      <c r="C430" s="325" t="n">
        <f aca="false">BD430*BJ430*BI430</f>
        <v>0</v>
      </c>
      <c r="D430" s="326" t="n">
        <f aca="false">C430+B430</f>
        <v>4.18745949391</v>
      </c>
      <c r="E430" s="327" t="n">
        <f aca="false" t="array" ref="E430:E430">SUM(IF(MONTH(NymexData!$A$12:$A$250)&amp;YEAR(NymexData!$A$12:$A$250)=MONTH(A430)&amp;YEAR(A430),NymexData!$F$12:$F$250))</f>
        <v>5.43464430285668</v>
      </c>
      <c r="F430" s="327" t="n">
        <f aca="false">G430-E430</f>
        <v>-0.0466443158487717</v>
      </c>
      <c r="G430" s="328" t="n">
        <f aca="false" t="array" ref="G430:G430">IF(NymexData!$H$12="",GasPosn!E430,SUM(IF(MONTH(NymexData!$H$12:$H$250)&amp;YEAR(NymexData!$H$12:$H$250)=MONTH(A430)&amp;YEAR(A430),NymexData!$L$12:$L$250)))</f>
        <v>5.3879999870079</v>
      </c>
      <c r="H430" s="115" t="n">
        <f aca="false">B430*10000*F430</f>
        <v>-1953.21183237876</v>
      </c>
      <c r="I430" s="119" t="n">
        <f aca="false">(((G430-Q430)*P430+(G430-S430)*R430+(G430-U430)*T430+(G430-W430)*V430+(G430-Y430)*X430+(G430-AA430)*Z430+(G430-AC430)*AB430+(G430-AE430)*AD430+(G430-AG430)*AF430+(G430-AI430)*AH430+(G430-AK430)*AJ430+(G430-AM430)*AL430+(G430-AO430)*AN430+(G430-AQ430)*AP430+(G430-AS430)*AR430+(G430-AU430)*AT430+(G430-AW430)*AV430+(G430-AY430)*AX430+(G430-BA430)*AZ430+(G430-BC430)*BB430)*BJ430*BI430)*10000</f>
        <v>0</v>
      </c>
      <c r="J430" s="119" t="n">
        <f aca="false">H430+I430</f>
        <v>-1953.21183237876</v>
      </c>
      <c r="O430" s="95" t="n">
        <f aca="false">A430</f>
        <v>40269</v>
      </c>
      <c r="BD430" s="100" t="n">
        <f aca="false">(P430+R430+T430+V430+X430+Z430+AB430+AD430+AF430+AH430+AJ430+AL430+AN430+AP430+AR430+AT430+AV430+AX430+AZ430+BB430)</f>
        <v>0</v>
      </c>
      <c r="BE430" s="322" t="n">
        <f aca="false">IF(AND(BD430=0,BH430=0),0,(ABS(P430)*Q430+ABS(R430)*S430+ABS(T430)*U430+ABS(V430)*W430+ABS(X430)*Y430+ABS(Z430)*AA430+ABS(AB430)*AC430+ABS(AD430)*AE430+ABS(AF430)*AG430+ABS(AH430)*AI430+ABS(AJ430)*AK430+ABS(AL430)*AM430+ABS(AN430)*AO430+ABS(AP430)*AQ430+ABS(AR430)*AS430+ABS(AT430)*AU430+ABS(AV430)*AW430+ABS(AX430)*AY430+ABS(AZ430)*BA430+ABS(BB430)*BC430)/BH430)</f>
        <v>0</v>
      </c>
      <c r="BG430" s="103" t="n">
        <f aca="false">O430</f>
        <v>40269</v>
      </c>
      <c r="BH430" s="323" t="n">
        <f aca="false">(ABS(P430)+ABS(R430)+ABS(T430)+ABS(V430)+ABS(X430)+ABS(Z430)+ABS(AB430)+ABS(AD430)+ABS(AF430)+ABS(AH430)+ABS(AJ430)+ABS(AL430)+ABS(AN430)+ABS(AP430)+ABS(AR430)+ABS(AT430)+ABS(AV430)+ABS(AX430)+ABS(AZ430)+ABS(BB430))</f>
        <v>0</v>
      </c>
      <c r="BI430" s="104" t="n">
        <f aca="false">VLOOKUP(GasPosn!A430,'Pricing Summary'!$AB$12:$AD$250,3)</f>
        <v>30</v>
      </c>
      <c r="BJ430" s="102" t="n">
        <f aca="false">VLOOKUP(A430,Interest!$AF$8:$AK$367,6)</f>
        <v>0.644318098260801</v>
      </c>
      <c r="BL430" s="0" t="n">
        <f aca="false">H430/VLOOKUP(A430,NymexData!$J$12:$K$128,2)</f>
        <v>-1226.11710186047</v>
      </c>
      <c r="BM430" s="0" t="n">
        <f aca="false">I430/VLOOKUP(A430,NymexData!$J$12:$K$128,2)</f>
        <v>0</v>
      </c>
      <c r="BO430" s="0" t="n">
        <f aca="false">BO113</f>
        <v>0.644318098260801</v>
      </c>
      <c r="BP430" s="0" t="n">
        <f aca="false">G430*BO430</f>
        <v>3.47158590505815</v>
      </c>
      <c r="BQ430" s="0" t="n">
        <f aca="false">IF(AND(A430&gt;=$B$320,A430&lt;=$B$321),1,0)</f>
        <v>0</v>
      </c>
      <c r="BR430" s="0" t="n">
        <f aca="false">BO430*BQ430</f>
        <v>0</v>
      </c>
      <c r="BS430" s="0" t="n">
        <f aca="false">BP430*BQ430</f>
        <v>0</v>
      </c>
    </row>
    <row r="431" customFormat="false" ht="18" hidden="false" customHeight="false" outlineLevel="0" collapsed="false">
      <c r="A431" s="75" t="n">
        <f aca="false">A114</f>
        <v>40299</v>
      </c>
      <c r="B431" s="317" t="n">
        <f aca="false" t="array" ref="B431:B431">SUM(IF(MONTH(NymexData!$AO$12:$AO$250)&amp;YEAR(NymexData!$AO$12:$AO$250)=MONTH(A431)&amp;YEAR(A431),NymexData!$AP$12:$AP$250))</f>
        <v>4.301818217466</v>
      </c>
      <c r="C431" s="317" t="n">
        <f aca="false">BD431*BJ431*BI431</f>
        <v>0</v>
      </c>
      <c r="D431" s="319" t="n">
        <f aca="false">C431+B431</f>
        <v>4.301818217466</v>
      </c>
      <c r="E431" s="320" t="n">
        <f aca="false" t="array" ref="E431:E431">SUM(IF(MONTH(NymexData!$A$12:$A$250)&amp;YEAR(NymexData!$A$12:$A$250)=MONTH(A431)&amp;YEAR(A431),NymexData!$F$12:$F$250))</f>
        <v>5.44622374690557</v>
      </c>
      <c r="F431" s="320" t="n">
        <f aca="false">G431-E431</f>
        <v>-0.0469657856519818</v>
      </c>
      <c r="G431" s="321" t="n">
        <f aca="false" t="array" ref="G431:G431">IF(NymexData!$H$12="",GasPosn!E431,SUM(IF(MONTH(NymexData!$H$12:$H$250)&amp;YEAR(NymexData!$H$12:$H$250)=MONTH(A431)&amp;YEAR(A431),NymexData!$L$12:$L$250)))</f>
        <v>5.39925796125359</v>
      </c>
      <c r="H431" s="76" t="n">
        <f aca="false">B431*10000*F431</f>
        <v>-2020.38272315299</v>
      </c>
      <c r="I431" s="82" t="n">
        <f aca="false">(((G431-Q431)*P431+(G431-S431)*R431+(G431-U431)*T431+(G431-W431)*V431+(G431-Y431)*X431+(G431-AA431)*Z431+(G431-AC431)*AB431+(G431-AE431)*AD431+(G431-AG431)*AF431+(G431-AI431)*AH431+(G431-AK431)*AJ431+(G431-AM431)*AL431+(G431-AO431)*AN431+(G431-AQ431)*AP431+(G431-AS431)*AR431+(G431-AU431)*AT431+(G431-AW431)*AV431+(G431-AY431)*AX431+(G431-BA431)*AZ431+(G431-BC431)*BB431)*BJ431*BI431)*10000</f>
        <v>0</v>
      </c>
      <c r="J431" s="82" t="n">
        <f aca="false">H431+I431</f>
        <v>-2020.38272315299</v>
      </c>
      <c r="O431" s="95" t="n">
        <f aca="false">A431</f>
        <v>40299</v>
      </c>
      <c r="BD431" s="100" t="n">
        <f aca="false">(P431+R431+T431+V431+X431+Z431+AB431+AD431+AF431+AH431+AJ431+AL431+AN431+AP431+AR431+AT431+AV431+AX431+AZ431+BB431)</f>
        <v>0</v>
      </c>
      <c r="BE431" s="322" t="n">
        <f aca="false">IF(AND(BD431=0,BH431=0),0,(ABS(P431)*Q431+ABS(R431)*S431+ABS(T431)*U431+ABS(V431)*W431+ABS(X431)*Y431+ABS(Z431)*AA431+ABS(AB431)*AC431+ABS(AD431)*AE431+ABS(AF431)*AG431+ABS(AH431)*AI431+ABS(AJ431)*AK431+ABS(AL431)*AM431+ABS(AN431)*AO431+ABS(AP431)*AQ431+ABS(AR431)*AS431+ABS(AT431)*AU431+ABS(AV431)*AW431+ABS(AX431)*AY431+ABS(AZ431)*BA431+ABS(BB431)*BC431)/BH431)</f>
        <v>0</v>
      </c>
      <c r="BG431" s="103" t="n">
        <f aca="false">O431</f>
        <v>40299</v>
      </c>
      <c r="BH431" s="323" t="n">
        <f aca="false">(ABS(P431)+ABS(R431)+ABS(T431)+ABS(V431)+ABS(X431)+ABS(Z431)+ABS(AB431)+ABS(AD431)+ABS(AF431)+ABS(AH431)+ABS(AJ431)+ABS(AL431)+ABS(AN431)+ABS(AP431)+ABS(AR431)+ABS(AT431)+ABS(AV431)+ABS(AX431)+ABS(AZ431)+ABS(BB431))</f>
        <v>0</v>
      </c>
      <c r="BI431" s="104" t="n">
        <f aca="false">VLOOKUP(GasPosn!A431,'Pricing Summary'!$AB$12:$AD$250,3)</f>
        <v>31</v>
      </c>
      <c r="BJ431" s="102" t="n">
        <f aca="false">VLOOKUP(A431,Interest!$AF$8:$AK$367,6)</f>
        <v>0.6409402709243</v>
      </c>
      <c r="BL431" s="0" t="n">
        <f aca="false">H431/VLOOKUP(A431,NymexData!$J$12:$K$128,2)</f>
        <v>-1267.41208409713</v>
      </c>
      <c r="BM431" s="0" t="n">
        <f aca="false">I431/VLOOKUP(A431,NymexData!$J$12:$K$128,2)</f>
        <v>0</v>
      </c>
      <c r="BO431" s="0" t="n">
        <f aca="false">BO114</f>
        <v>0.6409402709243</v>
      </c>
      <c r="BP431" s="0" t="n">
        <f aca="false">G431*BO431</f>
        <v>3.46060186047606</v>
      </c>
      <c r="BQ431" s="0" t="n">
        <f aca="false">IF(AND(A431&gt;=$B$320,A431&lt;=$B$321),1,0)</f>
        <v>0</v>
      </c>
      <c r="BR431" s="0" t="n">
        <f aca="false">BO431*BQ431</f>
        <v>0</v>
      </c>
      <c r="BS431" s="0" t="n">
        <f aca="false">BP431*BQ431</f>
        <v>0</v>
      </c>
    </row>
    <row r="432" customFormat="false" ht="18" hidden="false" customHeight="false" outlineLevel="0" collapsed="false">
      <c r="A432" s="112" t="n">
        <f aca="false">A115</f>
        <v>40330</v>
      </c>
      <c r="B432" s="324" t="n">
        <f aca="false" t="array" ref="B432:B432">SUM(IF(MONTH(NymexData!$AO$12:$AO$250)&amp;YEAR(NymexData!$AO$12:$AO$250)=MONTH(A432)&amp;YEAR(A432),NymexData!$AP$12:$AP$250))</f>
        <v>4.137851888338</v>
      </c>
      <c r="C432" s="325" t="n">
        <f aca="false">BD432*BJ432*BI432</f>
        <v>0</v>
      </c>
      <c r="D432" s="326" t="n">
        <f aca="false">C432+B432</f>
        <v>4.137851888338</v>
      </c>
      <c r="E432" s="327" t="n">
        <f aca="false" t="array" ref="E432:E432">SUM(IF(MONTH(NymexData!$A$12:$A$250)&amp;YEAR(NymexData!$A$12:$A$250)=MONTH(A432)&amp;YEAR(A432),NymexData!$F$12:$F$250))</f>
        <v>5.50790625816974</v>
      </c>
      <c r="F432" s="327" t="n">
        <f aca="false">G432-E432</f>
        <v>-0.0472958572399698</v>
      </c>
      <c r="G432" s="328" t="n">
        <f aca="false" t="array" ref="G432:G432">IF(NymexData!$H$12="",GasPosn!E432,SUM(IF(MONTH(NymexData!$H$12:$H$250)&amp;YEAR(NymexData!$H$12:$H$250)=MONTH(A432)&amp;YEAR(A432),NymexData!$L$12:$L$250)))</f>
        <v>5.46061040092977</v>
      </c>
      <c r="H432" s="115" t="n">
        <f aca="false">B432*10000*F432</f>
        <v>-1957.03252190973</v>
      </c>
      <c r="I432" s="119" t="n">
        <f aca="false">(((G432-Q432)*P432+(G432-S432)*R432+(G432-U432)*T432+(G432-W432)*V432+(G432-Y432)*X432+(G432-AA432)*Z432+(G432-AC432)*AB432+(G432-AE432)*AD432+(G432-AG432)*AF432+(G432-AI432)*AH432+(G432-AK432)*AJ432+(G432-AM432)*AL432+(G432-AO432)*AN432+(G432-AQ432)*AP432+(G432-AS432)*AR432+(G432-AU432)*AT432+(G432-AW432)*AV432+(G432-AY432)*AX432+(G432-BA432)*AZ432+(G432-BC432)*BB432)*BJ432*BI432)*10000</f>
        <v>0</v>
      </c>
      <c r="J432" s="119" t="n">
        <f aca="false">H432+I432</f>
        <v>-1957.03252190973</v>
      </c>
      <c r="O432" s="95" t="n">
        <f aca="false">A432</f>
        <v>40330</v>
      </c>
      <c r="BD432" s="100" t="n">
        <f aca="false">(P432+R432+T432+V432+X432+Z432+AB432+AD432+AF432+AH432+AJ432+AL432+AN432+AP432+AR432+AT432+AV432+AX432+AZ432+BB432)</f>
        <v>0</v>
      </c>
      <c r="BE432" s="322" t="n">
        <f aca="false">IF(AND(BD432=0,BH432=0),0,(ABS(P432)*Q432+ABS(R432)*S432+ABS(T432)*U432+ABS(V432)*W432+ABS(X432)*Y432+ABS(Z432)*AA432+ABS(AB432)*AC432+ABS(AD432)*AE432+ABS(AF432)*AG432+ABS(AH432)*AI432+ABS(AJ432)*AK432+ABS(AL432)*AM432+ABS(AN432)*AO432+ABS(AP432)*AQ432+ABS(AR432)*AS432+ABS(AT432)*AU432+ABS(AV432)*AW432+ABS(AX432)*AY432+ABS(AZ432)*BA432+ABS(BB432)*BC432)/BH432)</f>
        <v>0</v>
      </c>
      <c r="BG432" s="103" t="n">
        <f aca="false">O432</f>
        <v>40330</v>
      </c>
      <c r="BH432" s="323" t="n">
        <f aca="false">(ABS(P432)+ABS(R432)+ABS(T432)+ABS(V432)+ABS(X432)+ABS(Z432)+ABS(AB432)+ABS(AD432)+ABS(AF432)+ABS(AH432)+ABS(AJ432)+ABS(AL432)+ABS(AN432)+ABS(AP432)+ABS(AR432)+ABS(AT432)+ABS(AV432)+ABS(AX432)+ABS(AZ432)+ABS(BB432))</f>
        <v>0</v>
      </c>
      <c r="BI432" s="104" t="n">
        <f aca="false">VLOOKUP(GasPosn!A432,'Pricing Summary'!$AB$12:$AD$250,3)</f>
        <v>30</v>
      </c>
      <c r="BJ432" s="102" t="n">
        <f aca="false">VLOOKUP(A432,Interest!$AF$8:$AK$367,6)</f>
        <v>0.637640585398444</v>
      </c>
      <c r="BL432" s="0" t="n">
        <f aca="false">H432/VLOOKUP(A432,NymexData!$J$12:$K$128,2)</f>
        <v>-1226.78641588507</v>
      </c>
      <c r="BM432" s="0" t="n">
        <f aca="false">I432/VLOOKUP(A432,NymexData!$J$12:$K$128,2)</f>
        <v>0</v>
      </c>
      <c r="BO432" s="0" t="n">
        <f aca="false">BO115</f>
        <v>0.637640585398444</v>
      </c>
      <c r="BP432" s="0" t="n">
        <f aca="false">G432*BO432</f>
        <v>3.48190681268169</v>
      </c>
      <c r="BQ432" s="0" t="n">
        <f aca="false">IF(AND(A432&gt;=$B$320,A432&lt;=$B$321),1,0)</f>
        <v>0</v>
      </c>
      <c r="BR432" s="0" t="n">
        <f aca="false">BO432*BQ432</f>
        <v>0</v>
      </c>
      <c r="BS432" s="0" t="n">
        <f aca="false">BP432*BQ432</f>
        <v>0</v>
      </c>
    </row>
    <row r="433" customFormat="false" ht="18" hidden="false" customHeight="false" outlineLevel="0" collapsed="false">
      <c r="A433" s="75" t="n">
        <f aca="false">A116</f>
        <v>40360</v>
      </c>
      <c r="B433" s="317" t="n">
        <f aca="false" t="array" ref="B433:B433">SUM(IF(MONTH(NymexData!$AO$12:$AO$250)&amp;YEAR(NymexData!$AO$12:$AO$250)=MONTH(A433)&amp;YEAR(A433),NymexData!$AP$12:$AP$250))</f>
        <v>4.250608877284</v>
      </c>
      <c r="C433" s="317" t="n">
        <f aca="false">BD433*BJ433*BI433</f>
        <v>0</v>
      </c>
      <c r="D433" s="319" t="n">
        <f aca="false">C433+B433</f>
        <v>4.250608877284</v>
      </c>
      <c r="E433" s="320" t="n">
        <f aca="false" t="array" ref="E433:E433">SUM(IF(MONTH(NymexData!$A$12:$A$250)&amp;YEAR(NymexData!$A$12:$A$250)=MONTH(A433)&amp;YEAR(A433),NymexData!$F$12:$F$250))</f>
        <v>5.58019870236386</v>
      </c>
      <c r="F433" s="320" t="n">
        <f aca="false">G433-E433</f>
        <v>-0.047626433589163</v>
      </c>
      <c r="G433" s="321" t="n">
        <f aca="false" t="array" ref="G433:G433">IF(NymexData!$H$12="",GasPosn!E433,SUM(IF(MONTH(NymexData!$H$12:$H$250)&amp;YEAR(NymexData!$H$12:$H$250)=MONTH(A433)&amp;YEAR(A433),NymexData!$L$12:$L$250)))</f>
        <v>5.5325722687747</v>
      </c>
      <c r="H433" s="76" t="n">
        <f aca="false">B433*10000*F433</f>
        <v>-2024.41341407473</v>
      </c>
      <c r="I433" s="82" t="n">
        <f aca="false">(((G433-Q433)*P433+(G433-S433)*R433+(G433-U433)*T433+(G433-W433)*V433+(G433-Y433)*X433+(G433-AA433)*Z433+(G433-AC433)*AB433+(G433-AE433)*AD433+(G433-AG433)*AF433+(G433-AI433)*AH433+(G433-AK433)*AJ433+(G433-AM433)*AL433+(G433-AO433)*AN433+(G433-AQ433)*AP433+(G433-AS433)*AR433+(G433-AU433)*AT433+(G433-AW433)*AV433+(G433-AY433)*AX433+(G433-BA433)*AZ433+(G433-BC433)*BB433)*BJ433*BI433)*10000</f>
        <v>0</v>
      </c>
      <c r="J433" s="82" t="n">
        <f aca="false">H433+I433</f>
        <v>-2024.41341407473</v>
      </c>
      <c r="O433" s="95" t="n">
        <f aca="false">A433</f>
        <v>40360</v>
      </c>
      <c r="BD433" s="100" t="n">
        <f aca="false">(P433+R433+T433+V433+X433+Z433+AB433+AD433+AF433+AH433+AJ433+AL433+AN433+AP433+AR433+AT433+AV433+AX433+AZ433+BB433)</f>
        <v>0</v>
      </c>
      <c r="BE433" s="322" t="n">
        <f aca="false">IF(AND(BD433=0,BH433=0),0,(ABS(P433)*Q433+ABS(R433)*S433+ABS(T433)*U433+ABS(V433)*W433+ABS(X433)*Y433+ABS(Z433)*AA433+ABS(AB433)*AC433+ABS(AD433)*AE433+ABS(AF433)*AG433+ABS(AH433)*AI433+ABS(AJ433)*AK433+ABS(AL433)*AM433+ABS(AN433)*AO433+ABS(AP433)*AQ433+ABS(AR433)*AS433+ABS(AT433)*AU433+ABS(AV433)*AW433+ABS(AX433)*AY433+ABS(AZ433)*BA433+ABS(BB433)*BC433)/BH433)</f>
        <v>0</v>
      </c>
      <c r="BG433" s="103" t="n">
        <f aca="false">O433</f>
        <v>40360</v>
      </c>
      <c r="BH433" s="323" t="n">
        <f aca="false">(ABS(P433)+ABS(R433)+ABS(T433)+ABS(V433)+ABS(X433)+ABS(Z433)+ABS(AB433)+ABS(AD433)+ABS(AF433)+ABS(AH433)+ABS(AJ433)+ABS(AL433)+ABS(AN433)+ABS(AP433)+ABS(AR433)+ABS(AT433)+ABS(AV433)+ABS(AX433)+ABS(AZ433)+ABS(BB433))</f>
        <v>0</v>
      </c>
      <c r="BI433" s="104" t="n">
        <f aca="false">VLOOKUP(GasPosn!A433,'Pricing Summary'!$AB$12:$AD$250,3)</f>
        <v>31</v>
      </c>
      <c r="BJ433" s="102" t="n">
        <f aca="false">VLOOKUP(A433,Interest!$AF$8:$AK$367,6)</f>
        <v>0.6342758006695</v>
      </c>
      <c r="BL433" s="0" t="n">
        <f aca="false">H433/VLOOKUP(A433,NymexData!$J$12:$K$128,2)</f>
        <v>-1268.12532860869</v>
      </c>
      <c r="BM433" s="0" t="n">
        <f aca="false">I433/VLOOKUP(A433,NymexData!$J$12:$K$128,2)</f>
        <v>0</v>
      </c>
      <c r="BO433" s="0" t="n">
        <f aca="false">BO116</f>
        <v>0.6342758006695</v>
      </c>
      <c r="BP433" s="0" t="n">
        <f aca="false">G433*BO433</f>
        <v>3.50917670553894</v>
      </c>
      <c r="BQ433" s="0" t="n">
        <f aca="false">IF(AND(A433&gt;=$B$320,A433&lt;=$B$321),1,0)</f>
        <v>0</v>
      </c>
      <c r="BR433" s="0" t="n">
        <f aca="false">BO433*BQ433</f>
        <v>0</v>
      </c>
      <c r="BS433" s="0" t="n">
        <f aca="false">BP433*BQ433</f>
        <v>0</v>
      </c>
    </row>
    <row r="434" customFormat="false" ht="18" hidden="false" customHeight="false" outlineLevel="0" collapsed="false">
      <c r="A434" s="112" t="n">
        <f aca="false">A117</f>
        <v>40391</v>
      </c>
      <c r="B434" s="324" t="n">
        <f aca="false" t="array" ref="B434:B434">SUM(IF(MONTH(NymexData!$AO$12:$AO$250)&amp;YEAR(NymexData!$AO$12:$AO$250)=MONTH(A434)&amp;YEAR(A434),NymexData!$AP$12:$AP$250))</f>
        <v>4.224627300306</v>
      </c>
      <c r="C434" s="325" t="n">
        <f aca="false">BD434*BJ434*BI434</f>
        <v>0</v>
      </c>
      <c r="D434" s="326" t="n">
        <f aca="false">C434+B434</f>
        <v>4.224627300306</v>
      </c>
      <c r="E434" s="327" t="n">
        <f aca="false" t="array" ref="E434:E434">SUM(IF(MONTH(NymexData!$A$12:$A$250)&amp;YEAR(NymexData!$A$12:$A$250)=MONTH(A434)&amp;YEAR(A434),NymexData!$F$12:$F$250))</f>
        <v>5.64221425252703</v>
      </c>
      <c r="F434" s="327" t="n">
        <f aca="false">G434-E434</f>
        <v>-0.0479841537110817</v>
      </c>
      <c r="G434" s="328" t="n">
        <f aca="false" t="array" ref="G434:G434">IF(NymexData!$H$12="",GasPosn!E434,SUM(IF(MONTH(NymexData!$H$12:$H$250)&amp;YEAR(NymexData!$H$12:$H$250)=MONTH(A434)&amp;YEAR(A434),NymexData!$L$12:$L$250)))</f>
        <v>5.59423009881595</v>
      </c>
      <c r="H434" s="115" t="n">
        <f aca="false">B434*10000*F434</f>
        <v>-2027.15165749915</v>
      </c>
      <c r="I434" s="119" t="n">
        <f aca="false">(((G434-Q434)*P434+(G434-S434)*R434+(G434-U434)*T434+(G434-W434)*V434+(G434-Y434)*X434+(G434-AA434)*Z434+(G434-AC434)*AB434+(G434-AE434)*AD434+(G434-AG434)*AF434+(G434-AI434)*AH434+(G434-AK434)*AJ434+(G434-AM434)*AL434+(G434-AO434)*AN434+(G434-AQ434)*AP434+(G434-AS434)*AR434+(G434-AU434)*AT434+(G434-AW434)*AV434+(G434-AY434)*AX434+(G434-BA434)*AZ434+(G434-BC434)*BB434)*BJ434*BI434)*10000</f>
        <v>0</v>
      </c>
      <c r="J434" s="119" t="n">
        <f aca="false">H434+I434</f>
        <v>-2027.15165749915</v>
      </c>
      <c r="O434" s="95" t="n">
        <f aca="false">A434</f>
        <v>40391</v>
      </c>
      <c r="BD434" s="100" t="n">
        <f aca="false">(P434+R434+T434+V434+X434+Z434+AB434+AD434+AF434+AH434+AJ434+AL434+AN434+AP434+AR434+AT434+AV434+AX434+AZ434+BB434)</f>
        <v>0</v>
      </c>
      <c r="BE434" s="322" t="n">
        <f aca="false">IF(AND(BD434=0,BH434=0),0,(ABS(P434)*Q434+ABS(R434)*S434+ABS(T434)*U434+ABS(V434)*W434+ABS(X434)*Y434+ABS(Z434)*AA434+ABS(AB434)*AC434+ABS(AD434)*AE434+ABS(AF434)*AG434+ABS(AH434)*AI434+ABS(AJ434)*AK434+ABS(AL434)*AM434+ABS(AN434)*AO434+ABS(AP434)*AQ434+ABS(AR434)*AS434+ABS(AT434)*AU434+ABS(AV434)*AW434+ABS(AX434)*AY434+ABS(AZ434)*BA434+ABS(BB434)*BC434)/BH434)</f>
        <v>0</v>
      </c>
      <c r="BG434" s="103" t="n">
        <f aca="false">O434</f>
        <v>40391</v>
      </c>
      <c r="BH434" s="323" t="n">
        <f aca="false">(ABS(P434)+ABS(R434)+ABS(T434)+ABS(V434)+ABS(X434)+ABS(Z434)+ABS(AB434)+ABS(AD434)+ABS(AF434)+ABS(AH434)+ABS(AJ434)+ABS(AL434)+ABS(AN434)+ABS(AP434)+ABS(AR434)+ABS(AT434)+ABS(AV434)+ABS(AX434)+ABS(AZ434)+ABS(BB434))</f>
        <v>0</v>
      </c>
      <c r="BI434" s="104" t="n">
        <f aca="false">VLOOKUP(GasPosn!A434,'Pricing Summary'!$AB$12:$AD$250,3)</f>
        <v>31</v>
      </c>
      <c r="BJ434" s="102" t="n">
        <f aca="false">VLOOKUP(A434,Interest!$AF$8:$AK$367,6)</f>
        <v>0.630898798157219</v>
      </c>
      <c r="BL434" s="0" t="n">
        <f aca="false">H434/VLOOKUP(A434,NymexData!$J$12:$K$128,2)</f>
        <v>-1268.8961349704</v>
      </c>
      <c r="BM434" s="0" t="n">
        <f aca="false">I434/VLOOKUP(A434,NymexData!$J$12:$K$128,2)</f>
        <v>0</v>
      </c>
      <c r="BO434" s="0" t="n">
        <f aca="false">BO117</f>
        <v>0.630898798157219</v>
      </c>
      <c r="BP434" s="0" t="n">
        <f aca="false">G434*BO434</f>
        <v>3.52939304595792</v>
      </c>
      <c r="BQ434" s="0" t="n">
        <f aca="false">IF(AND(A434&gt;=$B$320,A434&lt;=$B$321),1,0)</f>
        <v>0</v>
      </c>
      <c r="BR434" s="0" t="n">
        <f aca="false">BO434*BQ434</f>
        <v>0</v>
      </c>
      <c r="BS434" s="0" t="n">
        <f aca="false">BP434*BQ434</f>
        <v>0</v>
      </c>
    </row>
    <row r="435" customFormat="false" ht="18" hidden="false" customHeight="false" outlineLevel="0" collapsed="false">
      <c r="A435" s="75" t="n">
        <f aca="false">A118</f>
        <v>40422</v>
      </c>
      <c r="B435" s="317" t="n">
        <f aca="false" t="array" ref="B435:B435">SUM(IF(MONTH(NymexData!$AO$12:$AO$250)&amp;YEAR(NymexData!$AO$12:$AO$250)=MONTH(A435)&amp;YEAR(A435),NymexData!$AP$12:$AP$250))</f>
        <v>4.063235300236</v>
      </c>
      <c r="C435" s="317" t="n">
        <f aca="false">BD435*BJ435*BI435</f>
        <v>0</v>
      </c>
      <c r="D435" s="319" t="n">
        <f aca="false">C435+B435</f>
        <v>4.063235300236</v>
      </c>
      <c r="E435" s="320" t="n">
        <f aca="false" t="array" ref="E435:E435">SUM(IF(MONTH(NymexData!$A$12:$A$250)&amp;YEAR(NymexData!$A$12:$A$250)=MONTH(A435)&amp;YEAR(A435),NymexData!$F$12:$F$250))</f>
        <v>5.63772396934459</v>
      </c>
      <c r="F435" s="320" t="n">
        <f aca="false">G435-E435</f>
        <v>-0.0483574902320347</v>
      </c>
      <c r="G435" s="321" t="n">
        <f aca="false" t="array" ref="G435:G435">IF(NymexData!$H$12="",GasPosn!E435,SUM(IF(MONTH(NymexData!$H$12:$H$250)&amp;YEAR(NymexData!$H$12:$H$250)=MONTH(A435)&amp;YEAR(A435),NymexData!$L$12:$L$250)))</f>
        <v>5.58936647911256</v>
      </c>
      <c r="H435" s="76" t="n">
        <f aca="false">B435*10000*F435</f>
        <v>-1964.87861341621</v>
      </c>
      <c r="I435" s="82" t="n">
        <f aca="false">(((G435-Q435)*P435+(G435-S435)*R435+(G435-U435)*T435+(G435-W435)*V435+(G435-Y435)*X435+(G435-AA435)*Z435+(G435-AC435)*AB435+(G435-AE435)*AD435+(G435-AG435)*AF435+(G435-AI435)*AH435+(G435-AK435)*AJ435+(G435-AM435)*AL435+(G435-AO435)*AN435+(G435-AQ435)*AP435+(G435-AS435)*AR435+(G435-AU435)*AT435+(G435-AW435)*AV435+(G435-AY435)*AX435+(G435-BA435)*AZ435+(G435-BC435)*BB435)*BJ435*BI435)*10000</f>
        <v>0</v>
      </c>
      <c r="J435" s="82" t="n">
        <f aca="false">H435+I435</f>
        <v>-1964.87861341621</v>
      </c>
      <c r="O435" s="95" t="n">
        <f aca="false">A435</f>
        <v>40422</v>
      </c>
      <c r="BD435" s="100" t="n">
        <f aca="false">(P435+R435+T435+V435+X435+Z435+AB435+AD435+AF435+AH435+AJ435+AL435+AN435+AP435+AR435+AT435+AV435+AX435+AZ435+BB435)</f>
        <v>0</v>
      </c>
      <c r="BE435" s="322" t="n">
        <f aca="false">IF(AND(BD435=0,BH435=0),0,(ABS(P435)*Q435+ABS(R435)*S435+ABS(T435)*U435+ABS(V435)*W435+ABS(X435)*Y435+ABS(Z435)*AA435+ABS(AB435)*AC435+ABS(AD435)*AE435+ABS(AF435)*AG435+ABS(AH435)*AI435+ABS(AJ435)*AK435+ABS(AL435)*AM435+ABS(AN435)*AO435+ABS(AP435)*AQ435+ABS(AR435)*AS435+ABS(AT435)*AU435+ABS(AV435)*AW435+ABS(AX435)*AY435+ABS(AZ435)*BA435+ABS(BB435)*BC435)/BH435)</f>
        <v>0</v>
      </c>
      <c r="BG435" s="103" t="n">
        <f aca="false">O435</f>
        <v>40422</v>
      </c>
      <c r="BH435" s="323" t="n">
        <f aca="false">(ABS(P435)+ABS(R435)+ABS(T435)+ABS(V435)+ABS(X435)+ABS(Z435)+ABS(AB435)+ABS(AD435)+ABS(AF435)+ABS(AH435)+ABS(AJ435)+ABS(AL435)+ABS(AN435)+ABS(AP435)+ABS(AR435)+ABS(AT435)+ABS(AV435)+ABS(AX435)+ABS(AZ435)+ABS(BB435))</f>
        <v>0</v>
      </c>
      <c r="BI435" s="104" t="n">
        <f aca="false">VLOOKUP(GasPosn!A435,'Pricing Summary'!$AB$12:$AD$250,3)</f>
        <v>30</v>
      </c>
      <c r="BJ435" s="102" t="n">
        <f aca="false">VLOOKUP(A435,Interest!$AF$8:$AK$367,6)</f>
        <v>0.627618036030869</v>
      </c>
      <c r="BL435" s="0" t="n">
        <f aca="false">H435/VLOOKUP(A435,NymexData!$J$12:$K$128,2)</f>
        <v>-1228.9873586974</v>
      </c>
      <c r="BM435" s="0" t="n">
        <f aca="false">I435/VLOOKUP(A435,NymexData!$J$12:$K$128,2)</f>
        <v>0</v>
      </c>
      <c r="BO435" s="0" t="n">
        <f aca="false">BO118</f>
        <v>0.627618036030869</v>
      </c>
      <c r="BP435" s="0" t="n">
        <f aca="false">G435*BO435</f>
        <v>3.5079872122774</v>
      </c>
      <c r="BQ435" s="0" t="n">
        <f aca="false">IF(AND(A435&gt;=$B$320,A435&lt;=$B$321),1,0)</f>
        <v>0</v>
      </c>
      <c r="BR435" s="0" t="n">
        <f aca="false">BO435*BQ435</f>
        <v>0</v>
      </c>
      <c r="BS435" s="0" t="n">
        <f aca="false">BP435*BQ435</f>
        <v>0</v>
      </c>
    </row>
    <row r="436" customFormat="false" ht="18" hidden="false" customHeight="false" outlineLevel="0" collapsed="false">
      <c r="A436" s="112" t="n">
        <f aca="false">A119</f>
        <v>40452</v>
      </c>
      <c r="B436" s="324" t="n">
        <f aca="false" t="array" ref="B436:B436">SUM(IF(MONTH(NymexData!$AO$12:$AO$250)&amp;YEAR(NymexData!$AO$12:$AO$250)=MONTH(A436)&amp;YEAR(A436),NymexData!$AP$12:$AP$250))</f>
        <v>4.173593378948</v>
      </c>
      <c r="C436" s="325" t="n">
        <f aca="false">BD436*BJ436*BI436</f>
        <v>0</v>
      </c>
      <c r="D436" s="326" t="n">
        <f aca="false">C436+B436</f>
        <v>4.173593378948</v>
      </c>
      <c r="E436" s="327" t="n">
        <f aca="false" t="array" ref="E436:E436">SUM(IF(MONTH(NymexData!$A$12:$A$250)&amp;YEAR(NymexData!$A$12:$A$250)=MONTH(A436)&amp;YEAR(A436),NymexData!$F$12:$F$250))</f>
        <v>5.64224129011682</v>
      </c>
      <c r="F436" s="327" t="n">
        <f aca="false">G436-E436</f>
        <v>-0.04872495974986</v>
      </c>
      <c r="G436" s="328" t="n">
        <f aca="false" t="array" ref="G436:G436">IF(NymexData!$H$12="",GasPosn!E436,SUM(IF(MONTH(NymexData!$H$12:$H$250)&amp;YEAR(NymexData!$H$12:$H$250)=MONTH(A436)&amp;YEAR(A436),NymexData!$L$12:$L$250)))</f>
        <v>5.59351633036696</v>
      </c>
      <c r="H436" s="115" t="n">
        <f aca="false">B436*10000*F436</f>
        <v>-2033.58169401524</v>
      </c>
      <c r="I436" s="119" t="n">
        <f aca="false">(((G436-Q436)*P436+(G436-S436)*R436+(G436-U436)*T436+(G436-W436)*V436+(G436-Y436)*X436+(G436-AA436)*Z436+(G436-AC436)*AB436+(G436-AE436)*AD436+(G436-AG436)*AF436+(G436-AI436)*AH436+(G436-AK436)*AJ436+(G436-AM436)*AL436+(G436-AO436)*AN436+(G436-AQ436)*AP436+(G436-AS436)*AR436+(G436-AU436)*AT436+(G436-AW436)*AV436+(G436-AY436)*AX436+(G436-BA436)*AZ436+(G436-BC436)*BB436)*BJ436*BI436)*10000</f>
        <v>0</v>
      </c>
      <c r="J436" s="119" t="n">
        <f aca="false">H436+I436</f>
        <v>-2033.58169401524</v>
      </c>
      <c r="O436" s="95" t="n">
        <f aca="false">A436</f>
        <v>40452</v>
      </c>
      <c r="BD436" s="100" t="n">
        <f aca="false">(P436+R436+T436+V436+X436+Z436+AB436+AD436+AF436+AH436+AJ436+AL436+AN436+AP436+AR436+AT436+AV436+AX436+AZ436+BB436)</f>
        <v>0</v>
      </c>
      <c r="BE436" s="322" t="n">
        <f aca="false">IF(AND(BD436=0,BH436=0),0,(ABS(P436)*Q436+ABS(R436)*S436+ABS(T436)*U436+ABS(V436)*W436+ABS(X436)*Y436+ABS(Z436)*AA436+ABS(AB436)*AC436+ABS(AD436)*AE436+ABS(AF436)*AG436+ABS(AH436)*AI436+ABS(AJ436)*AK436+ABS(AL436)*AM436+ABS(AN436)*AO436+ABS(AP436)*AQ436+ABS(AR436)*AS436+ABS(AT436)*AU436+ABS(AV436)*AW436+ABS(AX436)*AY436+ABS(AZ436)*BA436+ABS(BB436)*BC436)/BH436)</f>
        <v>0</v>
      </c>
      <c r="BG436" s="103" t="n">
        <f aca="false">O436</f>
        <v>40452</v>
      </c>
      <c r="BH436" s="323" t="n">
        <f aca="false">(ABS(P436)+ABS(R436)+ABS(T436)+ABS(V436)+ABS(X436)+ABS(Z436)+ABS(AB436)+ABS(AD436)+ABS(AF436)+ABS(AH436)+ABS(AJ436)+ABS(AL436)+ABS(AN436)+ABS(AP436)+ABS(AR436)+ABS(AT436)+ABS(AV436)+ABS(AX436)+ABS(AZ436)+ABS(BB436))</f>
        <v>0</v>
      </c>
      <c r="BI436" s="104" t="n">
        <f aca="false">VLOOKUP(GasPosn!A436,'Pricing Summary'!$AB$12:$AD$250,3)</f>
        <v>31</v>
      </c>
      <c r="BJ436" s="102" t="n">
        <f aca="false">VLOOKUP(A436,Interest!$AF$8:$AK$367,6)</f>
        <v>0.624273541768362</v>
      </c>
      <c r="BL436" s="0" t="n">
        <f aca="false">H436/VLOOKUP(A436,NymexData!$J$12:$K$128,2)</f>
        <v>-1271.01591793891</v>
      </c>
      <c r="BM436" s="0" t="n">
        <f aca="false">I436/VLOOKUP(A436,NymexData!$J$12:$K$128,2)</f>
        <v>0</v>
      </c>
      <c r="BO436" s="0" t="n">
        <f aca="false">BO119</f>
        <v>0.624273541768362</v>
      </c>
      <c r="BP436" s="0" t="n">
        <f aca="false">G436*BO436</f>
        <v>3.49188425049735</v>
      </c>
      <c r="BQ436" s="0" t="n">
        <f aca="false">IF(AND(A436&gt;=$B$320,A436&lt;=$B$321),1,0)</f>
        <v>0</v>
      </c>
      <c r="BR436" s="0" t="n">
        <f aca="false">BO436*BQ436</f>
        <v>0</v>
      </c>
      <c r="BS436" s="0" t="n">
        <f aca="false">BP436*BQ436</f>
        <v>0</v>
      </c>
    </row>
    <row r="437" customFormat="false" ht="18" hidden="false" customHeight="false" outlineLevel="0" collapsed="false">
      <c r="A437" s="75" t="n">
        <f aca="false">A120</f>
        <v>40483</v>
      </c>
      <c r="B437" s="317" t="n">
        <f aca="false" t="array" ref="B437:B437">SUM(IF(MONTH(NymexData!$AO$12:$AO$250)&amp;YEAR(NymexData!$AO$12:$AO$250)=MONTH(A437)&amp;YEAR(A437),NymexData!$AP$12:$AP$250))</f>
        <v>4.01391015802</v>
      </c>
      <c r="C437" s="317" t="n">
        <f aca="false">BD437*BJ437*BI437</f>
        <v>0</v>
      </c>
      <c r="D437" s="319" t="n">
        <f aca="false">C437+B437</f>
        <v>4.01391015802</v>
      </c>
      <c r="E437" s="320" t="n">
        <f aca="false" t="array" ref="E437:E437">SUM(IF(MONTH(NymexData!$A$12:$A$250)&amp;YEAR(NymexData!$A$12:$A$250)=MONTH(A437)&amp;YEAR(A437),NymexData!$F$12:$F$250))</f>
        <v>5.91715184785677</v>
      </c>
      <c r="F437" s="320" t="n">
        <f aca="false">G437-E437</f>
        <v>-0.0476203534101209</v>
      </c>
      <c r="G437" s="321" t="n">
        <f aca="false" t="array" ref="G437:G437">IF(NymexData!$H$12="",GasPosn!E437,SUM(IF(MONTH(NymexData!$H$12:$H$250)&amp;YEAR(NymexData!$H$12:$H$250)=MONTH(A437)&amp;YEAR(A437),NymexData!$L$12:$L$250)))</f>
        <v>5.86953149444665</v>
      </c>
      <c r="H437" s="76" t="n">
        <f aca="false">B437*10000*F437</f>
        <v>-1911.43820281387</v>
      </c>
      <c r="I437" s="82" t="n">
        <f aca="false">(((G437-Q437)*P437+(G437-S437)*R437+(G437-U437)*T437+(G437-W437)*V437+(G437-Y437)*X437+(G437-AA437)*Z437+(G437-AC437)*AB437+(G437-AE437)*AD437+(G437-AG437)*AF437+(G437-AI437)*AH437+(G437-AK437)*AJ437+(G437-AM437)*AL437+(G437-AO437)*AN437+(G437-AQ437)*AP437+(G437-AS437)*AR437+(G437-AU437)*AT437+(G437-AW437)*AV437+(G437-AY437)*AX437+(G437-BA437)*AZ437+(G437-BC437)*BB437)*BJ437*BI437)*10000</f>
        <v>0</v>
      </c>
      <c r="J437" s="82" t="n">
        <f aca="false">H437+I437</f>
        <v>-1911.43820281387</v>
      </c>
      <c r="O437" s="95" t="n">
        <f aca="false">A437</f>
        <v>40483</v>
      </c>
      <c r="BD437" s="100" t="n">
        <f aca="false">(P437+R437+T437+V437+X437+Z437+AB437+AD437+AF437+AH437+AJ437+AL437+AN437+AP437+AR437+AT437+AV437+AX437+AZ437+BB437)</f>
        <v>0</v>
      </c>
      <c r="BE437" s="322" t="n">
        <f aca="false">IF(AND(BD437=0,BH437=0),0,(ABS(P437)*Q437+ABS(R437)*S437+ABS(T437)*U437+ABS(V437)*W437+ABS(X437)*Y437+ABS(Z437)*AA437+ABS(AB437)*AC437+ABS(AD437)*AE437+ABS(AF437)*AG437+ABS(AH437)*AI437+ABS(AJ437)*AK437+ABS(AL437)*AM437+ABS(AN437)*AO437+ABS(AP437)*AQ437+ABS(AR437)*AS437+ABS(AT437)*AU437+ABS(AV437)*AW437+ABS(AX437)*AY437+ABS(AZ437)*BA437+ABS(BB437)*BC437)/BH437)</f>
        <v>0</v>
      </c>
      <c r="BG437" s="103" t="n">
        <f aca="false">O437</f>
        <v>40483</v>
      </c>
      <c r="BH437" s="323" t="n">
        <f aca="false">(ABS(P437)+ABS(R437)+ABS(T437)+ABS(V437)+ABS(X437)+ABS(Z437)+ABS(AB437)+ABS(AD437)+ABS(AF437)+ABS(AH437)+ABS(AJ437)+ABS(AL437)+ABS(AN437)+ABS(AP437)+ABS(AR437)+ABS(AT437)+ABS(AV437)+ABS(AX437)+ABS(AZ437)+ABS(BB437))</f>
        <v>0</v>
      </c>
      <c r="BI437" s="104" t="n">
        <f aca="false">VLOOKUP(GasPosn!A437,'Pricing Summary'!$AB$12:$AD$250,3)</f>
        <v>30</v>
      </c>
      <c r="BJ437" s="102" t="n">
        <f aca="false">VLOOKUP(A437,Interest!$AF$8:$AK$367,6)</f>
        <v>0.62100573594076</v>
      </c>
      <c r="BL437" s="0" t="n">
        <f aca="false">H437/VLOOKUP(A437,NymexData!$J$12:$K$128,2)</f>
        <v>-1193.74519150764</v>
      </c>
      <c r="BM437" s="0" t="n">
        <f aca="false">I437/VLOOKUP(A437,NymexData!$J$12:$K$128,2)</f>
        <v>0</v>
      </c>
      <c r="BO437" s="0" t="n">
        <f aca="false">BO120</f>
        <v>0.62100573594076</v>
      </c>
      <c r="BP437" s="0" t="n">
        <f aca="false">G437*BO437</f>
        <v>3.64501272533631</v>
      </c>
      <c r="BQ437" s="0" t="n">
        <f aca="false">IF(AND(A437&gt;=$B$320,A437&lt;=$B$321),1,0)</f>
        <v>0</v>
      </c>
      <c r="BR437" s="0" t="n">
        <f aca="false">BO437*BQ437</f>
        <v>0</v>
      </c>
      <c r="BS437" s="0" t="n">
        <f aca="false">BP437*BQ437</f>
        <v>0</v>
      </c>
    </row>
    <row r="438" customFormat="false" ht="18" hidden="false" customHeight="false" outlineLevel="0" collapsed="false">
      <c r="A438" s="112" t="n">
        <f aca="false">A121</f>
        <v>40513</v>
      </c>
      <c r="B438" s="324" t="n">
        <f aca="false" t="array" ref="B438:B438">SUM(IF(MONTH(NymexData!$AO$12:$AO$250)&amp;YEAR(NymexData!$AO$12:$AO$250)=MONTH(A438)&amp;YEAR(A438),NymexData!$AP$12:$AP$250))</f>
        <v>4.122689201932</v>
      </c>
      <c r="C438" s="325" t="n">
        <f aca="false">BD438*BJ438*BI438</f>
        <v>0</v>
      </c>
      <c r="D438" s="326" t="n">
        <f aca="false">C438+B438</f>
        <v>4.122689201932</v>
      </c>
      <c r="E438" s="327" t="n">
        <f aca="false" t="array" ref="E438:E438">SUM(IF(MONTH(NymexData!$A$12:$A$250)&amp;YEAR(NymexData!$A$12:$A$250)=MONTH(A438)&amp;YEAR(A438),NymexData!$F$12:$F$250))</f>
        <v>6.15293160224266</v>
      </c>
      <c r="F438" s="327" t="n">
        <f aca="false">G438-E438</f>
        <v>-0.0480534346558219</v>
      </c>
      <c r="G438" s="328" t="n">
        <f aca="false" t="array" ref="G438:G438">IF(NymexData!$H$12="",GasPosn!E438,SUM(IF(MONTH(NymexData!$H$12:$H$250)&amp;YEAR(NymexData!$H$12:$H$250)=MONTH(A438)&amp;YEAR(A438),NymexData!$L$12:$L$250)))</f>
        <v>6.10487816758684</v>
      </c>
      <c r="H438" s="115" t="n">
        <f aca="false">B438*10000*F438</f>
        <v>-1981.09376171302</v>
      </c>
      <c r="I438" s="119" t="n">
        <f aca="false">(((G438-Q438)*P438+(G438-S438)*R438+(G438-U438)*T438+(G438-W438)*V438+(G438-Y438)*X438+(G438-AA438)*Z438+(G438-AC438)*AB438+(G438-AE438)*AD438+(G438-AG438)*AF438+(G438-AI438)*AH438+(G438-AK438)*AJ438+(G438-AM438)*AL438+(G438-AO438)*AN438+(G438-AQ438)*AP438+(G438-AS438)*AR438+(G438-AU438)*AT438+(G438-AW438)*AV438+(G438-AY438)*AX438+(G438-BA438)*AZ438+(G438-BC438)*BB438)*BJ438*BI438)*10000</f>
        <v>0</v>
      </c>
      <c r="J438" s="119" t="n">
        <f aca="false">H438+I438</f>
        <v>-1981.09376171302</v>
      </c>
      <c r="O438" s="95" t="n">
        <f aca="false">A438</f>
        <v>40513</v>
      </c>
      <c r="BD438" s="100" t="n">
        <f aca="false">(P438+R438+T438+V438+X438+Z438+AB438+AD438+AF438+AH438+AJ438+AL438+AN438+AP438+AR438+AT438+AV438+AX438+AZ438+BB438)</f>
        <v>0</v>
      </c>
      <c r="BE438" s="322" t="n">
        <f aca="false">IF(AND(BD438=0,BH438=0),0,(ABS(P438)*Q438+ABS(R438)*S438+ABS(T438)*U438+ABS(V438)*W438+ABS(X438)*Y438+ABS(Z438)*AA438+ABS(AB438)*AC438+ABS(AD438)*AE438+ABS(AF438)*AG438+ABS(AH438)*AI438+ABS(AJ438)*AK438+ABS(AL438)*AM438+ABS(AN438)*AO438+ABS(AP438)*AQ438+ABS(AR438)*AS438+ABS(AT438)*AU438+ABS(AV438)*AW438+ABS(AX438)*AY438+ABS(AZ438)*BA438+ABS(BB438)*BC438)/BH438)</f>
        <v>0</v>
      </c>
      <c r="BG438" s="103" t="n">
        <f aca="false">O438</f>
        <v>40513</v>
      </c>
      <c r="BH438" s="323" t="n">
        <f aca="false">(ABS(P438)+ABS(R438)+ABS(T438)+ABS(V438)+ABS(X438)+ABS(Z438)+ABS(AB438)+ABS(AD438)+ABS(AF438)+ABS(AH438)+ABS(AJ438)+ABS(AL438)+ABS(AN438)+ABS(AP438)+ABS(AR438)+ABS(AT438)+ABS(AV438)+ABS(AX438)+ABS(AZ438)+ABS(BB438))</f>
        <v>0</v>
      </c>
      <c r="BI438" s="104" t="n">
        <f aca="false">VLOOKUP(GasPosn!A438,'Pricing Summary'!$AB$12:$AD$250,3)</f>
        <v>31</v>
      </c>
      <c r="BJ438" s="102" t="n">
        <f aca="false">VLOOKUP(A438,Interest!$AF$8:$AK$367,6)</f>
        <v>0.617675096775954</v>
      </c>
      <c r="BL438" s="0" t="n">
        <f aca="false">H438/VLOOKUP(A438,NymexData!$J$12:$K$128,2)</f>
        <v>-1236.3019392189</v>
      </c>
      <c r="BM438" s="0" t="n">
        <f aca="false">I438/VLOOKUP(A438,NymexData!$J$12:$K$128,2)</f>
        <v>0</v>
      </c>
      <c r="BO438" s="0" t="n">
        <f aca="false">BO121</f>
        <v>0.617675096775954</v>
      </c>
      <c r="BP438" s="0" t="n">
        <f aca="false">G438*BO438</f>
        <v>3.77083121296961</v>
      </c>
      <c r="BQ438" s="0" t="n">
        <f aca="false">IF(AND(A438&gt;=$B$320,A438&lt;=$B$321),1,0)</f>
        <v>0</v>
      </c>
      <c r="BR438" s="0" t="n">
        <f aca="false">BO438*BQ438</f>
        <v>0</v>
      </c>
      <c r="BS438" s="0" t="n">
        <f aca="false">BP438*BQ438</f>
        <v>0</v>
      </c>
    </row>
    <row r="439" customFormat="false" ht="18" hidden="false" customHeight="false" outlineLevel="0" collapsed="false">
      <c r="A439" s="75" t="n">
        <f aca="false">A122</f>
        <v>40544</v>
      </c>
      <c r="B439" s="317" t="n">
        <f aca="false" t="array" ref="B439:B439">SUM(IF(MONTH(NymexData!$AO$12:$AO$250)&amp;YEAR(NymexData!$AO$12:$AO$250)=MONTH(A439)&amp;YEAR(A439),NymexData!$AP$12:$AP$250))</f>
        <v>0</v>
      </c>
      <c r="C439" s="317" t="n">
        <f aca="false">BD439*BJ439*BI439</f>
        <v>0</v>
      </c>
      <c r="D439" s="319" t="n">
        <f aca="false">C439+B439</f>
        <v>0</v>
      </c>
      <c r="E439" s="320" t="n">
        <f aca="false" t="array" ref="E439:E439">SUM(IF(MONTH(NymexData!$A$12:$A$250)&amp;YEAR(NymexData!$A$12:$A$250)=MONTH(A439)&amp;YEAR(A439),NymexData!$F$12:$F$250))</f>
        <v>6.26468117013668</v>
      </c>
      <c r="F439" s="320" t="n">
        <f aca="false">G439-E439</f>
        <v>-0.0409090784989958</v>
      </c>
      <c r="G439" s="321" t="n">
        <f aca="false" t="array" ref="G439:G439">IF(NymexData!$H$12="",GasPosn!E439,SUM(IF(MONTH(NymexData!$H$12:$H$250)&amp;YEAR(NymexData!$H$12:$H$250)=MONTH(A439)&amp;YEAR(A439),NymexData!$L$12:$L$250)))</f>
        <v>6.22377209163768</v>
      </c>
      <c r="H439" s="76" t="n">
        <f aca="false">B439*10000*F439</f>
        <v>-0</v>
      </c>
      <c r="I439" s="82" t="n">
        <f aca="false">(((G439-Q439)*P439+(G439-S439)*R439+(G439-U439)*T439+(G439-W439)*V439+(G439-Y439)*X439+(G439-AA439)*Z439+(G439-AC439)*AB439+(G439-AE439)*AD439+(G439-AG439)*AF439+(G439-AI439)*AH439+(G439-AK439)*AJ439+(G439-AM439)*AL439+(G439-AO439)*AN439+(G439-AQ439)*AP439+(G439-AS439)*AR439+(G439-AU439)*AT439+(G439-AW439)*AV439+(G439-AY439)*AX439+(G439-BA439)*AZ439+(G439-BC439)*BB439)*BJ439*BI439)*10000</f>
        <v>0</v>
      </c>
      <c r="J439" s="82" t="n">
        <f aca="false">H439+I439</f>
        <v>0</v>
      </c>
      <c r="O439" s="95" t="n">
        <f aca="false">A439</f>
        <v>40544</v>
      </c>
      <c r="BD439" s="100" t="n">
        <f aca="false">(P439+R439+T439+V439+X439+Z439+AB439+AD439+AF439+AH439+AJ439+AL439+AN439+AP439+AR439+AT439+AV439+AX439+AZ439+BB439)</f>
        <v>0</v>
      </c>
      <c r="BE439" s="322" t="n">
        <f aca="false">IF(AND(BD439=0,BH439=0),0,(ABS(P439)*Q439+ABS(R439)*S439+ABS(T439)*U439+ABS(V439)*W439+ABS(X439)*Y439+ABS(Z439)*AA439+ABS(AB439)*AC439+ABS(AD439)*AE439+ABS(AF439)*AG439+ABS(AH439)*AI439+ABS(AJ439)*AK439+ABS(AL439)*AM439+ABS(AN439)*AO439+ABS(AP439)*AQ439+ABS(AR439)*AS439+ABS(AT439)*AU439+ABS(AV439)*AW439+ABS(AX439)*AY439+ABS(AZ439)*BA439+ABS(BB439)*BC439)/BH439)</f>
        <v>0</v>
      </c>
      <c r="BG439" s="103" t="n">
        <f aca="false">O439</f>
        <v>40544</v>
      </c>
      <c r="BH439" s="323" t="n">
        <f aca="false">(ABS(P439)+ABS(R439)+ABS(T439)+ABS(V439)+ABS(X439)+ABS(Z439)+ABS(AB439)+ABS(AD439)+ABS(AF439)+ABS(AH439)+ABS(AJ439)+ABS(AL439)+ABS(AN439)+ABS(AP439)+ABS(AR439)+ABS(AT439)+ABS(AV439)+ABS(AX439)+ABS(AZ439)+ABS(BB439))</f>
        <v>0</v>
      </c>
      <c r="BI439" s="104" t="n">
        <f aca="false">VLOOKUP(GasPosn!A439,'Pricing Summary'!$AB$12:$AD$250,3)</f>
        <v>31</v>
      </c>
      <c r="BJ439" s="102" t="n">
        <f aca="false">VLOOKUP(A439,Interest!$AF$8:$AK$367,6)</f>
        <v>0.614332266576554</v>
      </c>
      <c r="BL439" s="0" t="n">
        <f aca="false">H439/VLOOKUP(A439,NymexData!$J$12:$K$128,2)</f>
        <v>-0</v>
      </c>
      <c r="BM439" s="0" t="n">
        <f aca="false">I439/VLOOKUP(A439,NymexData!$J$12:$K$128,2)</f>
        <v>0</v>
      </c>
      <c r="BO439" s="0" t="n">
        <f aca="false">BO122</f>
        <v>0.614332266576554</v>
      </c>
      <c r="BP439" s="0" t="n">
        <f aca="false">G439*BO439</f>
        <v>3.82346401571168</v>
      </c>
      <c r="BQ439" s="0" t="n">
        <f aca="false">IF(AND(A439&gt;=$B$320,A439&lt;=$B$321),1,0)</f>
        <v>0</v>
      </c>
      <c r="BR439" s="0" t="n">
        <f aca="false">BO439*BQ439</f>
        <v>0</v>
      </c>
      <c r="BS439" s="0" t="n">
        <f aca="false">BP439*BQ439</f>
        <v>0</v>
      </c>
    </row>
    <row r="440" customFormat="false" ht="18" hidden="false" customHeight="false" outlineLevel="0" collapsed="false">
      <c r="A440" s="112" t="n">
        <f aca="false">A123</f>
        <v>40575</v>
      </c>
      <c r="B440" s="324" t="n">
        <f aca="false" t="array" ref="B440:B440">SUM(IF(MONTH(NymexData!$AO$12:$AO$250)&amp;YEAR(NymexData!$AO$12:$AO$250)=MONTH(A440)&amp;YEAR(A440),NymexData!$AP$12:$AP$250))</f>
        <v>0</v>
      </c>
      <c r="C440" s="325" t="n">
        <f aca="false">BD440*BJ440*BI440</f>
        <v>0</v>
      </c>
      <c r="D440" s="326" t="n">
        <f aca="false">C440+B440</f>
        <v>0</v>
      </c>
      <c r="E440" s="327" t="n">
        <f aca="false" t="array" ref="E440:E440">SUM(IF(MONTH(NymexData!$A$12:$A$250)&amp;YEAR(NymexData!$A$12:$A$250)=MONTH(A440)&amp;YEAR(A440),NymexData!$F$12:$F$250))</f>
        <v>6.13779237733941</v>
      </c>
      <c r="F440" s="327" t="n">
        <f aca="false">G440-E440</f>
        <v>-0.0428333427487404</v>
      </c>
      <c r="G440" s="328" t="n">
        <f aca="false" t="array" ref="G440:G440">IF(NymexData!$H$12="",GasPosn!E440,SUM(IF(MONTH(NymexData!$H$12:$H$250)&amp;YEAR(NymexData!$H$12:$H$250)=MONTH(A440)&amp;YEAR(A440),NymexData!$L$12:$L$250)))</f>
        <v>6.09495903459067</v>
      </c>
      <c r="H440" s="115" t="n">
        <f aca="false">B440*10000*F440</f>
        <v>-0</v>
      </c>
      <c r="I440" s="119" t="n">
        <f aca="false">(((G440-Q440)*P440+(G440-S440)*R440+(G440-U440)*T440+(G440-W440)*V440+(G440-Y440)*X440+(G440-AA440)*Z440+(G440-AC440)*AB440+(G440-AE440)*AD440+(G440-AG440)*AF440+(G440-AI440)*AH440+(G440-AK440)*AJ440+(G440-AM440)*AL440+(G440-AO440)*AN440+(G440-AQ440)*AP440+(G440-AS440)*AR440+(G440-AU440)*AT440+(G440-AW440)*AV440+(G440-AY440)*AX440+(G440-BA440)*AZ440+(G440-BC440)*BB440)*BJ440*BI440)*10000</f>
        <v>0</v>
      </c>
      <c r="J440" s="119" t="n">
        <f aca="false">H440+I440</f>
        <v>0</v>
      </c>
      <c r="O440" s="95" t="n">
        <f aca="false">A440</f>
        <v>40575</v>
      </c>
      <c r="BD440" s="100" t="n">
        <f aca="false">(P440+R440+T440+V440+X440+Z440+AB440+AD440+AF440+AH440+AJ440+AL440+AN440+AP440+AR440+AT440+AV440+AX440+AZ440+BB440)</f>
        <v>0</v>
      </c>
      <c r="BE440" s="322" t="n">
        <f aca="false">IF(AND(BD440=0,BH440=0),0,(ABS(P440)*Q440+ABS(R440)*S440+ABS(T440)*U440+ABS(V440)*W440+ABS(X440)*Y440+ABS(Z440)*AA440+ABS(AB440)*AC440+ABS(AD440)*AE440+ABS(AF440)*AG440+ABS(AH440)*AI440+ABS(AJ440)*AK440+ABS(AL440)*AM440+ABS(AN440)*AO440+ABS(AP440)*AQ440+ABS(AR440)*AS440+ABS(AT440)*AU440+ABS(AV440)*AW440+ABS(AX440)*AY440+ABS(AZ440)*BA440+ABS(BB440)*BC440)/BH440)</f>
        <v>0</v>
      </c>
      <c r="BG440" s="103" t="n">
        <f aca="false">O440</f>
        <v>40575</v>
      </c>
      <c r="BH440" s="323" t="n">
        <f aca="false">(ABS(P440)+ABS(R440)+ABS(T440)+ABS(V440)+ABS(X440)+ABS(Z440)+ABS(AB440)+ABS(AD440)+ABS(AF440)+ABS(AH440)+ABS(AJ440)+ABS(AL440)+ABS(AN440)+ABS(AP440)+ABS(AR440)+ABS(AT440)+ABS(AV440)+ABS(AX440)+ABS(AZ440)+ABS(BB440))</f>
        <v>0</v>
      </c>
      <c r="BI440" s="104" t="n">
        <f aca="false">VLOOKUP(GasPosn!A440,'Pricing Summary'!$AB$12:$AD$250,3)</f>
        <v>28</v>
      </c>
      <c r="BJ440" s="102" t="n">
        <f aca="false">VLOOKUP(A440,Interest!$AF$8:$AK$367,6)</f>
        <v>0.611260634826932</v>
      </c>
      <c r="BL440" s="0" t="n">
        <f aca="false">H440/VLOOKUP(A440,NymexData!$J$12:$K$128,2)</f>
        <v>-0</v>
      </c>
      <c r="BM440" s="0" t="n">
        <f aca="false">I440/VLOOKUP(A440,NymexData!$J$12:$K$128,2)</f>
        <v>0</v>
      </c>
      <c r="BO440" s="0" t="n">
        <f aca="false">BO123</f>
        <v>0.611260634826932</v>
      </c>
      <c r="BP440" s="0" t="n">
        <f aca="false">G440*BO440</f>
        <v>3.72560852872804</v>
      </c>
      <c r="BQ440" s="0" t="n">
        <f aca="false">IF(AND(A440&gt;=$B$320,A440&lt;=$B$321),1,0)</f>
        <v>0</v>
      </c>
      <c r="BR440" s="0" t="n">
        <f aca="false">BO440*BQ440</f>
        <v>0</v>
      </c>
      <c r="BS440" s="0" t="n">
        <f aca="false">BP440*BQ440</f>
        <v>0</v>
      </c>
    </row>
    <row r="441" customFormat="false" ht="18" hidden="false" customHeight="false" outlineLevel="0" collapsed="false">
      <c r="A441" s="75" t="n">
        <f aca="false">A124</f>
        <v>40603</v>
      </c>
      <c r="B441" s="317" t="n">
        <f aca="false" t="array" ref="B441:B441">SUM(IF(MONTH(NymexData!$AO$12:$AO$250)&amp;YEAR(NymexData!$AO$12:$AO$250)=MONTH(A441)&amp;YEAR(A441),NymexData!$AP$12:$AP$250))</f>
        <v>0</v>
      </c>
      <c r="C441" s="317" t="n">
        <f aca="false">BD441*BJ441*BI441</f>
        <v>0</v>
      </c>
      <c r="D441" s="319" t="n">
        <f aca="false">C441+B441</f>
        <v>0</v>
      </c>
      <c r="E441" s="320" t="n">
        <f aca="false" t="array" ref="E441:E441">SUM(IF(MONTH(NymexData!$A$12:$A$250)&amp;YEAR(NymexData!$A$12:$A$250)=MONTH(A441)&amp;YEAR(A441),NymexData!$F$12:$F$250))</f>
        <v>5.9310384981903</v>
      </c>
      <c r="F441" s="320" t="n">
        <f aca="false">G441-E441</f>
        <v>-0.0431584033055312</v>
      </c>
      <c r="G441" s="321" t="n">
        <f aca="false" t="array" ref="G441:G441">IF(NymexData!$H$12="",GasPosn!E441,SUM(IF(MONTH(NymexData!$H$12:$H$250)&amp;YEAR(NymexData!$H$12:$H$250)=MONTH(A441)&amp;YEAR(A441),NymexData!$L$12:$L$250)))</f>
        <v>5.88788009488477</v>
      </c>
      <c r="H441" s="76" t="n">
        <f aca="false">B441*10000*F441</f>
        <v>-0</v>
      </c>
      <c r="I441" s="82" t="n">
        <f aca="false">(((G441-Q441)*P441+(G441-S441)*R441+(G441-U441)*T441+(G441-W441)*V441+(G441-Y441)*X441+(G441-AA441)*Z441+(G441-AC441)*AB441+(G441-AE441)*AD441+(G441-AG441)*AF441+(G441-AI441)*AH441+(G441-AK441)*AJ441+(G441-AM441)*AL441+(G441-AO441)*AN441+(G441-AQ441)*AP441+(G441-AS441)*AR441+(G441-AU441)*AT441+(G441-AW441)*AV441+(G441-AY441)*AX441+(G441-BA441)*AZ441+(G441-BC441)*BB441)*BJ441*BI441)*10000</f>
        <v>0</v>
      </c>
      <c r="J441" s="82" t="n">
        <f aca="false">H441+I441</f>
        <v>0</v>
      </c>
      <c r="O441" s="95" t="n">
        <f aca="false">A441</f>
        <v>40603</v>
      </c>
      <c r="BD441" s="100" t="n">
        <f aca="false">(P441+R441+T441+V441+X441+Z441+AB441+AD441+AF441+AH441+AJ441+AL441+AN441+AP441+AR441+AT441+AV441+AX441+AZ441+BB441)</f>
        <v>0</v>
      </c>
      <c r="BE441" s="322" t="n">
        <f aca="false">IF(AND(BD441=0,BH441=0),0,(ABS(P441)*Q441+ABS(R441)*S441+ABS(T441)*U441+ABS(V441)*W441+ABS(X441)*Y441+ABS(Z441)*AA441+ABS(AB441)*AC441+ABS(AD441)*AE441+ABS(AF441)*AG441+ABS(AH441)*AI441+ABS(AJ441)*AK441+ABS(AL441)*AM441+ABS(AN441)*AO441+ABS(AP441)*AQ441+ABS(AR441)*AS441+ABS(AT441)*AU441+ABS(AV441)*AW441+ABS(AX441)*AY441+ABS(AZ441)*BA441+ABS(BB441)*BC441)/BH441)</f>
        <v>0</v>
      </c>
      <c r="BG441" s="103" t="n">
        <f aca="false">O441</f>
        <v>40603</v>
      </c>
      <c r="BH441" s="323" t="n">
        <f aca="false">(ABS(P441)+ABS(R441)+ABS(T441)+ABS(V441)+ABS(X441)+ABS(Z441)+ABS(AB441)+ABS(AD441)+ABS(AF441)+ABS(AH441)+ABS(AJ441)+ABS(AL441)+ABS(AN441)+ABS(AP441)+ABS(AR441)+ABS(AT441)+ABS(AV441)+ABS(AX441)+ABS(AZ441)+ABS(BB441))</f>
        <v>0</v>
      </c>
      <c r="BI441" s="104" t="n">
        <f aca="false">VLOOKUP(GasPosn!A441,'Pricing Summary'!$AB$12:$AD$250,3)</f>
        <v>31</v>
      </c>
      <c r="BJ441" s="102" t="n">
        <f aca="false">VLOOKUP(A441,Interest!$AF$8:$AK$367,6)</f>
        <v>0.607989980718296</v>
      </c>
      <c r="BL441" s="0" t="n">
        <f aca="false">H441/VLOOKUP(A441,NymexData!$J$12:$K$128,2)</f>
        <v>-0</v>
      </c>
      <c r="BM441" s="0" t="n">
        <f aca="false">I441/VLOOKUP(A441,NymexData!$J$12:$K$128,2)</f>
        <v>0</v>
      </c>
      <c r="BO441" s="0" t="n">
        <f aca="false">BO124</f>
        <v>0.607989980718296</v>
      </c>
      <c r="BP441" s="0" t="n">
        <f aca="false">G441*BO441</f>
        <v>3.57977210536063</v>
      </c>
      <c r="BQ441" s="0" t="n">
        <f aca="false">IF(AND(A441&gt;=$B$320,A441&lt;=$B$321),1,0)</f>
        <v>0</v>
      </c>
      <c r="BR441" s="0" t="n">
        <f aca="false">BO441*BQ441</f>
        <v>0</v>
      </c>
      <c r="BS441" s="0" t="n">
        <f aca="false">BP441*BQ441</f>
        <v>0</v>
      </c>
    </row>
    <row r="442" customFormat="false" ht="18" hidden="false" customHeight="false" outlineLevel="0" collapsed="false">
      <c r="A442" s="112" t="n">
        <f aca="false">A125</f>
        <v>40634</v>
      </c>
      <c r="B442" s="324" t="n">
        <f aca="false" t="array" ref="B442:B442">SUM(IF(MONTH(NymexData!$AO$12:$AO$250)&amp;YEAR(NymexData!$AO$12:$AO$250)=MONTH(A442)&amp;YEAR(A442),NymexData!$AP$12:$AP$250))</f>
        <v>0</v>
      </c>
      <c r="C442" s="325" t="n">
        <f aca="false">BD442*BJ442*BI442</f>
        <v>0</v>
      </c>
      <c r="D442" s="326" t="n">
        <f aca="false">C442+B442</f>
        <v>0</v>
      </c>
      <c r="E442" s="327" t="n">
        <f aca="false" t="array" ref="E442:E442">SUM(IF(MONTH(NymexData!$A$12:$A$250)&amp;YEAR(NymexData!$A$12:$A$250)=MONTH(A442)&amp;YEAR(A442),NymexData!$F$12:$F$250))</f>
        <v>5.70164515873321</v>
      </c>
      <c r="F442" s="327" t="n">
        <f aca="false">G442-E442</f>
        <v>-0.0434956678147733</v>
      </c>
      <c r="G442" s="328" t="n">
        <f aca="false" t="array" ref="G442:G442">IF(NymexData!$H$12="",GasPosn!E442,SUM(IF(MONTH(NymexData!$H$12:$H$250)&amp;YEAR(NymexData!$H$12:$H$250)=MONTH(A442)&amp;YEAR(A442),NymexData!$L$12:$L$250)))</f>
        <v>5.65814949091844</v>
      </c>
      <c r="H442" s="115" t="n">
        <f aca="false">B442*10000*F442</f>
        <v>-0</v>
      </c>
      <c r="I442" s="119" t="n">
        <f aca="false">(((G442-Q442)*P442+(G442-S442)*R442+(G442-U442)*T442+(G442-W442)*V442+(G442-Y442)*X442+(G442-AA442)*Z442+(G442-AC442)*AB442+(G442-AE442)*AD442+(G442-AG442)*AF442+(G442-AI442)*AH442+(G442-AK442)*AJ442+(G442-AM442)*AL442+(G442-AO442)*AN442+(G442-AQ442)*AP442+(G442-AS442)*AR442+(G442-AU442)*AT442+(G442-AW442)*AV442+(G442-AY442)*AX442+(G442-BA442)*AZ442+(G442-BC442)*BB442)*BJ442*BI442)*10000</f>
        <v>0</v>
      </c>
      <c r="J442" s="119" t="n">
        <f aca="false">H442+I442</f>
        <v>0</v>
      </c>
      <c r="O442" s="95" t="n">
        <f aca="false">A442</f>
        <v>40634</v>
      </c>
      <c r="BD442" s="100" t="n">
        <f aca="false">(P442+R442+T442+V442+X442+Z442+AB442+AD442+AF442+AH442+AJ442+AL442+AN442+AP442+AR442+AT442+AV442+AX442+AZ442+BB442)</f>
        <v>0</v>
      </c>
      <c r="BE442" s="322" t="n">
        <f aca="false">IF(AND(BD442=0,BH442=0),0,(ABS(P442)*Q442+ABS(R442)*S442+ABS(T442)*U442+ABS(V442)*W442+ABS(X442)*Y442+ABS(Z442)*AA442+ABS(AB442)*AC442+ABS(AD442)*AE442+ABS(AF442)*AG442+ABS(AH442)*AI442+ABS(AJ442)*AK442+ABS(AL442)*AM442+ABS(AN442)*AO442+ABS(AP442)*AQ442+ABS(AR442)*AS442+ABS(AT442)*AU442+ABS(AV442)*AW442+ABS(AX442)*AY442+ABS(AZ442)*BA442+ABS(BB442)*BC442)/BH442)</f>
        <v>0</v>
      </c>
      <c r="BG442" s="103" t="n">
        <f aca="false">O442</f>
        <v>40634</v>
      </c>
      <c r="BH442" s="323" t="n">
        <f aca="false">(ABS(P442)+ABS(R442)+ABS(T442)+ABS(V442)+ABS(X442)+ABS(Z442)+ABS(AB442)+ABS(AD442)+ABS(AF442)+ABS(AH442)+ABS(AJ442)+ABS(AL442)+ABS(AN442)+ABS(AP442)+ABS(AR442)+ABS(AT442)+ABS(AV442)+ABS(AX442)+ABS(AZ442)+ABS(BB442))</f>
        <v>0</v>
      </c>
      <c r="BI442" s="104" t="n">
        <f aca="false">VLOOKUP(GasPosn!A442,'Pricing Summary'!$AB$12:$AD$250,3)</f>
        <v>30</v>
      </c>
      <c r="BJ442" s="102" t="n">
        <f aca="false">VLOOKUP(A442,Interest!$AF$8:$AK$367,6)</f>
        <v>0.604755606241807</v>
      </c>
      <c r="BL442" s="0" t="n">
        <f aca="false">H442/VLOOKUP(A442,NymexData!$J$12:$K$128,2)</f>
        <v>-0</v>
      </c>
      <c r="BM442" s="0" t="n">
        <f aca="false">I442/VLOOKUP(A442,NymexData!$J$12:$K$128,2)</f>
        <v>0</v>
      </c>
      <c r="BO442" s="0" t="n">
        <f aca="false">BO125</f>
        <v>0.604755606241807</v>
      </c>
      <c r="BP442" s="0" t="n">
        <f aca="false">G442*BO442</f>
        <v>3.42179762558715</v>
      </c>
      <c r="BQ442" s="0" t="n">
        <f aca="false">IF(AND(A442&gt;=$B$320,A442&lt;=$B$321),1,0)</f>
        <v>0</v>
      </c>
      <c r="BR442" s="0" t="n">
        <f aca="false">BO442*BQ442</f>
        <v>0</v>
      </c>
      <c r="BS442" s="0" t="n">
        <f aca="false">BP442*BQ442</f>
        <v>0</v>
      </c>
    </row>
    <row r="443" customFormat="false" ht="18" hidden="false" customHeight="false" outlineLevel="0" collapsed="false">
      <c r="A443" s="75" t="n">
        <f aca="false">A126</f>
        <v>40664</v>
      </c>
      <c r="B443" s="317" t="n">
        <f aca="false" t="array" ref="B443:B443">SUM(IF(MONTH(NymexData!$AO$12:$AO$250)&amp;YEAR(NymexData!$AO$12:$AO$250)=MONTH(A443)&amp;YEAR(A443),NymexData!$AP$12:$AP$250))</f>
        <v>0</v>
      </c>
      <c r="C443" s="317" t="n">
        <f aca="false">BD443*BJ443*BI443</f>
        <v>0</v>
      </c>
      <c r="D443" s="319" t="n">
        <f aca="false">C443+B443</f>
        <v>0</v>
      </c>
      <c r="E443" s="320" t="n">
        <f aca="false" t="array" ref="E443:E443">SUM(IF(MONTH(NymexData!$A$12:$A$250)&amp;YEAR(NymexData!$A$12:$A$250)=MONTH(A443)&amp;YEAR(A443),NymexData!$F$12:$F$250))</f>
        <v>5.71431792056061</v>
      </c>
      <c r="F443" s="320" t="n">
        <f aca="false">G443-E443</f>
        <v>-0.0439113392983357</v>
      </c>
      <c r="G443" s="321" t="n">
        <f aca="false" t="array" ref="G443:G443">IF(NymexData!$H$12="",GasPosn!E443,SUM(IF(MONTH(NymexData!$H$12:$H$250)&amp;YEAR(NymexData!$H$12:$H$250)=MONTH(A443)&amp;YEAR(A443),NymexData!$L$12:$L$250)))</f>
        <v>5.67040658126227</v>
      </c>
      <c r="H443" s="76" t="n">
        <f aca="false">B443*10000*F443</f>
        <v>-0</v>
      </c>
      <c r="I443" s="82" t="n">
        <f aca="false">(((G443-Q443)*P443+(G443-S443)*R443+(G443-U443)*T443+(G443-W443)*V443+(G443-Y443)*X443+(G443-AA443)*Z443+(G443-AC443)*AB443+(G443-AE443)*AD443+(G443-AG443)*AF443+(G443-AI443)*AH443+(G443-AK443)*AJ443+(G443-AM443)*AL443+(G443-AO443)*AN443+(G443-AQ443)*AP443+(G443-AS443)*AR443+(G443-AU443)*AT443+(G443-AW443)*AV443+(G443-AY443)*AX443+(G443-BA443)*AZ443+(G443-BC443)*BB443)*BJ443*BI443)*10000</f>
        <v>0</v>
      </c>
      <c r="J443" s="82" t="n">
        <f aca="false">H443+I443</f>
        <v>0</v>
      </c>
      <c r="O443" s="95" t="n">
        <f aca="false">A443</f>
        <v>40664</v>
      </c>
      <c r="BD443" s="100" t="n">
        <f aca="false">(P443+R443+T443+V443+X443+Z443+AB443+AD443+AF443+AH443+AJ443+AL443+AN443+AP443+AR443+AT443+AV443+AX443+AZ443+BB443)</f>
        <v>0</v>
      </c>
      <c r="BE443" s="322" t="n">
        <f aca="false">IF(AND(BD443=0,BH443=0),0,(ABS(P443)*Q443+ABS(R443)*S443+ABS(T443)*U443+ABS(V443)*W443+ABS(X443)*Y443+ABS(Z443)*AA443+ABS(AB443)*AC443+ABS(AD443)*AE443+ABS(AF443)*AG443+ABS(AH443)*AI443+ABS(AJ443)*AK443+ABS(AL443)*AM443+ABS(AN443)*AO443+ABS(AP443)*AQ443+ABS(AR443)*AS443+ABS(AT443)*AU443+ABS(AV443)*AW443+ABS(AX443)*AY443+ABS(AZ443)*BA443+ABS(BB443)*BC443)/BH443)</f>
        <v>0</v>
      </c>
      <c r="BG443" s="103" t="n">
        <f aca="false">O443</f>
        <v>40664</v>
      </c>
      <c r="BH443" s="323" t="n">
        <f aca="false">(ABS(P443)+ABS(R443)+ABS(T443)+ABS(V443)+ABS(X443)+ABS(Z443)+ABS(AB443)+ABS(AD443)+ABS(AF443)+ABS(AH443)+ABS(AJ443)+ABS(AL443)+ABS(AN443)+ABS(AP443)+ABS(AR443)+ABS(AT443)+ABS(AV443)+ABS(AX443)+ABS(AZ443)+ABS(BB443))</f>
        <v>0</v>
      </c>
      <c r="BI443" s="104" t="n">
        <f aca="false">VLOOKUP(GasPosn!A443,'Pricing Summary'!$AB$12:$AD$250,3)</f>
        <v>31</v>
      </c>
      <c r="BJ443" s="102" t="n">
        <f aca="false">VLOOKUP(A443,Interest!$AF$8:$AK$367,6)</f>
        <v>0.601460596591941</v>
      </c>
      <c r="BL443" s="0" t="n">
        <f aca="false">H443/VLOOKUP(A443,NymexData!$J$12:$K$128,2)</f>
        <v>-0</v>
      </c>
      <c r="BM443" s="0" t="n">
        <f aca="false">I443/VLOOKUP(A443,NymexData!$J$12:$K$128,2)</f>
        <v>0</v>
      </c>
      <c r="BO443" s="0" t="n">
        <f aca="false">BO126</f>
        <v>0.601460596591941</v>
      </c>
      <c r="BP443" s="0" t="n">
        <f aca="false">G443*BO443</f>
        <v>3.41052612528488</v>
      </c>
      <c r="BQ443" s="0" t="n">
        <f aca="false">IF(AND(A443&gt;=$B$320,A443&lt;=$B$321),1,0)</f>
        <v>0</v>
      </c>
      <c r="BR443" s="0" t="n">
        <f aca="false">BO443*BQ443</f>
        <v>0</v>
      </c>
      <c r="BS443" s="0" t="n">
        <f aca="false">BP443*BQ443</f>
        <v>0</v>
      </c>
    </row>
    <row r="444" customFormat="false" ht="18" hidden="false" customHeight="false" outlineLevel="0" collapsed="false">
      <c r="A444" s="112" t="n">
        <f aca="false">A127</f>
        <v>40695</v>
      </c>
      <c r="B444" s="324" t="n">
        <f aca="false" t="array" ref="B444:B444">SUM(IF(MONTH(NymexData!$AO$12:$AO$250)&amp;YEAR(NymexData!$AO$12:$AO$250)=MONTH(A444)&amp;YEAR(A444),NymexData!$AP$12:$AP$250))</f>
        <v>0</v>
      </c>
      <c r="C444" s="325" t="n">
        <f aca="false">BD444*BJ444*BI444</f>
        <v>0</v>
      </c>
      <c r="D444" s="326" t="n">
        <f aca="false">C444+B444</f>
        <v>0</v>
      </c>
      <c r="E444" s="327" t="n">
        <f aca="false" t="array" ref="E444:E444">SUM(IF(MONTH(NymexData!$A$12:$A$250)&amp;YEAR(NymexData!$A$12:$A$250)=MONTH(A444)&amp;YEAR(A444),NymexData!$F$12:$F$250))</f>
        <v>5.77764149571029</v>
      </c>
      <c r="F444" s="327" t="n">
        <f aca="false">G444-E444</f>
        <v>-0.0443767546250529</v>
      </c>
      <c r="G444" s="328" t="n">
        <f aca="false" t="array" ref="G444:G444">IF(NymexData!$H$12="",GasPosn!E444,SUM(IF(MONTH(NymexData!$H$12:$H$250)&amp;YEAR(NymexData!$H$12:$H$250)=MONTH(A444)&amp;YEAR(A444),NymexData!$L$12:$L$250)))</f>
        <v>5.73326474108523</v>
      </c>
      <c r="H444" s="115" t="n">
        <f aca="false">B444*10000*F444</f>
        <v>-0</v>
      </c>
      <c r="I444" s="119" t="n">
        <f aca="false">(((G444-Q444)*P444+(G444-S444)*R444+(G444-U444)*T444+(G444-W444)*V444+(G444-Y444)*X444+(G444-AA444)*Z444+(G444-AC444)*AB444+(G444-AE444)*AD444+(G444-AG444)*AF444+(G444-AI444)*AH444+(G444-AK444)*AJ444+(G444-AM444)*AL444+(G444-AO444)*AN444+(G444-AQ444)*AP444+(G444-AS444)*AR444+(G444-AU444)*AT444+(G444-AW444)*AV444+(G444-AY444)*AX444+(G444-BA444)*AZ444+(G444-BC444)*BB444)*BJ444*BI444)*10000</f>
        <v>0</v>
      </c>
      <c r="J444" s="119" t="n">
        <f aca="false">H444+I444</f>
        <v>0</v>
      </c>
      <c r="O444" s="95" t="n">
        <f aca="false">A444</f>
        <v>40695</v>
      </c>
      <c r="BD444" s="100" t="n">
        <f aca="false">(P444+R444+T444+V444+X444+Z444+AB444+AD444+AF444+AH444+AJ444+AL444+AN444+AP444+AR444+AT444+AV444+AX444+AZ444+BB444)</f>
        <v>0</v>
      </c>
      <c r="BE444" s="322" t="n">
        <f aca="false">IF(AND(BD444=0,BH444=0),0,(ABS(P444)*Q444+ABS(R444)*S444+ABS(T444)*U444+ABS(V444)*W444+ABS(X444)*Y444+ABS(Z444)*AA444+ABS(AB444)*AC444+ABS(AD444)*AE444+ABS(AF444)*AG444+ABS(AH444)*AI444+ABS(AJ444)*AK444+ABS(AL444)*AM444+ABS(AN444)*AO444+ABS(AP444)*AQ444+ABS(AR444)*AS444+ABS(AT444)*AU444+ABS(AV444)*AW444+ABS(AX444)*AY444+ABS(AZ444)*BA444+ABS(BB444)*BC444)/BH444)</f>
        <v>0</v>
      </c>
      <c r="BG444" s="103" t="n">
        <f aca="false">O444</f>
        <v>40695</v>
      </c>
      <c r="BH444" s="323" t="n">
        <f aca="false">(ABS(P444)+ABS(R444)+ABS(T444)+ABS(V444)+ABS(X444)+ABS(Z444)+ABS(AB444)+ABS(AD444)+ABS(AF444)+ABS(AH444)+ABS(AJ444)+ABS(AL444)+ABS(AN444)+ABS(AP444)+ABS(AR444)+ABS(AT444)+ABS(AV444)+ABS(AX444)+ABS(AZ444)+ABS(BB444))</f>
        <v>0</v>
      </c>
      <c r="BI444" s="104" t="n">
        <f aca="false">VLOOKUP(GasPosn!A444,'Pricing Summary'!$AB$12:$AD$250,3)</f>
        <v>30</v>
      </c>
      <c r="BJ444" s="102" t="n">
        <f aca="false">VLOOKUP(A444,Interest!$AF$8:$AK$367,6)</f>
        <v>0.598240260334776</v>
      </c>
      <c r="BL444" s="0" t="n">
        <f aca="false">H444/VLOOKUP(A444,NymexData!$J$12:$K$128,2)</f>
        <v>-0</v>
      </c>
      <c r="BM444" s="0" t="n">
        <f aca="false">I444/VLOOKUP(A444,NymexData!$J$12:$K$128,2)</f>
        <v>0</v>
      </c>
      <c r="BO444" s="0" t="n">
        <f aca="false">BO127</f>
        <v>0.598240260334776</v>
      </c>
      <c r="BP444" s="0" t="n">
        <f aca="false">G444*BO444</f>
        <v>3.42986979127502</v>
      </c>
      <c r="BQ444" s="0" t="n">
        <f aca="false">IF(AND(A444&gt;=$B$320,A444&lt;=$B$321),1,0)</f>
        <v>0</v>
      </c>
      <c r="BR444" s="0" t="n">
        <f aca="false">BO444*BQ444</f>
        <v>0</v>
      </c>
      <c r="BS444" s="0" t="n">
        <f aca="false">BP444*BQ444</f>
        <v>0</v>
      </c>
    </row>
    <row r="445" customFormat="false" ht="18.75" hidden="false" customHeight="false" outlineLevel="0" collapsed="false">
      <c r="A445" s="302" t="n">
        <f aca="false">A128</f>
        <v>40725</v>
      </c>
      <c r="B445" s="330" t="n">
        <f aca="false" t="array" ref="B445:B445">SUM(IF(MONTH(NymexData!$AO$12:$AO$250)&amp;YEAR(NymexData!$AO$12:$AO$250)=MONTH(A445)&amp;YEAR(A445),NymexData!$AP$12:$AP$250))</f>
        <v>0</v>
      </c>
      <c r="C445" s="330" t="n">
        <f aca="false">BD445*BJ445*BI445</f>
        <v>0</v>
      </c>
      <c r="D445" s="331" t="n">
        <f aca="false">C445+B445</f>
        <v>0</v>
      </c>
      <c r="E445" s="332" t="n">
        <f aca="false" t="array" ref="E445:E445">SUM(IF(MONTH(NymexData!$A$12:$A$250)&amp;YEAR(NymexData!$A$12:$A$250)=MONTH(A445)&amp;YEAR(A445),NymexData!$F$12:$F$250))</f>
        <v>5.85167217465402</v>
      </c>
      <c r="F445" s="332" t="n">
        <f aca="false">G445-E445</f>
        <v>-0.0448498455664694</v>
      </c>
      <c r="G445" s="333" t="n">
        <f aca="false" t="array" ref="G445:G445">IF(NymexData!$H$12="",GasPosn!E445,SUM(IF(MONTH(NymexData!$H$12:$H$250)&amp;YEAR(NymexData!$H$12:$H$250)=MONTH(A445)&amp;YEAR(A445),NymexData!$L$12:$L$250)))</f>
        <v>5.80682232908756</v>
      </c>
      <c r="H445" s="334" t="n">
        <f aca="false">B445*10000*F445</f>
        <v>-0</v>
      </c>
      <c r="I445" s="335" t="n">
        <f aca="false">(((G445-Q445)*P445+(G445-S445)*R445+(G445-U445)*T445+(G445-W445)*V445+(G445-Y445)*X445+(G445-AA445)*Z445+(G445-AC445)*AB445+(G445-AE445)*AD445+(G445-AG445)*AF445+(G445-AI445)*AH445+(G445-AK445)*AJ445+(G445-AM445)*AL445+(G445-AO445)*AN445+(G445-AQ445)*AP445+(G445-AS445)*AR445+(G445-AU445)*AT445+(G445-AW445)*AV445+(G445-AY445)*AX445+(G445-BA445)*AZ445+(G445-BC445)*BB445)*BJ445*BI445)*10000</f>
        <v>0</v>
      </c>
      <c r="J445" s="335" t="n">
        <f aca="false">H445+I445</f>
        <v>0</v>
      </c>
      <c r="O445" s="336" t="n">
        <f aca="false">A445</f>
        <v>40725</v>
      </c>
      <c r="BD445" s="337" t="n">
        <f aca="false">(P445+R445+T445+V445+X445+Z445+AB445+AD445+AF445+AH445+AJ445+AL445+AN445+AP445+AR445+AT445+AV445+AX445+AZ445+BB445)</f>
        <v>0</v>
      </c>
      <c r="BE445" s="338" t="n">
        <f aca="false">IF(AND(BD445=0,BH445=0),0,(ABS(P445)*Q445+ABS(R445)*S445+ABS(T445)*U445+ABS(V445)*W445+ABS(X445)*Y445+ABS(Z445)*AA445+ABS(AB445)*AC445+ABS(AD445)*AE445+ABS(AF445)*AG445+ABS(AH445)*AI445+ABS(AJ445)*AK445+ABS(AL445)*AM445+ABS(AN445)*AO445+ABS(AP445)*AQ445+ABS(AR445)*AS445+ABS(AT445)*AU445+ABS(AV445)*AW445+ABS(AX445)*AY445+ABS(AZ445)*BA445+ABS(BB445)*BC445)/BH445)</f>
        <v>0</v>
      </c>
      <c r="BG445" s="103" t="n">
        <f aca="false">O445</f>
        <v>40725</v>
      </c>
      <c r="BH445" s="323" t="n">
        <f aca="false">(ABS(P445)+ABS(R445)+ABS(T445)+ABS(V445)+ABS(X445)+ABS(Z445)+ABS(AB445)+ABS(AD445)+ABS(AF445)+ABS(AH445)+ABS(AJ445)+ABS(AL445)+ABS(AN445)+ABS(AP445)+ABS(AR445)+ABS(AT445)+ABS(AV445)+ABS(AX445)+ABS(AZ445)+ABS(BB445))</f>
        <v>0</v>
      </c>
      <c r="BI445" s="104" t="n">
        <f aca="false">VLOOKUP(GasPosn!A445,'Pricing Summary'!$AB$12:$AD$250,3)</f>
        <v>31</v>
      </c>
      <c r="BJ445" s="102" t="n">
        <f aca="false">VLOOKUP(A445,Interest!$AF$8:$AK$367,6)</f>
        <v>0.594960165906545</v>
      </c>
      <c r="BL445" s="0" t="n">
        <f aca="false">H445/VLOOKUP(A445,NymexData!$J$12:$K$128,2)</f>
        <v>-0</v>
      </c>
      <c r="BM445" s="0" t="n">
        <f aca="false">I445/VLOOKUP(A445,NymexData!$J$12:$K$128,2)</f>
        <v>0</v>
      </c>
      <c r="BO445" s="0" t="n">
        <f aca="false">BO128</f>
        <v>0.594960165906545</v>
      </c>
      <c r="BP445" s="0" t="n">
        <f aca="false">G445*BO445</f>
        <v>3.45482797630376</v>
      </c>
      <c r="BQ445" s="0" t="n">
        <f aca="false">IF(AND(A445&gt;=$B$320,A445&lt;=$B$321),1,0)</f>
        <v>0</v>
      </c>
      <c r="BR445" s="0" t="n">
        <f aca="false">BO445*BQ445</f>
        <v>0</v>
      </c>
      <c r="BS445" s="0" t="n">
        <f aca="false">BP445*BQ445</f>
        <v>0</v>
      </c>
    </row>
    <row r="446" customFormat="false" ht="12.75" hidden="false" customHeight="false" outlineLevel="0" collapsed="false">
      <c r="BR446" s="0" t="n">
        <f aca="false">SUM(BR329:BR445)</f>
        <v>54.1077453145946</v>
      </c>
      <c r="BS446" s="0" t="n">
        <f aca="false">SUM(BS329:BS445)</f>
        <v>258.461807506493</v>
      </c>
      <c r="BT446" s="0" t="n">
        <f aca="false">BS446/BR446</f>
        <v>4.77679870051391</v>
      </c>
    </row>
  </sheetData>
  <mergeCells count="60"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R10:AS10"/>
    <mergeCell ref="AT10:AU10"/>
    <mergeCell ref="AV10:AW10"/>
    <mergeCell ref="AX10:AY10"/>
    <mergeCell ref="AZ10:BA10"/>
    <mergeCell ref="BB10:BC10"/>
    <mergeCell ref="P198:Q198"/>
    <mergeCell ref="R198:S198"/>
    <mergeCell ref="T198:U198"/>
    <mergeCell ref="V198:W198"/>
    <mergeCell ref="X198:Y198"/>
    <mergeCell ref="Z198:AA198"/>
    <mergeCell ref="AB198:AC198"/>
    <mergeCell ref="AD198:AE198"/>
    <mergeCell ref="AF198:AG198"/>
    <mergeCell ref="AH198:AI198"/>
    <mergeCell ref="AJ198:AK198"/>
    <mergeCell ref="AL198:AM198"/>
    <mergeCell ref="AN198:AO198"/>
    <mergeCell ref="AP198:AQ198"/>
    <mergeCell ref="AR198:AS198"/>
    <mergeCell ref="AT198:AU198"/>
    <mergeCell ref="AV198:AW198"/>
    <mergeCell ref="AX198:AY198"/>
    <mergeCell ref="AZ198:BA198"/>
    <mergeCell ref="BB198:BC198"/>
    <mergeCell ref="P327:Q327"/>
    <mergeCell ref="R327:S327"/>
    <mergeCell ref="T327:U327"/>
    <mergeCell ref="V327:W327"/>
    <mergeCell ref="X327:Y327"/>
    <mergeCell ref="Z327:AA327"/>
    <mergeCell ref="AB327:AC327"/>
    <mergeCell ref="AD327:AE327"/>
    <mergeCell ref="AF327:AG327"/>
    <mergeCell ref="AH327:AI327"/>
    <mergeCell ref="AJ327:AK327"/>
    <mergeCell ref="AL327:AM327"/>
    <mergeCell ref="AN327:AO327"/>
    <mergeCell ref="AP327:AQ327"/>
    <mergeCell ref="AR327:AS327"/>
    <mergeCell ref="AT327:AU327"/>
    <mergeCell ref="AV327:AW327"/>
    <mergeCell ref="AX327:AY327"/>
    <mergeCell ref="AZ327:BA327"/>
    <mergeCell ref="BB327:BC327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11</xdr:col>
                    <xdr:colOff>0</xdr:colOff>
                    <xdr:row>10</xdr:row>
                    <xdr:rowOff>162000</xdr:rowOff>
                  </from>
                  <to>
                    <xdr:col>12</xdr:col>
                    <xdr:colOff>42120</xdr:colOff>
                    <xdr:row>13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4">
              <controlPr defaultSize="0" print="false" autoFill="0" autoPict="0" macro="xls.Module1.NYMEX_Pos">
                <anchor moveWithCells="true" sizeWithCells="false">
                  <from>
                    <xdr:col>11</xdr:col>
                    <xdr:colOff>0</xdr:colOff>
                    <xdr:row>10</xdr:row>
                    <xdr:rowOff>162000</xdr:rowOff>
                  </from>
                  <to>
                    <xdr:col>12</xdr:col>
                    <xdr:colOff>42120</xdr:colOff>
                    <xdr:row>13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5">
              <controlPr defaultSize="0" print="false" autoFill="0" autoPict="0">
                <anchor moveWithCells="true" sizeWithCells="false">
                  <from>
                    <xdr:col>11</xdr:col>
                    <xdr:colOff>0</xdr:colOff>
                    <xdr:row>198</xdr:row>
                    <xdr:rowOff>162000</xdr:rowOff>
                  </from>
                  <to>
                    <xdr:col>12</xdr:col>
                    <xdr:colOff>42120</xdr:colOff>
                    <xdr:row>201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6">
              <controlPr defaultSize="0" print="false" autoFill="0" autoPict="0" macro="xls.Module1.AECO_Pos">
                <anchor moveWithCells="true" sizeWithCells="false">
                  <from>
                    <xdr:col>11</xdr:col>
                    <xdr:colOff>0</xdr:colOff>
                    <xdr:row>198</xdr:row>
                    <xdr:rowOff>162000</xdr:rowOff>
                  </from>
                  <to>
                    <xdr:col>12</xdr:col>
                    <xdr:colOff>42120</xdr:colOff>
                    <xdr:row>201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9">
              <controlPr defaultSize="0" print="false" autoFill="0" autoPict="0">
                <anchor moveWithCells="true" sizeWithCells="false">
                  <from>
                    <xdr:col>11</xdr:col>
                    <xdr:colOff>0</xdr:colOff>
                    <xdr:row>327</xdr:row>
                    <xdr:rowOff>162000</xdr:rowOff>
                  </from>
                  <to>
                    <xdr:col>12</xdr:col>
                    <xdr:colOff>42120</xdr:colOff>
                    <xdr:row>330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0">
              <controlPr defaultSize="0" print="false" autoFill="0" autoPict="0" macro="xls.Module1.GasDaily_Pos">
                <anchor moveWithCells="true" sizeWithCells="false">
                  <from>
                    <xdr:col>11</xdr:col>
                    <xdr:colOff>0</xdr:colOff>
                    <xdr:row>327</xdr:row>
                    <xdr:rowOff>162000</xdr:rowOff>
                  </from>
                  <to>
                    <xdr:col>12</xdr:col>
                    <xdr:colOff>42120</xdr:colOff>
                    <xdr:row>330</xdr:row>
                    <xdr:rowOff>85680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W1:AK1367"/>
  <sheetViews>
    <sheetView showFormulas="false" showGridLines="true" showRowColHeaders="true" showZeros="true" rightToLeft="false" tabSelected="false" showOutlineSymbols="true" defaultGridColor="true" view="normal" topLeftCell="W1" colorId="64" zoomScale="100" zoomScaleNormal="100" zoomScalePageLayoutView="100" workbookViewId="0">
      <selection pane="topLeft" activeCell="AB11" activeCellId="0" sqref="AB11"/>
    </sheetView>
  </sheetViews>
  <sheetFormatPr defaultColWidth="9.0546875" defaultRowHeight="12.75" customHeight="true" zeroHeight="false" outlineLevelRow="0" outlineLevelCol="0"/>
  <cols>
    <col collapsed="false" customWidth="false" hidden="true" outlineLevel="0" max="22" min="1" style="0" width="9.06"/>
    <col collapsed="false" customWidth="true" hidden="false" outlineLevel="0" max="23" min="23" style="354" width="11.28"/>
    <col collapsed="false" customWidth="true" hidden="false" outlineLevel="0" max="24" min="24" style="355" width="19.28"/>
    <col collapsed="false" customWidth="true" hidden="false" outlineLevel="0" max="25" min="25" style="354" width="15.41"/>
    <col collapsed="false" customWidth="true" hidden="false" outlineLevel="0" max="27" min="26" style="354" width="9.14"/>
    <col collapsed="false" customWidth="true" hidden="false" outlineLevel="0" max="28" min="28" style="354" width="14.28"/>
    <col collapsed="false" customWidth="true" hidden="false" outlineLevel="0" max="30" min="29" style="354" width="9.14"/>
    <col collapsed="false" customWidth="true" hidden="false" outlineLevel="0" max="31" min="31" style="0" width="12.99"/>
    <col collapsed="false" customWidth="true" hidden="false" outlineLevel="0" max="32" min="32" style="0" width="16.99"/>
    <col collapsed="false" customWidth="true" hidden="false" outlineLevel="0" max="33" min="33" style="0" width="13.7"/>
  </cols>
  <sheetData>
    <row r="1" customFormat="false" ht="15.75" hidden="false" customHeight="false" outlineLevel="0" collapsed="false">
      <c r="X1" s="356" t="s">
        <v>132</v>
      </c>
      <c r="AB1" s="357"/>
      <c r="AC1" s="357"/>
      <c r="AD1" s="357"/>
      <c r="AF1" s="356" t="s">
        <v>132</v>
      </c>
      <c r="AG1" s="354"/>
    </row>
    <row r="2" customFormat="false" ht="12.75" hidden="false" customHeight="false" outlineLevel="0" collapsed="false">
      <c r="X2" s="358" t="s">
        <v>133</v>
      </c>
      <c r="AB2" s="357"/>
      <c r="AC2" s="357"/>
      <c r="AD2" s="357"/>
      <c r="AF2" s="358" t="s">
        <v>133</v>
      </c>
      <c r="AG2" s="354"/>
    </row>
    <row r="3" customFormat="false" ht="12.75" hidden="false" customHeight="false" outlineLevel="0" collapsed="false">
      <c r="X3" s="359" t="s">
        <v>134</v>
      </c>
      <c r="Y3" s="360"/>
      <c r="AB3" s="357"/>
      <c r="AC3" s="357"/>
      <c r="AD3" s="357"/>
      <c r="AF3" s="359" t="s">
        <v>134</v>
      </c>
      <c r="AG3" s="360"/>
    </row>
    <row r="4" customFormat="false" ht="12.75" hidden="false" customHeight="false" outlineLevel="0" collapsed="false">
      <c r="X4" s="359" t="s">
        <v>134</v>
      </c>
      <c r="Y4" s="358" t="s">
        <v>135</v>
      </c>
      <c r="AB4" s="357"/>
      <c r="AC4" s="357"/>
      <c r="AD4" s="357"/>
      <c r="AF4" s="359" t="s">
        <v>134</v>
      </c>
      <c r="AG4" s="358" t="s">
        <v>136</v>
      </c>
    </row>
    <row r="5" customFormat="false" ht="12.75" hidden="false" customHeight="false" outlineLevel="0" collapsed="false">
      <c r="X5" s="361" t="n">
        <f aca="false">[2]Top!$D$5</f>
        <v>37188</v>
      </c>
      <c r="Y5" s="359" t="s">
        <v>137</v>
      </c>
      <c r="AF5" s="361" t="n">
        <f aca="false">[2]Top!$D$5</f>
        <v>37188</v>
      </c>
      <c r="AG5" s="359" t="s">
        <v>138</v>
      </c>
    </row>
    <row r="6" customFormat="false" ht="15.75" hidden="false" customHeight="false" outlineLevel="0" collapsed="false">
      <c r="X6" s="362" t="n">
        <f aca="false">W8</f>
        <v>37196</v>
      </c>
      <c r="Y6" s="359" t="s">
        <v>139</v>
      </c>
      <c r="AB6" s="363"/>
      <c r="AC6" s="364"/>
      <c r="AD6" s="364"/>
      <c r="AF6" s="362" t="n">
        <f aca="false">AE8</f>
        <v>37196</v>
      </c>
      <c r="AG6" s="359" t="s">
        <v>139</v>
      </c>
    </row>
    <row r="7" customFormat="false" ht="12.75" hidden="false" customHeight="false" outlineLevel="0" collapsed="false">
      <c r="AA7" s="354" t="s">
        <v>140</v>
      </c>
      <c r="AB7" s="365" t="s">
        <v>141</v>
      </c>
      <c r="AC7" s="365" t="s">
        <v>34</v>
      </c>
      <c r="AD7" s="365"/>
      <c r="AI7" s="354" t="s">
        <v>140</v>
      </c>
      <c r="AJ7" s="365" t="s">
        <v>141</v>
      </c>
      <c r="AK7" s="365" t="s">
        <v>34</v>
      </c>
    </row>
    <row r="8" customFormat="false" ht="12.75" hidden="false" customHeight="false" outlineLevel="0" collapsed="false">
      <c r="W8" s="366" t="n">
        <f aca="false">DATE(YEAR(X5+31),MONTH(X5+31),1)</f>
        <v>37196</v>
      </c>
      <c r="X8" s="367" t="n">
        <v>37196</v>
      </c>
      <c r="Y8" s="0" t="n">
        <v>0.0279780254170245</v>
      </c>
      <c r="Z8" s="365"/>
      <c r="AA8" s="365" t="n">
        <f aca="false">YEAR(X8)</f>
        <v>2001</v>
      </c>
      <c r="AB8" s="365" t="n">
        <f aca="false">MONTH(X8)</f>
        <v>11</v>
      </c>
      <c r="AC8" s="368" t="n">
        <f aca="false">(1+Y8/2)^(-(DATE(AA9,AB9,5)-TradeSum!$B$2)/182.625)</f>
        <v>0.99688603656891</v>
      </c>
      <c r="AD8" s="365"/>
      <c r="AE8" s="366" t="n">
        <f aca="false">DATE(YEAR(AF5+31),MONTH(AF5+31),1)</f>
        <v>37196</v>
      </c>
      <c r="AF8" s="367" t="n">
        <v>37196</v>
      </c>
      <c r="AG8" s="0" t="n">
        <v>0.0260844964078246</v>
      </c>
      <c r="AI8" s="365" t="n">
        <f aca="false">YEAR(AF8)</f>
        <v>2001</v>
      </c>
      <c r="AJ8" s="365" t="n">
        <f aca="false">MONTH(AF8)</f>
        <v>11</v>
      </c>
      <c r="AK8" s="368" t="n">
        <f aca="false">(1+AG8/2)^(-(DATE(AI9,AJ9,5)-TradeSum!$B$2)/182.625)</f>
        <v>0.997095123182703</v>
      </c>
    </row>
    <row r="9" customFormat="false" ht="12.75" hidden="false" customHeight="false" outlineLevel="0" collapsed="false">
      <c r="X9" s="367" t="n">
        <v>37226</v>
      </c>
      <c r="Y9" s="0" t="n">
        <v>0.0278393754011042</v>
      </c>
      <c r="Z9" s="365"/>
      <c r="AA9" s="365" t="n">
        <f aca="false">YEAR(X9)</f>
        <v>2001</v>
      </c>
      <c r="AB9" s="365" t="n">
        <f aca="false">MONTH(X9)</f>
        <v>12</v>
      </c>
      <c r="AC9" s="368" t="n">
        <f aca="false">(1+Y9/2)^(-(DATE(AA10,AB10,5)-TradeSum!$B$2)/182.625)</f>
        <v>0.99456482404642</v>
      </c>
      <c r="AD9" s="369"/>
      <c r="AF9" s="367" t="n">
        <v>37226</v>
      </c>
      <c r="AG9" s="0" t="n">
        <v>0.0245172430235603</v>
      </c>
      <c r="AI9" s="365" t="n">
        <f aca="false">YEAR(AF9)</f>
        <v>2001</v>
      </c>
      <c r="AJ9" s="365" t="n">
        <f aca="false">MONTH(AF9)</f>
        <v>12</v>
      </c>
      <c r="AK9" s="368" t="n">
        <f aca="false">(1+AG9/2)^(-(DATE(AI10,AJ10,5)-TradeSum!$B$2)/182.625)</f>
        <v>0.995207933815401</v>
      </c>
    </row>
    <row r="10" customFormat="false" ht="12.75" hidden="false" customHeight="false" outlineLevel="0" collapsed="false">
      <c r="X10" s="367" t="n">
        <v>37257</v>
      </c>
      <c r="Y10" s="0" t="n">
        <v>0.0269459303033504</v>
      </c>
      <c r="Z10" s="365"/>
      <c r="AA10" s="365" t="n">
        <f aca="false">YEAR(X10)</f>
        <v>2002</v>
      </c>
      <c r="AB10" s="365" t="n">
        <f aca="false">MONTH(X10)</f>
        <v>1</v>
      </c>
      <c r="AC10" s="368" t="n">
        <f aca="false">(1+Y10/2)^(-(DATE(AA11,AB11,5)-TradeSum!$B$2)/182.625)</f>
        <v>0.992480432457845</v>
      </c>
      <c r="AD10" s="365"/>
      <c r="AF10" s="367" t="n">
        <v>37257</v>
      </c>
      <c r="AG10" s="0" t="n">
        <v>0.0238992978137045</v>
      </c>
      <c r="AI10" s="365" t="n">
        <f aca="false">YEAR(AF10)</f>
        <v>2002</v>
      </c>
      <c r="AJ10" s="365" t="n">
        <f aca="false">MONTH(AF10)</f>
        <v>1</v>
      </c>
      <c r="AK10" s="368" t="n">
        <f aca="false">(1+AG10/2)^(-(DATE(AI11,AJ11,5)-TradeSum!$B$2)/182.625)</f>
        <v>0.993322772949378</v>
      </c>
    </row>
    <row r="11" customFormat="false" ht="12.75" hidden="false" customHeight="false" outlineLevel="0" collapsed="false">
      <c r="X11" s="367" t="n">
        <v>37288</v>
      </c>
      <c r="Y11" s="0" t="n">
        <v>0.0262524312692238</v>
      </c>
      <c r="Z11" s="365"/>
      <c r="AA11" s="365" t="n">
        <f aca="false">YEAR(X11)</f>
        <v>2002</v>
      </c>
      <c r="AB11" s="365" t="n">
        <f aca="false">MONTH(X11)</f>
        <v>2</v>
      </c>
      <c r="AC11" s="368" t="n">
        <f aca="false">(1+Y11/2)^(-(DATE(AA12,AB12,5)-TradeSum!$B$2)/182.625)</f>
        <v>0.990689220336398</v>
      </c>
      <c r="AD11" s="365"/>
      <c r="AF11" s="367" t="n">
        <v>37288</v>
      </c>
      <c r="AG11" s="0" t="n">
        <v>0.0236968871405265</v>
      </c>
      <c r="AI11" s="365" t="n">
        <f aca="false">YEAR(AF11)</f>
        <v>2002</v>
      </c>
      <c r="AJ11" s="365" t="n">
        <f aca="false">MONTH(AF11)</f>
        <v>2</v>
      </c>
      <c r="AK11" s="368" t="n">
        <f aca="false">(1+AG11/2)^(-(DATE(AI12,AJ12,5)-TradeSum!$B$2)/182.625)</f>
        <v>0.991586460991933</v>
      </c>
    </row>
    <row r="12" customFormat="false" ht="12.75" hidden="false" customHeight="false" outlineLevel="0" collapsed="false">
      <c r="X12" s="367" t="n">
        <v>37316</v>
      </c>
      <c r="Y12" s="0" t="n">
        <v>0.0254753844919331</v>
      </c>
      <c r="Z12" s="365"/>
      <c r="AA12" s="365" t="n">
        <f aca="false">YEAR(X12)</f>
        <v>2002</v>
      </c>
      <c r="AB12" s="365" t="n">
        <f aca="false">MONTH(X12)</f>
        <v>3</v>
      </c>
      <c r="AC12" s="368" t="n">
        <f aca="false">(1+Y12/2)^(-(DATE(AA13,AB13,5)-TradeSum!$B$2)/182.625)</f>
        <v>0.988835009711636</v>
      </c>
      <c r="AD12" s="370"/>
      <c r="AF12" s="367" t="n">
        <v>37316</v>
      </c>
      <c r="AG12" s="0" t="n">
        <v>0.0232915660287771</v>
      </c>
      <c r="AI12" s="365" t="n">
        <f aca="false">YEAR(AF12)</f>
        <v>2002</v>
      </c>
      <c r="AJ12" s="365" t="n">
        <f aca="false">MONTH(AF12)</f>
        <v>3</v>
      </c>
      <c r="AK12" s="368" t="n">
        <f aca="false">(1+AG12/2)^(-(DATE(AI13,AJ13,5)-TradeSum!$B$2)/182.625)</f>
        <v>0.989781705014466</v>
      </c>
    </row>
    <row r="13" customFormat="false" ht="12.75" hidden="false" customHeight="false" outlineLevel="0" collapsed="false">
      <c r="X13" s="367" t="n">
        <v>37347</v>
      </c>
      <c r="Y13" s="0" t="n">
        <v>0.0249425217763823</v>
      </c>
      <c r="Z13" s="365"/>
      <c r="AA13" s="365" t="n">
        <f aca="false">YEAR(X13)</f>
        <v>2002</v>
      </c>
      <c r="AB13" s="365" t="n">
        <f aca="false">MONTH(X13)</f>
        <v>4</v>
      </c>
      <c r="AC13" s="368" t="n">
        <f aca="false">(1+Y13/2)^(-(DATE(AA14,AB14,5)-TradeSum!$B$2)/182.625)</f>
        <v>0.987054143385943</v>
      </c>
      <c r="AD13" s="365"/>
      <c r="AF13" s="367" t="n">
        <v>37347</v>
      </c>
      <c r="AG13" s="0" t="n">
        <v>0.0230475763804585</v>
      </c>
      <c r="AI13" s="365" t="n">
        <f aca="false">YEAR(AF13)</f>
        <v>2002</v>
      </c>
      <c r="AJ13" s="365" t="n">
        <f aca="false">MONTH(AF13)</f>
        <v>4</v>
      </c>
      <c r="AK13" s="368" t="n">
        <f aca="false">(1+AG13/2)^(-(DATE(AI14,AJ14,5)-TradeSum!$B$2)/182.625)</f>
        <v>0.988026180880843</v>
      </c>
    </row>
    <row r="14" customFormat="false" ht="12.75" hidden="false" customHeight="false" outlineLevel="0" collapsed="false">
      <c r="X14" s="367" t="n">
        <v>37377</v>
      </c>
      <c r="Y14" s="0" t="n">
        <v>0.0248116266064957</v>
      </c>
      <c r="Z14" s="365"/>
      <c r="AA14" s="365" t="n">
        <f aca="false">YEAR(X14)</f>
        <v>2002</v>
      </c>
      <c r="AB14" s="365" t="n">
        <f aca="false">MONTH(X14)</f>
        <v>5</v>
      </c>
      <c r="AC14" s="368" t="n">
        <f aca="false">(1+Y14/2)^(-(DATE(AA15,AB15,5)-TradeSum!$B$2)/182.625)</f>
        <v>0.985057450918176</v>
      </c>
      <c r="AD14" s="365"/>
      <c r="AF14" s="367" t="n">
        <v>37377</v>
      </c>
      <c r="AG14" s="0" t="n">
        <v>0.0230830443606651</v>
      </c>
      <c r="AI14" s="365" t="n">
        <f aca="false">YEAR(AF14)</f>
        <v>2002</v>
      </c>
      <c r="AJ14" s="365" t="n">
        <f aca="false">MONTH(AF14)</f>
        <v>5</v>
      </c>
      <c r="AK14" s="368" t="n">
        <f aca="false">(1+AG14/2)^(-(DATE(AI15,AJ15,5)-TradeSum!$B$2)/182.625)</f>
        <v>0.986085286244252</v>
      </c>
    </row>
    <row r="15" customFormat="false" ht="12.75" hidden="false" customHeight="false" outlineLevel="0" collapsed="false">
      <c r="X15" s="367" t="n">
        <v>37408</v>
      </c>
      <c r="Y15" s="0" t="n">
        <v>0.0246763682703643</v>
      </c>
      <c r="Z15" s="365"/>
      <c r="AA15" s="365" t="n">
        <f aca="false">YEAR(X15)</f>
        <v>2002</v>
      </c>
      <c r="AB15" s="365" t="n">
        <f aca="false">MONTH(X15)</f>
        <v>6</v>
      </c>
      <c r="AC15" s="368" t="n">
        <f aca="false">(1+Y15/2)^(-(DATE(AA16,AB16,5)-TradeSum!$B$2)/182.625)</f>
        <v>0.983155337941403</v>
      </c>
      <c r="AD15" s="371"/>
      <c r="AF15" s="367" t="n">
        <v>37408</v>
      </c>
      <c r="AG15" s="0" t="n">
        <v>0.0231196946073253</v>
      </c>
      <c r="AI15" s="365" t="n">
        <f aca="false">YEAR(AF15)</f>
        <v>2002</v>
      </c>
      <c r="AJ15" s="365" t="n">
        <f aca="false">MONTH(AF15)</f>
        <v>6</v>
      </c>
      <c r="AK15" s="368" t="n">
        <f aca="false">(1+AG15/2)^(-(DATE(AI16,AJ16,5)-TradeSum!$B$2)/182.625)</f>
        <v>0.984203486410364</v>
      </c>
    </row>
    <row r="16" customFormat="false" ht="12.75" hidden="false" customHeight="false" outlineLevel="0" collapsed="false">
      <c r="X16" s="367" t="n">
        <v>37438</v>
      </c>
      <c r="Y16" s="0" t="n">
        <v>0.0246799945364118</v>
      </c>
      <c r="Z16" s="365"/>
      <c r="AA16" s="365" t="n">
        <f aca="false">YEAR(X16)</f>
        <v>2002</v>
      </c>
      <c r="AB16" s="365" t="n">
        <f aca="false">MONTH(X16)</f>
        <v>7</v>
      </c>
      <c r="AC16" s="368" t="n">
        <f aca="false">(1+Y16/2)^(-(DATE(AA17,AB17,5)-TradeSum!$B$2)/182.625)</f>
        <v>0.981108245208763</v>
      </c>
      <c r="AD16" s="371"/>
      <c r="AF16" s="367" t="n">
        <v>37438</v>
      </c>
      <c r="AG16" s="0" t="n">
        <v>0.0232560254041334</v>
      </c>
      <c r="AI16" s="365" t="n">
        <f aca="false">YEAR(AF16)</f>
        <v>2002</v>
      </c>
      <c r="AJ16" s="365" t="n">
        <f aca="false">MONTH(AF16)</f>
        <v>7</v>
      </c>
      <c r="AK16" s="368" t="n">
        <f aca="false">(1+AG16/2)^(-(DATE(AI17,AJ17,5)-TradeSum!$B$2)/182.625)</f>
        <v>0.982182258329788</v>
      </c>
    </row>
    <row r="17" customFormat="false" ht="12.75" hidden="false" customHeight="false" outlineLevel="0" collapsed="false">
      <c r="X17" s="367" t="n">
        <v>37469</v>
      </c>
      <c r="Y17" s="0" t="n">
        <v>0.0248491909815556</v>
      </c>
      <c r="Z17" s="365"/>
      <c r="AA17" s="365" t="n">
        <f aca="false">YEAR(X17)</f>
        <v>2002</v>
      </c>
      <c r="AB17" s="365" t="n">
        <f aca="false">MONTH(X17)</f>
        <v>8</v>
      </c>
      <c r="AC17" s="368" t="n">
        <f aca="false">(1+Y17/2)^(-(DATE(AA18,AB18,5)-TradeSum!$B$2)/182.625)</f>
        <v>0.978926737151134</v>
      </c>
      <c r="AD17" s="371"/>
      <c r="AF17" s="367" t="n">
        <v>37469</v>
      </c>
      <c r="AG17" s="0" t="n">
        <v>0.0235600301315353</v>
      </c>
      <c r="AI17" s="365" t="n">
        <f aca="false">YEAR(AF17)</f>
        <v>2002</v>
      </c>
      <c r="AJ17" s="365" t="n">
        <f aca="false">MONTH(AF17)</f>
        <v>8</v>
      </c>
      <c r="AK17" s="368" t="n">
        <f aca="false">(1+AG17/2)^(-(DATE(AI18,AJ18,5)-TradeSum!$B$2)/182.625)</f>
        <v>0.980002686403429</v>
      </c>
    </row>
    <row r="18" customFormat="false" ht="12.75" hidden="false" customHeight="false" outlineLevel="0" collapsed="false">
      <c r="X18" s="367" t="n">
        <v>37500</v>
      </c>
      <c r="Y18" s="0" t="n">
        <v>0.0250183874363752</v>
      </c>
      <c r="Z18" s="365"/>
      <c r="AA18" s="365" t="n">
        <f aca="false">YEAR(X18)</f>
        <v>2002</v>
      </c>
      <c r="AB18" s="365" t="n">
        <f aca="false">MONTH(X18)</f>
        <v>9</v>
      </c>
      <c r="AC18" s="368" t="n">
        <f aca="false">(1+Y18/2)^(-(DATE(AA19,AB19,5)-TradeSum!$B$2)/182.625)</f>
        <v>0.976788872773786</v>
      </c>
      <c r="AD18" s="371"/>
      <c r="AF18" s="367" t="n">
        <v>37500</v>
      </c>
      <c r="AG18" s="0" t="n">
        <v>0.0238640348901975</v>
      </c>
      <c r="AI18" s="365" t="n">
        <f aca="false">YEAR(AF18)</f>
        <v>2002</v>
      </c>
      <c r="AJ18" s="365" t="n">
        <f aca="false">MONTH(AF18)</f>
        <v>9</v>
      </c>
      <c r="AK18" s="368" t="n">
        <f aca="false">(1+AG18/2)^(-(DATE(AI19,AJ19,5)-TradeSum!$B$2)/182.625)</f>
        <v>0.977841626547643</v>
      </c>
    </row>
    <row r="19" customFormat="false" ht="12.75" hidden="false" customHeight="false" outlineLevel="0" collapsed="false">
      <c r="X19" s="367" t="n">
        <v>37530</v>
      </c>
      <c r="Y19" s="0" t="n">
        <v>0.0252928590745647</v>
      </c>
      <c r="Z19" s="365"/>
      <c r="AA19" s="365" t="n">
        <f aca="false">YEAR(X19)</f>
        <v>2002</v>
      </c>
      <c r="AB19" s="365" t="n">
        <f aca="false">MONTH(X19)</f>
        <v>10</v>
      </c>
      <c r="AC19" s="368" t="n">
        <f aca="false">(1+Y19/2)^(-(DATE(AA20,AB20,5)-TradeSum!$B$2)/182.625)</f>
        <v>0.974457852244904</v>
      </c>
      <c r="AD19" s="371"/>
      <c r="AF19" s="367" t="n">
        <v>37530</v>
      </c>
      <c r="AG19" s="0" t="n">
        <v>0.024236772016891</v>
      </c>
      <c r="AI19" s="365" t="n">
        <f aca="false">YEAR(AF19)</f>
        <v>2002</v>
      </c>
      <c r="AJ19" s="365" t="n">
        <f aca="false">MONTH(AF19)</f>
        <v>10</v>
      </c>
      <c r="AK19" s="368" t="n">
        <f aca="false">(1+AG19/2)^(-(DATE(AI20,AJ20,5)-TradeSum!$B$2)/182.625)</f>
        <v>0.975504857905375</v>
      </c>
    </row>
    <row r="20" customFormat="false" ht="12.75" hidden="false" customHeight="false" outlineLevel="0" collapsed="false">
      <c r="X20" s="367" t="n">
        <v>37561</v>
      </c>
      <c r="Y20" s="0" t="n">
        <v>0.0256965654207009</v>
      </c>
      <c r="Z20" s="365"/>
      <c r="AA20" s="365" t="n">
        <f aca="false">YEAR(X20)</f>
        <v>2002</v>
      </c>
      <c r="AB20" s="365" t="n">
        <f aca="false">MONTH(X20)</f>
        <v>11</v>
      </c>
      <c r="AC20" s="368" t="n">
        <f aca="false">(1+Y20/2)^(-(DATE(AA21,AB21,5)-TradeSum!$B$2)/182.625)</f>
        <v>0.972017446191978</v>
      </c>
      <c r="AD20" s="371"/>
      <c r="AF20" s="367" t="n">
        <v>37561</v>
      </c>
      <c r="AG20" s="0" t="n">
        <v>0.0247334438910678</v>
      </c>
      <c r="AI20" s="365" t="n">
        <f aca="false">YEAR(AF20)</f>
        <v>2002</v>
      </c>
      <c r="AJ20" s="365" t="n">
        <f aca="false">MONTH(AF20)</f>
        <v>11</v>
      </c>
      <c r="AK20" s="368" t="n">
        <f aca="false">(1+AG20/2)^(-(DATE(AI21,AJ21,5)-TradeSum!$B$2)/182.625)</f>
        <v>0.973045650515394</v>
      </c>
    </row>
    <row r="21" customFormat="false" ht="12.75" hidden="false" customHeight="false" outlineLevel="0" collapsed="false">
      <c r="X21" s="367" t="n">
        <v>37591</v>
      </c>
      <c r="Y21" s="0" t="n">
        <v>0.0260872490339112</v>
      </c>
      <c r="Z21" s="365"/>
      <c r="AA21" s="365" t="n">
        <f aca="false">YEAR(X21)</f>
        <v>2002</v>
      </c>
      <c r="AB21" s="365" t="n">
        <f aca="false">MONTH(X21)</f>
        <v>12</v>
      </c>
      <c r="AC21" s="368" t="n">
        <f aca="false">(1+Y21/2)^(-(DATE(AA22,AB22,5)-TradeSum!$B$2)/182.625)</f>
        <v>0.969465835636604</v>
      </c>
      <c r="AD21" s="371"/>
      <c r="AF21" s="367" t="n">
        <v>37591</v>
      </c>
      <c r="AG21" s="0" t="n">
        <v>0.0252140941712842</v>
      </c>
      <c r="AI21" s="365" t="n">
        <f aca="false">YEAR(AF21)</f>
        <v>2002</v>
      </c>
      <c r="AJ21" s="365" t="n">
        <f aca="false">MONTH(AF21)</f>
        <v>12</v>
      </c>
      <c r="AK21" s="368" t="n">
        <f aca="false">(1+AG21/2)^(-(DATE(AI22,AJ22,5)-TradeSum!$B$2)/182.625)</f>
        <v>0.970466306497091</v>
      </c>
    </row>
    <row r="22" customFormat="false" ht="12.75" hidden="false" customHeight="false" outlineLevel="0" collapsed="false">
      <c r="X22" s="367" t="n">
        <v>37622</v>
      </c>
      <c r="Y22" s="0" t="n">
        <v>0.0265889584990853</v>
      </c>
      <c r="Z22" s="365"/>
      <c r="AA22" s="365" t="n">
        <f aca="false">YEAR(X22)</f>
        <v>2003</v>
      </c>
      <c r="AB22" s="365" t="n">
        <f aca="false">MONTH(X22)</f>
        <v>1</v>
      </c>
      <c r="AC22" s="368" t="n">
        <f aca="false">(1+Y22/2)^(-(DATE(AA23,AB23,5)-TradeSum!$B$2)/182.625)</f>
        <v>0.966721979587974</v>
      </c>
      <c r="AD22" s="371"/>
      <c r="AF22" s="367" t="n">
        <v>37622</v>
      </c>
      <c r="AG22" s="0" t="n">
        <v>0.0257702000873294</v>
      </c>
      <c r="AI22" s="365" t="n">
        <f aca="false">YEAR(AF22)</f>
        <v>2003</v>
      </c>
      <c r="AJ22" s="365" t="n">
        <f aca="false">MONTH(AF22)</f>
        <v>1</v>
      </c>
      <c r="AK22" s="368" t="n">
        <f aca="false">(1+AG22/2)^(-(DATE(AI23,AJ23,5)-TradeSum!$B$2)/182.625)</f>
        <v>0.967723569510139</v>
      </c>
    </row>
    <row r="23" customFormat="false" ht="12.75" hidden="false" customHeight="false" outlineLevel="0" collapsed="false">
      <c r="X23" s="367" t="n">
        <v>37653</v>
      </c>
      <c r="Y23" s="0" t="n">
        <v>0.0271825458903034</v>
      </c>
      <c r="Z23" s="365"/>
      <c r="AA23" s="365" t="n">
        <f aca="false">YEAR(X23)</f>
        <v>2003</v>
      </c>
      <c r="AB23" s="365" t="n">
        <f aca="false">MONTH(X23)</f>
        <v>2</v>
      </c>
      <c r="AC23" s="368" t="n">
        <f aca="false">(1+Y23/2)^(-(DATE(AA24,AB24,5)-TradeSum!$B$2)/182.625)</f>
        <v>0.963999414562844</v>
      </c>
      <c r="AD23" s="371"/>
      <c r="AF23" s="367" t="n">
        <v>37653</v>
      </c>
      <c r="AG23" s="0" t="n">
        <v>0.0263984758317775</v>
      </c>
      <c r="AI23" s="365" t="n">
        <f aca="false">YEAR(AF23)</f>
        <v>2003</v>
      </c>
      <c r="AJ23" s="365" t="n">
        <f aca="false">MONTH(AF23)</f>
        <v>2</v>
      </c>
      <c r="AK23" s="368" t="n">
        <f aca="false">(1+AG23/2)^(-(DATE(AI24,AJ24,5)-TradeSum!$B$2)/182.625)</f>
        <v>0.96501279473153</v>
      </c>
    </row>
    <row r="24" customFormat="false" ht="12.75" hidden="false" customHeight="false" outlineLevel="0" collapsed="false">
      <c r="X24" s="367" t="n">
        <v>37681</v>
      </c>
      <c r="Y24" s="0" t="n">
        <v>0.0277186894426924</v>
      </c>
      <c r="Z24" s="365"/>
      <c r="AA24" s="365" t="n">
        <f aca="false">YEAR(X24)</f>
        <v>2003</v>
      </c>
      <c r="AB24" s="365" t="n">
        <f aca="false">MONTH(X24)</f>
        <v>3</v>
      </c>
      <c r="AC24" s="368" t="n">
        <f aca="false">(1+Y24/2)^(-(DATE(AA25,AB25,5)-TradeSum!$B$2)/182.625)</f>
        <v>0.961059239616015</v>
      </c>
      <c r="AD24" s="371"/>
      <c r="AF24" s="367" t="n">
        <v>37681</v>
      </c>
      <c r="AG24" s="0" t="n">
        <v>0.0269659508123317</v>
      </c>
      <c r="AI24" s="365" t="n">
        <f aca="false">YEAR(AF24)</f>
        <v>2003</v>
      </c>
      <c r="AJ24" s="365" t="n">
        <f aca="false">MONTH(AF24)</f>
        <v>3</v>
      </c>
      <c r="AK24" s="368" t="n">
        <f aca="false">(1+AG24/2)^(-(DATE(AI25,AJ25,5)-TradeSum!$B$2)/182.625)</f>
        <v>0.962089507942958</v>
      </c>
    </row>
    <row r="25" customFormat="false" ht="12.75" hidden="false" customHeight="false" outlineLevel="0" collapsed="false">
      <c r="X25" s="367" t="n">
        <v>37712</v>
      </c>
      <c r="Y25" s="0" t="n">
        <v>0.0283122770603024</v>
      </c>
      <c r="Z25" s="365"/>
      <c r="AA25" s="365" t="n">
        <f aca="false">YEAR(X25)</f>
        <v>2003</v>
      </c>
      <c r="AB25" s="365" t="n">
        <f aca="false">MONTH(X25)</f>
        <v>4</v>
      </c>
      <c r="AC25" s="368" t="n">
        <f aca="false">(1+Y25/2)^(-(DATE(AA26,AB26,5)-TradeSum!$B$2)/182.625)</f>
        <v>0.958033061168373</v>
      </c>
      <c r="AD25" s="371"/>
      <c r="AF25" s="367" t="n">
        <v>37712</v>
      </c>
      <c r="AG25" s="0" t="n">
        <v>0.0275961195217791</v>
      </c>
      <c r="AI25" s="365" t="n">
        <f aca="false">YEAR(AF25)</f>
        <v>2003</v>
      </c>
      <c r="AJ25" s="365" t="n">
        <f aca="false">MONTH(AF25)</f>
        <v>4</v>
      </c>
      <c r="AK25" s="368" t="n">
        <f aca="false">(1+AG25/2)^(-(DATE(AI26,AJ26,5)-TradeSum!$B$2)/182.625)</f>
        <v>0.959065489223597</v>
      </c>
    </row>
    <row r="26" customFormat="false" ht="12.75" hidden="false" customHeight="false" outlineLevel="0" collapsed="false">
      <c r="X26" s="367" t="n">
        <v>37742</v>
      </c>
      <c r="Y26" s="0" t="n">
        <v>0.028886716803457</v>
      </c>
      <c r="Z26" s="365"/>
      <c r="AA26" s="365" t="n">
        <f aca="false">YEAR(X26)</f>
        <v>2003</v>
      </c>
      <c r="AB26" s="365" t="n">
        <f aca="false">MONTH(X26)</f>
        <v>5</v>
      </c>
      <c r="AC26" s="368" t="n">
        <f aca="false">(1+Y26/2)^(-(DATE(AA27,AB27,5)-TradeSum!$B$2)/182.625)</f>
        <v>0.954878828263906</v>
      </c>
      <c r="AD26" s="371"/>
      <c r="AF26" s="367" t="n">
        <v>37742</v>
      </c>
      <c r="AG26" s="0" t="n">
        <v>0.028199627040574</v>
      </c>
      <c r="AI26" s="365" t="n">
        <f aca="false">YEAR(AF26)</f>
        <v>2003</v>
      </c>
      <c r="AJ26" s="365" t="n">
        <f aca="false">MONTH(AF26)</f>
        <v>5</v>
      </c>
      <c r="AK26" s="368" t="n">
        <f aca="false">(1+AG26/2)^(-(DATE(AI27,AJ27,5)-TradeSum!$B$2)/182.625)</f>
        <v>0.955920741176555</v>
      </c>
    </row>
    <row r="27" customFormat="false" ht="12.75" hidden="false" customHeight="false" outlineLevel="0" collapsed="false">
      <c r="X27" s="367" t="n">
        <v>37773</v>
      </c>
      <c r="Y27" s="0" t="n">
        <v>0.0294803046549994</v>
      </c>
      <c r="Z27" s="365"/>
      <c r="AA27" s="365" t="n">
        <f aca="false">YEAR(X27)</f>
        <v>2003</v>
      </c>
      <c r="AB27" s="365" t="n">
        <f aca="false">MONTH(X27)</f>
        <v>6</v>
      </c>
      <c r="AC27" s="368" t="n">
        <f aca="false">(1+Y27/2)^(-(DATE(AA28,AB28,5)-TradeSum!$B$2)/182.625)</f>
        <v>0.951689565702353</v>
      </c>
      <c r="AD27" s="371"/>
      <c r="AF27" s="367" t="n">
        <v>37773</v>
      </c>
      <c r="AG27" s="0" t="n">
        <v>0.0288232516057914</v>
      </c>
      <c r="AI27" s="365" t="n">
        <f aca="false">YEAR(AF27)</f>
        <v>2003</v>
      </c>
      <c r="AJ27" s="365" t="n">
        <f aca="false">MONTH(AF27)</f>
        <v>6</v>
      </c>
      <c r="AK27" s="368" t="n">
        <f aca="false">(1+AG27/2)^(-(DATE(AI28,AJ28,5)-TradeSum!$B$2)/182.625)</f>
        <v>0.952732957509094</v>
      </c>
    </row>
    <row r="28" customFormat="false" ht="12.75" hidden="false" customHeight="false" outlineLevel="0" collapsed="false">
      <c r="X28" s="367" t="n">
        <v>37803</v>
      </c>
      <c r="Y28" s="0" t="n">
        <v>0.0300547446244757</v>
      </c>
      <c r="Z28" s="365"/>
      <c r="AA28" s="365" t="n">
        <f aca="false">YEAR(X28)</f>
        <v>2003</v>
      </c>
      <c r="AB28" s="365" t="n">
        <f aca="false">MONTH(X28)</f>
        <v>7</v>
      </c>
      <c r="AC28" s="368" t="n">
        <f aca="false">(1+Y28/2)^(-(DATE(AA29,AB29,5)-TradeSum!$B$2)/182.625)</f>
        <v>0.948374370921429</v>
      </c>
      <c r="AD28" s="371"/>
      <c r="AF28" s="367" t="n">
        <v>37803</v>
      </c>
      <c r="AG28" s="0" t="n">
        <v>0.029429178016152</v>
      </c>
      <c r="AI28" s="365" t="n">
        <f aca="false">YEAR(AF28)</f>
        <v>2003</v>
      </c>
      <c r="AJ28" s="365" t="n">
        <f aca="false">MONTH(AF28)</f>
        <v>7</v>
      </c>
      <c r="AK28" s="368" t="n">
        <f aca="false">(1+AG28/2)^(-(DATE(AI29,AJ29,5)-TradeSum!$B$2)/182.625)</f>
        <v>0.949413656410094</v>
      </c>
    </row>
    <row r="29" customFormat="false" ht="12.75" hidden="false" customHeight="false" outlineLevel="0" collapsed="false">
      <c r="X29" s="367" t="n">
        <v>37834</v>
      </c>
      <c r="Y29" s="0" t="n">
        <v>0.0306483327098173</v>
      </c>
      <c r="Z29" s="365"/>
      <c r="AA29" s="365" t="n">
        <f aca="false">YEAR(X29)</f>
        <v>2003</v>
      </c>
      <c r="AB29" s="365" t="n">
        <f aca="false">MONTH(X29)</f>
        <v>8</v>
      </c>
      <c r="AC29" s="368" t="n">
        <f aca="false">(1+Y29/2)^(-(DATE(AA30,AB30,5)-TradeSum!$B$2)/182.625)</f>
        <v>0.944947030405288</v>
      </c>
      <c r="AD29" s="371"/>
      <c r="AF29" s="367" t="n">
        <v>37834</v>
      </c>
      <c r="AG29" s="0" t="n">
        <v>0.0300587742462763</v>
      </c>
      <c r="AI29" s="365" t="n">
        <f aca="false">YEAR(AF29)</f>
        <v>2003</v>
      </c>
      <c r="AJ29" s="365" t="n">
        <f aca="false">MONTH(AF29)</f>
        <v>8</v>
      </c>
      <c r="AK29" s="368" t="n">
        <f aca="false">(1+AG29/2)^(-(DATE(AI30,AJ30,5)-TradeSum!$B$2)/182.625)</f>
        <v>0.945969254608186</v>
      </c>
    </row>
    <row r="30" customFormat="false" ht="12.75" hidden="false" customHeight="false" outlineLevel="0" collapsed="false">
      <c r="X30" s="367" t="n">
        <v>37865</v>
      </c>
      <c r="Y30" s="0" t="n">
        <v>0.0312419209139225</v>
      </c>
      <c r="Z30" s="365"/>
      <c r="AA30" s="365" t="n">
        <f aca="false">YEAR(X30)</f>
        <v>2003</v>
      </c>
      <c r="AB30" s="365" t="n">
        <f aca="false">MONTH(X30)</f>
        <v>9</v>
      </c>
      <c r="AC30" s="368" t="n">
        <f aca="false">(1+Y30/2)^(-(DATE(AA31,AB31,5)-TradeSum!$B$2)/182.625)</f>
        <v>0.941518850909496</v>
      </c>
      <c r="AD30" s="371"/>
      <c r="AF30" s="367" t="n">
        <v>37865</v>
      </c>
      <c r="AG30" s="0" t="n">
        <v>0.0306883706100498</v>
      </c>
      <c r="AI30" s="365" t="n">
        <f aca="false">YEAR(AF30)</f>
        <v>2003</v>
      </c>
      <c r="AJ30" s="365" t="n">
        <f aca="false">MONTH(AF30)</f>
        <v>9</v>
      </c>
      <c r="AK30" s="368" t="n">
        <f aca="false">(1+AG30/2)^(-(DATE(AI31,AJ31,5)-TradeSum!$B$2)/182.625)</f>
        <v>0.942517037843269</v>
      </c>
    </row>
    <row r="31" customFormat="false" ht="12.75" hidden="false" customHeight="false" outlineLevel="0" collapsed="false">
      <c r="X31" s="367" t="n">
        <v>37895</v>
      </c>
      <c r="Y31" s="0" t="n">
        <v>0.0318163612244908</v>
      </c>
      <c r="Z31" s="365"/>
      <c r="AA31" s="365" t="n">
        <f aca="false">YEAR(X31)</f>
        <v>2003</v>
      </c>
      <c r="AB31" s="365" t="n">
        <f aca="false">MONTH(X31)</f>
        <v>10</v>
      </c>
      <c r="AC31" s="368" t="n">
        <f aca="false">(1+Y31/2)^(-(DATE(AA32,AB32,5)-TradeSum!$B$2)/182.625)</f>
        <v>0.937968111815695</v>
      </c>
      <c r="AD31" s="371"/>
      <c r="AF31" s="367" t="n">
        <v>37895</v>
      </c>
      <c r="AG31" s="0" t="n">
        <v>0.0312888650705756</v>
      </c>
      <c r="AI31" s="365" t="n">
        <f aca="false">YEAR(AF31)</f>
        <v>2003</v>
      </c>
      <c r="AJ31" s="365" t="n">
        <f aca="false">MONTH(AF31)</f>
        <v>10</v>
      </c>
      <c r="AK31" s="368" t="n">
        <f aca="false">(1+AG31/2)^(-(DATE(AI32,AJ32,5)-TradeSum!$B$2)/182.625)</f>
        <v>0.938956815314589</v>
      </c>
    </row>
    <row r="32" customFormat="false" ht="12.75" hidden="false" customHeight="false" outlineLevel="0" collapsed="false">
      <c r="X32" s="367" t="n">
        <v>37926</v>
      </c>
      <c r="Y32" s="0" t="n">
        <v>0.0323819122690567</v>
      </c>
      <c r="Z32" s="365"/>
      <c r="AA32" s="365" t="n">
        <f aca="false">YEAR(X32)</f>
        <v>2003</v>
      </c>
      <c r="AB32" s="365" t="n">
        <f aca="false">MONTH(X32)</f>
        <v>11</v>
      </c>
      <c r="AC32" s="368" t="n">
        <f aca="false">(1+Y32/2)^(-(DATE(AA33,AB33,5)-TradeSum!$B$2)/182.625)</f>
        <v>0.934440834717945</v>
      </c>
      <c r="AD32" s="371"/>
      <c r="AF32" s="367" t="n">
        <v>37926</v>
      </c>
      <c r="AG32" s="0" t="n">
        <v>0.0318983706846323</v>
      </c>
      <c r="AI32" s="365" t="n">
        <f aca="false">YEAR(AF32)</f>
        <v>2003</v>
      </c>
      <c r="AJ32" s="365" t="n">
        <f aca="false">MONTH(AF32)</f>
        <v>11</v>
      </c>
      <c r="AK32" s="368" t="n">
        <f aca="false">(1+AG32/2)^(-(DATE(AI33,AJ33,5)-TradeSum!$B$2)/182.625)</f>
        <v>0.935380004886363</v>
      </c>
    </row>
    <row r="33" customFormat="false" ht="12.75" hidden="false" customHeight="false" outlineLevel="0" collapsed="false">
      <c r="X33" s="367" t="n">
        <v>37956</v>
      </c>
      <c r="Y33" s="0" t="n">
        <v>0.032851212557957</v>
      </c>
      <c r="Z33" s="365"/>
      <c r="AA33" s="365" t="n">
        <f aca="false">YEAR(X33)</f>
        <v>2003</v>
      </c>
      <c r="AB33" s="365" t="n">
        <f aca="false">MONTH(X33)</f>
        <v>12</v>
      </c>
      <c r="AC33" s="368" t="n">
        <f aca="false">(1+Y33/2)^(-(DATE(AA34,AB34,5)-TradeSum!$B$2)/182.625)</f>
        <v>0.930952289029164</v>
      </c>
      <c r="AD33" s="371"/>
      <c r="AF33" s="367" t="n">
        <v>37956</v>
      </c>
      <c r="AG33" s="0" t="n">
        <v>0.0324882149464205</v>
      </c>
      <c r="AI33" s="365" t="n">
        <f aca="false">YEAR(AF33)</f>
        <v>2003</v>
      </c>
      <c r="AJ33" s="365" t="n">
        <f aca="false">MONTH(AF33)</f>
        <v>12</v>
      </c>
      <c r="AK33" s="368" t="n">
        <f aca="false">(1+AG33/2)^(-(DATE(AI34,AJ34,5)-TradeSum!$B$2)/182.625)</f>
        <v>0.931682668946481</v>
      </c>
    </row>
    <row r="34" customFormat="false" ht="12.75" hidden="false" customHeight="false" outlineLevel="0" collapsed="false">
      <c r="X34" s="367" t="n">
        <v>37987</v>
      </c>
      <c r="Y34" s="0" t="n">
        <v>0.0333361562677252</v>
      </c>
      <c r="Z34" s="365"/>
      <c r="AA34" s="365" t="n">
        <f aca="false">YEAR(X34)</f>
        <v>2004</v>
      </c>
      <c r="AB34" s="365" t="n">
        <f aca="false">MONTH(X34)</f>
        <v>1</v>
      </c>
      <c r="AC34" s="368" t="n">
        <f aca="false">(1+Y34/2)^(-(DATE(AA35,AB35,5)-TradeSum!$B$2)/182.625)</f>
        <v>0.927371752211114</v>
      </c>
      <c r="AD34" s="371"/>
      <c r="AF34" s="367" t="n">
        <v>37987</v>
      </c>
      <c r="AG34" s="0" t="n">
        <v>0.0330925453060993</v>
      </c>
      <c r="AI34" s="365" t="n">
        <f aca="false">YEAR(AF34)</f>
        <v>2004</v>
      </c>
      <c r="AJ34" s="365" t="n">
        <f aca="false">MONTH(AF34)</f>
        <v>1</v>
      </c>
      <c r="AK34" s="368" t="n">
        <f aca="false">(1+AG34/2)^(-(DATE(AI35,AJ35,5)-TradeSum!$B$2)/182.625)</f>
        <v>0.927878709036443</v>
      </c>
    </row>
    <row r="35" customFormat="false" ht="12.75" hidden="false" customHeight="false" outlineLevel="0" collapsed="false">
      <c r="X35" s="367" t="n">
        <v>38018</v>
      </c>
      <c r="Y35" s="0" t="n">
        <v>0.0338211000566568</v>
      </c>
      <c r="Z35" s="365"/>
      <c r="AA35" s="365" t="n">
        <f aca="false">YEAR(X35)</f>
        <v>2004</v>
      </c>
      <c r="AB35" s="365" t="n">
        <f aca="false">MONTH(X35)</f>
        <v>2</v>
      </c>
      <c r="AC35" s="368" t="n">
        <f aca="false">(1+Y35/2)^(-(DATE(AA36,AB36,5)-TradeSum!$B$2)/182.625)</f>
        <v>0.923900085145548</v>
      </c>
      <c r="AD35" s="371"/>
      <c r="AF35" s="367" t="n">
        <v>38018</v>
      </c>
      <c r="AG35" s="0" t="n">
        <v>0.0336913552536564</v>
      </c>
      <c r="AI35" s="365" t="n">
        <f aca="false">YEAR(AF35)</f>
        <v>2004</v>
      </c>
      <c r="AJ35" s="365" t="n">
        <f aca="false">MONTH(AF35)</f>
        <v>2</v>
      </c>
      <c r="AK35" s="368" t="n">
        <f aca="false">(1+AG35/2)^(-(DATE(AI36,AJ36,5)-TradeSum!$B$2)/182.625)</f>
        <v>0.924178330875414</v>
      </c>
    </row>
    <row r="36" customFormat="false" ht="12.75" hidden="false" customHeight="false" outlineLevel="0" collapsed="false">
      <c r="X36" s="367" t="n">
        <v>38047</v>
      </c>
      <c r="Y36" s="0" t="n">
        <v>0.034274757221179</v>
      </c>
      <c r="Z36" s="365"/>
      <c r="AA36" s="365" t="n">
        <f aca="false">YEAR(X36)</f>
        <v>2004</v>
      </c>
      <c r="AB36" s="365" t="n">
        <f aca="false">MONTH(X36)</f>
        <v>3</v>
      </c>
      <c r="AC36" s="368" t="n">
        <f aca="false">(1+Y36/2)^(-(DATE(AA37,AB37,5)-TradeSum!$B$2)/182.625)</f>
        <v>0.920269757710941</v>
      </c>
      <c r="AD36" s="371"/>
      <c r="AF36" s="367" t="n">
        <v>38047</v>
      </c>
      <c r="AG36" s="0" t="n">
        <v>0.0342515324106265</v>
      </c>
      <c r="AI36" s="365" t="n">
        <f aca="false">YEAR(AF36)</f>
        <v>2004</v>
      </c>
      <c r="AJ36" s="365" t="n">
        <f aca="false">MONTH(AF36)</f>
        <v>3</v>
      </c>
      <c r="AK36" s="368" t="n">
        <f aca="false">(1+AG36/2)^(-(DATE(AI37,AJ37,5)-TradeSum!$B$2)/182.625)</f>
        <v>0.920321134097026</v>
      </c>
    </row>
    <row r="37" customFormat="false" ht="12.75" hidden="false" customHeight="false" outlineLevel="0" collapsed="false">
      <c r="X37" s="367" t="n">
        <v>38078</v>
      </c>
      <c r="Y37" s="0" t="n">
        <v>0.0347597011632761</v>
      </c>
      <c r="Z37" s="365"/>
      <c r="AA37" s="365" t="n">
        <f aca="false">YEAR(X37)</f>
        <v>2004</v>
      </c>
      <c r="AB37" s="365" t="n">
        <f aca="false">MONTH(X37)</f>
        <v>4</v>
      </c>
      <c r="AC37" s="368" t="n">
        <f aca="false">(1+Y37/2)^(-(DATE(AA38,AB38,5)-TradeSum!$B$2)/182.625)</f>
        <v>0.916599693109414</v>
      </c>
      <c r="AD37" s="371"/>
      <c r="AF37" s="367" t="n">
        <v>38078</v>
      </c>
      <c r="AG37" s="0" t="n">
        <v>0.0348167991092274</v>
      </c>
      <c r="AI37" s="365" t="n">
        <f aca="false">YEAR(AF37)</f>
        <v>2004</v>
      </c>
      <c r="AJ37" s="365" t="n">
        <f aca="false">MONTH(AF37)</f>
        <v>4</v>
      </c>
      <c r="AK37" s="368" t="n">
        <f aca="false">(1+AG37/2)^(-(DATE(AI38,AJ38,5)-TradeSum!$B$2)/182.625)</f>
        <v>0.916469708585514</v>
      </c>
    </row>
    <row r="38" customFormat="false" ht="12.75" hidden="false" customHeight="false" outlineLevel="0" collapsed="false">
      <c r="X38" s="367" t="n">
        <v>38108</v>
      </c>
      <c r="Y38" s="0" t="n">
        <v>0.0352290018277239</v>
      </c>
      <c r="Z38" s="365"/>
      <c r="AA38" s="365" t="n">
        <f aca="false">YEAR(X38)</f>
        <v>2004</v>
      </c>
      <c r="AB38" s="365" t="n">
        <f aca="false">MONTH(X38)</f>
        <v>5</v>
      </c>
      <c r="AC38" s="368" t="n">
        <f aca="false">(1+Y38/2)^(-(DATE(AA39,AB39,5)-TradeSum!$B$2)/182.625)</f>
        <v>0.912822379313713</v>
      </c>
      <c r="AD38" s="371"/>
      <c r="AF38" s="367" t="n">
        <v>38108</v>
      </c>
      <c r="AG38" s="0" t="n">
        <v>0.0353292059642345</v>
      </c>
      <c r="AI38" s="365" t="n">
        <f aca="false">YEAR(AF38)</f>
        <v>2004</v>
      </c>
      <c r="AJ38" s="365" t="n">
        <f aca="false">MONTH(AF38)</f>
        <v>5</v>
      </c>
      <c r="AK38" s="368" t="n">
        <f aca="false">(1+AG38/2)^(-(DATE(AI39,AJ39,5)-TradeSum!$B$2)/182.625)</f>
        <v>0.912587643013782</v>
      </c>
    </row>
    <row r="39" customFormat="false" ht="12.75" hidden="false" customHeight="false" outlineLevel="0" collapsed="false">
      <c r="X39" s="367" t="n">
        <v>38139</v>
      </c>
      <c r="Y39" s="0" t="n">
        <v>0.0357139459254672</v>
      </c>
      <c r="Z39" s="365"/>
      <c r="AA39" s="365" t="n">
        <f aca="false">YEAR(X39)</f>
        <v>2004</v>
      </c>
      <c r="AB39" s="365" t="n">
        <f aca="false">MONTH(X39)</f>
        <v>6</v>
      </c>
      <c r="AC39" s="368" t="n">
        <f aca="false">(1+Y39/2)^(-(DATE(AA40,AB40,5)-TradeSum!$B$2)/182.625)</f>
        <v>0.909040145598326</v>
      </c>
      <c r="AD39" s="371"/>
      <c r="AF39" s="367" t="n">
        <v>38139</v>
      </c>
      <c r="AG39" s="0" t="n">
        <v>0.035858693140502</v>
      </c>
      <c r="AI39" s="365" t="n">
        <f aca="false">YEAR(AF39)</f>
        <v>2004</v>
      </c>
      <c r="AJ39" s="365" t="n">
        <f aca="false">MONTH(AF39)</f>
        <v>6</v>
      </c>
      <c r="AK39" s="368" t="n">
        <f aca="false">(1+AG39/2)^(-(DATE(AI40,AJ40,5)-TradeSum!$B$2)/182.625)</f>
        <v>0.908691958422636</v>
      </c>
    </row>
    <row r="40" customFormat="false" ht="12.75" hidden="false" customHeight="false" outlineLevel="0" collapsed="false">
      <c r="X40" s="367" t="n">
        <v>38169</v>
      </c>
      <c r="Y40" s="0" t="n">
        <v>0.0361832467405052</v>
      </c>
      <c r="Z40" s="365"/>
      <c r="AA40" s="365" t="n">
        <f aca="false">YEAR(X40)</f>
        <v>2004</v>
      </c>
      <c r="AB40" s="365" t="n">
        <f aca="false">MONTH(X40)</f>
        <v>7</v>
      </c>
      <c r="AC40" s="368" t="n">
        <f aca="false">(1+Y40/2)^(-(DATE(AA41,AB41,5)-TradeSum!$B$2)/182.625)</f>
        <v>0.905152754496986</v>
      </c>
      <c r="AD40" s="371"/>
      <c r="AF40" s="367" t="n">
        <v>38169</v>
      </c>
      <c r="AG40" s="0" t="n">
        <v>0.0363526816602313</v>
      </c>
      <c r="AI40" s="365" t="n">
        <f aca="false">YEAR(AF40)</f>
        <v>2004</v>
      </c>
      <c r="AJ40" s="365" t="n">
        <f aca="false">MONTH(AF40)</f>
        <v>7</v>
      </c>
      <c r="AK40" s="368" t="n">
        <f aca="false">(1+AG40/2)^(-(DATE(AI41,AJ41,5)-TradeSum!$B$2)/182.625)</f>
        <v>0.904734254686686</v>
      </c>
    </row>
    <row r="41" customFormat="false" ht="12.75" hidden="false" customHeight="false" outlineLevel="0" collapsed="false">
      <c r="X41" s="367" t="n">
        <v>38200</v>
      </c>
      <c r="Y41" s="0" t="n">
        <v>0.0366681909938214</v>
      </c>
      <c r="Z41" s="365"/>
      <c r="AA41" s="365" t="n">
        <f aca="false">YEAR(X41)</f>
        <v>2004</v>
      </c>
      <c r="AB41" s="365" t="n">
        <f aca="false">MONTH(X41)</f>
        <v>8</v>
      </c>
      <c r="AC41" s="368" t="n">
        <f aca="false">(1+Y41/2)^(-(DATE(AA42,AB42,5)-TradeSum!$B$2)/182.625)</f>
        <v>0.901172087553484</v>
      </c>
      <c r="AD41" s="371"/>
      <c r="AF41" s="367" t="n">
        <v>38200</v>
      </c>
      <c r="AG41" s="0" t="n">
        <v>0.0368429283872174</v>
      </c>
      <c r="AI41" s="365" t="n">
        <f aca="false">YEAR(AF41)</f>
        <v>2004</v>
      </c>
      <c r="AJ41" s="365" t="n">
        <f aca="false">MONTH(AF41)</f>
        <v>8</v>
      </c>
      <c r="AK41" s="368" t="n">
        <f aca="false">(1+AG41/2)^(-(DATE(AI42,AJ42,5)-TradeSum!$B$2)/182.625)</f>
        <v>0.90072937745124</v>
      </c>
    </row>
    <row r="42" customFormat="false" ht="12.75" hidden="false" customHeight="false" outlineLevel="0" collapsed="false">
      <c r="X42" s="367" t="n">
        <v>38231</v>
      </c>
      <c r="Y42" s="0" t="n">
        <v>0.0371531353261716</v>
      </c>
      <c r="Z42" s="365"/>
      <c r="AA42" s="365" t="n">
        <f aca="false">YEAR(X42)</f>
        <v>2004</v>
      </c>
      <c r="AB42" s="365" t="n">
        <f aca="false">MONTH(X42)</f>
        <v>9</v>
      </c>
      <c r="AC42" s="368" t="n">
        <f aca="false">(1+Y42/2)^(-(DATE(AA43,AB43,5)-TradeSum!$B$2)/182.625)</f>
        <v>0.897227118100911</v>
      </c>
      <c r="AD42" s="371"/>
      <c r="AF42" s="367" t="n">
        <v>38231</v>
      </c>
      <c r="AG42" s="0" t="n">
        <v>0.0373331751949677</v>
      </c>
      <c r="AI42" s="365" t="n">
        <f aca="false">YEAR(AF42)</f>
        <v>2004</v>
      </c>
      <c r="AJ42" s="365" t="n">
        <f aca="false">MONTH(AF42)</f>
        <v>9</v>
      </c>
      <c r="AK42" s="368" t="n">
        <f aca="false">(1+AG42/2)^(-(DATE(AI43,AJ43,5)-TradeSum!$B$2)/182.625)</f>
        <v>0.896760063996072</v>
      </c>
    </row>
    <row r="43" customFormat="false" ht="12.75" hidden="false" customHeight="false" outlineLevel="0" collapsed="false">
      <c r="X43" s="367" t="n">
        <v>38261</v>
      </c>
      <c r="Y43" s="0" t="n">
        <v>0.0376224363681952</v>
      </c>
      <c r="Z43" s="365"/>
      <c r="AA43" s="365" t="n">
        <f aca="false">YEAR(X43)</f>
        <v>2004</v>
      </c>
      <c r="AB43" s="365" t="n">
        <f aca="false">MONTH(X43)</f>
        <v>10</v>
      </c>
      <c r="AC43" s="368" t="n">
        <f aca="false">(1+Y43/2)^(-(DATE(AA44,AB44,5)-TradeSum!$B$2)/182.625)</f>
        <v>0.893180233799017</v>
      </c>
      <c r="AD43" s="371"/>
      <c r="AF43" s="367" t="n">
        <v>38261</v>
      </c>
      <c r="AG43" s="0" t="n">
        <v>0.0377885439397887</v>
      </c>
      <c r="AI43" s="365" t="n">
        <f aca="false">YEAR(AF43)</f>
        <v>2004</v>
      </c>
      <c r="AJ43" s="365" t="n">
        <f aca="false">MONTH(AF43)</f>
        <v>10</v>
      </c>
      <c r="AK43" s="368" t="n">
        <f aca="false">(1+AG43/2)^(-(DATE(AI44,AJ44,5)-TradeSum!$B$2)/182.625)</f>
        <v>0.892739001581238</v>
      </c>
    </row>
    <row r="44" customFormat="false" ht="12.75" hidden="false" customHeight="false" outlineLevel="0" collapsed="false">
      <c r="X44" s="367" t="n">
        <v>38292</v>
      </c>
      <c r="Y44" s="0" t="n">
        <v>0.0380772112213878</v>
      </c>
      <c r="Z44" s="365"/>
      <c r="AA44" s="365" t="n">
        <f aca="false">YEAR(X44)</f>
        <v>2004</v>
      </c>
      <c r="AB44" s="365" t="n">
        <f aca="false">MONTH(X44)</f>
        <v>11</v>
      </c>
      <c r="AC44" s="368" t="n">
        <f aca="false">(1+Y44/2)^(-(DATE(AA45,AB45,5)-TradeSum!$B$2)/182.625)</f>
        <v>0.889213679209891</v>
      </c>
      <c r="AD44" s="371"/>
      <c r="AF44" s="367" t="n">
        <v>38292</v>
      </c>
      <c r="AG44" s="0" t="n">
        <v>0.0382407684613453</v>
      </c>
      <c r="AI44" s="365" t="n">
        <f aca="false">YEAR(AF44)</f>
        <v>2004</v>
      </c>
      <c r="AJ44" s="365" t="n">
        <f aca="false">MONTH(AF44)</f>
        <v>11</v>
      </c>
      <c r="AK44" s="368" t="n">
        <f aca="false">(1+AG44/2)^(-(DATE(AI45,AJ45,5)-TradeSum!$B$2)/182.625)</f>
        <v>0.888769529277066</v>
      </c>
    </row>
    <row r="45" customFormat="false" ht="12.75" hidden="false" customHeight="false" outlineLevel="0" collapsed="false">
      <c r="X45" s="367" t="n">
        <v>38322</v>
      </c>
      <c r="Y45" s="0" t="n">
        <v>0.038417213958065</v>
      </c>
      <c r="Z45" s="365"/>
      <c r="AA45" s="365" t="n">
        <f aca="false">YEAR(X45)</f>
        <v>2004</v>
      </c>
      <c r="AB45" s="365" t="n">
        <f aca="false">MONTH(X45)</f>
        <v>12</v>
      </c>
      <c r="AC45" s="368" t="n">
        <f aca="false">(1+Y45/2)^(-(DATE(AA46,AB46,5)-TradeSum!$B$2)/182.625)</f>
        <v>0.885426404023882</v>
      </c>
      <c r="AD45" s="371"/>
      <c r="AF45" s="367" t="n">
        <v>38322</v>
      </c>
      <c r="AG45" s="0" t="n">
        <v>0.0386784051604985</v>
      </c>
      <c r="AI45" s="365" t="n">
        <f aca="false">YEAR(AF45)</f>
        <v>2004</v>
      </c>
      <c r="AJ45" s="365" t="n">
        <f aca="false">MONTH(AF45)</f>
        <v>12</v>
      </c>
      <c r="AK45" s="368" t="n">
        <f aca="false">(1+AG45/2)^(-(DATE(AI46,AJ46,5)-TradeSum!$B$2)/182.625)</f>
        <v>0.8847011422324</v>
      </c>
    </row>
    <row r="46" customFormat="false" ht="12.75" hidden="false" customHeight="false" outlineLevel="0" collapsed="false">
      <c r="X46" s="367" t="n">
        <v>38353</v>
      </c>
      <c r="Y46" s="0" t="n">
        <v>0.0387685501600776</v>
      </c>
      <c r="Z46" s="365"/>
      <c r="AA46" s="365" t="n">
        <f aca="false">YEAR(X46)</f>
        <v>2005</v>
      </c>
      <c r="AB46" s="365" t="n">
        <f aca="false">MONTH(X46)</f>
        <v>1</v>
      </c>
      <c r="AC46" s="368" t="n">
        <f aca="false">(1+Y46/2)^(-(DATE(AA47,AB47,5)-TradeSum!$B$2)/182.625)</f>
        <v>0.881573317230568</v>
      </c>
      <c r="AD46" s="371"/>
      <c r="AF46" s="367" t="n">
        <v>38353</v>
      </c>
      <c r="AG46" s="0" t="n">
        <v>0.0391187609391941</v>
      </c>
      <c r="AI46" s="365" t="n">
        <f aca="false">YEAR(AF46)</f>
        <v>2005</v>
      </c>
      <c r="AJ46" s="365" t="n">
        <f aca="false">MONTH(AF46)</f>
        <v>1</v>
      </c>
      <c r="AK46" s="368" t="n">
        <f aca="false">(1+AG46/2)^(-(DATE(AI47,AJ47,5)-TradeSum!$B$2)/182.625)</f>
        <v>0.880579750985831</v>
      </c>
    </row>
    <row r="47" customFormat="false" ht="12.75" hidden="false" customHeight="false" outlineLevel="0" collapsed="false">
      <c r="X47" s="367" t="n">
        <v>38384</v>
      </c>
      <c r="Y47" s="0" t="n">
        <v>0.0391198864035309</v>
      </c>
      <c r="Z47" s="365"/>
      <c r="AA47" s="365" t="n">
        <f aca="false">YEAR(X47)</f>
        <v>2005</v>
      </c>
      <c r="AB47" s="365" t="n">
        <f aca="false">MONTH(X47)</f>
        <v>2</v>
      </c>
      <c r="AC47" s="368" t="n">
        <f aca="false">(1+Y47/2)^(-(DATE(AA48,AB48,5)-TradeSum!$B$2)/182.625)</f>
        <v>0.877965152975989</v>
      </c>
      <c r="AD47" s="371"/>
      <c r="AF47" s="367" t="n">
        <v>38384</v>
      </c>
      <c r="AG47" s="0" t="n">
        <v>0.0395493424114677</v>
      </c>
      <c r="AI47" s="365" t="n">
        <f aca="false">YEAR(AF47)</f>
        <v>2005</v>
      </c>
      <c r="AJ47" s="365" t="n">
        <f aca="false">MONTH(AF47)</f>
        <v>2</v>
      </c>
      <c r="AK47" s="368" t="n">
        <f aca="false">(1+AG47/2)^(-(DATE(AI48,AJ48,5)-TradeSum!$B$2)/182.625)</f>
        <v>0.87672383052938</v>
      </c>
    </row>
    <row r="48" customFormat="false" ht="12.75" hidden="false" customHeight="false" outlineLevel="0" collapsed="false">
      <c r="X48" s="367" t="n">
        <v>38412</v>
      </c>
      <c r="Y48" s="0" t="n">
        <v>0.0394372224009731</v>
      </c>
      <c r="Z48" s="365"/>
      <c r="AA48" s="365" t="n">
        <f aca="false">YEAR(X48)</f>
        <v>2005</v>
      </c>
      <c r="AB48" s="365" t="n">
        <f aca="false">MONTH(X48)</f>
        <v>3</v>
      </c>
      <c r="AC48" s="368" t="n">
        <f aca="false">(1+Y48/2)^(-(DATE(AA49,AB49,5)-TradeSum!$B$2)/182.625)</f>
        <v>0.874145466504823</v>
      </c>
      <c r="AD48" s="371"/>
      <c r="AF48" s="367" t="n">
        <v>38412</v>
      </c>
      <c r="AG48" s="0" t="n">
        <v>0.0399382547624842</v>
      </c>
      <c r="AI48" s="365" t="n">
        <f aca="false">YEAR(AF48)</f>
        <v>2005</v>
      </c>
      <c r="AJ48" s="365" t="n">
        <f aca="false">MONTH(AF48)</f>
        <v>3</v>
      </c>
      <c r="AK48" s="368" t="n">
        <f aca="false">(1+AG48/2)^(-(DATE(AI49,AJ49,5)-TradeSum!$B$2)/182.625)</f>
        <v>0.872667587646565</v>
      </c>
    </row>
    <row r="49" customFormat="false" ht="12.75" hidden="false" customHeight="false" outlineLevel="0" collapsed="false">
      <c r="X49" s="367" t="n">
        <v>38443</v>
      </c>
      <c r="Y49" s="0" t="n">
        <v>0.039788558723278</v>
      </c>
      <c r="Z49" s="365"/>
      <c r="AA49" s="365" t="n">
        <f aca="false">YEAR(X49)</f>
        <v>2005</v>
      </c>
      <c r="AB49" s="365" t="n">
        <f aca="false">MONTH(X49)</f>
        <v>4</v>
      </c>
      <c r="AC49" s="368" t="n">
        <f aca="false">(1+Y49/2)^(-(DATE(AA50,AB50,5)-TradeSum!$B$2)/182.625)</f>
        <v>0.870288052695135</v>
      </c>
      <c r="AD49" s="371"/>
      <c r="AF49" s="367" t="n">
        <v>38443</v>
      </c>
      <c r="AG49" s="0" t="n">
        <v>0.0403395964835007</v>
      </c>
      <c r="AI49" s="365" t="n">
        <f aca="false">YEAR(AF49)</f>
        <v>2005</v>
      </c>
      <c r="AJ49" s="365" t="n">
        <f aca="false">MONTH(AF49)</f>
        <v>4</v>
      </c>
      <c r="AK49" s="368" t="n">
        <f aca="false">(1+AG49/2)^(-(DATE(AI50,AJ50,5)-TradeSum!$B$2)/182.625)</f>
        <v>0.868631738927956</v>
      </c>
    </row>
    <row r="50" customFormat="false" ht="12.75" hidden="false" customHeight="false" outlineLevel="0" collapsed="false">
      <c r="X50" s="367" t="n">
        <v>38473</v>
      </c>
      <c r="Y50" s="0" t="n">
        <v>0.0401285616552682</v>
      </c>
      <c r="Z50" s="365"/>
      <c r="AA50" s="365" t="n">
        <f aca="false">YEAR(X50)</f>
        <v>2005</v>
      </c>
      <c r="AB50" s="365" t="n">
        <f aca="false">MONTH(X50)</f>
        <v>5</v>
      </c>
      <c r="AC50" s="368" t="n">
        <f aca="false">(1+Y50/2)^(-(DATE(AA51,AB51,5)-TradeSum!$B$2)/182.625)</f>
        <v>0.866339304582045</v>
      </c>
      <c r="AD50" s="371"/>
      <c r="AF50" s="367" t="n">
        <v>38473</v>
      </c>
      <c r="AG50" s="0" t="n">
        <v>0.0407025535802474</v>
      </c>
      <c r="AI50" s="365" t="n">
        <f aca="false">YEAR(AF50)</f>
        <v>2005</v>
      </c>
      <c r="AJ50" s="365" t="n">
        <f aca="false">MONTH(AF50)</f>
        <v>5</v>
      </c>
      <c r="AK50" s="368" t="n">
        <f aca="false">(1+AG50/2)^(-(DATE(AI51,AJ51,5)-TradeSum!$B$2)/182.625)</f>
        <v>0.864580900722143</v>
      </c>
    </row>
    <row r="51" customFormat="false" ht="12.75" hidden="false" customHeight="false" outlineLevel="0" collapsed="false">
      <c r="X51" s="367" t="n">
        <v>38504</v>
      </c>
      <c r="Y51" s="0" t="n">
        <v>0.0404798980590706</v>
      </c>
      <c r="Z51" s="365"/>
      <c r="AA51" s="365" t="n">
        <f aca="false">YEAR(X51)</f>
        <v>2005</v>
      </c>
      <c r="AB51" s="365" t="n">
        <f aca="false">MONTH(X51)</f>
        <v>6</v>
      </c>
      <c r="AC51" s="368" t="n">
        <f aca="false">(1+Y51/2)^(-(DATE(AA52,AB52,5)-TradeSum!$B$2)/182.625)</f>
        <v>0.862419066938062</v>
      </c>
      <c r="AD51" s="371"/>
      <c r="AF51" s="367" t="n">
        <v>38504</v>
      </c>
      <c r="AG51" s="0" t="n">
        <v>0.0410776092933043</v>
      </c>
      <c r="AI51" s="365" t="n">
        <f aca="false">YEAR(AF51)</f>
        <v>2005</v>
      </c>
      <c r="AJ51" s="365" t="n">
        <f aca="false">MONTH(AF51)</f>
        <v>6</v>
      </c>
      <c r="AK51" s="368" t="n">
        <f aca="false">(1+AG51/2)^(-(DATE(AI52,AJ52,5)-TradeSum!$B$2)/182.625)</f>
        <v>0.860555281711277</v>
      </c>
    </row>
    <row r="52" customFormat="false" ht="12.75" hidden="false" customHeight="false" outlineLevel="0" collapsed="false">
      <c r="X52" s="367" t="n">
        <v>38534</v>
      </c>
      <c r="Y52" s="0" t="n">
        <v>0.040819901069916</v>
      </c>
      <c r="Z52" s="365"/>
      <c r="AA52" s="365" t="n">
        <f aca="false">YEAR(X52)</f>
        <v>2005</v>
      </c>
      <c r="AB52" s="365" t="n">
        <f aca="false">MONTH(X52)</f>
        <v>7</v>
      </c>
      <c r="AC52" s="368" t="n">
        <f aca="false">(1+Y52/2)^(-(DATE(AA53,AB53,5)-TradeSum!$B$2)/182.625)</f>
        <v>0.858409217116967</v>
      </c>
      <c r="AD52" s="371"/>
      <c r="AF52" s="367" t="n">
        <v>38534</v>
      </c>
      <c r="AG52" s="0" t="n">
        <v>0.0414266027638397</v>
      </c>
      <c r="AI52" s="365" t="n">
        <f aca="false">YEAR(AF52)</f>
        <v>2005</v>
      </c>
      <c r="AJ52" s="365" t="n">
        <f aca="false">MONTH(AF52)</f>
        <v>7</v>
      </c>
      <c r="AK52" s="368" t="n">
        <f aca="false">(1+AG52/2)^(-(DATE(AI53,AJ53,5)-TradeSum!$B$2)/182.625)</f>
        <v>0.856483326701183</v>
      </c>
    </row>
    <row r="53" customFormat="false" ht="12.75" hidden="false" customHeight="false" outlineLevel="0" collapsed="false">
      <c r="X53" s="367" t="n">
        <v>38565</v>
      </c>
      <c r="Y53" s="0" t="n">
        <v>0.0411712375551878</v>
      </c>
      <c r="Z53" s="365"/>
      <c r="AA53" s="365" t="n">
        <f aca="false">YEAR(X53)</f>
        <v>2005</v>
      </c>
      <c r="AB53" s="365" t="n">
        <f aca="false">MONTH(X53)</f>
        <v>8</v>
      </c>
      <c r="AC53" s="368" t="n">
        <f aca="false">(1+Y53/2)^(-(DATE(AA54,AB54,5)-TradeSum!$B$2)/182.625)</f>
        <v>0.854333214701388</v>
      </c>
      <c r="AD53" s="371"/>
      <c r="AF53" s="367" t="n">
        <v>38565</v>
      </c>
      <c r="AG53" s="0" t="n">
        <v>0.0417737929001674</v>
      </c>
      <c r="AI53" s="365" t="n">
        <f aca="false">YEAR(AF53)</f>
        <v>2005</v>
      </c>
      <c r="AJ53" s="365" t="n">
        <f aca="false">MONTH(AF53)</f>
        <v>8</v>
      </c>
      <c r="AK53" s="368" t="n">
        <f aca="false">(1+AG53/2)^(-(DATE(AI54,AJ54,5)-TradeSum!$B$2)/182.625)</f>
        <v>0.852387171908071</v>
      </c>
    </row>
    <row r="54" customFormat="false" ht="12.75" hidden="false" customHeight="false" outlineLevel="0" collapsed="false">
      <c r="X54" s="367" t="n">
        <v>38596</v>
      </c>
      <c r="Y54" s="0" t="n">
        <v>0.0415225740818514</v>
      </c>
      <c r="Z54" s="365"/>
      <c r="AA54" s="365" t="n">
        <f aca="false">YEAR(X54)</f>
        <v>2005</v>
      </c>
      <c r="AB54" s="365" t="n">
        <f aca="false">MONTH(X54)</f>
        <v>9</v>
      </c>
      <c r="AC54" s="368" t="n">
        <f aca="false">(1+Y54/2)^(-(DATE(AA55,AB55,5)-TradeSum!$B$2)/182.625)</f>
        <v>0.850322747963412</v>
      </c>
      <c r="AD54" s="371"/>
      <c r="AF54" s="367" t="n">
        <v>38596</v>
      </c>
      <c r="AG54" s="0" t="n">
        <v>0.042120983076904</v>
      </c>
      <c r="AI54" s="365" t="n">
        <f aca="false">YEAR(AF54)</f>
        <v>2005</v>
      </c>
      <c r="AJ54" s="365" t="n">
        <f aca="false">MONTH(AF54)</f>
        <v>9</v>
      </c>
      <c r="AK54" s="368" t="n">
        <f aca="false">(1+AG54/2)^(-(DATE(AI55,AJ55,5)-TradeSum!$B$2)/182.625)</f>
        <v>0.84835863810767</v>
      </c>
    </row>
    <row r="55" customFormat="false" ht="12.75" hidden="false" customHeight="false" outlineLevel="0" collapsed="false">
      <c r="X55" s="367" t="n">
        <v>38626</v>
      </c>
      <c r="Y55" s="0" t="n">
        <v>0.041862577211575</v>
      </c>
      <c r="Z55" s="365"/>
      <c r="AA55" s="365" t="n">
        <f aca="false">YEAR(X55)</f>
        <v>2005</v>
      </c>
      <c r="AB55" s="365" t="n">
        <f aca="false">MONTH(X55)</f>
        <v>10</v>
      </c>
      <c r="AC55" s="368" t="n">
        <f aca="false">(1+Y55/2)^(-(DATE(AA56,AB56,5)-TradeSum!$B$2)/182.625)</f>
        <v>0.846225297779594</v>
      </c>
      <c r="AD55" s="371"/>
      <c r="AF55" s="367" t="n">
        <v>38626</v>
      </c>
      <c r="AG55" s="0" t="n">
        <v>0.0424481764694815</v>
      </c>
      <c r="AI55" s="365" t="n">
        <f aca="false">YEAR(AF55)</f>
        <v>2005</v>
      </c>
      <c r="AJ55" s="365" t="n">
        <f aca="false">MONTH(AF55)</f>
        <v>10</v>
      </c>
      <c r="AK55" s="368" t="n">
        <f aca="false">(1+AG55/2)^(-(DATE(AI56,AJ56,5)-TradeSum!$B$2)/182.625)</f>
        <v>0.844271662341034</v>
      </c>
    </row>
    <row r="56" customFormat="false" ht="12.75" hidden="false" customHeight="false" outlineLevel="0" collapsed="false">
      <c r="X56" s="367" t="n">
        <v>38657</v>
      </c>
      <c r="Y56" s="0" t="n">
        <v>0.0422139138196673</v>
      </c>
      <c r="Z56" s="365"/>
      <c r="AA56" s="365" t="n">
        <f aca="false">YEAR(X56)</f>
        <v>2005</v>
      </c>
      <c r="AB56" s="365" t="n">
        <f aca="false">MONTH(X56)</f>
        <v>11</v>
      </c>
      <c r="AC56" s="368" t="n">
        <f aca="false">(1+Y56/2)^(-(DATE(AA57,AB57,5)-TradeSum!$B$2)/182.625)</f>
        <v>0.842158027643505</v>
      </c>
      <c r="AD56" s="371"/>
      <c r="AF56" s="367" t="n">
        <v>38657</v>
      </c>
      <c r="AG56" s="0" t="n">
        <v>0.0427670067370376</v>
      </c>
      <c r="AI56" s="365" t="n">
        <f aca="false">YEAR(AF56)</f>
        <v>2005</v>
      </c>
      <c r="AJ56" s="365" t="n">
        <f aca="false">MONTH(AF56)</f>
        <v>11</v>
      </c>
      <c r="AK56" s="368" t="n">
        <f aca="false">(1+AG56/2)^(-(DATE(AI57,AJ57,5)-TradeSum!$B$2)/182.625)</f>
        <v>0.840284509808529</v>
      </c>
    </row>
    <row r="57" customFormat="false" ht="12.75" hidden="false" customHeight="false" outlineLevel="0" collapsed="false">
      <c r="X57" s="367" t="n">
        <v>38687</v>
      </c>
      <c r="Y57" s="0" t="n">
        <v>0.0425539170281786</v>
      </c>
      <c r="Z57" s="365"/>
      <c r="AA57" s="365" t="n">
        <f aca="false">YEAR(X57)</f>
        <v>2005</v>
      </c>
      <c r="AB57" s="365" t="n">
        <f aca="false">MONTH(X57)</f>
        <v>12</v>
      </c>
      <c r="AC57" s="368" t="n">
        <f aca="false">(1+Y57/2)^(-(DATE(AA58,AB58,5)-TradeSum!$B$2)/182.625)</f>
        <v>0.838005535676903</v>
      </c>
      <c r="AD57" s="371"/>
      <c r="AF57" s="367" t="n">
        <v>38687</v>
      </c>
      <c r="AG57" s="0" t="n">
        <v>0.0430755521896833</v>
      </c>
      <c r="AI57" s="365" t="n">
        <f aca="false">YEAR(AF57)</f>
        <v>2005</v>
      </c>
      <c r="AJ57" s="365" t="n">
        <f aca="false">MONTH(AF57)</f>
        <v>12</v>
      </c>
      <c r="AK57" s="368" t="n">
        <f aca="false">(1+AG57/2)^(-(DATE(AI58,AJ58,5)-TradeSum!$B$2)/182.625)</f>
        <v>0.836211209785273</v>
      </c>
    </row>
    <row r="58" customFormat="false" ht="12.75" hidden="false" customHeight="false" outlineLevel="0" collapsed="false">
      <c r="X58" s="367" t="n">
        <v>38718</v>
      </c>
      <c r="Y58" s="0" t="n">
        <v>0.0429052537176711</v>
      </c>
      <c r="Z58" s="365"/>
      <c r="AA58" s="365" t="n">
        <f aca="false">YEAR(X58)</f>
        <v>2006</v>
      </c>
      <c r="AB58" s="365" t="n">
        <f aca="false">MONTH(X58)</f>
        <v>1</v>
      </c>
      <c r="AC58" s="368" t="n">
        <f aca="false">(1+Y58/2)^(-(DATE(AA59,AB59,5)-TradeSum!$B$2)/182.625)</f>
        <v>0.833786975229949</v>
      </c>
      <c r="AD58" s="371"/>
      <c r="AF58" s="367" t="n">
        <v>38718</v>
      </c>
      <c r="AG58" s="0" t="n">
        <v>0.0433739256260472</v>
      </c>
      <c r="AI58" s="365" t="n">
        <f aca="false">YEAR(AF58)</f>
        <v>2006</v>
      </c>
      <c r="AJ58" s="365" t="n">
        <f aca="false">MONTH(AF58)</f>
        <v>1</v>
      </c>
      <c r="AK58" s="368" t="n">
        <f aca="false">(1+AG58/2)^(-(DATE(AI59,AJ59,5)-TradeSum!$B$2)/182.625)</f>
        <v>0.832150625982754</v>
      </c>
    </row>
    <row r="59" customFormat="false" ht="12.75" hidden="false" customHeight="false" outlineLevel="0" collapsed="false">
      <c r="X59" s="367" t="n">
        <v>38749</v>
      </c>
      <c r="Y59" s="0" t="n">
        <v>0.0432565904485207</v>
      </c>
      <c r="Z59" s="365"/>
      <c r="AA59" s="365" t="n">
        <f aca="false">YEAR(X59)</f>
        <v>2006</v>
      </c>
      <c r="AB59" s="365" t="n">
        <f aca="false">MONTH(X59)</f>
        <v>2</v>
      </c>
      <c r="AC59" s="368" t="n">
        <f aca="false">(1+Y59/2)^(-(DATE(AA60,AB60,5)-TradeSum!$B$2)/182.625)</f>
        <v>0.82983306364798</v>
      </c>
      <c r="AD59" s="371"/>
      <c r="AF59" s="367" t="n">
        <v>38749</v>
      </c>
      <c r="AG59" s="0" t="n">
        <v>0.0436351047284957</v>
      </c>
      <c r="AI59" s="365" t="n">
        <f aca="false">YEAR(AF59)</f>
        <v>2006</v>
      </c>
      <c r="AJ59" s="365" t="n">
        <f aca="false">MONTH(AF59)</f>
        <v>2</v>
      </c>
      <c r="AK59" s="368" t="n">
        <f aca="false">(1+AG59/2)^(-(DATE(AI60,AJ60,5)-TradeSum!$B$2)/182.625)</f>
        <v>0.828494182220687</v>
      </c>
    </row>
    <row r="60" customFormat="false" ht="12.75" hidden="false" customHeight="false" outlineLevel="0" collapsed="false">
      <c r="X60" s="367" t="n">
        <v>38777</v>
      </c>
      <c r="Y60" s="0" t="n">
        <v>0.0435739268861193</v>
      </c>
      <c r="Z60" s="365"/>
      <c r="AA60" s="365" t="n">
        <f aca="false">YEAR(X60)</f>
        <v>2006</v>
      </c>
      <c r="AB60" s="365" t="n">
        <f aca="false">MONTH(X60)</f>
        <v>3</v>
      </c>
      <c r="AC60" s="368" t="n">
        <f aca="false">(1+Y60/2)^(-(DATE(AA61,AB61,5)-TradeSum!$B$2)/182.625)</f>
        <v>0.825684074138871</v>
      </c>
      <c r="AD60" s="371"/>
      <c r="AF60" s="367" t="n">
        <v>38777</v>
      </c>
      <c r="AG60" s="0" t="n">
        <v>0.0438710084535696</v>
      </c>
      <c r="AI60" s="365" t="n">
        <f aca="false">YEAR(AF60)</f>
        <v>2006</v>
      </c>
      <c r="AJ60" s="365" t="n">
        <f aca="false">MONTH(AF60)</f>
        <v>3</v>
      </c>
      <c r="AK60" s="368" t="n">
        <f aca="false">(1+AG60/2)^(-(DATE(AI61,AJ61,5)-TradeSum!$B$2)/182.625)</f>
        <v>0.824618102879487</v>
      </c>
    </row>
    <row r="61" customFormat="false" ht="12.75" hidden="false" customHeight="false" outlineLevel="0" collapsed="false">
      <c r="X61" s="367" t="n">
        <v>38808</v>
      </c>
      <c r="Y61" s="0" t="n">
        <v>0.0439252636956606</v>
      </c>
      <c r="Z61" s="365"/>
      <c r="AA61" s="365" t="n">
        <f aca="false">YEAR(X61)</f>
        <v>2006</v>
      </c>
      <c r="AB61" s="365" t="n">
        <f aca="false">MONTH(X61)</f>
        <v>4</v>
      </c>
      <c r="AC61" s="368" t="n">
        <f aca="false">(1+Y61/2)^(-(DATE(AA62,AB62,5)-TradeSum!$B$2)/182.625)</f>
        <v>0.821486652833784</v>
      </c>
      <c r="AD61" s="371"/>
      <c r="AF61" s="367" t="n">
        <v>38808</v>
      </c>
      <c r="AG61" s="0" t="n">
        <v>0.0441321875994976</v>
      </c>
      <c r="AI61" s="365" t="n">
        <f aca="false">YEAR(AF61)</f>
        <v>2006</v>
      </c>
      <c r="AJ61" s="365" t="n">
        <f aca="false">MONTH(AF61)</f>
        <v>4</v>
      </c>
      <c r="AK61" s="368" t="n">
        <f aca="false">(1+AG61/2)^(-(DATE(AI62,AJ62,5)-TradeSum!$B$2)/182.625)</f>
        <v>0.820734271783372</v>
      </c>
    </row>
    <row r="62" customFormat="false" ht="12.75" hidden="false" customHeight="false" outlineLevel="0" collapsed="false">
      <c r="X62" s="367" t="n">
        <v>38838</v>
      </c>
      <c r="Y62" s="0" t="n">
        <v>0.0442652670990906</v>
      </c>
      <c r="Z62" s="365"/>
      <c r="AA62" s="365" t="n">
        <f aca="false">YEAR(X62)</f>
        <v>2006</v>
      </c>
      <c r="AB62" s="365" t="n">
        <f aca="false">MONTH(X62)</f>
        <v>5</v>
      </c>
      <c r="AC62" s="368" t="n">
        <f aca="false">(1+Y62/2)^(-(DATE(AA63,AB63,5)-TradeSum!$B$2)/182.625)</f>
        <v>0.817208423782308</v>
      </c>
      <c r="AD62" s="371"/>
      <c r="AF62" s="367" t="n">
        <v>38838</v>
      </c>
      <c r="AG62" s="0" t="n">
        <v>0.0443849416334334</v>
      </c>
      <c r="AI62" s="365" t="n">
        <f aca="false">YEAR(AF62)</f>
        <v>2006</v>
      </c>
      <c r="AJ62" s="365" t="n">
        <f aca="false">MONTH(AF62)</f>
        <v>5</v>
      </c>
      <c r="AK62" s="368" t="n">
        <f aca="false">(1+AG62/2)^(-(DATE(AI63,AJ63,5)-TradeSum!$B$2)/182.625)</f>
        <v>0.816767412940281</v>
      </c>
    </row>
    <row r="63" customFormat="false" ht="12.75" hidden="false" customHeight="false" outlineLevel="0" collapsed="false">
      <c r="X63" s="367" t="n">
        <v>38869</v>
      </c>
      <c r="Y63" s="0" t="n">
        <v>0.0446166039899647</v>
      </c>
      <c r="Z63" s="365"/>
      <c r="AA63" s="365" t="n">
        <f aca="false">YEAR(X63)</f>
        <v>2006</v>
      </c>
      <c r="AB63" s="365" t="n">
        <f aca="false">MONTH(X63)</f>
        <v>6</v>
      </c>
      <c r="AC63" s="368" t="n">
        <f aca="false">(1+Y63/2)^(-(DATE(AA64,AB64,5)-TradeSum!$B$2)/182.625)</f>
        <v>0.812962675555318</v>
      </c>
      <c r="AD63" s="371"/>
      <c r="AF63" s="367" t="n">
        <v>38869</v>
      </c>
      <c r="AG63" s="0" t="n">
        <v>0.0446461208243041</v>
      </c>
      <c r="AI63" s="365" t="n">
        <f aca="false">YEAR(AF63)</f>
        <v>2006</v>
      </c>
      <c r="AJ63" s="365" t="n">
        <f aca="false">MONTH(AF63)</f>
        <v>6</v>
      </c>
      <c r="AK63" s="368" t="n">
        <f aca="false">(1+AG63/2)^(-(DATE(AI64,AJ64,5)-TradeSum!$B$2)/182.625)</f>
        <v>0.812852535184464</v>
      </c>
    </row>
    <row r="64" customFormat="false" ht="12.75" hidden="false" customHeight="false" outlineLevel="0" collapsed="false">
      <c r="X64" s="367" t="n">
        <v>38899</v>
      </c>
      <c r="Y64" s="0" t="n">
        <v>0.0449566074720904</v>
      </c>
      <c r="Z64" s="365"/>
      <c r="AA64" s="365" t="n">
        <f aca="false">YEAR(X64)</f>
        <v>2006</v>
      </c>
      <c r="AB64" s="365" t="n">
        <f aca="false">MONTH(X64)</f>
        <v>7</v>
      </c>
      <c r="AC64" s="368" t="n">
        <f aca="false">(1+Y64/2)^(-(DATE(AA65,AB65,5)-TradeSum!$B$2)/182.625)</f>
        <v>0.808637920484307</v>
      </c>
      <c r="AD64" s="371"/>
      <c r="AF64" s="367" t="n">
        <v>38899</v>
      </c>
      <c r="AG64" s="0" t="n">
        <v>0.0448988749017278</v>
      </c>
      <c r="AI64" s="365" t="n">
        <f aca="false">YEAR(AF64)</f>
        <v>2006</v>
      </c>
      <c r="AJ64" s="365" t="n">
        <f aca="false">MONTH(AF64)</f>
        <v>7</v>
      </c>
      <c r="AK64" s="368" t="n">
        <f aca="false">(1+AG64/2)^(-(DATE(AI65,AJ65,5)-TradeSum!$B$2)/182.625)</f>
        <v>0.808856088364466</v>
      </c>
    </row>
    <row r="65" customFormat="false" ht="12.75" hidden="false" customHeight="false" outlineLevel="0" collapsed="false">
      <c r="X65" s="367" t="n">
        <v>38930</v>
      </c>
      <c r="Y65" s="0" t="n">
        <v>0.0453079444442692</v>
      </c>
      <c r="Z65" s="365"/>
      <c r="AA65" s="365" t="n">
        <f aca="false">YEAR(X65)</f>
        <v>2006</v>
      </c>
      <c r="AB65" s="365" t="n">
        <f aca="false">MONTH(X65)</f>
        <v>8</v>
      </c>
      <c r="AC65" s="368" t="n">
        <f aca="false">(1+Y65/2)^(-(DATE(AA66,AB66,5)-TradeSum!$B$2)/182.625)</f>
        <v>0.804247644285665</v>
      </c>
      <c r="AD65" s="371"/>
      <c r="AF65" s="367" t="n">
        <v>38930</v>
      </c>
      <c r="AG65" s="0" t="n">
        <v>0.0451600541375297</v>
      </c>
      <c r="AI65" s="365" t="n">
        <f aca="false">YEAR(AF65)</f>
        <v>2006</v>
      </c>
      <c r="AJ65" s="365" t="n">
        <f aca="false">MONTH(AF65)</f>
        <v>8</v>
      </c>
      <c r="AK65" s="368" t="n">
        <f aca="false">(1+AG65/2)^(-(DATE(AI66,AJ66,5)-TradeSum!$B$2)/182.625)</f>
        <v>0.804813390873511</v>
      </c>
    </row>
    <row r="66" customFormat="false" ht="12.75" hidden="false" customHeight="false" outlineLevel="0" collapsed="false">
      <c r="X66" s="367" t="n">
        <v>38961</v>
      </c>
      <c r="Y66" s="0" t="n">
        <v>0.0456592814577568</v>
      </c>
      <c r="Z66" s="365"/>
      <c r="AA66" s="365" t="n">
        <f aca="false">YEAR(X66)</f>
        <v>2006</v>
      </c>
      <c r="AB66" s="365" t="n">
        <f aca="false">MONTH(X66)</f>
        <v>9</v>
      </c>
      <c r="AC66" s="368" t="n">
        <f aca="false">(1+Y66/2)^(-(DATE(AA67,AB67,5)-TradeSum!$B$2)/182.625)</f>
        <v>0.799933655621881</v>
      </c>
      <c r="AD66" s="371"/>
      <c r="AF66" s="367" t="n">
        <v>38961</v>
      </c>
      <c r="AG66" s="0" t="n">
        <v>0.0454212333961612</v>
      </c>
      <c r="AI66" s="365" t="n">
        <f aca="false">YEAR(AF66)</f>
        <v>2006</v>
      </c>
      <c r="AJ66" s="365" t="n">
        <f aca="false">MONTH(AF66)</f>
        <v>9</v>
      </c>
      <c r="AK66" s="368" t="n">
        <f aca="false">(1+AG66/2)^(-(DATE(AI67,AJ67,5)-TradeSum!$B$2)/182.625)</f>
        <v>0.800854779478237</v>
      </c>
    </row>
    <row r="67" customFormat="false" ht="12.75" hidden="false" customHeight="false" outlineLevel="0" collapsed="false">
      <c r="X67" s="367" t="n">
        <v>38991</v>
      </c>
      <c r="Y67" s="0" t="n">
        <v>0.0459992850585205</v>
      </c>
      <c r="Z67" s="365"/>
      <c r="AA67" s="365" t="n">
        <f aca="false">YEAR(X67)</f>
        <v>2006</v>
      </c>
      <c r="AB67" s="365" t="n">
        <f aca="false">MONTH(X67)</f>
        <v>10</v>
      </c>
      <c r="AC67" s="368" t="n">
        <f aca="false">(1+Y67/2)^(-(DATE(AA68,AB68,5)-TradeSum!$B$2)/182.625)</f>
        <v>0.795543390925186</v>
      </c>
      <c r="AD67" s="371"/>
      <c r="AF67" s="367" t="n">
        <v>38991</v>
      </c>
      <c r="AG67" s="0" t="n">
        <v>0.0456739875391512</v>
      </c>
      <c r="AI67" s="365" t="n">
        <f aca="false">YEAR(AF67)</f>
        <v>2006</v>
      </c>
      <c r="AJ67" s="365" t="n">
        <f aca="false">MONTH(AF67)</f>
        <v>10</v>
      </c>
      <c r="AK67" s="368" t="n">
        <f aca="false">(1+AG67/2)^(-(DATE(AI68,AJ68,5)-TradeSum!$B$2)/182.625)</f>
        <v>0.796816805901599</v>
      </c>
    </row>
    <row r="68" customFormat="false" ht="12.75" hidden="false" customHeight="false" outlineLevel="0" collapsed="false">
      <c r="X68" s="367" t="n">
        <v>39022</v>
      </c>
      <c r="Y68" s="0" t="n">
        <v>0.0463078085718505</v>
      </c>
      <c r="Z68" s="365"/>
      <c r="AA68" s="365" t="n">
        <f aca="false">YEAR(X68)</f>
        <v>2006</v>
      </c>
      <c r="AB68" s="365" t="n">
        <f aca="false">MONTH(X68)</f>
        <v>11</v>
      </c>
      <c r="AC68" s="368" t="n">
        <f aca="false">(1+Y68/2)^(-(DATE(AA69,AB69,5)-TradeSum!$B$2)/182.625)</f>
        <v>0.79135648544432</v>
      </c>
      <c r="AD68" s="371"/>
      <c r="AF68" s="367" t="n">
        <v>39022</v>
      </c>
      <c r="AG68" s="0" t="n">
        <v>0.0459216744429916</v>
      </c>
      <c r="AI68" s="365" t="n">
        <f aca="false">YEAR(AF68)</f>
        <v>2006</v>
      </c>
      <c r="AJ68" s="365" t="n">
        <f aca="false">MONTH(AF68)</f>
        <v>11</v>
      </c>
      <c r="AK68" s="368" t="n">
        <f aca="false">(1+AG68/2)^(-(DATE(AI69,AJ69,5)-TradeSum!$B$2)/182.625)</f>
        <v>0.79288469694292</v>
      </c>
    </row>
    <row r="69" customFormat="false" ht="12.75" hidden="false" customHeight="false" outlineLevel="0" collapsed="false">
      <c r="X69" s="367" t="n">
        <v>39052</v>
      </c>
      <c r="Y69" s="0" t="n">
        <v>0.0464872613032492</v>
      </c>
      <c r="Z69" s="365"/>
      <c r="AA69" s="365" t="n">
        <f aca="false">YEAR(X69)</f>
        <v>2006</v>
      </c>
      <c r="AB69" s="365" t="n">
        <f aca="false">MONTH(X69)</f>
        <v>12</v>
      </c>
      <c r="AC69" s="368" t="n">
        <f aca="false">(1+Y69/2)^(-(DATE(AA70,AB70,5)-TradeSum!$B$2)/182.625)</f>
        <v>0.787569547385421</v>
      </c>
      <c r="AD69" s="371"/>
      <c r="AF69" s="367" t="n">
        <v>39052</v>
      </c>
      <c r="AG69" s="0" t="n">
        <v>0.0461069666249805</v>
      </c>
      <c r="AI69" s="365" t="n">
        <f aca="false">YEAR(AF69)</f>
        <v>2006</v>
      </c>
      <c r="AJ69" s="365" t="n">
        <f aca="false">MONTH(AF69)</f>
        <v>12</v>
      </c>
      <c r="AK69" s="368" t="n">
        <f aca="false">(1+AG69/2)^(-(DATE(AI70,AJ70,5)-TradeSum!$B$2)/182.625)</f>
        <v>0.789092182819624</v>
      </c>
    </row>
    <row r="70" customFormat="false" ht="12.75" hidden="false" customHeight="false" outlineLevel="0" collapsed="false">
      <c r="X70" s="367" t="n">
        <v>39083</v>
      </c>
      <c r="Y70" s="0" t="n">
        <v>0.0466726958036761</v>
      </c>
      <c r="Z70" s="365"/>
      <c r="AA70" s="365" t="n">
        <f aca="false">YEAR(X70)</f>
        <v>2007</v>
      </c>
      <c r="AB70" s="365" t="n">
        <f aca="false">MONTH(X70)</f>
        <v>1</v>
      </c>
      <c r="AC70" s="368" t="n">
        <f aca="false">(1+Y70/2)^(-(DATE(AA71,AB71,5)-TradeSum!$B$2)/182.625)</f>
        <v>0.783753265024619</v>
      </c>
      <c r="AD70" s="371"/>
      <c r="AF70" s="367" t="n">
        <v>39083</v>
      </c>
      <c r="AG70" s="0" t="n">
        <v>0.0462984352251019</v>
      </c>
      <c r="AI70" s="365" t="n">
        <f aca="false">YEAR(AF70)</f>
        <v>2007</v>
      </c>
      <c r="AJ70" s="365" t="n">
        <f aca="false">MONTH(AF70)</f>
        <v>1</v>
      </c>
      <c r="AK70" s="368" t="n">
        <f aca="false">(1+AG70/2)^(-(DATE(AI71,AJ71,5)-TradeSum!$B$2)/182.625)</f>
        <v>0.785268696455368</v>
      </c>
    </row>
    <row r="71" customFormat="false" ht="12.75" hidden="false" customHeight="false" outlineLevel="0" collapsed="false">
      <c r="X71" s="367" t="n">
        <v>39114</v>
      </c>
      <c r="Y71" s="0" t="n">
        <v>0.0468581303156022</v>
      </c>
      <c r="Z71" s="365"/>
      <c r="AA71" s="365" t="n">
        <f aca="false">YEAR(X71)</f>
        <v>2007</v>
      </c>
      <c r="AB71" s="365" t="n">
        <f aca="false">MONTH(X71)</f>
        <v>2</v>
      </c>
      <c r="AC71" s="368" t="n">
        <f aca="false">(1+Y71/2)^(-(DATE(AA72,AB72,5)-TradeSum!$B$2)/182.625)</f>
        <v>0.780228319850814</v>
      </c>
      <c r="AD71" s="371"/>
      <c r="AF71" s="367" t="n">
        <v>39114</v>
      </c>
      <c r="AG71" s="0" t="n">
        <v>0.0464899038374851</v>
      </c>
      <c r="AI71" s="365" t="n">
        <f aca="false">YEAR(AF71)</f>
        <v>2007</v>
      </c>
      <c r="AJ71" s="365" t="n">
        <f aca="false">MONTH(AF71)</f>
        <v>2</v>
      </c>
      <c r="AK71" s="368" t="n">
        <f aca="false">(1+AG71/2)^(-(DATE(AI72,AJ72,5)-TradeSum!$B$2)/182.625)</f>
        <v>0.781734016081202</v>
      </c>
    </row>
    <row r="72" customFormat="false" ht="12.75" hidden="false" customHeight="false" outlineLevel="0" collapsed="false">
      <c r="X72" s="367" t="n">
        <v>39142</v>
      </c>
      <c r="Y72" s="0" t="n">
        <v>0.047025619562064</v>
      </c>
      <c r="Z72" s="365"/>
      <c r="AA72" s="365" t="n">
        <f aca="false">YEAR(X72)</f>
        <v>2007</v>
      </c>
      <c r="AB72" s="365" t="n">
        <f aca="false">MONTH(X72)</f>
        <v>3</v>
      </c>
      <c r="AC72" s="368" t="n">
        <f aca="false">(1+Y72/2)^(-(DATE(AA73,AB73,5)-TradeSum!$B$2)/182.625)</f>
        <v>0.776475234303679</v>
      </c>
      <c r="AD72" s="371"/>
      <c r="AF72" s="367" t="n">
        <v>39142</v>
      </c>
      <c r="AG72" s="0" t="n">
        <v>0.0466628432398544</v>
      </c>
      <c r="AI72" s="365" t="n">
        <f aca="false">YEAR(AF72)</f>
        <v>2007</v>
      </c>
      <c r="AJ72" s="365" t="n">
        <f aca="false">MONTH(AF72)</f>
        <v>3</v>
      </c>
      <c r="AK72" s="368" t="n">
        <f aca="false">(1+AG72/2)^(-(DATE(AI73,AJ73,5)-TradeSum!$B$2)/182.625)</f>
        <v>0.777974770387315</v>
      </c>
    </row>
    <row r="73" customFormat="false" ht="12.75" hidden="false" customHeight="false" outlineLevel="0" collapsed="false">
      <c r="X73" s="367" t="n">
        <v>39173</v>
      </c>
      <c r="Y73" s="0" t="n">
        <v>0.0472110540958739</v>
      </c>
      <c r="Z73" s="365"/>
      <c r="AA73" s="365" t="n">
        <f aca="false">YEAR(X73)</f>
        <v>2007</v>
      </c>
      <c r="AB73" s="365" t="n">
        <f aca="false">MONTH(X73)</f>
        <v>4</v>
      </c>
      <c r="AC73" s="368" t="n">
        <f aca="false">(1+Y73/2)^(-(DATE(AA74,AB74,5)-TradeSum!$B$2)/182.625)</f>
        <v>0.772742628948649</v>
      </c>
      <c r="AD73" s="371"/>
      <c r="AF73" s="367" t="n">
        <v>39173</v>
      </c>
      <c r="AG73" s="0" t="n">
        <v>0.0468543118755731</v>
      </c>
      <c r="AI73" s="365" t="n">
        <f aca="false">YEAR(AF73)</f>
        <v>2007</v>
      </c>
      <c r="AJ73" s="365" t="n">
        <f aca="false">MONTH(AF73)</f>
        <v>4</v>
      </c>
      <c r="AK73" s="368" t="n">
        <f aca="false">(1+AG73/2)^(-(DATE(AI74,AJ74,5)-TradeSum!$B$2)/182.625)</f>
        <v>0.774232140134311</v>
      </c>
    </row>
    <row r="74" customFormat="false" ht="12.75" hidden="false" customHeight="false" outlineLevel="0" collapsed="false">
      <c r="X74" s="367" t="n">
        <v>39203</v>
      </c>
      <c r="Y74" s="0" t="n">
        <v>0.0473905068814751</v>
      </c>
      <c r="Z74" s="365"/>
      <c r="AA74" s="365" t="n">
        <f aca="false">YEAR(X74)</f>
        <v>2007</v>
      </c>
      <c r="AB74" s="365" t="n">
        <f aca="false">MONTH(X74)</f>
        <v>5</v>
      </c>
      <c r="AC74" s="368" t="n">
        <f aca="false">(1+Y74/2)^(-(DATE(AA75,AB75,5)-TradeSum!$B$2)/182.625)</f>
        <v>0.768931737128083</v>
      </c>
      <c r="AD74" s="371"/>
      <c r="AF74" s="367" t="n">
        <v>39203</v>
      </c>
      <c r="AG74" s="0" t="n">
        <v>0.0470396041153602</v>
      </c>
      <c r="AI74" s="365" t="n">
        <f aca="false">YEAR(AF74)</f>
        <v>2007</v>
      </c>
      <c r="AJ74" s="365" t="n">
        <f aca="false">MONTH(AF74)</f>
        <v>5</v>
      </c>
      <c r="AK74" s="368" t="n">
        <f aca="false">(1+AG74/2)^(-(DATE(AI75,AJ75,5)-TradeSum!$B$2)/182.625)</f>
        <v>0.77041190341347</v>
      </c>
    </row>
    <row r="75" customFormat="false" ht="12.75" hidden="false" customHeight="false" outlineLevel="0" collapsed="false">
      <c r="X75" s="367" t="n">
        <v>39234</v>
      </c>
      <c r="Y75" s="0" t="n">
        <v>0.0475759414379064</v>
      </c>
      <c r="Z75" s="365"/>
      <c r="AA75" s="365" t="n">
        <f aca="false">YEAR(X75)</f>
        <v>2007</v>
      </c>
      <c r="AB75" s="365" t="n">
        <f aca="false">MONTH(X75)</f>
        <v>6</v>
      </c>
      <c r="AC75" s="368" t="n">
        <f aca="false">(1+Y75/2)^(-(DATE(AA76,AB76,5)-TradeSum!$B$2)/182.625)</f>
        <v>0.765189977430712</v>
      </c>
      <c r="AD75" s="371"/>
      <c r="AF75" s="367" t="n">
        <v>39234</v>
      </c>
      <c r="AG75" s="0" t="n">
        <v>0.0472310727752001</v>
      </c>
      <c r="AI75" s="365" t="n">
        <f aca="false">YEAR(AF75)</f>
        <v>2007</v>
      </c>
      <c r="AJ75" s="365" t="n">
        <f aca="false">MONTH(AF75)</f>
        <v>6</v>
      </c>
      <c r="AK75" s="368" t="n">
        <f aca="false">(1+AG75/2)^(-(DATE(AI76,AJ76,5)-TradeSum!$B$2)/182.625)</f>
        <v>0.766658667910148</v>
      </c>
    </row>
    <row r="76" customFormat="false" ht="12.75" hidden="false" customHeight="false" outlineLevel="0" collapsed="false">
      <c r="X76" s="367" t="n">
        <v>39264</v>
      </c>
      <c r="Y76" s="0" t="n">
        <v>0.0477553942453968</v>
      </c>
      <c r="Z76" s="365"/>
      <c r="AA76" s="365" t="n">
        <f aca="false">YEAR(X76)</f>
        <v>2007</v>
      </c>
      <c r="AB76" s="365" t="n">
        <f aca="false">MONTH(X76)</f>
        <v>7</v>
      </c>
      <c r="AC76" s="368" t="n">
        <f aca="false">(1+Y76/2)^(-(DATE(AA77,AB77,5)-TradeSum!$B$2)/182.625)</f>
        <v>0.761371144051565</v>
      </c>
      <c r="AD76" s="371"/>
      <c r="AF76" s="367" t="n">
        <v>39264</v>
      </c>
      <c r="AG76" s="0" t="n">
        <v>0.0474163650383286</v>
      </c>
      <c r="AI76" s="365" t="n">
        <f aca="false">YEAR(AF76)</f>
        <v>2007</v>
      </c>
      <c r="AJ76" s="365" t="n">
        <f aca="false">MONTH(AF76)</f>
        <v>7</v>
      </c>
      <c r="AK76" s="368" t="n">
        <f aca="false">(1+AG76/2)^(-(DATE(AI77,AJ77,5)-TradeSum!$B$2)/182.625)</f>
        <v>0.7628290486285</v>
      </c>
    </row>
    <row r="77" customFormat="false" ht="12.75" hidden="false" customHeight="false" outlineLevel="0" collapsed="false">
      <c r="X77" s="367" t="n">
        <v>39295</v>
      </c>
      <c r="Y77" s="0" t="n">
        <v>0.0479408288244452</v>
      </c>
      <c r="Z77" s="365"/>
      <c r="AA77" s="365" t="n">
        <f aca="false">YEAR(X77)</f>
        <v>2007</v>
      </c>
      <c r="AB77" s="365" t="n">
        <f aca="false">MONTH(X77)</f>
        <v>8</v>
      </c>
      <c r="AC77" s="368" t="n">
        <f aca="false">(1+Y77/2)^(-(DATE(AA78,AB78,5)-TradeSum!$B$2)/182.625)</f>
        <v>0.757522958097028</v>
      </c>
      <c r="AD77" s="371"/>
      <c r="AF77" s="367" t="n">
        <v>39295</v>
      </c>
      <c r="AG77" s="0" t="n">
        <v>0.047607833722286</v>
      </c>
      <c r="AI77" s="365" t="n">
        <f aca="false">YEAR(AF77)</f>
        <v>2007</v>
      </c>
      <c r="AJ77" s="365" t="n">
        <f aca="false">MONTH(AF77)</f>
        <v>8</v>
      </c>
      <c r="AK77" s="368" t="n">
        <f aca="false">(1+AG77/2)^(-(DATE(AI78,AJ78,5)-TradeSum!$B$2)/182.625)</f>
        <v>0.758968471168259</v>
      </c>
    </row>
    <row r="78" customFormat="false" ht="12.75" hidden="false" customHeight="false" outlineLevel="0" collapsed="false">
      <c r="X78" s="367" t="n">
        <v>39326</v>
      </c>
      <c r="Y78" s="0" t="n">
        <v>0.0481262634149862</v>
      </c>
      <c r="Z78" s="365"/>
      <c r="AA78" s="365" t="n">
        <f aca="false">YEAR(X78)</f>
        <v>2007</v>
      </c>
      <c r="AB78" s="365" t="n">
        <f aca="false">MONTH(X78)</f>
        <v>9</v>
      </c>
      <c r="AC78" s="368" t="n">
        <f aca="false">(1+Y78/2)^(-(DATE(AA79,AB79,5)-TradeSum!$B$2)/182.625)</f>
        <v>0.75376926213191</v>
      </c>
      <c r="AD78" s="371"/>
      <c r="AF78" s="367" t="n">
        <v>39326</v>
      </c>
      <c r="AG78" s="0" t="n">
        <v>0.0477993024184977</v>
      </c>
      <c r="AI78" s="365" t="n">
        <f aca="false">YEAR(AF78)</f>
        <v>2007</v>
      </c>
      <c r="AJ78" s="365" t="n">
        <f aca="false">MONTH(AF78)</f>
        <v>9</v>
      </c>
      <c r="AK78" s="368" t="n">
        <f aca="false">(1+AG78/2)^(-(DATE(AI79,AJ79,5)-TradeSum!$B$2)/182.625)</f>
        <v>0.755201199742492</v>
      </c>
    </row>
    <row r="79" customFormat="false" ht="12.75" hidden="false" customHeight="false" outlineLevel="0" collapsed="false">
      <c r="X79" s="367" t="n">
        <v>39356</v>
      </c>
      <c r="Y79" s="0" t="n">
        <v>0.0483057162554834</v>
      </c>
      <c r="Z79" s="365"/>
      <c r="AA79" s="365" t="n">
        <f aca="false">YEAR(X79)</f>
        <v>2007</v>
      </c>
      <c r="AB79" s="365" t="n">
        <f aca="false">MONTH(X79)</f>
        <v>10</v>
      </c>
      <c r="AC79" s="368" t="n">
        <f aca="false">(1+Y79/2)^(-(DATE(AA80,AB80,5)-TradeSum!$B$2)/182.625)</f>
        <v>0.749940317432972</v>
      </c>
      <c r="AD79" s="371"/>
      <c r="AF79" s="367" t="n">
        <v>39356</v>
      </c>
      <c r="AG79" s="0" t="n">
        <v>0.0479845947168216</v>
      </c>
      <c r="AI79" s="365" t="n">
        <f aca="false">YEAR(AF79)</f>
        <v>2007</v>
      </c>
      <c r="AJ79" s="365" t="n">
        <f aca="false">MONTH(AF79)</f>
        <v>10</v>
      </c>
      <c r="AK79" s="368" t="n">
        <f aca="false">(1+AG79/2)^(-(DATE(AI80,AJ80,5)-TradeSum!$B$2)/182.625)</f>
        <v>0.751359384964995</v>
      </c>
    </row>
    <row r="80" customFormat="false" ht="12.75" hidden="false" customHeight="false" outlineLevel="0" collapsed="false">
      <c r="X80" s="367" t="n">
        <v>39387</v>
      </c>
      <c r="Y80" s="0" t="n">
        <v>0.0484911508686352</v>
      </c>
      <c r="Z80" s="365"/>
      <c r="AA80" s="365" t="n">
        <f aca="false">YEAR(X80)</f>
        <v>2007</v>
      </c>
      <c r="AB80" s="365" t="n">
        <f aca="false">MONTH(X80)</f>
        <v>11</v>
      </c>
      <c r="AC80" s="368" t="n">
        <f aca="false">(1+Y80/2)^(-(DATE(AA81,AB81,5)-TradeSum!$B$2)/182.625)</f>
        <v>0.746179936461963</v>
      </c>
      <c r="AD80" s="371"/>
      <c r="AF80" s="367" t="n">
        <v>39387</v>
      </c>
      <c r="AG80" s="0" t="n">
        <v>0.0481760634371442</v>
      </c>
      <c r="AI80" s="365" t="n">
        <f aca="false">YEAR(AF80)</f>
        <v>2007</v>
      </c>
      <c r="AJ80" s="365" t="n">
        <f aca="false">MONTH(AF80)</f>
        <v>11</v>
      </c>
      <c r="AK80" s="368" t="n">
        <f aca="false">(1+AG80/2)^(-(DATE(AI81,AJ81,5)-TradeSum!$B$2)/182.625)</f>
        <v>0.747584095261325</v>
      </c>
    </row>
    <row r="81" customFormat="false" ht="12.75" hidden="false" customHeight="false" outlineLevel="0" collapsed="false">
      <c r="X81" s="367" t="n">
        <v>39417</v>
      </c>
      <c r="Y81" s="0" t="n">
        <v>0.0486706037310123</v>
      </c>
      <c r="Z81" s="365"/>
      <c r="AA81" s="365" t="n">
        <f aca="false">YEAR(X81)</f>
        <v>2007</v>
      </c>
      <c r="AB81" s="365" t="n">
        <f aca="false">MONTH(X81)</f>
        <v>12</v>
      </c>
      <c r="AC81" s="368" t="n">
        <f aca="false">(1+Y81/2)^(-(DATE(AA82,AB82,5)-TradeSum!$B$2)/182.625)</f>
        <v>0.742345513456171</v>
      </c>
      <c r="AD81" s="371"/>
      <c r="AF81" s="367" t="n">
        <v>39417</v>
      </c>
      <c r="AG81" s="0" t="n">
        <v>0.0483613557587983</v>
      </c>
      <c r="AI81" s="365" t="n">
        <f aca="false">YEAR(AF81)</f>
        <v>2007</v>
      </c>
      <c r="AJ81" s="365" t="n">
        <f aca="false">MONTH(AF81)</f>
        <v>12</v>
      </c>
      <c r="AK81" s="368" t="n">
        <f aca="false">(1+AG81/2)^(-(DATE(AI82,AJ82,5)-TradeSum!$B$2)/182.625)</f>
        <v>0.743735479489769</v>
      </c>
    </row>
    <row r="82" customFormat="false" ht="12.75" hidden="false" customHeight="false" outlineLevel="0" collapsed="false">
      <c r="X82" s="367" t="n">
        <v>39448</v>
      </c>
      <c r="Y82" s="0" t="n">
        <v>0.0488560383667713</v>
      </c>
      <c r="Z82" s="365"/>
      <c r="AA82" s="365" t="n">
        <f aca="false">YEAR(X82)</f>
        <v>2008</v>
      </c>
      <c r="AB82" s="365" t="n">
        <f aca="false">MONTH(X82)</f>
        <v>1</v>
      </c>
      <c r="AC82" s="368" t="n">
        <f aca="false">(1+Y82/2)^(-(DATE(AA83,AB83,5)-TradeSum!$B$2)/182.625)</f>
        <v>0.738481819553902</v>
      </c>
      <c r="AD82" s="371"/>
      <c r="AF82" s="367" t="n">
        <v>39448</v>
      </c>
      <c r="AG82" s="0" t="n">
        <v>0.0485528245032274</v>
      </c>
      <c r="AI82" s="365" t="n">
        <f aca="false">YEAR(AF82)</f>
        <v>2008</v>
      </c>
      <c r="AJ82" s="365" t="n">
        <f aca="false">MONTH(AF82)</f>
        <v>1</v>
      </c>
      <c r="AK82" s="368" t="n">
        <f aca="false">(1+AG82/2)^(-(DATE(AI83,AJ83,5)-TradeSum!$B$2)/182.625)</f>
        <v>0.739856008662002</v>
      </c>
    </row>
    <row r="83" customFormat="false" ht="12.75" hidden="false" customHeight="false" outlineLevel="0" collapsed="false">
      <c r="X83" s="367" t="n">
        <v>39479</v>
      </c>
      <c r="Y83" s="0" t="n">
        <v>0.0490414730140181</v>
      </c>
      <c r="Z83" s="365"/>
      <c r="AA83" s="365" t="n">
        <f aca="false">YEAR(X83)</f>
        <v>2008</v>
      </c>
      <c r="AB83" s="365" t="n">
        <f aca="false">MONTH(X83)</f>
        <v>2</v>
      </c>
      <c r="AC83" s="368" t="n">
        <f aca="false">(1+Y83/2)^(-(DATE(AA84,AB84,5)-TradeSum!$B$2)/182.625)</f>
        <v>0.73481065537792</v>
      </c>
      <c r="AD83" s="371"/>
      <c r="AF83" s="367" t="n">
        <v>39479</v>
      </c>
      <c r="AG83" s="0" t="n">
        <v>0.0487442932599045</v>
      </c>
      <c r="AI83" s="365" t="n">
        <f aca="false">YEAR(AF83)</f>
        <v>2008</v>
      </c>
      <c r="AJ83" s="365" t="n">
        <f aca="false">MONTH(AF83)</f>
        <v>2</v>
      </c>
      <c r="AK83" s="368" t="n">
        <f aca="false">(1+AG83/2)^(-(DATE(AI84,AJ84,5)-TradeSum!$B$2)/182.625)</f>
        <v>0.736167609246348</v>
      </c>
    </row>
    <row r="84" customFormat="false" ht="12.75" hidden="false" customHeight="false" outlineLevel="0" collapsed="false">
      <c r="X84" s="367" t="n">
        <v>39508</v>
      </c>
      <c r="Y84" s="0" t="n">
        <v>0.0492149441460348</v>
      </c>
      <c r="Z84" s="365"/>
      <c r="AA84" s="365" t="n">
        <f aca="false">YEAR(X84)</f>
        <v>2008</v>
      </c>
      <c r="AB84" s="365" t="n">
        <f aca="false">MONTH(X84)</f>
        <v>3</v>
      </c>
      <c r="AC84" s="368" t="n">
        <f aca="false">(1+Y84/2)^(-(DATE(AA85,AB85,5)-TradeSum!$B$2)/182.625)</f>
        <v>0.73099714304345</v>
      </c>
      <c r="AD84" s="371"/>
      <c r="AF84" s="367" t="n">
        <v>39508</v>
      </c>
      <c r="AG84" s="0" t="n">
        <v>0.0489234092046584</v>
      </c>
      <c r="AI84" s="365" t="n">
        <f aca="false">YEAR(AF84)</f>
        <v>2008</v>
      </c>
      <c r="AJ84" s="365" t="n">
        <f aca="false">MONTH(AF84)</f>
        <v>3</v>
      </c>
      <c r="AK84" s="368" t="n">
        <f aca="false">(1+AG84/2)^(-(DATE(AI85,AJ85,5)-TradeSum!$B$2)/182.625)</f>
        <v>0.73233896283891</v>
      </c>
    </row>
    <row r="85" customFormat="false" ht="12.75" hidden="false" customHeight="false" outlineLevel="0" collapsed="false">
      <c r="X85" s="367" t="n">
        <v>39539</v>
      </c>
      <c r="Y85" s="0" t="n">
        <v>0.0494003788155122</v>
      </c>
      <c r="Z85" s="365"/>
      <c r="AA85" s="365" t="n">
        <f aca="false">YEAR(X85)</f>
        <v>2008</v>
      </c>
      <c r="AB85" s="365" t="n">
        <f aca="false">MONTH(X85)</f>
        <v>4</v>
      </c>
      <c r="AC85" s="368" t="n">
        <f aca="false">(1+Y85/2)^(-(DATE(AA86,AB86,5)-TradeSum!$B$2)/182.625)</f>
        <v>0.727224310917358</v>
      </c>
      <c r="AD85" s="371"/>
      <c r="AF85" s="367" t="n">
        <v>39539</v>
      </c>
      <c r="AG85" s="0" t="n">
        <v>0.0491148779850406</v>
      </c>
      <c r="AI85" s="365" t="n">
        <f aca="false">YEAR(AF85)</f>
        <v>2008</v>
      </c>
      <c r="AJ85" s="365" t="n">
        <f aca="false">MONTH(AF85)</f>
        <v>4</v>
      </c>
      <c r="AK85" s="368" t="n">
        <f aca="false">(1+AG85/2)^(-(DATE(AI86,AJ86,5)-TradeSum!$B$2)/182.625)</f>
        <v>0.728548104309011</v>
      </c>
    </row>
    <row r="86" customFormat="false" ht="12.75" hidden="false" customHeight="false" outlineLevel="0" collapsed="false">
      <c r="X86" s="367" t="n">
        <v>39569</v>
      </c>
      <c r="Y86" s="0" t="n">
        <v>0.0495798317323923</v>
      </c>
      <c r="Z86" s="365"/>
      <c r="AA86" s="365" t="n">
        <f aca="false">YEAR(X86)</f>
        <v>2008</v>
      </c>
      <c r="AB86" s="365" t="n">
        <f aca="false">MONTH(X86)</f>
        <v>5</v>
      </c>
      <c r="AC86" s="368" t="n">
        <f aca="false">(1+Y86/2)^(-(DATE(AA87,AB87,5)-TradeSum!$B$2)/182.625)</f>
        <v>0.72338042940422</v>
      </c>
      <c r="AD86" s="371"/>
      <c r="AF86" s="367" t="n">
        <v>39569</v>
      </c>
      <c r="AG86" s="0" t="n">
        <v>0.0493001703648113</v>
      </c>
      <c r="AI86" s="365" t="n">
        <f aca="false">YEAR(AF86)</f>
        <v>2008</v>
      </c>
      <c r="AJ86" s="365" t="n">
        <f aca="false">MONTH(AF86)</f>
        <v>5</v>
      </c>
      <c r="AK86" s="368" t="n">
        <f aca="false">(1+AG86/2)^(-(DATE(AI87,AJ87,5)-TradeSum!$B$2)/182.625)</f>
        <v>0.724686939677706</v>
      </c>
    </row>
    <row r="87" customFormat="false" ht="12.75" hidden="false" customHeight="false" outlineLevel="0" collapsed="false">
      <c r="X87" s="367" t="n">
        <v>39600</v>
      </c>
      <c r="Y87" s="0" t="n">
        <v>0.0497652664244668</v>
      </c>
      <c r="Z87" s="365"/>
      <c r="AA87" s="365" t="n">
        <f aca="false">YEAR(X87)</f>
        <v>2008</v>
      </c>
      <c r="AB87" s="365" t="n">
        <f aca="false">MONTH(X87)</f>
        <v>6</v>
      </c>
      <c r="AC87" s="368" t="n">
        <f aca="false">(1+Y87/2)^(-(DATE(AA88,AB88,5)-TradeSum!$B$2)/182.625)</f>
        <v>0.71960426631575</v>
      </c>
      <c r="AD87" s="371"/>
      <c r="AF87" s="367" t="n">
        <v>39600</v>
      </c>
      <c r="AG87" s="0" t="n">
        <v>0.0494916391692883</v>
      </c>
      <c r="AI87" s="365" t="n">
        <f aca="false">YEAR(AF87)</f>
        <v>2008</v>
      </c>
      <c r="AJ87" s="365" t="n">
        <f aca="false">MONTH(AF87)</f>
        <v>6</v>
      </c>
      <c r="AK87" s="368" t="n">
        <f aca="false">(1+AG87/2)^(-(DATE(AI88,AJ88,5)-TradeSum!$B$2)/182.625)</f>
        <v>0.720891581071059</v>
      </c>
    </row>
    <row r="88" customFormat="false" ht="12.75" hidden="false" customHeight="false" outlineLevel="0" collapsed="false">
      <c r="X88" s="367" t="n">
        <v>39630</v>
      </c>
      <c r="Y88" s="0" t="n">
        <v>0.0499447193632134</v>
      </c>
      <c r="Z88" s="365"/>
      <c r="AA88" s="365" t="n">
        <f aca="false">YEAR(X88)</f>
        <v>2008</v>
      </c>
      <c r="AB88" s="365" t="n">
        <f aca="false">MONTH(X88)</f>
        <v>7</v>
      </c>
      <c r="AC88" s="368" t="n">
        <f aca="false">(1+Y88/2)^(-(DATE(AA89,AB89,5)-TradeSum!$B$2)/182.625)</f>
        <v>0.715758248189287</v>
      </c>
      <c r="AD88" s="371"/>
      <c r="AF88" s="367" t="n">
        <v>39630</v>
      </c>
      <c r="AG88" s="0" t="n">
        <v>0.0496769315723751</v>
      </c>
      <c r="AI88" s="365" t="n">
        <f aca="false">YEAR(AF88)</f>
        <v>2008</v>
      </c>
      <c r="AJ88" s="365" t="n">
        <f aca="false">MONTH(AF88)</f>
        <v>7</v>
      </c>
      <c r="AK88" s="368" t="n">
        <f aca="false">(1+AG88/2)^(-(DATE(AI89,AJ89,5)-TradeSum!$B$2)/182.625)</f>
        <v>0.717027121992884</v>
      </c>
    </row>
    <row r="89" customFormat="false" ht="12.75" hidden="false" customHeight="false" outlineLevel="0" collapsed="false">
      <c r="X89" s="367" t="n">
        <v>39661</v>
      </c>
      <c r="Y89" s="0" t="n">
        <v>0.0501301540778809</v>
      </c>
      <c r="Z89" s="365"/>
      <c r="AA89" s="365" t="n">
        <f aca="false">YEAR(X89)</f>
        <v>2008</v>
      </c>
      <c r="AB89" s="365" t="n">
        <f aca="false">MONTH(X89)</f>
        <v>8</v>
      </c>
      <c r="AC89" s="368" t="n">
        <f aca="false">(1+Y89/2)^(-(DATE(AA90,AB90,5)-TradeSum!$B$2)/182.625)</f>
        <v>0.711883187497629</v>
      </c>
      <c r="AD89" s="371"/>
      <c r="AF89" s="367" t="n">
        <v>39661</v>
      </c>
      <c r="AG89" s="0" t="n">
        <v>0.0498684004009422</v>
      </c>
      <c r="AI89" s="365" t="n">
        <f aca="false">YEAR(AF89)</f>
        <v>2008</v>
      </c>
      <c r="AJ89" s="365" t="n">
        <f aca="false">MONTH(AF89)</f>
        <v>8</v>
      </c>
      <c r="AK89" s="368" t="n">
        <f aca="false">(1+AG89/2)^(-(DATE(AI90,AJ90,5)-TradeSum!$B$2)/182.625)</f>
        <v>0.713132072922188</v>
      </c>
    </row>
    <row r="90" customFormat="false" ht="12.75" hidden="false" customHeight="false" outlineLevel="0" collapsed="false">
      <c r="X90" s="367" t="n">
        <v>39692</v>
      </c>
      <c r="Y90" s="0" t="n">
        <v>0.050315588804029</v>
      </c>
      <c r="Z90" s="365"/>
      <c r="AA90" s="365" t="n">
        <f aca="false">YEAR(X90)</f>
        <v>2008</v>
      </c>
      <c r="AB90" s="365" t="n">
        <f aca="false">MONTH(X90)</f>
        <v>9</v>
      </c>
      <c r="AC90" s="368" t="n">
        <f aca="false">(1+Y90/2)^(-(DATE(AA91,AB91,5)-TradeSum!$B$2)/182.625)</f>
        <v>0.708103776825442</v>
      </c>
      <c r="AD90" s="371"/>
      <c r="AF90" s="367" t="n">
        <v>39692</v>
      </c>
      <c r="AG90" s="0" t="n">
        <v>0.0500598692417511</v>
      </c>
      <c r="AI90" s="365" t="n">
        <f aca="false">YEAR(AF90)</f>
        <v>2008</v>
      </c>
      <c r="AJ90" s="365" t="n">
        <f aca="false">MONTH(AF90)</f>
        <v>9</v>
      </c>
      <c r="AK90" s="368" t="n">
        <f aca="false">(1+AG90/2)^(-(DATE(AI91,AJ91,5)-TradeSum!$B$2)/182.625)</f>
        <v>0.709331792142431</v>
      </c>
    </row>
    <row r="91" customFormat="false" ht="12.75" hidden="false" customHeight="false" outlineLevel="0" collapsed="false">
      <c r="X91" s="367" t="n">
        <v>39722</v>
      </c>
      <c r="Y91" s="0" t="n">
        <v>0.0504950417757475</v>
      </c>
      <c r="Z91" s="365"/>
      <c r="AA91" s="365" t="n">
        <f aca="false">YEAR(X91)</f>
        <v>2008</v>
      </c>
      <c r="AB91" s="365" t="n">
        <f aca="false">MONTH(X91)</f>
        <v>10</v>
      </c>
      <c r="AC91" s="368" t="n">
        <f aca="false">(1+Y91/2)^(-(DATE(AA92,AB92,5)-TradeSum!$B$2)/182.625)</f>
        <v>0.704256304116572</v>
      </c>
      <c r="AD91" s="371"/>
      <c r="AF91" s="367" t="n">
        <v>39722</v>
      </c>
      <c r="AG91" s="0" t="n">
        <v>0.0502451616799942</v>
      </c>
      <c r="AI91" s="365" t="n">
        <f aca="false">YEAR(AF91)</f>
        <v>2008</v>
      </c>
      <c r="AJ91" s="365" t="n">
        <f aca="false">MONTH(AF91)</f>
        <v>10</v>
      </c>
      <c r="AK91" s="368" t="n">
        <f aca="false">(1+AG91/2)^(-(DATE(AI92,AJ92,5)-TradeSum!$B$2)/182.625)</f>
        <v>0.705464221177491</v>
      </c>
    </row>
    <row r="92" customFormat="false" ht="12.75" hidden="false" customHeight="false" outlineLevel="0" collapsed="false">
      <c r="X92" s="367" t="n">
        <v>39753</v>
      </c>
      <c r="Y92" s="0" t="n">
        <v>0.0506804765244824</v>
      </c>
      <c r="Z92" s="365"/>
      <c r="AA92" s="365" t="n">
        <f aca="false">YEAR(X92)</f>
        <v>2008</v>
      </c>
      <c r="AB92" s="365" t="n">
        <f aca="false">MONTH(X92)</f>
        <v>11</v>
      </c>
      <c r="AC92" s="368" t="n">
        <f aca="false">(1+Y92/2)^(-(DATE(AA93,AB93,5)-TradeSum!$B$2)/182.625)</f>
        <v>0.700475903767891</v>
      </c>
      <c r="AD92" s="371"/>
      <c r="AF92" s="367" t="n">
        <v>39753</v>
      </c>
      <c r="AG92" s="0" t="n">
        <v>0.0504232352176439</v>
      </c>
      <c r="AI92" s="365" t="n">
        <f aca="false">YEAR(AF92)</f>
        <v>2008</v>
      </c>
      <c r="AJ92" s="365" t="n">
        <f aca="false">MONTH(AF92)</f>
        <v>11</v>
      </c>
      <c r="AK92" s="368" t="n">
        <f aca="false">(1+AG92/2)^(-(DATE(AI93,AJ93,5)-TradeSum!$B$2)/182.625)</f>
        <v>0.701727112178413</v>
      </c>
    </row>
    <row r="93" customFormat="false" ht="12.75" hidden="false" customHeight="false" outlineLevel="0" collapsed="false">
      <c r="X93" s="367" t="n">
        <v>39783</v>
      </c>
      <c r="Y93" s="0" t="n">
        <v>0.0508599295180567</v>
      </c>
      <c r="Z93" s="365"/>
      <c r="AA93" s="365" t="n">
        <f aca="false">YEAR(X93)</f>
        <v>2008</v>
      </c>
      <c r="AB93" s="365" t="n">
        <f aca="false">MONTH(X93)</f>
        <v>12</v>
      </c>
      <c r="AC93" s="368" t="n">
        <f aca="false">(1+Y93/2)^(-(DATE(AA94,AB94,5)-TradeSum!$B$2)/182.625)</f>
        <v>0.696628624207029</v>
      </c>
      <c r="AD93" s="371"/>
      <c r="AF93" s="367" t="n">
        <v>39783</v>
      </c>
      <c r="AG93" s="0" t="n">
        <v>0.0505281557111932</v>
      </c>
      <c r="AI93" s="365" t="n">
        <f aca="false">YEAR(AF93)</f>
        <v>2008</v>
      </c>
      <c r="AJ93" s="365" t="n">
        <f aca="false">MONTH(AF93)</f>
        <v>12</v>
      </c>
      <c r="AK93" s="368" t="n">
        <f aca="false">(1+AG93/2)^(-(DATE(AI94,AJ94,5)-TradeSum!$B$2)/182.625)</f>
        <v>0.698252970929119</v>
      </c>
    </row>
    <row r="94" customFormat="false" ht="12.75" hidden="false" customHeight="false" outlineLevel="0" collapsed="false">
      <c r="X94" s="367" t="n">
        <v>39814</v>
      </c>
      <c r="Y94" s="0" t="n">
        <v>0.0510453642893744</v>
      </c>
      <c r="Z94" s="365"/>
      <c r="AA94" s="365" t="n">
        <f aca="false">YEAR(X94)</f>
        <v>2009</v>
      </c>
      <c r="AB94" s="365" t="n">
        <f aca="false">MONTH(X94)</f>
        <v>1</v>
      </c>
      <c r="AC94" s="368" t="n">
        <f aca="false">(1+Y94/2)^(-(DATE(AA95,AB95,5)-TradeSum!$B$2)/182.625)</f>
        <v>0.692752543297609</v>
      </c>
      <c r="AD94" s="371"/>
      <c r="AF94" s="367" t="n">
        <v>39814</v>
      </c>
      <c r="AG94" s="0" t="n">
        <v>0.0506365735583878</v>
      </c>
      <c r="AI94" s="365" t="n">
        <f aca="false">YEAR(AF94)</f>
        <v>2009</v>
      </c>
      <c r="AJ94" s="365" t="n">
        <f aca="false">MONTH(AF94)</f>
        <v>1</v>
      </c>
      <c r="AK94" s="368" t="n">
        <f aca="false">(1+AG94/2)^(-(DATE(AI95,AJ95,5)-TradeSum!$B$2)/182.625)</f>
        <v>0.694766727509116</v>
      </c>
    </row>
    <row r="95" customFormat="false" ht="12.75" hidden="false" customHeight="false" outlineLevel="0" collapsed="false">
      <c r="X95" s="367" t="n">
        <v>39845</v>
      </c>
      <c r="Y95" s="0" t="n">
        <v>0.0512307990721679</v>
      </c>
      <c r="Z95" s="365"/>
      <c r="AA95" s="365" t="n">
        <f aca="false">YEAR(X95)</f>
        <v>2009</v>
      </c>
      <c r="AB95" s="365" t="n">
        <f aca="false">MONTH(X95)</f>
        <v>2</v>
      </c>
      <c r="AC95" s="368" t="n">
        <f aca="false">(1+Y95/2)^(-(DATE(AA96,AB96,5)-TradeSum!$B$2)/182.625)</f>
        <v>0.689163246136753</v>
      </c>
      <c r="AD95" s="371"/>
      <c r="AF95" s="367" t="n">
        <v>39845</v>
      </c>
      <c r="AG95" s="0" t="n">
        <v>0.0507449914095059</v>
      </c>
      <c r="AI95" s="365" t="n">
        <f aca="false">YEAR(AF95)</f>
        <v>2009</v>
      </c>
      <c r="AJ95" s="365" t="n">
        <f aca="false">MONTH(AF95)</f>
        <v>2</v>
      </c>
      <c r="AK95" s="368" t="n">
        <f aca="false">(1+AG95/2)^(-(DATE(AI96,AJ96,5)-TradeSum!$B$2)/182.625)</f>
        <v>0.691570099761067</v>
      </c>
    </row>
    <row r="96" customFormat="false" ht="12.75" hidden="false" customHeight="false" outlineLevel="0" collapsed="false">
      <c r="X96" s="367" t="n">
        <v>39873</v>
      </c>
      <c r="Y96" s="0" t="n">
        <v>0.051398288563262</v>
      </c>
      <c r="Z96" s="365"/>
      <c r="AA96" s="365" t="n">
        <f aca="false">YEAR(X96)</f>
        <v>2009</v>
      </c>
      <c r="AB96" s="365" t="n">
        <f aca="false">MONTH(X96)</f>
        <v>3</v>
      </c>
      <c r="AC96" s="368" t="n">
        <f aca="false">(1+Y96/2)^(-(DATE(AA97,AB97,5)-TradeSum!$B$2)/182.625)</f>
        <v>0.685377075885038</v>
      </c>
      <c r="AD96" s="371"/>
      <c r="AF96" s="367" t="n">
        <v>39873</v>
      </c>
      <c r="AG96" s="0" t="n">
        <v>0.0508429172138873</v>
      </c>
      <c r="AI96" s="365" t="n">
        <f aca="false">YEAR(AF96)</f>
        <v>2009</v>
      </c>
      <c r="AJ96" s="365" t="n">
        <f aca="false">MONTH(AF96)</f>
        <v>3</v>
      </c>
      <c r="AK96" s="368" t="n">
        <f aca="false">(1+AG96/2)^(-(DATE(AI97,AJ97,5)-TradeSum!$B$2)/182.625)</f>
        <v>0.6881455884701</v>
      </c>
    </row>
    <row r="97" customFormat="false" ht="12.75" hidden="false" customHeight="false" outlineLevel="0" collapsed="false">
      <c r="X97" s="367" t="n">
        <v>39904</v>
      </c>
      <c r="Y97" s="0" t="n">
        <v>0.0515837233678922</v>
      </c>
      <c r="Z97" s="365"/>
      <c r="AA97" s="365" t="n">
        <f aca="false">YEAR(X97)</f>
        <v>2009</v>
      </c>
      <c r="AB97" s="365" t="n">
        <f aca="false">MONTH(X97)</f>
        <v>4</v>
      </c>
      <c r="AC97" s="368" t="n">
        <f aca="false">(1+Y97/2)^(-(DATE(AA98,AB98,5)-TradeSum!$B$2)/182.625)</f>
        <v>0.681598144788659</v>
      </c>
      <c r="AD97" s="371"/>
      <c r="AF97" s="367" t="n">
        <v>39904</v>
      </c>
      <c r="AG97" s="0" t="n">
        <v>0.050951335072472</v>
      </c>
      <c r="AI97" s="365" t="n">
        <f aca="false">YEAR(AF97)</f>
        <v>2009</v>
      </c>
      <c r="AJ97" s="365" t="n">
        <f aca="false">MONTH(AF97)</f>
        <v>4</v>
      </c>
      <c r="AK97" s="368" t="n">
        <f aca="false">(1+AG97/2)^(-(DATE(AI98,AJ98,5)-TradeSum!$B$2)/182.625)</f>
        <v>0.684768533547132</v>
      </c>
    </row>
    <row r="98" customFormat="false" ht="12.75" hidden="false" customHeight="false" outlineLevel="0" collapsed="false">
      <c r="X98" s="367" t="n">
        <v>39934</v>
      </c>
      <c r="Y98" s="0" t="n">
        <v>0.0517631764155544</v>
      </c>
      <c r="Z98" s="365"/>
      <c r="AA98" s="365" t="n">
        <f aca="false">YEAR(X98)</f>
        <v>2009</v>
      </c>
      <c r="AB98" s="365" t="n">
        <f aca="false">MONTH(X98)</f>
        <v>5</v>
      </c>
      <c r="AC98" s="368" t="n">
        <f aca="false">(1+Y98/2)^(-(DATE(AA99,AB99,5)-TradeSum!$B$2)/182.625)</f>
        <v>0.677755239455642</v>
      </c>
      <c r="AD98" s="371"/>
      <c r="AF98" s="367" t="n">
        <v>39934</v>
      </c>
      <c r="AG98" s="0" t="n">
        <v>0.0510562555845149</v>
      </c>
      <c r="AI98" s="365" t="n">
        <f aca="false">YEAR(AF98)</f>
        <v>2009</v>
      </c>
      <c r="AJ98" s="365" t="n">
        <f aca="false">MONTH(AF98)</f>
        <v>5</v>
      </c>
      <c r="AK98" s="368" t="n">
        <f aca="false">(1+AG98/2)^(-(DATE(AI99,AJ99,5)-TradeSum!$B$2)/182.625)</f>
        <v>0.681319877287582</v>
      </c>
    </row>
    <row r="99" customFormat="false" ht="12.75" hidden="false" customHeight="false" outlineLevel="0" collapsed="false">
      <c r="X99" s="367" t="n">
        <v>39965</v>
      </c>
      <c r="Y99" s="0" t="n">
        <v>0.0519486112427572</v>
      </c>
      <c r="Z99" s="365"/>
      <c r="AA99" s="365" t="n">
        <f aca="false">YEAR(X99)</f>
        <v>2009</v>
      </c>
      <c r="AB99" s="365" t="n">
        <f aca="false">MONTH(X99)</f>
        <v>6</v>
      </c>
      <c r="AC99" s="368" t="n">
        <f aca="false">(1+Y99/2)^(-(DATE(AA100,AB100,5)-TradeSum!$B$2)/182.625)</f>
        <v>0.673978457736561</v>
      </c>
      <c r="AD99" s="371"/>
      <c r="AF99" s="367" t="n">
        <v>39965</v>
      </c>
      <c r="AG99" s="0" t="n">
        <v>0.0511646734508178</v>
      </c>
      <c r="AI99" s="365" t="n">
        <f aca="false">YEAR(AF99)</f>
        <v>2009</v>
      </c>
      <c r="AJ99" s="365" t="n">
        <f aca="false">MONTH(AF99)</f>
        <v>6</v>
      </c>
      <c r="AK99" s="368" t="n">
        <f aca="false">(1+AG99/2)^(-(DATE(AI100,AJ100,5)-TradeSum!$B$2)/182.625)</f>
        <v>0.677952820954559</v>
      </c>
    </row>
    <row r="100" customFormat="false" ht="12.75" hidden="false" customHeight="false" outlineLevel="0" collapsed="false">
      <c r="X100" s="367" t="n">
        <v>39995</v>
      </c>
      <c r="Y100" s="0" t="n">
        <v>0.0521280643122619</v>
      </c>
      <c r="Z100" s="365"/>
      <c r="AA100" s="365" t="n">
        <f aca="false">YEAR(X100)</f>
        <v>2009</v>
      </c>
      <c r="AB100" s="365" t="n">
        <f aca="false">MONTH(X100)</f>
        <v>7</v>
      </c>
      <c r="AC100" s="368" t="n">
        <f aca="false">(1+Y100/2)^(-(DATE(AA101,AB101,5)-TradeSum!$B$2)/182.625)</f>
        <v>0.670138865188158</v>
      </c>
      <c r="AD100" s="371"/>
      <c r="AF100" s="367" t="n">
        <v>39995</v>
      </c>
      <c r="AG100" s="0" t="n">
        <v>0.0512695939703303</v>
      </c>
      <c r="AI100" s="365" t="n">
        <f aca="false">YEAR(AF100)</f>
        <v>2009</v>
      </c>
      <c r="AJ100" s="365" t="n">
        <f aca="false">MONTH(AF100)</f>
        <v>7</v>
      </c>
      <c r="AK100" s="368" t="n">
        <f aca="false">(1+AG100/2)^(-(DATE(AI101,AJ101,5)-TradeSum!$B$2)/182.625)</f>
        <v>0.67451511099681</v>
      </c>
    </row>
    <row r="101" customFormat="false" ht="12.75" hidden="false" customHeight="false" outlineLevel="0" collapsed="false">
      <c r="X101" s="367" t="n">
        <v>40026</v>
      </c>
      <c r="Y101" s="0" t="n">
        <v>0.0523134991620342</v>
      </c>
      <c r="Z101" s="365"/>
      <c r="AA101" s="365" t="n">
        <f aca="false">YEAR(X101)</f>
        <v>2009</v>
      </c>
      <c r="AB101" s="365" t="n">
        <f aca="false">MONTH(X101)</f>
        <v>8</v>
      </c>
      <c r="AC101" s="368" t="n">
        <f aca="false">(1+Y101/2)^(-(DATE(AA102,AB102,5)-TradeSum!$B$2)/182.625)</f>
        <v>0.666270904158743</v>
      </c>
      <c r="AD101" s="371"/>
      <c r="AF101" s="367" t="n">
        <v>40026</v>
      </c>
      <c r="AG101" s="0" t="n">
        <v>0.0513780118443514</v>
      </c>
      <c r="AI101" s="365" t="n">
        <f aca="false">YEAR(AF101)</f>
        <v>2009</v>
      </c>
      <c r="AJ101" s="365" t="n">
        <f aca="false">MONTH(AF101)</f>
        <v>8</v>
      </c>
      <c r="AK101" s="368" t="n">
        <f aca="false">(1+AG101/2)^(-(DATE(AI102,AJ102,5)-TradeSum!$B$2)/182.625)</f>
        <v>0.671065214312622</v>
      </c>
    </row>
    <row r="102" customFormat="false" ht="12.75" hidden="false" customHeight="false" outlineLevel="0" collapsed="false">
      <c r="X102" s="367" t="n">
        <v>40057</v>
      </c>
      <c r="Y102" s="0" t="n">
        <v>0.0524989340232747</v>
      </c>
      <c r="Z102" s="365"/>
      <c r="AA102" s="365" t="n">
        <f aca="false">YEAR(X102)</f>
        <v>2009</v>
      </c>
      <c r="AB102" s="365" t="n">
        <f aca="false">MONTH(X102)</f>
        <v>9</v>
      </c>
      <c r="AC102" s="368" t="n">
        <f aca="false">(1+Y102/2)^(-(DATE(AA103,AB103,5)-TradeSum!$B$2)/182.625)</f>
        <v>0.662499022985705</v>
      </c>
      <c r="AD102" s="371"/>
      <c r="AF102" s="367" t="n">
        <v>40057</v>
      </c>
      <c r="AG102" s="0" t="n">
        <v>0.0514864297222948</v>
      </c>
      <c r="AI102" s="365" t="n">
        <f aca="false">YEAR(AF102)</f>
        <v>2009</v>
      </c>
      <c r="AJ102" s="365" t="n">
        <f aca="false">MONTH(AF102)</f>
        <v>9</v>
      </c>
      <c r="AK102" s="368" t="n">
        <f aca="false">(1+AG102/2)^(-(DATE(AI103,AJ103,5)-TradeSum!$B$2)/182.625)</f>
        <v>0.667713937714318</v>
      </c>
    </row>
    <row r="103" customFormat="false" ht="12.75" hidden="false" customHeight="false" outlineLevel="0" collapsed="false">
      <c r="X103" s="367" t="n">
        <v>40087</v>
      </c>
      <c r="Y103" s="0" t="n">
        <v>0.0526783871257157</v>
      </c>
      <c r="Z103" s="365"/>
      <c r="AA103" s="365" t="n">
        <f aca="false">YEAR(X103)</f>
        <v>2009</v>
      </c>
      <c r="AB103" s="365" t="n">
        <f aca="false">MONTH(X103)</f>
        <v>10</v>
      </c>
      <c r="AC103" s="368" t="n">
        <f aca="false">(1+Y103/2)^(-(DATE(AA104,AB104,5)-TradeSum!$B$2)/182.625)</f>
        <v>0.658666073630622</v>
      </c>
      <c r="AD103" s="371"/>
      <c r="AF103" s="367" t="n">
        <v>40087</v>
      </c>
      <c r="AG103" s="0" t="n">
        <v>0.0515913502530707</v>
      </c>
      <c r="AI103" s="365" t="n">
        <f aca="false">YEAR(AF103)</f>
        <v>2009</v>
      </c>
      <c r="AJ103" s="365" t="n">
        <f aca="false">MONTH(AF103)</f>
        <v>10</v>
      </c>
      <c r="AK103" s="368" t="n">
        <f aca="false">(1+AG103/2)^(-(DATE(AI104,AJ104,5)-TradeSum!$B$2)/182.625)</f>
        <v>0.664293426573601</v>
      </c>
    </row>
    <row r="104" customFormat="false" ht="12.75" hidden="false" customHeight="false" outlineLevel="0" collapsed="false">
      <c r="X104" s="367" t="n">
        <v>40118</v>
      </c>
      <c r="Y104" s="0" t="n">
        <v>0.052863822009519</v>
      </c>
      <c r="Z104" s="365"/>
      <c r="AA104" s="365" t="n">
        <f aca="false">YEAR(X104)</f>
        <v>2009</v>
      </c>
      <c r="AB104" s="365" t="n">
        <f aca="false">MONTH(X104)</f>
        <v>11</v>
      </c>
      <c r="AC104" s="368" t="n">
        <f aca="false">(1+Y104/2)^(-(DATE(AA105,AB105,5)-TradeSum!$B$2)/182.625)</f>
        <v>0.654898524841461</v>
      </c>
      <c r="AD104" s="371"/>
      <c r="AF104" s="367" t="n">
        <v>40118</v>
      </c>
      <c r="AG104" s="0" t="n">
        <v>0.051699768138731</v>
      </c>
      <c r="AI104" s="365" t="n">
        <f aca="false">YEAR(AF104)</f>
        <v>2009</v>
      </c>
      <c r="AJ104" s="365" t="n">
        <f aca="false">MONTH(AF104)</f>
        <v>11</v>
      </c>
      <c r="AK104" s="368" t="n">
        <f aca="false">(1+AG104/2)^(-(DATE(AI105,AJ105,5)-TradeSum!$B$2)/182.625)</f>
        <v>0.660953067879895</v>
      </c>
    </row>
    <row r="105" customFormat="false" ht="12.75" hidden="false" customHeight="false" outlineLevel="0" collapsed="false">
      <c r="X105" s="367" t="n">
        <v>40148</v>
      </c>
      <c r="Y105" s="0" t="n">
        <v>0.0530432751337933</v>
      </c>
      <c r="Z105" s="365"/>
      <c r="AA105" s="365" t="n">
        <f aca="false">YEAR(X105)</f>
        <v>2009</v>
      </c>
      <c r="AB105" s="365" t="n">
        <f aca="false">MONTH(X105)</f>
        <v>12</v>
      </c>
      <c r="AC105" s="368" t="n">
        <f aca="false">(1+Y105/2)^(-(DATE(AA106,AB106,5)-TradeSum!$B$2)/182.625)</f>
        <v>0.651071054924005</v>
      </c>
      <c r="AD105" s="371"/>
      <c r="AF105" s="367" t="n">
        <v>40148</v>
      </c>
      <c r="AG105" s="0" t="n">
        <v>0.0518046886769747</v>
      </c>
      <c r="AI105" s="365" t="n">
        <f aca="false">YEAR(AF105)</f>
        <v>2009</v>
      </c>
      <c r="AJ105" s="365" t="n">
        <f aca="false">MONTH(AF105)</f>
        <v>12</v>
      </c>
      <c r="AK105" s="368" t="n">
        <f aca="false">(1+AG105/2)^(-(DATE(AI106,AJ106,5)-TradeSum!$B$2)/182.625)</f>
        <v>0.657544408611758</v>
      </c>
    </row>
    <row r="106" customFormat="false" ht="12.75" hidden="false" customHeight="false" outlineLevel="0" collapsed="false">
      <c r="X106" s="367" t="n">
        <v>40179</v>
      </c>
      <c r="Y106" s="0" t="n">
        <v>0.0532287100401558</v>
      </c>
      <c r="Z106" s="365"/>
      <c r="AA106" s="365" t="n">
        <f aca="false">YEAR(X106)</f>
        <v>2010</v>
      </c>
      <c r="AB106" s="365" t="n">
        <f aca="false">MONTH(X106)</f>
        <v>1</v>
      </c>
      <c r="AC106" s="368" t="n">
        <f aca="false">(1+Y106/2)^(-(DATE(AA107,AB107,5)-TradeSum!$B$2)/182.625)</f>
        <v>0.647215594835642</v>
      </c>
      <c r="AD106" s="371"/>
      <c r="AF106" s="367" t="n">
        <v>40179</v>
      </c>
      <c r="AG106" s="0" t="n">
        <v>0.0519131065703506</v>
      </c>
      <c r="AI106" s="365" t="n">
        <f aca="false">YEAR(AF106)</f>
        <v>2010</v>
      </c>
      <c r="AJ106" s="365" t="n">
        <f aca="false">MONTH(AF106)</f>
        <v>1</v>
      </c>
      <c r="AK106" s="368" t="n">
        <f aca="false">(1+AG106/2)^(-(DATE(AI107,AJ107,5)-TradeSum!$B$2)/182.625)</f>
        <v>0.65412353264284</v>
      </c>
    </row>
    <row r="107" customFormat="false" ht="12.75" hidden="false" customHeight="false" outlineLevel="0" collapsed="false">
      <c r="X107" s="367" t="n">
        <v>40210</v>
      </c>
      <c r="Y107" s="0" t="n">
        <v>0.0534141449579812</v>
      </c>
      <c r="Z107" s="365"/>
      <c r="AA107" s="365" t="n">
        <f aca="false">YEAR(X107)</f>
        <v>2010</v>
      </c>
      <c r="AB107" s="365" t="n">
        <f aca="false">MONTH(X107)</f>
        <v>2</v>
      </c>
      <c r="AC107" s="368" t="n">
        <f aca="false">(1+Y107/2)^(-(DATE(AA108,AB108,5)-TradeSum!$B$2)/182.625)</f>
        <v>0.643641939392554</v>
      </c>
      <c r="AD107" s="371"/>
      <c r="AF107" s="367" t="n">
        <v>40210</v>
      </c>
      <c r="AG107" s="0" t="n">
        <v>0.0520215244676478</v>
      </c>
      <c r="AI107" s="365" t="n">
        <f aca="false">YEAR(AF107)</f>
        <v>2010</v>
      </c>
      <c r="AJ107" s="365" t="n">
        <f aca="false">MONTH(AF107)</f>
        <v>2</v>
      </c>
      <c r="AK107" s="368" t="n">
        <f aca="false">(1+AG107/2)^(-(DATE(AI108,AJ108,5)-TradeSum!$B$2)/182.625)</f>
        <v>0.650983350641565</v>
      </c>
    </row>
    <row r="108" customFormat="false" ht="12.75" hidden="false" customHeight="false" outlineLevel="0" collapsed="false">
      <c r="X108" s="367" t="n">
        <v>40238</v>
      </c>
      <c r="Y108" s="0" t="n">
        <v>0.0535816345710303</v>
      </c>
      <c r="Z108" s="365"/>
      <c r="AA108" s="365" t="n">
        <f aca="false">YEAR(X108)</f>
        <v>2010</v>
      </c>
      <c r="AB108" s="365" t="n">
        <f aca="false">MONTH(X108)</f>
        <v>3</v>
      </c>
      <c r="AC108" s="368" t="n">
        <f aca="false">(1+Y108/2)^(-(DATE(AA109,AB109,5)-TradeSum!$B$2)/182.625)</f>
        <v>0.639886782156239</v>
      </c>
      <c r="AD108" s="371"/>
      <c r="AF108" s="367" t="n">
        <v>40238</v>
      </c>
      <c r="AG108" s="0" t="n">
        <v>0.0521194503137381</v>
      </c>
      <c r="AI108" s="365" t="n">
        <f aca="false">YEAR(AF108)</f>
        <v>2010</v>
      </c>
      <c r="AJ108" s="365" t="n">
        <f aca="false">MONTH(AF108)</f>
        <v>3</v>
      </c>
      <c r="AK108" s="368" t="n">
        <f aca="false">(1+AG108/2)^(-(DATE(AI109,AJ109,5)-TradeSum!$B$2)/182.625)</f>
        <v>0.647629912467334</v>
      </c>
    </row>
    <row r="109" customFormat="false" ht="12.75" hidden="false" customHeight="false" outlineLevel="0" collapsed="false">
      <c r="X109" s="367" t="n">
        <v>40269</v>
      </c>
      <c r="Y109" s="0" t="n">
        <v>0.0537670695106693</v>
      </c>
      <c r="Z109" s="365"/>
      <c r="AA109" s="365" t="n">
        <f aca="false">YEAR(X109)</f>
        <v>2010</v>
      </c>
      <c r="AB109" s="365" t="n">
        <f aca="false">MONTH(X109)</f>
        <v>4</v>
      </c>
      <c r="AC109" s="368" t="n">
        <f aca="false">(1+Y109/2)^(-(DATE(AA110,AB110,5)-TradeSum!$B$2)/182.625)</f>
        <v>0.636133588120499</v>
      </c>
      <c r="AD109" s="371"/>
      <c r="AF109" s="367" t="n">
        <v>40269</v>
      </c>
      <c r="AG109" s="0" t="n">
        <v>0.0522278682184973</v>
      </c>
      <c r="AI109" s="365" t="n">
        <f aca="false">YEAR(AF109)</f>
        <v>2010</v>
      </c>
      <c r="AJ109" s="365" t="n">
        <f aca="false">MONTH(AF109)</f>
        <v>4</v>
      </c>
      <c r="AK109" s="368" t="n">
        <f aca="false">(1+AG109/2)^(-(DATE(AI110,AJ110,5)-TradeSum!$B$2)/182.625)</f>
        <v>0.644318098260801</v>
      </c>
    </row>
    <row r="110" customFormat="false" ht="12.75" hidden="false" customHeight="false" outlineLevel="0" collapsed="false">
      <c r="X110" s="367" t="n">
        <v>40299</v>
      </c>
      <c r="Y110" s="0" t="n">
        <v>0.0539465226889737</v>
      </c>
      <c r="Z110" s="365"/>
      <c r="AA110" s="365" t="n">
        <f aca="false">YEAR(X110)</f>
        <v>2010</v>
      </c>
      <c r="AB110" s="365" t="n">
        <f aca="false">MONTH(X110)</f>
        <v>5</v>
      </c>
      <c r="AC110" s="368" t="n">
        <f aca="false">(1+Y110/2)^(-(DATE(AA111,AB111,5)-TradeSum!$B$2)/182.625)</f>
        <v>0.632323281513681</v>
      </c>
      <c r="AD110" s="371"/>
      <c r="AF110" s="367" t="n">
        <v>40299</v>
      </c>
      <c r="AG110" s="0" t="n">
        <v>0.0523327887752223</v>
      </c>
      <c r="AI110" s="365" t="n">
        <f aca="false">YEAR(AF110)</f>
        <v>2010</v>
      </c>
      <c r="AJ110" s="365" t="n">
        <f aca="false">MONTH(AF110)</f>
        <v>5</v>
      </c>
      <c r="AK110" s="368" t="n">
        <f aca="false">(1+AG110/2)^(-(DATE(AI111,AJ111,5)-TradeSum!$B$2)/182.625)</f>
        <v>0.6409402709243</v>
      </c>
    </row>
    <row r="111" customFormat="false" ht="12.75" hidden="false" customHeight="false" outlineLevel="0" collapsed="false">
      <c r="X111" s="367" t="n">
        <v>40330</v>
      </c>
      <c r="Y111" s="0" t="n">
        <v>0.0541319576511619</v>
      </c>
      <c r="Z111" s="365"/>
      <c r="AA111" s="365" t="n">
        <f aca="false">YEAR(X111)</f>
        <v>2010</v>
      </c>
      <c r="AB111" s="365" t="n">
        <f aca="false">MONTH(X111)</f>
        <v>6</v>
      </c>
      <c r="AC111" s="368" t="n">
        <f aca="false">(1+Y111/2)^(-(DATE(AA112,AB112,5)-TradeSum!$B$2)/182.625)</f>
        <v>0.62857732124291</v>
      </c>
      <c r="AD111" s="371"/>
      <c r="AF111" s="367" t="n">
        <v>40330</v>
      </c>
      <c r="AG111" s="0" t="n">
        <v>0.0524412066876958</v>
      </c>
      <c r="AI111" s="365" t="n">
        <f aca="false">YEAR(AF111)</f>
        <v>2010</v>
      </c>
      <c r="AJ111" s="365" t="n">
        <f aca="false">MONTH(AF111)</f>
        <v>6</v>
      </c>
      <c r="AK111" s="368" t="n">
        <f aca="false">(1+AG111/2)^(-(DATE(AI112,AJ112,5)-TradeSum!$B$2)/182.625)</f>
        <v>0.637640585398444</v>
      </c>
    </row>
    <row r="112" customFormat="false" ht="12.75" hidden="false" customHeight="false" outlineLevel="0" collapsed="false">
      <c r="X112" s="367" t="n">
        <v>40360</v>
      </c>
      <c r="Y112" s="0" t="n">
        <v>0.0543114108512861</v>
      </c>
      <c r="Z112" s="365"/>
      <c r="AA112" s="365" t="n">
        <f aca="false">YEAR(X112)</f>
        <v>2010</v>
      </c>
      <c r="AB112" s="365" t="n">
        <f aca="false">MONTH(X112)</f>
        <v>7</v>
      </c>
      <c r="AC112" s="368" t="n">
        <f aca="false">(1+Y112/2)^(-(DATE(AA113,AB113,5)-TradeSum!$B$2)/182.625)</f>
        <v>0.624775369791185</v>
      </c>
      <c r="AD112" s="371"/>
      <c r="AF112" s="367" t="n">
        <v>40360</v>
      </c>
      <c r="AG112" s="0" t="n">
        <v>0.0525461272518863</v>
      </c>
      <c r="AI112" s="365" t="n">
        <f aca="false">YEAR(AF112)</f>
        <v>2010</v>
      </c>
      <c r="AJ112" s="365" t="n">
        <f aca="false">MONTH(AF112)</f>
        <v>7</v>
      </c>
      <c r="AK112" s="368" t="n">
        <f aca="false">(1+AG112/2)^(-(DATE(AI113,AJ113,5)-TradeSum!$B$2)/182.625)</f>
        <v>0.6342758006695</v>
      </c>
    </row>
    <row r="113" customFormat="false" ht="12.75" hidden="false" customHeight="false" outlineLevel="0" collapsed="false">
      <c r="X113" s="367" t="n">
        <v>40391</v>
      </c>
      <c r="Y113" s="0" t="n">
        <v>0.0544968458360198</v>
      </c>
      <c r="Z113" s="365"/>
      <c r="AA113" s="365" t="n">
        <f aca="false">YEAR(X113)</f>
        <v>2010</v>
      </c>
      <c r="AB113" s="365" t="n">
        <f aca="false">MONTH(X113)</f>
        <v>8</v>
      </c>
      <c r="AC113" s="368" t="n">
        <f aca="false">(1+Y113/2)^(-(DATE(AA114,AB114,5)-TradeSum!$B$2)/182.625)</f>
        <v>0.620946035506591</v>
      </c>
      <c r="AD113" s="371"/>
      <c r="AF113" s="367" t="n">
        <v>40391</v>
      </c>
      <c r="AG113" s="0" t="n">
        <v>0.0526545451720728</v>
      </c>
      <c r="AI113" s="365" t="n">
        <f aca="false">YEAR(AF113)</f>
        <v>2010</v>
      </c>
      <c r="AJ113" s="365" t="n">
        <f aca="false">MONTH(AF113)</f>
        <v>8</v>
      </c>
      <c r="AK113" s="368" t="n">
        <f aca="false">(1+AG113/2)^(-(DATE(AI114,AJ114,5)-TradeSum!$B$2)/182.625)</f>
        <v>0.630898798157219</v>
      </c>
    </row>
    <row r="114" customFormat="false" ht="12.75" hidden="false" customHeight="false" outlineLevel="0" collapsed="false">
      <c r="X114" s="367" t="n">
        <v>40422</v>
      </c>
      <c r="Y114" s="0" t="n">
        <v>0.0546822808322092</v>
      </c>
      <c r="Z114" s="365"/>
      <c r="AA114" s="365" t="n">
        <f aca="false">YEAR(X114)</f>
        <v>2010</v>
      </c>
      <c r="AB114" s="365" t="n">
        <f aca="false">MONTH(X114)</f>
        <v>9</v>
      </c>
      <c r="AC114" s="368" t="n">
        <f aca="false">(1+Y114/2)^(-(DATE(AA115,AB115,5)-TradeSum!$B$2)/182.625)</f>
        <v>0.617212507331736</v>
      </c>
      <c r="AD114" s="371"/>
      <c r="AF114" s="367" t="n">
        <v>40422</v>
      </c>
      <c r="AG114" s="0" t="n">
        <v>0.0527629630961783</v>
      </c>
      <c r="AI114" s="365" t="n">
        <f aca="false">YEAR(AF114)</f>
        <v>2010</v>
      </c>
      <c r="AJ114" s="365" t="n">
        <f aca="false">MONTH(AF114)</f>
        <v>9</v>
      </c>
      <c r="AK114" s="368" t="n">
        <f aca="false">(1+AG114/2)^(-(DATE(AI115,AJ115,5)-TradeSum!$B$2)/182.625)</f>
        <v>0.627618036030869</v>
      </c>
    </row>
    <row r="115" customFormat="false" ht="12.75" hidden="false" customHeight="false" outlineLevel="0" collapsed="false">
      <c r="X115" s="367" t="n">
        <v>40452</v>
      </c>
      <c r="Y115" s="0" t="n">
        <v>0.0548617340652342</v>
      </c>
      <c r="Z115" s="365"/>
      <c r="AA115" s="365" t="n">
        <f aca="false">YEAR(X115)</f>
        <v>2010</v>
      </c>
      <c r="AB115" s="365" t="n">
        <f aca="false">MONTH(X115)</f>
        <v>10</v>
      </c>
      <c r="AC115" s="368" t="n">
        <f aca="false">(1+Y115/2)^(-(DATE(AA116,AB116,5)-TradeSum!$B$2)/182.625)</f>
        <v>0.613424664054223</v>
      </c>
      <c r="AD115" s="371"/>
      <c r="AF115" s="367" t="n">
        <v>40452</v>
      </c>
      <c r="AG115" s="0" t="n">
        <v>0.0528678836716256</v>
      </c>
      <c r="AI115" s="365" t="n">
        <f aca="false">YEAR(AF115)</f>
        <v>2010</v>
      </c>
      <c r="AJ115" s="365" t="n">
        <f aca="false">MONTH(AF115)</f>
        <v>10</v>
      </c>
      <c r="AK115" s="368" t="n">
        <f aca="false">(1+AG115/2)^(-(DATE(AI116,AJ116,5)-TradeSum!$B$2)/182.625)</f>
        <v>0.624273541768362</v>
      </c>
    </row>
    <row r="116" customFormat="false" ht="12.75" hidden="false" customHeight="false" outlineLevel="0" collapsed="false">
      <c r="X116" s="367" t="n">
        <v>40483</v>
      </c>
      <c r="Y116" s="0" t="n">
        <v>0.0550471690839625</v>
      </c>
      <c r="Z116" s="365"/>
      <c r="AA116" s="365" t="n">
        <f aca="false">YEAR(X116)</f>
        <v>2010</v>
      </c>
      <c r="AB116" s="365" t="n">
        <f aca="false">MONTH(X116)</f>
        <v>11</v>
      </c>
      <c r="AC116" s="368" t="n">
        <f aca="false">(1+Y116/2)^(-(DATE(AA117,AB117,5)-TradeSum!$B$2)/182.625)</f>
        <v>0.609700369173481</v>
      </c>
      <c r="AD116" s="371"/>
      <c r="AF116" s="367" t="n">
        <v>40483</v>
      </c>
      <c r="AG116" s="0" t="n">
        <v>0.0529763016034441</v>
      </c>
      <c r="AI116" s="365" t="n">
        <f aca="false">YEAR(AF116)</f>
        <v>2010</v>
      </c>
      <c r="AJ116" s="365" t="n">
        <f aca="false">MONTH(AF116)</f>
        <v>11</v>
      </c>
      <c r="AK116" s="368" t="n">
        <f aca="false">(1+AG116/2)^(-(DATE(AI117,AJ117,5)-TradeSum!$B$2)/182.625)</f>
        <v>0.62100573594076</v>
      </c>
    </row>
    <row r="117" customFormat="false" ht="12.75" hidden="false" customHeight="false" outlineLevel="0" collapsed="false">
      <c r="X117" s="367" t="n">
        <v>40513</v>
      </c>
      <c r="Y117" s="0" t="n">
        <v>0.055226622338798</v>
      </c>
      <c r="Z117" s="365"/>
      <c r="AA117" s="365" t="n">
        <f aca="false">YEAR(X117)</f>
        <v>2010</v>
      </c>
      <c r="AB117" s="365" t="n">
        <f aca="false">MONTH(X117)</f>
        <v>12</v>
      </c>
      <c r="AC117" s="368" t="n">
        <f aca="false">(1+Y117/2)^(-(DATE(AA118,AB118,5)-TradeSum!$B$2)/182.625)</f>
        <v>0.605922860050725</v>
      </c>
      <c r="AD117" s="371"/>
      <c r="AF117" s="367" t="n">
        <v>40513</v>
      </c>
      <c r="AG117" s="0" t="n">
        <v>0.0530812221863544</v>
      </c>
      <c r="AI117" s="365" t="n">
        <f aca="false">YEAR(AF117)</f>
        <v>2010</v>
      </c>
      <c r="AJ117" s="365" t="n">
        <f aca="false">MONTH(AF117)</f>
        <v>12</v>
      </c>
      <c r="AK117" s="368" t="n">
        <f aca="false">(1+AG117/2)^(-(DATE(AI118,AJ118,5)-TradeSum!$B$2)/182.625)</f>
        <v>0.617675096775954</v>
      </c>
    </row>
    <row r="118" customFormat="false" ht="12.75" hidden="false" customHeight="false" outlineLevel="0" collapsed="false">
      <c r="X118" s="367" t="n">
        <v>40544</v>
      </c>
      <c r="Y118" s="0" t="n">
        <v>0.0554120573800616</v>
      </c>
      <c r="Z118" s="365"/>
      <c r="AA118" s="365" t="n">
        <f aca="false">YEAR(X118)</f>
        <v>2011</v>
      </c>
      <c r="AB118" s="365" t="n">
        <f aca="false">MONTH(X118)</f>
        <v>1</v>
      </c>
      <c r="AC118" s="368" t="n">
        <f aca="false">(1+Y118/2)^(-(DATE(AA119,AB119,5)-TradeSum!$B$2)/182.625)</f>
        <v>0.602118461115849</v>
      </c>
      <c r="AD118" s="371"/>
      <c r="AF118" s="367" t="n">
        <v>40544</v>
      </c>
      <c r="AG118" s="0" t="n">
        <v>0.0531896401258836</v>
      </c>
      <c r="AI118" s="365" t="n">
        <f aca="false">YEAR(AF118)</f>
        <v>2011</v>
      </c>
      <c r="AJ118" s="365" t="n">
        <f aca="false">MONTH(AF118)</f>
        <v>1</v>
      </c>
      <c r="AK118" s="368" t="n">
        <f aca="false">(1+AG118/2)^(-(DATE(AI119,AJ119,5)-TradeSum!$B$2)/182.625)</f>
        <v>0.614332266576554</v>
      </c>
    </row>
    <row r="119" customFormat="false" ht="12.75" hidden="false" customHeight="false" outlineLevel="0" collapsed="false">
      <c r="X119" s="367" t="n">
        <v>40575</v>
      </c>
      <c r="Y119" s="0" t="n">
        <v>0.055597492432776</v>
      </c>
      <c r="Z119" s="365"/>
      <c r="AA119" s="365" t="n">
        <f aca="false">YEAR(X119)</f>
        <v>2011</v>
      </c>
      <c r="AB119" s="365" t="n">
        <f aca="false">MONTH(X119)</f>
        <v>2</v>
      </c>
      <c r="AC119" s="368" t="n">
        <f aca="false">(1+Y119/2)^(-(DATE(AA120,AB120,5)-TradeSum!$B$2)/182.625)</f>
        <v>0.598589269723948</v>
      </c>
      <c r="AD119" s="371"/>
      <c r="AF119" s="367" t="n">
        <v>40575</v>
      </c>
      <c r="AG119" s="0" t="n">
        <v>0.053298058069331</v>
      </c>
      <c r="AI119" s="365" t="n">
        <f aca="false">YEAR(AF119)</f>
        <v>2011</v>
      </c>
      <c r="AJ119" s="365" t="n">
        <f aca="false">MONTH(AF119)</f>
        <v>2</v>
      </c>
      <c r="AK119" s="368" t="n">
        <f aca="false">(1+AG119/2)^(-(DATE(AI120,AJ120,5)-TradeSum!$B$2)/182.625)</f>
        <v>0.611260634826932</v>
      </c>
    </row>
    <row r="120" customFormat="false" ht="12.75" hidden="false" customHeight="false" outlineLevel="0" collapsed="false">
      <c r="X120" s="367" t="n">
        <v>40603</v>
      </c>
      <c r="Y120" s="0" t="n">
        <v>0.0557649821676502</v>
      </c>
      <c r="Z120" s="365"/>
      <c r="AA120" s="365" t="n">
        <f aca="false">YEAR(X120)</f>
        <v>2011</v>
      </c>
      <c r="AB120" s="365" t="n">
        <f aca="false">MONTH(X120)</f>
        <v>3</v>
      </c>
      <c r="AC120" s="368" t="n">
        <f aca="false">(1+Y120/2)^(-(DATE(AA121,AB121,5)-TradeSum!$B$2)/182.625)</f>
        <v>0.594893607863384</v>
      </c>
      <c r="AD120" s="371"/>
      <c r="AF120" s="367" t="n">
        <v>40603</v>
      </c>
      <c r="AG120" s="0" t="n">
        <v>0.0533959839571034</v>
      </c>
      <c r="AI120" s="365" t="n">
        <f aca="false">YEAR(AF120)</f>
        <v>2011</v>
      </c>
      <c r="AJ120" s="365" t="n">
        <f aca="false">MONTH(AF120)</f>
        <v>3</v>
      </c>
      <c r="AK120" s="368" t="n">
        <f aca="false">(1+AG120/2)^(-(DATE(AI121,AJ121,5)-TradeSum!$B$2)/182.625)</f>
        <v>0.607989980718296</v>
      </c>
    </row>
    <row r="121" customFormat="false" ht="12.75" hidden="false" customHeight="false" outlineLevel="0" collapsed="false">
      <c r="X121" s="367" t="n">
        <v>40634</v>
      </c>
      <c r="Y121" s="0" t="n">
        <v>0.0559504172421552</v>
      </c>
      <c r="Z121" s="365"/>
      <c r="AA121" s="365" t="n">
        <f aca="false">YEAR(X121)</f>
        <v>2011</v>
      </c>
      <c r="AB121" s="365" t="n">
        <f aca="false">MONTH(X121)</f>
        <v>4</v>
      </c>
      <c r="AC121" s="368" t="n">
        <f aca="false">(1+Y121/2)^(-(DATE(AA122,AB122,5)-TradeSum!$B$2)/182.625)</f>
        <v>0.591195471063591</v>
      </c>
      <c r="AD121" s="371"/>
      <c r="AF121" s="367" t="n">
        <v>40634</v>
      </c>
      <c r="AG121" s="0" t="n">
        <v>0.0535044019080084</v>
      </c>
      <c r="AI121" s="365" t="n">
        <f aca="false">YEAR(AF121)</f>
        <v>2011</v>
      </c>
      <c r="AJ121" s="365" t="n">
        <f aca="false">MONTH(AF121)</f>
        <v>4</v>
      </c>
      <c r="AK121" s="368" t="n">
        <f aca="false">(1+AG121/2)^(-(DATE(AI122,AJ122,5)-TradeSum!$B$2)/182.625)</f>
        <v>0.604755606241807</v>
      </c>
    </row>
    <row r="122" customFormat="false" ht="12.75" hidden="false" customHeight="false" outlineLevel="0" collapsed="false">
      <c r="X122" s="367" t="n">
        <v>40664</v>
      </c>
      <c r="Y122" s="0" t="n">
        <v>0.0561298705509627</v>
      </c>
      <c r="Z122" s="365"/>
      <c r="AA122" s="365" t="n">
        <f aca="false">YEAR(X122)</f>
        <v>2011</v>
      </c>
      <c r="AB122" s="365" t="n">
        <f aca="false">MONTH(X122)</f>
        <v>5</v>
      </c>
      <c r="AC122" s="368" t="n">
        <f aca="false">(1+Y122/2)^(-(DATE(AA123,AB123,5)-TradeSum!$B$2)/182.625)</f>
        <v>0.58744680750901</v>
      </c>
      <c r="AD122" s="371"/>
      <c r="AF122" s="367" t="n">
        <v>40664</v>
      </c>
      <c r="AG122" s="0" t="n">
        <v>0.0536093225093892</v>
      </c>
      <c r="AI122" s="365" t="n">
        <f aca="false">YEAR(AF122)</f>
        <v>2011</v>
      </c>
      <c r="AJ122" s="365" t="n">
        <f aca="false">MONTH(AF122)</f>
        <v>5</v>
      </c>
      <c r="AK122" s="368" t="n">
        <f aca="false">(1+AG122/2)^(-(DATE(AI123,AJ123,5)-TradeSum!$B$2)/182.625)</f>
        <v>0.601460596591941</v>
      </c>
    </row>
    <row r="123" customFormat="false" ht="12.75" hidden="false" customHeight="false" outlineLevel="0" collapsed="false">
      <c r="X123" s="367" t="n">
        <v>40695</v>
      </c>
      <c r="Y123" s="0" t="n">
        <v>0.0563153056479932</v>
      </c>
      <c r="Z123" s="365"/>
      <c r="AA123" s="365" t="n">
        <f aca="false">YEAR(X123)</f>
        <v>2011</v>
      </c>
      <c r="AB123" s="365" t="n">
        <f aca="false">MONTH(X123)</f>
        <v>6</v>
      </c>
      <c r="AC123" s="368" t="n">
        <f aca="false">(1+Y123/2)^(-(DATE(AA124,AB124,5)-TradeSum!$B$2)/182.625)</f>
        <v>0.583760536638652</v>
      </c>
      <c r="AD123" s="371"/>
      <c r="AF123" s="367" t="n">
        <v>40695</v>
      </c>
      <c r="AG123" s="0" t="n">
        <v>0.053717740468004</v>
      </c>
      <c r="AI123" s="365" t="n">
        <f aca="false">YEAR(AF123)</f>
        <v>2011</v>
      </c>
      <c r="AJ123" s="365" t="n">
        <f aca="false">MONTH(AF123)</f>
        <v>6</v>
      </c>
      <c r="AK123" s="368" t="n">
        <f aca="false">(1+AG123/2)^(-(DATE(AI124,AJ124,5)-TradeSum!$B$2)/182.625)</f>
        <v>0.598240260334776</v>
      </c>
    </row>
    <row r="124" customFormat="false" ht="12.75" hidden="false" customHeight="false" outlineLevel="0" collapsed="false">
      <c r="X124" s="367" t="n">
        <v>40725</v>
      </c>
      <c r="Y124" s="0" t="n">
        <v>0.0564947589785976</v>
      </c>
      <c r="Z124" s="365"/>
      <c r="AA124" s="365" t="n">
        <f aca="false">YEAR(X124)</f>
        <v>2011</v>
      </c>
      <c r="AB124" s="365" t="n">
        <f aca="false">MONTH(X124)</f>
        <v>7</v>
      </c>
      <c r="AC124" s="368" t="n">
        <f aca="false">(1+Y124/2)^(-(DATE(AA125,AB125,5)-TradeSum!$B$2)/182.625)</f>
        <v>0.580024808897879</v>
      </c>
      <c r="AD124" s="371"/>
      <c r="AF124" s="367" t="n">
        <v>40725</v>
      </c>
      <c r="AG124" s="0" t="n">
        <v>0.0538226610768442</v>
      </c>
      <c r="AI124" s="365" t="n">
        <f aca="false">YEAR(AF124)</f>
        <v>2011</v>
      </c>
      <c r="AJ124" s="365" t="n">
        <f aca="false">MONTH(AF124)</f>
        <v>7</v>
      </c>
      <c r="AK124" s="368" t="n">
        <f aca="false">(1+AG124/2)^(-(DATE(AI125,AJ125,5)-TradeSum!$B$2)/182.625)</f>
        <v>0.594960165906545</v>
      </c>
    </row>
    <row r="125" customFormat="false" ht="12.75" hidden="false" customHeight="false" outlineLevel="0" collapsed="false">
      <c r="X125" s="367" t="n">
        <v>40756</v>
      </c>
      <c r="Y125" s="0" t="n">
        <v>0.0566801940981492</v>
      </c>
      <c r="Z125" s="365"/>
      <c r="AA125" s="365" t="n">
        <f aca="false">YEAR(X125)</f>
        <v>2011</v>
      </c>
      <c r="AB125" s="365" t="n">
        <f aca="false">MONTH(X125)</f>
        <v>8</v>
      </c>
      <c r="AC125" s="368" t="n">
        <f aca="false">(1+Y125/2)^(-(DATE(AA126,AB126,5)-TradeSum!$B$2)/182.625)</f>
        <v>0.576262942164731</v>
      </c>
      <c r="AD125" s="371"/>
      <c r="AF125" s="367" t="n">
        <v>40756</v>
      </c>
      <c r="AG125" s="0" t="n">
        <v>0.0539310790431675</v>
      </c>
      <c r="AI125" s="365" t="n">
        <f aca="false">YEAR(AF125)</f>
        <v>2011</v>
      </c>
      <c r="AJ125" s="365" t="n">
        <f aca="false">MONTH(AF125)</f>
        <v>8</v>
      </c>
      <c r="AK125" s="368" t="n">
        <f aca="false">(1+AG125/2)^(-(DATE(AI126,AJ126,5)-TradeSum!$B$2)/182.625)</f>
        <v>0.591667953101075</v>
      </c>
    </row>
    <row r="126" customFormat="false" ht="12.75" hidden="false" customHeight="false" outlineLevel="0" collapsed="false">
      <c r="X126" s="367" t="n">
        <v>40787</v>
      </c>
      <c r="Y126" s="0" t="n">
        <v>0.0568656292291445</v>
      </c>
      <c r="Z126" s="365"/>
      <c r="AA126" s="365" t="n">
        <f aca="false">YEAR(X126)</f>
        <v>2011</v>
      </c>
      <c r="AB126" s="365" t="n">
        <f aca="false">MONTH(X126)</f>
        <v>9</v>
      </c>
      <c r="AC126" s="368" t="n">
        <f aca="false">(1+Y126/2)^(-(DATE(AA127,AB127,5)-TradeSum!$B$2)/182.625)</f>
        <v>0.572595937690595</v>
      </c>
      <c r="AD126" s="371"/>
      <c r="AF126" s="367" t="n">
        <v>40787</v>
      </c>
      <c r="AG126" s="0" t="n">
        <v>0.0540394970134073</v>
      </c>
      <c r="AI126" s="365" t="n">
        <f aca="false">YEAR(AF126)</f>
        <v>2011</v>
      </c>
      <c r="AJ126" s="365" t="n">
        <f aca="false">MONTH(AF126)</f>
        <v>9</v>
      </c>
      <c r="AK126" s="368" t="n">
        <f aca="false">(1+AG126/2)^(-(DATE(AI127,AJ127,5)-TradeSum!$B$2)/182.625)</f>
        <v>0.588469349452076</v>
      </c>
    </row>
    <row r="127" customFormat="false" ht="12.75" hidden="false" customHeight="false" outlineLevel="0" collapsed="false">
      <c r="X127" s="367" t="n">
        <v>40817</v>
      </c>
      <c r="Y127" s="0" t="n">
        <v>0.0570450825926154</v>
      </c>
      <c r="Z127" s="365"/>
      <c r="AA127" s="365" t="n">
        <f aca="false">YEAR(X127)</f>
        <v>2011</v>
      </c>
      <c r="AB127" s="365" t="n">
        <f aca="false">MONTH(X127)</f>
        <v>10</v>
      </c>
      <c r="AC127" s="368" t="n">
        <f aca="false">(1+Y127/2)^(-(DATE(AA128,AB128,5)-TradeSum!$B$2)/182.625)</f>
        <v>0.568881072062956</v>
      </c>
      <c r="AD127" s="371"/>
      <c r="AF127" s="367" t="n">
        <v>40817</v>
      </c>
      <c r="AG127" s="0" t="n">
        <v>0.054144417633498</v>
      </c>
      <c r="AI127" s="365" t="n">
        <f aca="false">YEAR(AF127)</f>
        <v>2011</v>
      </c>
      <c r="AJ127" s="365" t="n">
        <f aca="false">MONTH(AF127)</f>
        <v>10</v>
      </c>
      <c r="AK127" s="368" t="n">
        <f aca="false">(1+AG127/2)^(-(DATE(AI128,AJ128,5)-TradeSum!$B$2)/182.625)</f>
        <v>0.585212298124833</v>
      </c>
    </row>
    <row r="128" customFormat="false" ht="12.75" hidden="false" customHeight="false" outlineLevel="0" collapsed="false">
      <c r="X128" s="367" t="n">
        <v>40848</v>
      </c>
      <c r="Y128" s="0" t="n">
        <v>0.057202225004843</v>
      </c>
      <c r="Z128" s="365"/>
      <c r="AA128" s="365" t="n">
        <f aca="false">YEAR(X128)</f>
        <v>2011</v>
      </c>
      <c r="AB128" s="365" t="n">
        <f aca="false">MONTH(X128)</f>
        <v>11</v>
      </c>
      <c r="AC128" s="368" t="n">
        <f aca="false">(1+Y128/2)^(-(DATE(AA129,AB129,5)-TradeSum!$B$2)/182.625)</f>
        <v>0.565384946405272</v>
      </c>
      <c r="AD128" s="371"/>
      <c r="AF128" s="367" t="n">
        <v>40848</v>
      </c>
      <c r="AG128" s="0" t="n">
        <v>0.0542430846415187</v>
      </c>
      <c r="AI128" s="365" t="n">
        <f aca="false">YEAR(AF128)</f>
        <v>2011</v>
      </c>
      <c r="AJ128" s="365" t="n">
        <f aca="false">MONTH(AF128)</f>
        <v>11</v>
      </c>
      <c r="AK128" s="368" t="n">
        <f aca="false">(1+AG128/2)^(-(DATE(AI129,AJ129,5)-TradeSum!$B$2)/182.625)</f>
        <v>0.582084336386709</v>
      </c>
    </row>
    <row r="129" customFormat="false" ht="12.75" hidden="false" customHeight="false" outlineLevel="0" collapsed="false">
      <c r="X129" s="367" t="n">
        <v>40878</v>
      </c>
      <c r="Y129" s="0" t="n">
        <v>0.0572755806046366</v>
      </c>
      <c r="Z129" s="365"/>
      <c r="AA129" s="365" t="n">
        <f aca="false">YEAR(X129)</f>
        <v>2011</v>
      </c>
      <c r="AB129" s="365" t="n">
        <f aca="false">MONTH(X129)</f>
        <v>12</v>
      </c>
      <c r="AC129" s="368" t="n">
        <f aca="false">(1+Y129/2)^(-(DATE(AA130,AB130,5)-TradeSum!$B$2)/182.625)</f>
        <v>0.562276038096676</v>
      </c>
      <c r="AD129" s="371"/>
      <c r="AF129" s="367" t="n">
        <v>40878</v>
      </c>
      <c r="AG129" s="0" t="n">
        <v>0.054299250417865</v>
      </c>
      <c r="AI129" s="365" t="n">
        <f aca="false">YEAR(AF129)</f>
        <v>2011</v>
      </c>
      <c r="AJ129" s="365" t="n">
        <f aca="false">MONTH(AF129)</f>
        <v>12</v>
      </c>
      <c r="AK129" s="368" t="n">
        <f aca="false">(1+AG129/2)^(-(DATE(AI130,AJ130,5)-TradeSum!$B$2)/182.625)</f>
        <v>0.579123267585198</v>
      </c>
    </row>
    <row r="130" customFormat="false" ht="12.75" hidden="false" customHeight="false" outlineLevel="0" collapsed="false">
      <c r="X130" s="367" t="n">
        <v>40909</v>
      </c>
      <c r="Y130" s="0" t="n">
        <v>0.0573513813929711</v>
      </c>
      <c r="Z130" s="365"/>
      <c r="AA130" s="365" t="n">
        <f aca="false">YEAR(X130)</f>
        <v>2012</v>
      </c>
      <c r="AB130" s="365" t="n">
        <f aca="false">MONTH(X130)</f>
        <v>1</v>
      </c>
      <c r="AC130" s="368" t="n">
        <f aca="false">(1+Y130/2)^(-(DATE(AA131,AB131,5)-TradeSum!$B$2)/182.625)</f>
        <v>0.559163805741909</v>
      </c>
      <c r="AD130" s="371"/>
      <c r="AF130" s="367" t="n">
        <v>40909</v>
      </c>
      <c r="AG130" s="0" t="n">
        <v>0.0543572883878607</v>
      </c>
      <c r="AI130" s="365" t="n">
        <f aca="false">YEAR(AF130)</f>
        <v>2012</v>
      </c>
      <c r="AJ130" s="365" t="n">
        <f aca="false">MONTH(AF130)</f>
        <v>1</v>
      </c>
      <c r="AK130" s="368" t="n">
        <f aca="false">(1+AG130/2)^(-(DATE(AI131,AJ131,5)-TradeSum!$B$2)/182.625)</f>
        <v>0.576161126280458</v>
      </c>
    </row>
    <row r="131" customFormat="false" ht="12.75" hidden="false" customHeight="false" outlineLevel="0" collapsed="false">
      <c r="X131" s="367" t="n">
        <v>40940</v>
      </c>
      <c r="Y131" s="0" t="n">
        <v>0.0574271821832175</v>
      </c>
      <c r="Z131" s="365"/>
      <c r="AA131" s="365" t="n">
        <f aca="false">YEAR(X131)</f>
        <v>2012</v>
      </c>
      <c r="AB131" s="365" t="n">
        <f aca="false">MONTH(X131)</f>
        <v>2</v>
      </c>
      <c r="AC131" s="368" t="n">
        <f aca="false">(1+Y131/2)^(-(DATE(AA132,AB132,5)-TradeSum!$B$2)/182.625)</f>
        <v>0.556234279223119</v>
      </c>
      <c r="AD131" s="371"/>
      <c r="AF131" s="367" t="n">
        <v>40940</v>
      </c>
      <c r="AG131" s="0" t="n">
        <v>0.0544153263589782</v>
      </c>
      <c r="AI131" s="365" t="n">
        <f aca="false">YEAR(AF131)</f>
        <v>2012</v>
      </c>
      <c r="AJ131" s="365" t="n">
        <f aca="false">MONTH(AF131)</f>
        <v>2</v>
      </c>
      <c r="AK131" s="368" t="n">
        <f aca="false">(1+AG131/2)^(-(DATE(AI132,AJ132,5)-TradeSum!$B$2)/182.625)</f>
        <v>0.573377184691598</v>
      </c>
    </row>
    <row r="132" customFormat="false" ht="12.75" hidden="false" customHeight="false" outlineLevel="0" collapsed="false">
      <c r="X132" s="367" t="n">
        <v>40969</v>
      </c>
      <c r="Y132" s="0" t="n">
        <v>0.0574980926016298</v>
      </c>
      <c r="Z132" s="365"/>
      <c r="AA132" s="365" t="n">
        <f aca="false">YEAR(X132)</f>
        <v>2012</v>
      </c>
      <c r="AB132" s="365" t="n">
        <f aca="false">MONTH(X132)</f>
        <v>3</v>
      </c>
      <c r="AC132" s="368" t="n">
        <f aca="false">(1+Y132/2)^(-(DATE(AA133,AB133,5)-TradeSum!$B$2)/182.625)</f>
        <v>0.553169370203755</v>
      </c>
      <c r="AD132" s="371"/>
      <c r="AF132" s="367" t="n">
        <v>40969</v>
      </c>
      <c r="AG132" s="0" t="n">
        <v>0.0544696199458783</v>
      </c>
      <c r="AI132" s="365" t="n">
        <f aca="false">YEAR(AF132)</f>
        <v>2012</v>
      </c>
      <c r="AJ132" s="365" t="n">
        <f aca="false">MONTH(AF132)</f>
        <v>3</v>
      </c>
      <c r="AK132" s="368" t="n">
        <f aca="false">(1+AG132/2)^(-(DATE(AI133,AJ133,5)-TradeSum!$B$2)/182.625)</f>
        <v>0.570455405444545</v>
      </c>
    </row>
    <row r="133" customFormat="false" ht="12.75" hidden="false" customHeight="false" outlineLevel="0" collapsed="false">
      <c r="X133" s="367" t="n">
        <v>41000</v>
      </c>
      <c r="Y133" s="0" t="n">
        <v>0.0575738933955754</v>
      </c>
      <c r="Z133" s="365"/>
      <c r="AA133" s="365" t="n">
        <f aca="false">YEAR(X133)</f>
        <v>2012</v>
      </c>
      <c r="AB133" s="365" t="n">
        <f aca="false">MONTH(X133)</f>
        <v>4</v>
      </c>
      <c r="AC133" s="368" t="n">
        <f aca="false">(1+Y133/2)^(-(DATE(AA134,AB134,5)-TradeSum!$B$2)/182.625)</f>
        <v>0.55017288318662</v>
      </c>
      <c r="AD133" s="371"/>
      <c r="AF133" s="367" t="n">
        <v>41000</v>
      </c>
      <c r="AG133" s="0" t="n">
        <v>0.0545276579191682</v>
      </c>
      <c r="AI133" s="365" t="n">
        <f aca="false">YEAR(AF133)</f>
        <v>2012</v>
      </c>
      <c r="AJ133" s="365" t="n">
        <f aca="false">MONTH(AF133)</f>
        <v>4</v>
      </c>
      <c r="AK133" s="368" t="n">
        <f aca="false">(1+AG133/2)^(-(DATE(AI134,AJ134,5)-TradeSum!$B$2)/182.625)</f>
        <v>0.56760524489935</v>
      </c>
    </row>
    <row r="134" customFormat="false" ht="12.75" hidden="false" customHeight="false" outlineLevel="0" collapsed="false">
      <c r="X134" s="367" t="n">
        <v>41030</v>
      </c>
      <c r="Y134" s="0" t="n">
        <v>0.0576472490044391</v>
      </c>
      <c r="Z134" s="365"/>
      <c r="AA134" s="365" t="n">
        <f aca="false">YEAR(X134)</f>
        <v>2012</v>
      </c>
      <c r="AB134" s="365" t="n">
        <f aca="false">MONTH(X134)</f>
        <v>5</v>
      </c>
      <c r="AC134" s="368" t="n">
        <f aca="false">(1+Y134/2)^(-(DATE(AA135,AB135,5)-TradeSum!$B$2)/182.625)</f>
        <v>0.54711468154099</v>
      </c>
      <c r="AD134" s="371"/>
      <c r="AF134" s="367" t="n">
        <v>41030</v>
      </c>
      <c r="AG134" s="0" t="n">
        <v>0.0545838237008396</v>
      </c>
      <c r="AI134" s="365" t="n">
        <f aca="false">YEAR(AF134)</f>
        <v>2012</v>
      </c>
      <c r="AJ134" s="365" t="n">
        <f aca="false">MONTH(AF134)</f>
        <v>5</v>
      </c>
      <c r="AK134" s="368" t="n">
        <f aca="false">(1+AG134/2)^(-(DATE(AI135,AJ135,5)-TradeSum!$B$2)/182.625)</f>
        <v>0.564691748196241</v>
      </c>
    </row>
    <row r="135" customFormat="false" ht="12.75" hidden="false" customHeight="false" outlineLevel="0" collapsed="false">
      <c r="X135" s="367" t="n">
        <v>41061</v>
      </c>
      <c r="Y135" s="0" t="n">
        <v>0.0577230498021462</v>
      </c>
      <c r="Z135" s="365"/>
      <c r="AA135" s="365" t="n">
        <f aca="false">YEAR(X135)</f>
        <v>2012</v>
      </c>
      <c r="AB135" s="365" t="n">
        <f aca="false">MONTH(X135)</f>
        <v>6</v>
      </c>
      <c r="AC135" s="368" t="n">
        <f aca="false">(1+Y135/2)^(-(DATE(AA136,AB136,5)-TradeSum!$B$2)/182.625)</f>
        <v>0.544137847763917</v>
      </c>
      <c r="AD135" s="371"/>
      <c r="AF135" s="367" t="n">
        <v>41061</v>
      </c>
      <c r="AG135" s="0" t="n">
        <v>0.0546418616763376</v>
      </c>
      <c r="AI135" s="365" t="n">
        <f aca="false">YEAR(AF135)</f>
        <v>2012</v>
      </c>
      <c r="AJ135" s="365" t="n">
        <f aca="false">MONTH(AF135)</f>
        <v>6</v>
      </c>
      <c r="AK135" s="368" t="n">
        <f aca="false">(1+AG135/2)^(-(DATE(AI136,AJ136,5)-TradeSum!$B$2)/182.625)</f>
        <v>0.561859971271698</v>
      </c>
    </row>
    <row r="136" customFormat="false" ht="12.75" hidden="false" customHeight="false" outlineLevel="0" collapsed="false">
      <c r="X136" s="367" t="n">
        <v>41091</v>
      </c>
      <c r="Y136" s="0" t="n">
        <v>0.0577964054146491</v>
      </c>
      <c r="Z136" s="365"/>
      <c r="AA136" s="365" t="n">
        <f aca="false">YEAR(X136)</f>
        <v>2012</v>
      </c>
      <c r="AB136" s="365" t="n">
        <f aca="false">MONTH(X136)</f>
        <v>7</v>
      </c>
      <c r="AC136" s="368" t="n">
        <f aca="false">(1+Y136/2)^(-(DATE(AA137,AB137,5)-TradeSum!$B$2)/182.625)</f>
        <v>0.541100121022055</v>
      </c>
      <c r="AD136" s="371"/>
      <c r="AF136" s="367" t="n">
        <v>41091</v>
      </c>
      <c r="AG136" s="0" t="n">
        <v>0.0546980274601458</v>
      </c>
      <c r="AI136" s="365" t="n">
        <f aca="false">YEAR(AF136)</f>
        <v>2012</v>
      </c>
      <c r="AJ136" s="365" t="n">
        <f aca="false">MONTH(AF136)</f>
        <v>7</v>
      </c>
      <c r="AK136" s="368" t="n">
        <f aca="false">(1+AG136/2)^(-(DATE(AI137,AJ137,5)-TradeSum!$B$2)/182.625)</f>
        <v>0.558965605037761</v>
      </c>
    </row>
    <row r="137" customFormat="false" ht="12.75" hidden="false" customHeight="false" outlineLevel="0" collapsed="false">
      <c r="X137" s="367" t="n">
        <v>41122</v>
      </c>
      <c r="Y137" s="0" t="n">
        <v>0.0578722062161168</v>
      </c>
      <c r="Z137" s="365"/>
      <c r="AA137" s="365" t="n">
        <f aca="false">YEAR(X137)</f>
        <v>2012</v>
      </c>
      <c r="AB137" s="365" t="n">
        <f aca="false">MONTH(X137)</f>
        <v>8</v>
      </c>
      <c r="AC137" s="368" t="n">
        <f aca="false">(1+Y137/2)^(-(DATE(AA138,AB138,5)-TradeSum!$B$2)/182.625)</f>
        <v>0.538058964439596</v>
      </c>
      <c r="AD137" s="371"/>
      <c r="AF137" s="367" t="n">
        <v>41122</v>
      </c>
      <c r="AG137" s="0" t="n">
        <v>0.0547560654378514</v>
      </c>
      <c r="AI137" s="365" t="n">
        <f aca="false">YEAR(AF137)</f>
        <v>2012</v>
      </c>
      <c r="AJ137" s="365" t="n">
        <f aca="false">MONTH(AF137)</f>
        <v>8</v>
      </c>
      <c r="AK137" s="368" t="n">
        <f aca="false">(1+AG137/2)^(-(DATE(AI138,AJ138,5)-TradeSum!$B$2)/182.625)</f>
        <v>0.556069988563726</v>
      </c>
    </row>
    <row r="138" customFormat="false" ht="12.75" hidden="false" customHeight="false" outlineLevel="0" collapsed="false">
      <c r="X138" s="367" t="n">
        <v>41153</v>
      </c>
      <c r="Y138" s="0" t="n">
        <v>0.0579480070194953</v>
      </c>
      <c r="Z138" s="365"/>
      <c r="AA138" s="365" t="n">
        <f aca="false">YEAR(X138)</f>
        <v>2012</v>
      </c>
      <c r="AB138" s="365" t="n">
        <f aca="false">MONTH(X138)</f>
        <v>9</v>
      </c>
      <c r="AC138" s="368" t="n">
        <f aca="false">(1+Y138/2)^(-(DATE(AA139,AB139,5)-TradeSum!$B$2)/182.625)</f>
        <v>0.535111909189274</v>
      </c>
      <c r="AD138" s="371"/>
      <c r="AF138" s="367" t="n">
        <v>41153</v>
      </c>
      <c r="AG138" s="0" t="n">
        <v>0.0548141034166796</v>
      </c>
      <c r="AI138" s="365" t="n">
        <f aca="false">YEAR(AF138)</f>
        <v>2012</v>
      </c>
      <c r="AJ138" s="365" t="n">
        <f aca="false">MONTH(AF138)</f>
        <v>9</v>
      </c>
      <c r="AK138" s="368" t="n">
        <f aca="false">(1+AG138/2)^(-(DATE(AI139,AJ139,5)-TradeSum!$B$2)/182.625)</f>
        <v>0.553265983935656</v>
      </c>
    </row>
    <row r="139" customFormat="false" ht="12.75" hidden="false" customHeight="false" outlineLevel="0" collapsed="false">
      <c r="X139" s="367" t="n">
        <v>41183</v>
      </c>
      <c r="Y139" s="0" t="n">
        <v>0.0580213626374872</v>
      </c>
      <c r="Z139" s="365"/>
      <c r="AA139" s="365" t="n">
        <f aca="false">YEAR(X139)</f>
        <v>2012</v>
      </c>
      <c r="AB139" s="365" t="n">
        <f aca="false">MONTH(X139)</f>
        <v>10</v>
      </c>
      <c r="AC139" s="368" t="n">
        <f aca="false">(1+Y139/2)^(-(DATE(AA140,AB140,5)-TradeSum!$B$2)/182.625)</f>
        <v>0.532105186772853</v>
      </c>
      <c r="AD139" s="371"/>
      <c r="AF139" s="367" t="n">
        <v>41183</v>
      </c>
      <c r="AG139" s="0" t="n">
        <v>0.0548702692037102</v>
      </c>
      <c r="AI139" s="365" t="n">
        <f aca="false">YEAR(AF139)</f>
        <v>2012</v>
      </c>
      <c r="AJ139" s="365" t="n">
        <f aca="false">MONTH(AF139)</f>
        <v>10</v>
      </c>
      <c r="AK139" s="368" t="n">
        <f aca="false">(1+AG139/2)^(-(DATE(AI140,AJ140,5)-TradeSum!$B$2)/182.625)</f>
        <v>0.550400505095534</v>
      </c>
    </row>
    <row r="140" customFormat="false" ht="12.75" hidden="false" customHeight="false" outlineLevel="0" collapsed="false">
      <c r="X140" s="367" t="n">
        <v>41214</v>
      </c>
      <c r="Y140" s="0" t="n">
        <v>0.0580971634446263</v>
      </c>
      <c r="Z140" s="365"/>
      <c r="AA140" s="365" t="n">
        <f aca="false">YEAR(X140)</f>
        <v>2012</v>
      </c>
      <c r="AB140" s="365" t="n">
        <f aca="false">MONTH(X140)</f>
        <v>11</v>
      </c>
      <c r="AC140" s="368" t="n">
        <f aca="false">(1+Y140/2)^(-(DATE(AA141,AB141,5)-TradeSum!$B$2)/182.625)</f>
        <v>0.529177961758493</v>
      </c>
      <c r="AD140" s="371"/>
      <c r="AF140" s="367" t="n">
        <v>41214</v>
      </c>
      <c r="AG140" s="0" t="n">
        <v>0.054928307184746</v>
      </c>
      <c r="AI140" s="365" t="n">
        <f aca="false">YEAR(AF140)</f>
        <v>2012</v>
      </c>
      <c r="AJ140" s="365" t="n">
        <f aca="false">MONTH(AF140)</f>
        <v>11</v>
      </c>
      <c r="AK140" s="368" t="n">
        <f aca="false">(1+AG140/2)^(-(DATE(AI141,AJ141,5)-TradeSum!$B$2)/182.625)</f>
        <v>0.54761494192026</v>
      </c>
    </row>
    <row r="141" customFormat="false" ht="12.75" hidden="false" customHeight="false" outlineLevel="0" collapsed="false">
      <c r="X141" s="367" t="n">
        <v>41244</v>
      </c>
      <c r="Y141" s="0" t="n">
        <v>0.0581705190662571</v>
      </c>
      <c r="Z141" s="365"/>
      <c r="AA141" s="365" t="n">
        <f aca="false">YEAR(X141)</f>
        <v>2012</v>
      </c>
      <c r="AB141" s="365" t="n">
        <f aca="false">MONTH(X141)</f>
        <v>12</v>
      </c>
      <c r="AC141" s="368" t="n">
        <f aca="false">(1+Y141/2)^(-(DATE(AA142,AB142,5)-TradeSum!$B$2)/182.625)</f>
        <v>0.526191873425948</v>
      </c>
      <c r="AD141" s="371"/>
      <c r="AF141" s="367" t="n">
        <v>41244</v>
      </c>
      <c r="AG141" s="0" t="n">
        <v>0.0549844729739135</v>
      </c>
      <c r="AI141" s="365" t="n">
        <f aca="false">YEAR(AF141)</f>
        <v>2012</v>
      </c>
      <c r="AJ141" s="365" t="n">
        <f aca="false">MONTH(AF141)</f>
        <v>12</v>
      </c>
      <c r="AK141" s="368" t="n">
        <f aca="false">(1+AG141/2)^(-(DATE(AI142,AJ142,5)-TradeSum!$B$2)/182.625)</f>
        <v>0.544768636408614</v>
      </c>
    </row>
    <row r="142" customFormat="false" ht="12.75" hidden="false" customHeight="false" outlineLevel="0" collapsed="false">
      <c r="X142" s="367" t="n">
        <v>41275</v>
      </c>
      <c r="Y142" s="0" t="n">
        <v>0.0582463198771563</v>
      </c>
      <c r="Z142" s="365"/>
      <c r="AA142" s="365" t="n">
        <f aca="false">YEAR(X142)</f>
        <v>2013</v>
      </c>
      <c r="AB142" s="365" t="n">
        <f aca="false">MONTH(X142)</f>
        <v>1</v>
      </c>
      <c r="AC142" s="368" t="n">
        <f aca="false">(1+Y142/2)^(-(DATE(AA143,AB143,5)-TradeSum!$B$2)/182.625)</f>
        <v>0.523202293210721</v>
      </c>
      <c r="AD142" s="371"/>
      <c r="AF142" s="367" t="n">
        <v>41275</v>
      </c>
      <c r="AG142" s="0" t="n">
        <v>0.0550425109571568</v>
      </c>
      <c r="AI142" s="365" t="n">
        <f aca="false">YEAR(AF142)</f>
        <v>2013</v>
      </c>
      <c r="AJ142" s="365" t="n">
        <f aca="false">MONTH(AF142)</f>
        <v>1</v>
      </c>
      <c r="AK142" s="368" t="n">
        <f aca="false">(1+AG142/2)^(-(DATE(AI143,AJ143,5)-TradeSum!$B$2)/182.625)</f>
        <v>0.541920964783682</v>
      </c>
    </row>
    <row r="143" customFormat="false" ht="12.75" hidden="false" customHeight="false" outlineLevel="0" collapsed="false">
      <c r="X143" s="367" t="n">
        <v>41306</v>
      </c>
      <c r="Y143" s="0" t="n">
        <v>0.058322120689966</v>
      </c>
      <c r="Z143" s="365"/>
      <c r="AA143" s="365" t="n">
        <f aca="false">YEAR(X143)</f>
        <v>2013</v>
      </c>
      <c r="AB143" s="365" t="n">
        <f aca="false">MONTH(X143)</f>
        <v>2</v>
      </c>
      <c r="AC143" s="368" t="n">
        <f aca="false">(1+Y143/2)^(-(DATE(AA144,AB144,5)-TradeSum!$B$2)/182.625)</f>
        <v>0.520468907097043</v>
      </c>
      <c r="AD143" s="371"/>
      <c r="AF143" s="367" t="n">
        <v>41306</v>
      </c>
      <c r="AG143" s="0" t="n">
        <v>0.0551005489415224</v>
      </c>
      <c r="AI143" s="365" t="n">
        <f aca="false">YEAR(AF143)</f>
        <v>2013</v>
      </c>
      <c r="AJ143" s="365" t="n">
        <f aca="false">MONTH(AF143)</f>
        <v>2</v>
      </c>
      <c r="AK143" s="368" t="n">
        <f aca="false">(1+AG143/2)^(-(DATE(AI144,AJ144,5)-TradeSum!$B$2)/182.625)</f>
        <v>0.539323746724873</v>
      </c>
    </row>
    <row r="144" customFormat="false" ht="12.75" hidden="false" customHeight="false" outlineLevel="0" collapsed="false">
      <c r="X144" s="367" t="n">
        <v>41334</v>
      </c>
      <c r="Y144" s="0" t="n">
        <v>0.0583905859418876</v>
      </c>
      <c r="Z144" s="365"/>
      <c r="AA144" s="365" t="n">
        <f aca="false">YEAR(X144)</f>
        <v>2013</v>
      </c>
      <c r="AB144" s="365" t="n">
        <f aca="false">MONTH(X144)</f>
        <v>3</v>
      </c>
      <c r="AC144" s="368" t="n">
        <f aca="false">(1+Y144/2)^(-(DATE(AA145,AB145,5)-TradeSum!$B$2)/182.625)</f>
        <v>0.517541459867817</v>
      </c>
      <c r="AD144" s="371"/>
      <c r="AF144" s="367" t="n">
        <v>41334</v>
      </c>
      <c r="AG144" s="0" t="n">
        <v>0.0551529703477196</v>
      </c>
      <c r="AI144" s="365" t="n">
        <f aca="false">YEAR(AF144)</f>
        <v>2013</v>
      </c>
      <c r="AJ144" s="365" t="n">
        <f aca="false">MONTH(AF144)</f>
        <v>3</v>
      </c>
      <c r="AK144" s="368" t="n">
        <f aca="false">(1+AG144/2)^(-(DATE(AI145,AJ145,5)-TradeSum!$B$2)/182.625)</f>
        <v>0.536528077814848</v>
      </c>
    </row>
    <row r="145" customFormat="false" ht="12.75" hidden="false" customHeight="false" outlineLevel="0" collapsed="false">
      <c r="X145" s="367" t="n">
        <v>41365</v>
      </c>
      <c r="Y145" s="0" t="n">
        <v>0.0584663867583335</v>
      </c>
      <c r="Z145" s="365"/>
      <c r="AA145" s="365" t="n">
        <f aca="false">YEAR(X145)</f>
        <v>2013</v>
      </c>
      <c r="AB145" s="365" t="n">
        <f aca="false">MONTH(X145)</f>
        <v>4</v>
      </c>
      <c r="AC145" s="368" t="n">
        <f aca="false">(1+Y145/2)^(-(DATE(AA146,AB146,5)-TradeSum!$B$2)/182.625)</f>
        <v>0.514663590832613</v>
      </c>
      <c r="AD145" s="371"/>
      <c r="AF145" s="367" t="n">
        <v>41365</v>
      </c>
      <c r="AG145" s="0" t="n">
        <v>0.0552110083342203</v>
      </c>
      <c r="AI145" s="365" t="n">
        <f aca="false">YEAR(AF145)</f>
        <v>2013</v>
      </c>
      <c r="AJ145" s="365" t="n">
        <f aca="false">MONTH(AF145)</f>
        <v>4</v>
      </c>
      <c r="AK145" s="368" t="n">
        <f aca="false">(1+AG145/2)^(-(DATE(AI146,AJ146,5)-TradeSum!$B$2)/182.625)</f>
        <v>0.533788241757078</v>
      </c>
    </row>
    <row r="146" customFormat="false" ht="12.75" hidden="false" customHeight="false" outlineLevel="0" collapsed="false">
      <c r="X146" s="367" t="n">
        <v>41395</v>
      </c>
      <c r="Y146" s="0" t="n">
        <v>0.0585397423889709</v>
      </c>
      <c r="Z146" s="365"/>
      <c r="AA146" s="365" t="n">
        <f aca="false">YEAR(X146)</f>
        <v>2013</v>
      </c>
      <c r="AB146" s="365" t="n">
        <f aca="false">MONTH(X146)</f>
        <v>5</v>
      </c>
      <c r="AC146" s="368" t="n">
        <f aca="false">(1+Y146/2)^(-(DATE(AA147,AB147,5)-TradeSum!$B$2)/182.625)</f>
        <v>0.511728817764919</v>
      </c>
      <c r="AD146" s="371"/>
      <c r="AF146" s="367" t="n">
        <v>41395</v>
      </c>
      <c r="AG146" s="0" t="n">
        <v>0.0552671741286761</v>
      </c>
      <c r="AI146" s="365" t="n">
        <f aca="false">YEAR(AF146)</f>
        <v>2013</v>
      </c>
      <c r="AJ146" s="365" t="n">
        <f aca="false">MONTH(AF146)</f>
        <v>5</v>
      </c>
      <c r="AK146" s="368" t="n">
        <f aca="false">(1+AG146/2)^(-(DATE(AI147,AJ147,5)-TradeSum!$B$2)/182.625)</f>
        <v>0.530989449438108</v>
      </c>
    </row>
    <row r="147" customFormat="false" ht="12.75" hidden="false" customHeight="false" outlineLevel="0" collapsed="false">
      <c r="X147" s="367" t="n">
        <v>41426</v>
      </c>
      <c r="Y147" s="0" t="n">
        <v>0.0586155432091764</v>
      </c>
      <c r="Z147" s="365"/>
      <c r="AA147" s="365" t="n">
        <f aca="false">YEAR(X147)</f>
        <v>2013</v>
      </c>
      <c r="AB147" s="365" t="n">
        <f aca="false">MONTH(X147)</f>
        <v>6</v>
      </c>
      <c r="AC147" s="368" t="n">
        <f aca="false">(1+Y147/2)^(-(DATE(AA148,AB148,5)-TradeSum!$B$2)/182.625)</f>
        <v>0.50887098612004</v>
      </c>
      <c r="AD147" s="371"/>
      <c r="AF147" s="367" t="n">
        <v>41426</v>
      </c>
      <c r="AG147" s="0" t="n">
        <v>0.055325212117384</v>
      </c>
      <c r="AI147" s="365" t="n">
        <f aca="false">YEAR(AF147)</f>
        <v>2013</v>
      </c>
      <c r="AJ147" s="365" t="n">
        <f aca="false">MONTH(AF147)</f>
        <v>6</v>
      </c>
      <c r="AK147" s="368" t="n">
        <f aca="false">(1+AG147/2)^(-(DATE(AI148,AJ148,5)-TradeSum!$B$2)/182.625)</f>
        <v>0.528268111157513</v>
      </c>
    </row>
    <row r="148" customFormat="false" ht="12.75" hidden="false" customHeight="false" outlineLevel="0" collapsed="false">
      <c r="X148" s="367" t="n">
        <v>41456</v>
      </c>
      <c r="Y148" s="0" t="n">
        <v>0.0586888988434517</v>
      </c>
      <c r="Z148" s="365"/>
      <c r="AA148" s="365" t="n">
        <f aca="false">YEAR(X148)</f>
        <v>2013</v>
      </c>
      <c r="AB148" s="365" t="n">
        <f aca="false">MONTH(X148)</f>
        <v>7</v>
      </c>
      <c r="AC148" s="368" t="n">
        <f aca="false">(1+Y148/2)^(-(DATE(AA149,AB149,5)-TradeSum!$B$2)/182.625)</f>
        <v>0.505957029596157</v>
      </c>
      <c r="AD148" s="371"/>
      <c r="AF148" s="367" t="n">
        <v>41456</v>
      </c>
      <c r="AG148" s="0" t="n">
        <v>0.0553813779139754</v>
      </c>
      <c r="AI148" s="365" t="n">
        <f aca="false">YEAR(AF148)</f>
        <v>2013</v>
      </c>
      <c r="AJ148" s="365" t="n">
        <f aca="false">MONTH(AF148)</f>
        <v>7</v>
      </c>
      <c r="AK148" s="368" t="n">
        <f aca="false">(1+AG148/2)^(-(DATE(AI149,AJ149,5)-TradeSum!$B$2)/182.625)</f>
        <v>0.525488527813888</v>
      </c>
    </row>
    <row r="149" customFormat="false" ht="12.75" hidden="false" customHeight="false" outlineLevel="0" collapsed="false">
      <c r="X149" s="367" t="n">
        <v>41487</v>
      </c>
      <c r="Y149" s="0" t="n">
        <v>0.0587646996674165</v>
      </c>
      <c r="Z149" s="365"/>
      <c r="AA149" s="365" t="n">
        <f aca="false">YEAR(X149)</f>
        <v>2013</v>
      </c>
      <c r="AB149" s="365" t="n">
        <f aca="false">MONTH(X149)</f>
        <v>8</v>
      </c>
      <c r="AC149" s="368" t="n">
        <f aca="false">(1+Y149/2)^(-(DATE(AA150,AB150,5)-TradeSum!$B$2)/182.625)</f>
        <v>0.50303951328442</v>
      </c>
      <c r="AD149" s="371"/>
      <c r="AF149" s="367" t="n">
        <v>41487</v>
      </c>
      <c r="AG149" s="0" t="n">
        <v>0.0554394159048908</v>
      </c>
      <c r="AI149" s="365" t="n">
        <f aca="false">YEAR(AF149)</f>
        <v>2013</v>
      </c>
      <c r="AJ149" s="365" t="n">
        <f aca="false">MONTH(AF149)</f>
        <v>8</v>
      </c>
      <c r="AK149" s="368" t="n">
        <f aca="false">(1+AG149/2)^(-(DATE(AI150,AJ150,5)-TradeSum!$B$2)/182.625)</f>
        <v>0.522707433296917</v>
      </c>
    </row>
    <row r="150" customFormat="false" ht="12.75" hidden="false" customHeight="false" outlineLevel="0" collapsed="false">
      <c r="X150" s="367" t="n">
        <v>41518</v>
      </c>
      <c r="Y150" s="0" t="n">
        <v>0.0588405004932908</v>
      </c>
      <c r="Z150" s="365"/>
      <c r="AA150" s="365" t="n">
        <f aca="false">YEAR(X150)</f>
        <v>2013</v>
      </c>
      <c r="AB150" s="365" t="n">
        <f aca="false">MONTH(X150)</f>
        <v>9</v>
      </c>
      <c r="AC150" s="368" t="n">
        <f aca="false">(1+Y150/2)^(-(DATE(AA151,AB151,5)-TradeSum!$B$2)/182.625)</f>
        <v>0.50021199835677</v>
      </c>
      <c r="AD150" s="371"/>
      <c r="AF150" s="367" t="n">
        <v>41518</v>
      </c>
      <c r="AG150" s="0" t="n">
        <v>0.055497453896928</v>
      </c>
      <c r="AI150" s="365" t="n">
        <f aca="false">YEAR(AF150)</f>
        <v>2013</v>
      </c>
      <c r="AJ150" s="365" t="n">
        <f aca="false">MONTH(AF150)</f>
        <v>9</v>
      </c>
      <c r="AK150" s="368" t="n">
        <f aca="false">(1+AG150/2)^(-(DATE(AI151,AJ151,5)-TradeSum!$B$2)/182.625)</f>
        <v>0.520014013768834</v>
      </c>
    </row>
    <row r="151" customFormat="false" ht="12.75" hidden="false" customHeight="false" outlineLevel="0" collapsed="false">
      <c r="X151" s="367" t="n">
        <v>41548</v>
      </c>
      <c r="Y151" s="0" t="n">
        <v>0.0589138561330529</v>
      </c>
      <c r="Z151" s="365"/>
      <c r="AA151" s="365" t="n">
        <f aca="false">YEAR(X151)</f>
        <v>2013</v>
      </c>
      <c r="AB151" s="365" t="n">
        <f aca="false">MONTH(X151)</f>
        <v>10</v>
      </c>
      <c r="AC151" s="368" t="n">
        <f aca="false">(1+Y151/2)^(-(DATE(AA152,AB152,5)-TradeSum!$B$2)/182.625)</f>
        <v>0.497329520237099</v>
      </c>
      <c r="AD151" s="371"/>
      <c r="AF151" s="367" t="n">
        <v>41548</v>
      </c>
      <c r="AG151" s="0" t="n">
        <v>0.0555536196967408</v>
      </c>
      <c r="AI151" s="365" t="n">
        <f aca="false">YEAR(AF151)</f>
        <v>2013</v>
      </c>
      <c r="AJ151" s="365" t="n">
        <f aca="false">MONTH(AF151)</f>
        <v>10</v>
      </c>
      <c r="AK151" s="368" t="n">
        <f aca="false">(1+AG151/2)^(-(DATE(AI152,AJ152,5)-TradeSum!$B$2)/182.625)</f>
        <v>0.517263410588908</v>
      </c>
    </row>
    <row r="152" customFormat="false" ht="12.75" hidden="false" customHeight="false" outlineLevel="0" collapsed="false">
      <c r="X152" s="367" t="n">
        <v>41579</v>
      </c>
      <c r="Y152" s="0" t="n">
        <v>0.058989656962686</v>
      </c>
      <c r="Z152" s="365"/>
      <c r="AA152" s="365" t="n">
        <f aca="false">YEAR(X152)</f>
        <v>2013</v>
      </c>
      <c r="AB152" s="365" t="n">
        <f aca="false">MONTH(X152)</f>
        <v>11</v>
      </c>
      <c r="AC152" s="368" t="n">
        <f aca="false">(1+Y152/2)^(-(DATE(AA153,AB153,5)-TradeSum!$B$2)/182.625)</f>
        <v>0.494522165344837</v>
      </c>
      <c r="AD152" s="371"/>
      <c r="AF152" s="367" t="n">
        <v>41579</v>
      </c>
      <c r="AG152" s="0" t="n">
        <v>0.0556116576909846</v>
      </c>
      <c r="AI152" s="365" t="n">
        <f aca="false">YEAR(AF152)</f>
        <v>2013</v>
      </c>
      <c r="AJ152" s="365" t="n">
        <f aca="false">MONTH(AF152)</f>
        <v>11</v>
      </c>
      <c r="AK152" s="368" t="n">
        <f aca="false">(1+AG152/2)^(-(DATE(AI153,AJ153,5)-TradeSum!$B$2)/182.625)</f>
        <v>0.514588512757941</v>
      </c>
    </row>
    <row r="153" customFormat="false" ht="12.75" hidden="false" customHeight="false" outlineLevel="0" collapsed="false">
      <c r="X153" s="367" t="n">
        <v>41609</v>
      </c>
      <c r="Y153" s="0" t="n">
        <v>0.0590630126060852</v>
      </c>
      <c r="Z153" s="365"/>
      <c r="AA153" s="365" t="n">
        <f aca="false">YEAR(X153)</f>
        <v>2013</v>
      </c>
      <c r="AB153" s="365" t="n">
        <f aca="false">MONTH(X153)</f>
        <v>12</v>
      </c>
      <c r="AC153" s="368" t="n">
        <f aca="false">(1+Y153/2)^(-(DATE(AA154,AB154,5)-TradeSum!$B$2)/182.625)</f>
        <v>0.491660608611552</v>
      </c>
      <c r="AD153" s="371"/>
      <c r="AF153" s="367" t="n">
        <v>41609</v>
      </c>
      <c r="AG153" s="0" t="n">
        <v>0.055667823492934</v>
      </c>
      <c r="AI153" s="365" t="n">
        <f aca="false">YEAR(AF153)</f>
        <v>2013</v>
      </c>
      <c r="AJ153" s="365" t="n">
        <f aca="false">MONTH(AF153)</f>
        <v>12</v>
      </c>
      <c r="AK153" s="368" t="n">
        <f aca="false">(1+AG153/2)^(-(DATE(AI154,AJ154,5)-TradeSum!$B$2)/182.625)</f>
        <v>0.511857127614539</v>
      </c>
    </row>
    <row r="154" customFormat="false" ht="12.75" hidden="false" customHeight="false" outlineLevel="0" collapsed="false">
      <c r="X154" s="367" t="n">
        <v>41640</v>
      </c>
      <c r="Y154" s="0" t="n">
        <v>0.059138813439477</v>
      </c>
      <c r="Z154" s="365"/>
      <c r="AA154" s="365" t="n">
        <f aca="false">YEAR(X154)</f>
        <v>2014</v>
      </c>
      <c r="AB154" s="365" t="n">
        <f aca="false">MONTH(X154)</f>
        <v>1</v>
      </c>
      <c r="AC154" s="368" t="n">
        <f aca="false">(1+Y154/2)^(-(DATE(AA155,AB155,5)-TradeSum!$B$2)/182.625)</f>
        <v>0.488795455350649</v>
      </c>
      <c r="AD154" s="371"/>
      <c r="AF154" s="367" t="n">
        <v>41640</v>
      </c>
      <c r="AG154" s="0" t="n">
        <v>0.055725861489385</v>
      </c>
      <c r="AI154" s="365" t="n">
        <f aca="false">YEAR(AF154)</f>
        <v>2014</v>
      </c>
      <c r="AJ154" s="365" t="n">
        <f aca="false">MONTH(AF154)</f>
        <v>1</v>
      </c>
      <c r="AK154" s="368" t="n">
        <f aca="false">(1+AG154/2)^(-(DATE(AI155,AJ155,5)-TradeSum!$B$2)/182.625)</f>
        <v>0.509124137281535</v>
      </c>
    </row>
    <row r="155" customFormat="false" ht="12.75" hidden="false" customHeight="false" outlineLevel="0" collapsed="false">
      <c r="X155" s="367" t="n">
        <v>41671</v>
      </c>
      <c r="Y155" s="0" t="n">
        <v>0.0592146142747785</v>
      </c>
      <c r="Z155" s="365"/>
      <c r="AA155" s="365" t="n">
        <f aca="false">YEAR(X155)</f>
        <v>2014</v>
      </c>
      <c r="AB155" s="365" t="n">
        <f aca="false">MONTH(X155)</f>
        <v>2</v>
      </c>
      <c r="AC155" s="368" t="n">
        <f aca="false">(1+Y155/2)^(-(DATE(AA156,AB156,5)-TradeSum!$B$2)/182.625)</f>
        <v>0.486173909916015</v>
      </c>
      <c r="AD155" s="371"/>
      <c r="AF155" s="367" t="n">
        <v>41671</v>
      </c>
      <c r="AG155" s="0" t="n">
        <v>0.0557838994869573</v>
      </c>
      <c r="AI155" s="365" t="n">
        <f aca="false">YEAR(AF155)</f>
        <v>2014</v>
      </c>
      <c r="AJ155" s="365" t="n">
        <f aca="false">MONTH(AF155)</f>
        <v>2</v>
      </c>
      <c r="AK155" s="368" t="n">
        <f aca="false">(1+AG155/2)^(-(DATE(AI156,AJ156,5)-TradeSum!$B$2)/182.625)</f>
        <v>0.506629795175407</v>
      </c>
    </row>
    <row r="156" customFormat="false" ht="12.75" hidden="false" customHeight="false" outlineLevel="0" collapsed="false">
      <c r="X156" s="367" t="n">
        <v>41699</v>
      </c>
      <c r="Y156" s="0" t="n">
        <v>0.059283079547015</v>
      </c>
      <c r="Z156" s="365"/>
      <c r="AA156" s="365" t="n">
        <f aca="false">YEAR(X156)</f>
        <v>2014</v>
      </c>
      <c r="AB156" s="365" t="n">
        <f aca="false">MONTH(X156)</f>
        <v>3</v>
      </c>
      <c r="AC156" s="368" t="n">
        <f aca="false">(1+Y156/2)^(-(DATE(AA157,AB157,5)-TradeSum!$B$2)/182.625)</f>
        <v>0.483371824455494</v>
      </c>
      <c r="AD156" s="371"/>
      <c r="AF156" s="367" t="n">
        <v>41699</v>
      </c>
      <c r="AG156" s="0" t="n">
        <v>0.0558363209050832</v>
      </c>
      <c r="AI156" s="365" t="n">
        <f aca="false">YEAR(AF156)</f>
        <v>2014</v>
      </c>
      <c r="AJ156" s="365" t="n">
        <f aca="false">MONTH(AF156)</f>
        <v>3</v>
      </c>
      <c r="AK156" s="368" t="n">
        <f aca="false">(1+AG156/2)^(-(DATE(AI157,AJ157,5)-TradeSum!$B$2)/182.625)</f>
        <v>0.503949572504846</v>
      </c>
    </row>
    <row r="157" customFormat="false" ht="12.75" hidden="false" customHeight="false" outlineLevel="0" collapsed="false">
      <c r="X157" s="367" t="n">
        <v>41730</v>
      </c>
      <c r="Y157" s="0" t="n">
        <v>0.0593588803859513</v>
      </c>
      <c r="Z157" s="365"/>
      <c r="AA157" s="365" t="n">
        <f aca="false">YEAR(X157)</f>
        <v>2014</v>
      </c>
      <c r="AB157" s="365" t="n">
        <f aca="false">MONTH(X157)</f>
        <v>4</v>
      </c>
      <c r="AC157" s="368" t="n">
        <f aca="false">(1+Y157/2)^(-(DATE(AA158,AB158,5)-TradeSum!$B$2)/182.625)</f>
        <v>0.480614550481851</v>
      </c>
      <c r="AD157" s="371"/>
      <c r="AF157" s="367" t="n">
        <v>41730</v>
      </c>
      <c r="AG157" s="0" t="n">
        <v>0.0558943589047902</v>
      </c>
      <c r="AI157" s="365" t="n">
        <f aca="false">YEAR(AF157)</f>
        <v>2014</v>
      </c>
      <c r="AJ157" s="365" t="n">
        <f aca="false">MONTH(AF157)</f>
        <v>4</v>
      </c>
      <c r="AK157" s="368" t="n">
        <f aca="false">(1+AG157/2)^(-(DATE(AI158,AJ158,5)-TradeSum!$B$2)/182.625)</f>
        <v>0.501320543516667</v>
      </c>
    </row>
    <row r="158" customFormat="false" ht="12.75" hidden="false" customHeight="false" outlineLevel="0" collapsed="false">
      <c r="X158" s="367" t="n">
        <v>41760</v>
      </c>
      <c r="Y158" s="0" t="n">
        <v>0.0594322360383535</v>
      </c>
      <c r="Z158" s="365"/>
      <c r="AA158" s="365" t="n">
        <f aca="false">YEAR(X158)</f>
        <v>2014</v>
      </c>
      <c r="AB158" s="365" t="n">
        <f aca="false">MONTH(X158)</f>
        <v>5</v>
      </c>
      <c r="AC158" s="368" t="n">
        <f aca="false">(1+Y158/2)^(-(DATE(AA159,AB159,5)-TradeSum!$B$2)/182.625)</f>
        <v>0.477804928846983</v>
      </c>
      <c r="AD158" s="371"/>
      <c r="AF158" s="367" t="n">
        <v>41760</v>
      </c>
      <c r="AG158" s="0" t="n">
        <v>0.055950524712026</v>
      </c>
      <c r="AI158" s="365" t="n">
        <f aca="false">YEAR(AF158)</f>
        <v>2014</v>
      </c>
      <c r="AJ158" s="365" t="n">
        <f aca="false">MONTH(AF158)</f>
        <v>5</v>
      </c>
      <c r="AK158" s="368" t="n">
        <f aca="false">(1+AG158/2)^(-(DATE(AI159,AJ159,5)-TradeSum!$B$2)/182.625)</f>
        <v>0.498636725558269</v>
      </c>
    </row>
    <row r="159" customFormat="false" ht="12.75" hidden="false" customHeight="false" outlineLevel="0" collapsed="false">
      <c r="X159" s="367" t="n">
        <v>41791</v>
      </c>
      <c r="Y159" s="0" t="n">
        <v>0.0595080368810472</v>
      </c>
      <c r="Z159" s="365"/>
      <c r="AA159" s="365" t="n">
        <f aca="false">YEAR(X159)</f>
        <v>2014</v>
      </c>
      <c r="AB159" s="365" t="n">
        <f aca="false">MONTH(X159)</f>
        <v>6</v>
      </c>
      <c r="AC159" s="368" t="n">
        <f aca="false">(1+Y159/2)^(-(DATE(AA160,AB160,5)-TradeSum!$B$2)/182.625)</f>
        <v>0.475067948664681</v>
      </c>
      <c r="AD159" s="371"/>
      <c r="AF159" s="367" t="n">
        <v>41791</v>
      </c>
      <c r="AG159" s="0" t="n">
        <v>0.0560085627139393</v>
      </c>
      <c r="AI159" s="365" t="n">
        <f aca="false">YEAR(AF159)</f>
        <v>2014</v>
      </c>
      <c r="AJ159" s="365" t="n">
        <f aca="false">MONTH(AF159)</f>
        <v>6</v>
      </c>
      <c r="AK159" s="368" t="n">
        <f aca="false">(1+AG159/2)^(-(DATE(AI160,AJ160,5)-TradeSum!$B$2)/182.625)</f>
        <v>0.496026228949441</v>
      </c>
    </row>
    <row r="160" customFormat="false" ht="12.75" hidden="false" customHeight="false" outlineLevel="0" collapsed="false">
      <c r="X160" s="367" t="n">
        <v>41821</v>
      </c>
      <c r="Y160" s="0" t="n">
        <v>0.0595813925370856</v>
      </c>
      <c r="Z160" s="365"/>
      <c r="AA160" s="365" t="n">
        <f aca="false">YEAR(X160)</f>
        <v>2014</v>
      </c>
      <c r="AB160" s="365" t="n">
        <f aca="false">MONTH(X160)</f>
        <v>7</v>
      </c>
      <c r="AC160" s="368" t="n">
        <f aca="false">(1+Y160/2)^(-(DATE(AA161,AB161,5)-TradeSum!$B$2)/182.625)</f>
        <v>0.472279357569498</v>
      </c>
      <c r="AD160" s="371"/>
      <c r="AF160" s="367" t="n">
        <v>41821</v>
      </c>
      <c r="AG160" s="0" t="n">
        <v>0.0560647285233102</v>
      </c>
      <c r="AI160" s="365" t="n">
        <f aca="false">YEAR(AF160)</f>
        <v>2014</v>
      </c>
      <c r="AJ160" s="365" t="n">
        <f aca="false">MONTH(AF160)</f>
        <v>7</v>
      </c>
      <c r="AK160" s="368" t="n">
        <f aca="false">(1+AG160/2)^(-(DATE(AI161,AJ161,5)-TradeSum!$B$2)/182.625)</f>
        <v>0.493361619231238</v>
      </c>
    </row>
    <row r="161" customFormat="false" ht="12.75" hidden="false" customHeight="false" outlineLevel="0" collapsed="false">
      <c r="X161" s="367" t="n">
        <v>41852</v>
      </c>
      <c r="Y161" s="0" t="n">
        <v>0.0596571933835373</v>
      </c>
      <c r="Z161" s="365"/>
      <c r="AA161" s="365" t="n">
        <f aca="false">YEAR(X161)</f>
        <v>2014</v>
      </c>
      <c r="AB161" s="365" t="n">
        <f aca="false">MONTH(X161)</f>
        <v>8</v>
      </c>
      <c r="AC161" s="368" t="n">
        <f aca="false">(1+Y161/2)^(-(DATE(AA162,AB162,5)-TradeSum!$B$2)/182.625)</f>
        <v>0.469487134882804</v>
      </c>
      <c r="AD161" s="371"/>
      <c r="AF161" s="367" t="n">
        <v>41852</v>
      </c>
      <c r="AG161" s="0" t="n">
        <v>0.0561227665274302</v>
      </c>
      <c r="AI161" s="365" t="n">
        <f aca="false">YEAR(AF161)</f>
        <v>2014</v>
      </c>
      <c r="AJ161" s="365" t="n">
        <f aca="false">MONTH(AF161)</f>
        <v>8</v>
      </c>
      <c r="AK161" s="368" t="n">
        <f aca="false">(1+AG161/2)^(-(DATE(AI162,AJ162,5)-TradeSum!$B$2)/182.625)</f>
        <v>0.490695288070903</v>
      </c>
    </row>
    <row r="162" customFormat="false" ht="12.75" hidden="false" customHeight="false" outlineLevel="0" collapsed="false">
      <c r="X162" s="367" t="n">
        <v>41883</v>
      </c>
      <c r="Y162" s="0" t="n">
        <v>0.059732994231898</v>
      </c>
      <c r="Z162" s="365"/>
      <c r="AA162" s="365" t="n">
        <f aca="false">YEAR(X162)</f>
        <v>2014</v>
      </c>
      <c r="AB162" s="365" t="n">
        <f aca="false">MONTH(X162)</f>
        <v>9</v>
      </c>
      <c r="AC162" s="368" t="n">
        <f aca="false">(1+Y162/2)^(-(DATE(AA163,AB163,5)-TradeSum!$B$2)/182.625)</f>
        <v>0.46678081904548</v>
      </c>
      <c r="AD162" s="371"/>
      <c r="AF162" s="367" t="n">
        <v>41883</v>
      </c>
      <c r="AG162" s="0" t="n">
        <v>0.0561808045326719</v>
      </c>
      <c r="AI162" s="365" t="n">
        <f aca="false">YEAR(AF162)</f>
        <v>2014</v>
      </c>
      <c r="AJ162" s="365" t="n">
        <f aca="false">MONTH(AF162)</f>
        <v>9</v>
      </c>
      <c r="AK162" s="368" t="n">
        <f aca="false">(1+AG162/2)^(-(DATE(AI163,AJ163,5)-TradeSum!$B$2)/182.625)</f>
        <v>0.488112738163542</v>
      </c>
    </row>
    <row r="163" customFormat="false" ht="12.75" hidden="false" customHeight="false" outlineLevel="0" collapsed="false">
      <c r="X163" s="367" t="n">
        <v>41913</v>
      </c>
      <c r="Y163" s="0" t="n">
        <v>0.0598063498934205</v>
      </c>
      <c r="Z163" s="365"/>
      <c r="AA163" s="365" t="n">
        <f aca="false">YEAR(X163)</f>
        <v>2014</v>
      </c>
      <c r="AB163" s="365" t="n">
        <f aca="false">MONTH(X163)</f>
        <v>10</v>
      </c>
      <c r="AC163" s="368" t="n">
        <f aca="false">(1+Y163/2)^(-(DATE(AA164,AB164,5)-TradeSum!$B$2)/182.625)</f>
        <v>0.464023990107979</v>
      </c>
      <c r="AD163" s="371"/>
      <c r="AF163" s="367" t="n">
        <v>41913</v>
      </c>
      <c r="AG163" s="0" t="n">
        <v>0.0562369703452634</v>
      </c>
      <c r="AI163" s="365" t="n">
        <f aca="false">YEAR(AF163)</f>
        <v>2014</v>
      </c>
      <c r="AJ163" s="365" t="n">
        <f aca="false">MONTH(AF163)</f>
        <v>10</v>
      </c>
      <c r="AK163" s="368" t="n">
        <f aca="false">(1+AG163/2)^(-(DATE(AI164,AJ164,5)-TradeSum!$B$2)/182.625)</f>
        <v>0.485477083387916</v>
      </c>
    </row>
    <row r="164" customFormat="false" ht="12.75" hidden="false" customHeight="false" outlineLevel="0" collapsed="false">
      <c r="X164" s="367" t="n">
        <v>41944</v>
      </c>
      <c r="Y164" s="0" t="n">
        <v>0.0598821507455383</v>
      </c>
      <c r="Z164" s="365"/>
      <c r="AA164" s="365" t="n">
        <f aca="false">YEAR(X164)</f>
        <v>2014</v>
      </c>
      <c r="AB164" s="365" t="n">
        <f aca="false">MONTH(X164)</f>
        <v>11</v>
      </c>
      <c r="AC164" s="368" t="n">
        <f aca="false">(1+Y164/2)^(-(DATE(AA165,AB165,5)-TradeSum!$B$2)/182.625)</f>
        <v>0.461338039178075</v>
      </c>
      <c r="AD164" s="371"/>
      <c r="AF164" s="367" t="n">
        <v>41944</v>
      </c>
      <c r="AG164" s="0" t="n">
        <v>0.056295008352711</v>
      </c>
      <c r="AI164" s="365" t="n">
        <f aca="false">YEAR(AF164)</f>
        <v>2014</v>
      </c>
      <c r="AJ164" s="365" t="n">
        <f aca="false">MONTH(AF164)</f>
        <v>11</v>
      </c>
      <c r="AK164" s="368" t="n">
        <f aca="false">(1+AG164/2)^(-(DATE(AI165,AJ165,5)-TradeSum!$B$2)/182.625)</f>
        <v>0.482913057834991</v>
      </c>
    </row>
    <row r="165" customFormat="false" ht="12.75" hidden="false" customHeight="false" outlineLevel="0" collapsed="false">
      <c r="X165" s="367" t="n">
        <v>41974</v>
      </c>
      <c r="Y165" s="0" t="n">
        <v>0.0599555064106965</v>
      </c>
      <c r="Z165" s="365"/>
      <c r="AA165" s="365" t="n">
        <f aca="false">YEAR(X165)</f>
        <v>2014</v>
      </c>
      <c r="AB165" s="365" t="n">
        <f aca="false">MONTH(X165)</f>
        <v>12</v>
      </c>
      <c r="AC165" s="368" t="n">
        <f aca="false">(1+Y165/2)^(-(DATE(AA166,AB166,5)-TradeSum!$B$2)/182.625)</f>
        <v>0.458602294211003</v>
      </c>
      <c r="AD165" s="371"/>
      <c r="AF165" s="367" t="n">
        <v>41974</v>
      </c>
      <c r="AG165" s="0" t="n">
        <v>0.0563511741674381</v>
      </c>
      <c r="AI165" s="365" t="n">
        <f aca="false">YEAR(AF165)</f>
        <v>2014</v>
      </c>
      <c r="AJ165" s="365" t="n">
        <f aca="false">MONTH(AF165)</f>
        <v>12</v>
      </c>
      <c r="AK165" s="368" t="n">
        <f aca="false">(1+AG165/2)^(-(DATE(AI166,AJ166,5)-TradeSum!$B$2)/182.625)</f>
        <v>0.480296588587798</v>
      </c>
    </row>
    <row r="166" customFormat="false" ht="12.75" hidden="false" customHeight="false" outlineLevel="0" collapsed="false">
      <c r="X166" s="367" t="n">
        <v>42005</v>
      </c>
      <c r="Y166" s="0" t="n">
        <v>0.0600313072665708</v>
      </c>
      <c r="Z166" s="365"/>
      <c r="AA166" s="365" t="n">
        <f aca="false">YEAR(X166)</f>
        <v>2015</v>
      </c>
      <c r="AB166" s="365" t="n">
        <f aca="false">MONTH(X166)</f>
        <v>1</v>
      </c>
      <c r="AC166" s="368" t="n">
        <f aca="false">(1+Y166/2)^(-(DATE(AA167,AB167,5)-TradeSum!$B$2)/182.625)</f>
        <v>0.455862903053951</v>
      </c>
      <c r="AD166" s="371"/>
      <c r="AF166" s="367" t="n">
        <v>42005</v>
      </c>
      <c r="AG166" s="0" t="n">
        <v>0.0564092121770918</v>
      </c>
      <c r="AI166" s="365" t="n">
        <f aca="false">YEAR(AF166)</f>
        <v>2015</v>
      </c>
      <c r="AJ166" s="365" t="n">
        <f aca="false">MONTH(AF166)</f>
        <v>1</v>
      </c>
      <c r="AK166" s="368" t="n">
        <f aca="false">(1+AG166/2)^(-(DATE(AI167,AJ167,5)-TradeSum!$B$2)/182.625)</f>
        <v>0.477678323628186</v>
      </c>
    </row>
    <row r="167" customFormat="false" ht="12.75" hidden="false" customHeight="false" outlineLevel="0" collapsed="false">
      <c r="X167" s="367" t="n">
        <v>42036</v>
      </c>
      <c r="Y167" s="0" t="n">
        <v>0.0601071081243552</v>
      </c>
      <c r="Z167" s="365"/>
      <c r="AA167" s="365" t="n">
        <f aca="false">YEAR(X167)</f>
        <v>2015</v>
      </c>
      <c r="AB167" s="365" t="n">
        <f aca="false">MONTH(X167)</f>
        <v>2</v>
      </c>
      <c r="AC167" s="368" t="n">
        <f aca="false">(1+Y167/2)^(-(DATE(AA168,AB168,5)-TradeSum!$B$2)/182.625)</f>
        <v>0.453354697935804</v>
      </c>
      <c r="AD167" s="371"/>
      <c r="AF167" s="367" t="n">
        <v>42036</v>
      </c>
      <c r="AG167" s="0" t="n">
        <v>0.0564672501878669</v>
      </c>
      <c r="AI167" s="365" t="n">
        <f aca="false">YEAR(AF167)</f>
        <v>2015</v>
      </c>
      <c r="AJ167" s="365" t="n">
        <f aca="false">MONTH(AF167)</f>
        <v>2</v>
      </c>
      <c r="AK167" s="368" t="n">
        <f aca="false">(1+AG167/2)^(-(DATE(AI168,AJ168,5)-TradeSum!$B$2)/182.625)</f>
        <v>0.4752871222798</v>
      </c>
    </row>
    <row r="168" customFormat="false" ht="12.75" hidden="false" customHeight="false" outlineLevel="0" collapsed="false">
      <c r="X168" s="367" t="n">
        <v>42064</v>
      </c>
      <c r="Y168" s="0" t="n">
        <v>0.0601755734168972</v>
      </c>
      <c r="Z168" s="365"/>
      <c r="AA168" s="365" t="n">
        <f aca="false">YEAR(X168)</f>
        <v>2015</v>
      </c>
      <c r="AB168" s="365" t="n">
        <f aca="false">MONTH(X168)</f>
        <v>3</v>
      </c>
      <c r="AC168" s="368" t="n">
        <f aca="false">(1+Y168/2)^(-(DATE(AA169,AB169,5)-TradeSum!$B$2)/182.625)</f>
        <v>0.450678840370035</v>
      </c>
      <c r="AD168" s="371"/>
      <c r="AF168" s="367" t="n">
        <v>42064</v>
      </c>
      <c r="AG168" s="0" t="n">
        <v>0.0565196716179175</v>
      </c>
      <c r="AI168" s="365" t="n">
        <f aca="false">YEAR(AF168)</f>
        <v>2015</v>
      </c>
      <c r="AJ168" s="365" t="n">
        <f aca="false">MONTH(AF168)</f>
        <v>3</v>
      </c>
      <c r="AK168" s="368" t="n">
        <f aca="false">(1+AG168/2)^(-(DATE(AI169,AJ169,5)-TradeSum!$B$2)/182.625)</f>
        <v>0.472722056401802</v>
      </c>
    </row>
    <row r="169" customFormat="false" ht="12.75" hidden="false" customHeight="false" outlineLevel="0" collapsed="false">
      <c r="X169" s="367" t="n">
        <v>42095</v>
      </c>
      <c r="Y169" s="0" t="n">
        <v>0.0602513742783146</v>
      </c>
      <c r="Z169" s="365"/>
      <c r="AA169" s="365" t="n">
        <f aca="false">YEAR(X169)</f>
        <v>2015</v>
      </c>
      <c r="AB169" s="365" t="n">
        <f aca="false">MONTH(X169)</f>
        <v>4</v>
      </c>
      <c r="AC169" s="368" t="n">
        <f aca="false">(1+Y169/2)^(-(DATE(AA170,AB170,5)-TradeSum!$B$2)/182.625)</f>
        <v>0.448043391057342</v>
      </c>
      <c r="AD169" s="371"/>
      <c r="AF169" s="367" t="n">
        <v>42095</v>
      </c>
      <c r="AG169" s="0" t="n">
        <v>0.0565777096308264</v>
      </c>
      <c r="AI169" s="365" t="n">
        <f aca="false">YEAR(AF169)</f>
        <v>2015</v>
      </c>
      <c r="AJ169" s="365" t="n">
        <f aca="false">MONTH(AF169)</f>
        <v>4</v>
      </c>
      <c r="AK169" s="368" t="n">
        <f aca="false">(1+AG169/2)^(-(DATE(AI170,AJ170,5)-TradeSum!$B$2)/182.625)</f>
        <v>0.470203852790311</v>
      </c>
    </row>
    <row r="170" customFormat="false" ht="12.75" hidden="false" customHeight="false" outlineLevel="0" collapsed="false">
      <c r="X170" s="367" t="n">
        <v>42125</v>
      </c>
      <c r="Y170" s="0" t="n">
        <v>0.0603247299524714</v>
      </c>
      <c r="Z170" s="365"/>
      <c r="AA170" s="365" t="n">
        <f aca="false">YEAR(X170)</f>
        <v>2015</v>
      </c>
      <c r="AB170" s="365" t="n">
        <f aca="false">MONTH(X170)</f>
        <v>5</v>
      </c>
      <c r="AC170" s="368" t="n">
        <f aca="false">(1+Y170/2)^(-(DATE(AA171,AB171,5)-TradeSum!$B$2)/182.625)</f>
        <v>0.445359897471145</v>
      </c>
      <c r="AD170" s="371"/>
      <c r="AF170" s="367" t="n">
        <v>42125</v>
      </c>
      <c r="AG170" s="0" t="n">
        <v>0.0566338754508382</v>
      </c>
      <c r="AI170" s="365" t="n">
        <f aca="false">YEAR(AF170)</f>
        <v>2015</v>
      </c>
      <c r="AJ170" s="365" t="n">
        <f aca="false">MONTH(AF170)</f>
        <v>5</v>
      </c>
      <c r="AK170" s="368" t="n">
        <f aca="false">(1+AG170/2)^(-(DATE(AI171,AJ171,5)-TradeSum!$B$2)/182.625)</f>
        <v>0.46763481710785</v>
      </c>
    </row>
    <row r="171" customFormat="false" ht="12.75" hidden="false" customHeight="false" outlineLevel="0" collapsed="false">
      <c r="X171" s="367" t="n">
        <v>42156</v>
      </c>
      <c r="Y171" s="0" t="n">
        <v>0.0604005308176445</v>
      </c>
      <c r="Z171" s="365"/>
      <c r="AA171" s="365" t="n">
        <f aca="false">YEAR(X171)</f>
        <v>2015</v>
      </c>
      <c r="AB171" s="365" t="n">
        <f aca="false">MONTH(X171)</f>
        <v>6</v>
      </c>
      <c r="AC171" s="368" t="n">
        <f aca="false">(1+Y171/2)^(-(DATE(AA172,AB172,5)-TradeSum!$B$2)/182.625)</f>
        <v>0.442744877509655</v>
      </c>
      <c r="AD171" s="371"/>
      <c r="AF171" s="367" t="n">
        <v>42156</v>
      </c>
      <c r="AG171" s="0" t="n">
        <v>0.0566919134659529</v>
      </c>
      <c r="AI171" s="365" t="n">
        <f aca="false">YEAR(AF171)</f>
        <v>2015</v>
      </c>
      <c r="AJ171" s="365" t="n">
        <f aca="false">MONTH(AF171)</f>
        <v>6</v>
      </c>
      <c r="AK171" s="368" t="n">
        <f aca="false">(1+AG171/2)^(-(DATE(AI172,AJ172,5)-TradeSum!$B$2)/182.625)</f>
        <v>0.465135105679198</v>
      </c>
    </row>
    <row r="172" customFormat="false" ht="12.75" hidden="false" customHeight="false" outlineLevel="0" collapsed="false">
      <c r="X172" s="367" t="n">
        <v>42186</v>
      </c>
      <c r="Y172" s="0" t="n">
        <v>0.0604738864954362</v>
      </c>
      <c r="Z172" s="365"/>
      <c r="AA172" s="365" t="n">
        <f aca="false">YEAR(X172)</f>
        <v>2015</v>
      </c>
      <c r="AB172" s="365" t="n">
        <f aca="false">MONTH(X172)</f>
        <v>7</v>
      </c>
      <c r="AC172" s="368" t="n">
        <f aca="false">(1+Y172/2)^(-(DATE(AA173,AB173,5)-TradeSum!$B$2)/182.625)</f>
        <v>0.44008250796472</v>
      </c>
      <c r="AD172" s="371"/>
      <c r="AF172" s="367" t="n">
        <v>42186</v>
      </c>
      <c r="AG172" s="0" t="n">
        <v>0.0567480792880986</v>
      </c>
      <c r="AI172" s="365" t="n">
        <f aca="false">YEAR(AF172)</f>
        <v>2015</v>
      </c>
      <c r="AJ172" s="365" t="n">
        <f aca="false">MONTH(AF172)</f>
        <v>7</v>
      </c>
      <c r="AK172" s="368" t="n">
        <f aca="false">(1+AG172/2)^(-(DATE(AI173,AJ173,5)-TradeSum!$B$2)/182.625)</f>
        <v>0.462585203150682</v>
      </c>
    </row>
    <row r="173" customFormat="false" ht="12.75" hidden="false" customHeight="false" outlineLevel="0" collapsed="false">
      <c r="X173" s="367" t="n">
        <v>42217</v>
      </c>
      <c r="Y173" s="0" t="n">
        <v>0.0605496873643649</v>
      </c>
      <c r="Z173" s="365"/>
      <c r="AA173" s="365" t="n">
        <f aca="false">YEAR(X173)</f>
        <v>2015</v>
      </c>
      <c r="AB173" s="365" t="n">
        <f aca="false">MONTH(X173)</f>
        <v>8</v>
      </c>
      <c r="AC173" s="368" t="n">
        <f aca="false">(1+Y173/2)^(-(DATE(AA174,AB174,5)-TradeSum!$B$2)/182.625)</f>
        <v>0.437416485748576</v>
      </c>
      <c r="AD173" s="371"/>
      <c r="AF173" s="367" t="n">
        <v>42217</v>
      </c>
      <c r="AG173" s="0" t="n">
        <v>0.0568061173054191</v>
      </c>
      <c r="AI173" s="365" t="n">
        <f aca="false">YEAR(AF173)</f>
        <v>2015</v>
      </c>
      <c r="AJ173" s="365" t="n">
        <f aca="false">MONTH(AF173)</f>
        <v>8</v>
      </c>
      <c r="AK173" s="368" t="n">
        <f aca="false">(1+AG173/2)^(-(DATE(AI174,AJ174,5)-TradeSum!$B$2)/182.625)</f>
        <v>0.46003341460601</v>
      </c>
    </row>
    <row r="174" customFormat="false" ht="12.75" hidden="false" customHeight="false" outlineLevel="0" collapsed="false">
      <c r="X174" s="367" t="n">
        <v>42248</v>
      </c>
      <c r="Y174" s="0" t="n">
        <v>0.0606254882352029</v>
      </c>
      <c r="Z174" s="365"/>
      <c r="AA174" s="365" t="n">
        <f aca="false">YEAR(X174)</f>
        <v>2015</v>
      </c>
      <c r="AB174" s="365" t="n">
        <f aca="false">MONTH(X174)</f>
        <v>9</v>
      </c>
      <c r="AC174" s="368" t="n">
        <f aca="false">(1+Y174/2)^(-(DATE(AA175,AB175,5)-TradeSum!$B$2)/182.625)</f>
        <v>0.434832297802626</v>
      </c>
      <c r="AD174" s="371"/>
      <c r="AF174" s="367" t="n">
        <v>42248</v>
      </c>
      <c r="AG174" s="0" t="n">
        <v>0.0568641553238609</v>
      </c>
      <c r="AI174" s="365" t="n">
        <f aca="false">YEAR(AF174)</f>
        <v>2015</v>
      </c>
      <c r="AJ174" s="365" t="n">
        <f aca="false">MONTH(AF174)</f>
        <v>9</v>
      </c>
      <c r="AK174" s="368" t="n">
        <f aca="false">(1+AG174/2)^(-(DATE(AI175,AJ175,5)-TradeSum!$B$2)/182.625)</f>
        <v>0.457561566558724</v>
      </c>
    </row>
    <row r="175" customFormat="false" ht="12.75" hidden="false" customHeight="false" outlineLevel="0" collapsed="false">
      <c r="X175" s="367" t="n">
        <v>42278</v>
      </c>
      <c r="Y175" s="0" t="n">
        <v>0.0606988439184755</v>
      </c>
      <c r="Z175" s="365"/>
      <c r="AA175" s="365" t="n">
        <f aca="false">YEAR(X175)</f>
        <v>2015</v>
      </c>
      <c r="AB175" s="365" t="n">
        <f aca="false">MONTH(X175)</f>
        <v>10</v>
      </c>
      <c r="AC175" s="368" t="n">
        <f aca="false">(1+Y175/2)^(-(DATE(AA176,AB176,5)-TradeSum!$B$2)/182.625)</f>
        <v>0.432201794807196</v>
      </c>
      <c r="AD175" s="371"/>
      <c r="AF175" s="367" t="n">
        <v>42278</v>
      </c>
      <c r="AG175" s="0" t="n">
        <v>0.0569203211492262</v>
      </c>
      <c r="AI175" s="365" t="n">
        <f aca="false">YEAR(AF175)</f>
        <v>2015</v>
      </c>
      <c r="AJ175" s="365" t="n">
        <f aca="false">MONTH(AF175)</f>
        <v>10</v>
      </c>
      <c r="AK175" s="368" t="n">
        <f aca="false">(1+AG175/2)^(-(DATE(AI176,AJ176,5)-TradeSum!$B$2)/182.625)</f>
        <v>0.455040483197905</v>
      </c>
    </row>
    <row r="176" customFormat="false" ht="12.75" hidden="false" customHeight="false" outlineLevel="0" collapsed="false">
      <c r="X176" s="367" t="n">
        <v>42309</v>
      </c>
      <c r="Y176" s="0" t="n">
        <v>0.0607746447930686</v>
      </c>
      <c r="Z176" s="365"/>
      <c r="AA176" s="365" t="n">
        <f aca="false">YEAR(X176)</f>
        <v>2015</v>
      </c>
      <c r="AB176" s="365" t="n">
        <f aca="false">MONTH(X176)</f>
        <v>11</v>
      </c>
      <c r="AC176" s="368" t="n">
        <f aca="false">(1+Y176/2)^(-(DATE(AA177,AB177,5)-TradeSum!$B$2)/182.625)</f>
        <v>0.429638058864355</v>
      </c>
      <c r="AD176" s="371"/>
      <c r="AF176" s="367" t="n">
        <v>42309</v>
      </c>
      <c r="AG176" s="0" t="n">
        <v>0.0569783591698734</v>
      </c>
      <c r="AI176" s="365" t="n">
        <f aca="false">YEAR(AF176)</f>
        <v>2015</v>
      </c>
      <c r="AJ176" s="365" t="n">
        <f aca="false">MONTH(AF176)</f>
        <v>11</v>
      </c>
      <c r="AK176" s="368" t="n">
        <f aca="false">(1+AG176/2)^(-(DATE(AI177,AJ177,5)-TradeSum!$B$2)/182.625)</f>
        <v>0.452587089415844</v>
      </c>
    </row>
    <row r="177" customFormat="false" ht="12.75" hidden="false" customHeight="false" outlineLevel="0" collapsed="false">
      <c r="X177" s="367" t="n">
        <v>42339</v>
      </c>
      <c r="Y177" s="0" t="n">
        <v>0.0608480004799761</v>
      </c>
      <c r="Z177" s="365"/>
      <c r="AA177" s="365" t="n">
        <f aca="false">YEAR(X177)</f>
        <v>2015</v>
      </c>
      <c r="AB177" s="365" t="n">
        <f aca="false">MONTH(X177)</f>
        <v>12</v>
      </c>
      <c r="AC177" s="368" t="n">
        <f aca="false">(1+Y177/2)^(-(DATE(AA178,AB178,5)-TradeSum!$B$2)/182.625)</f>
        <v>0.427028685089066</v>
      </c>
      <c r="AD177" s="371"/>
      <c r="AF177" s="367" t="n">
        <v>42339</v>
      </c>
      <c r="AG177" s="0" t="n">
        <v>0.0570345249973734</v>
      </c>
      <c r="AI177" s="365" t="n">
        <f aca="false">YEAR(AF177)</f>
        <v>2015</v>
      </c>
      <c r="AJ177" s="365" t="n">
        <f aca="false">MONTH(AF177)</f>
        <v>12</v>
      </c>
      <c r="AK177" s="368" t="n">
        <f aca="false">(1+AG177/2)^(-(DATE(AI178,AJ178,5)-TradeSum!$B$2)/182.625)</f>
        <v>0.450085086829321</v>
      </c>
    </row>
    <row r="178" customFormat="false" ht="12.75" hidden="false" customHeight="false" outlineLevel="0" collapsed="false">
      <c r="X178" s="367" t="n">
        <v>42370</v>
      </c>
      <c r="Y178" s="0" t="n">
        <v>0.060923801358324</v>
      </c>
      <c r="Z178" s="365"/>
      <c r="AA178" s="365" t="n">
        <f aca="false">YEAR(X178)</f>
        <v>2016</v>
      </c>
      <c r="AB178" s="365" t="n">
        <f aca="false">MONTH(X178)</f>
        <v>1</v>
      </c>
      <c r="AC178" s="368" t="n">
        <f aca="false">(1+Y178/2)^(-(DATE(AA179,AB179,5)-TradeSum!$B$2)/182.625)</f>
        <v>0.424415663202402</v>
      </c>
      <c r="AD178" s="371"/>
      <c r="AF178" s="367" t="n">
        <v>42370</v>
      </c>
      <c r="AG178" s="0" t="n">
        <v>0.0570925630202259</v>
      </c>
      <c r="AI178" s="365" t="n">
        <f aca="false">YEAR(AF178)</f>
        <v>2016</v>
      </c>
      <c r="AJ178" s="365" t="n">
        <f aca="false">MONTH(AF178)</f>
        <v>1</v>
      </c>
      <c r="AK178" s="368" t="n">
        <f aca="false">(1+AG178/2)^(-(DATE(AI179,AJ179,5)-TradeSum!$B$2)/182.625)</f>
        <v>0.447581141688438</v>
      </c>
    </row>
    <row r="179" customFormat="false" ht="12.75" hidden="false" customHeight="false" outlineLevel="0" collapsed="false">
      <c r="X179" s="367" t="n">
        <v>42401</v>
      </c>
      <c r="Y179" s="0" t="n">
        <v>0.0609996022385806</v>
      </c>
      <c r="Z179" s="365"/>
      <c r="AA179" s="365" t="n">
        <f aca="false">YEAR(X179)</f>
        <v>2016</v>
      </c>
      <c r="AB179" s="365" t="n">
        <f aca="false">MONTH(X179)</f>
        <v>2</v>
      </c>
      <c r="AC179" s="368" t="n">
        <f aca="false">(1+Y179/2)^(-(DATE(AA180,AB180,5)-TradeSum!$B$2)/182.625)</f>
        <v>0.42195218905531</v>
      </c>
      <c r="AD179" s="371"/>
      <c r="AF179" s="367" t="n">
        <v>42401</v>
      </c>
      <c r="AG179" s="0" t="n">
        <v>0.0571506010441993</v>
      </c>
      <c r="AI179" s="365" t="n">
        <f aca="false">YEAR(AF179)</f>
        <v>2016</v>
      </c>
      <c r="AJ179" s="365" t="n">
        <f aca="false">MONTH(AF179)</f>
        <v>2</v>
      </c>
      <c r="AK179" s="368" t="n">
        <f aca="false">(1+AG179/2)^(-(DATE(AI180,AJ180,5)-TradeSum!$B$2)/182.625)</f>
        <v>0.445224227140687</v>
      </c>
    </row>
    <row r="180" customFormat="false" ht="12.75" hidden="false" customHeight="false" outlineLevel="0" collapsed="false">
      <c r="X180" s="367" t="n">
        <v>42430</v>
      </c>
      <c r="Y180" s="0" t="n">
        <v>0.061070512741193</v>
      </c>
      <c r="Z180" s="365"/>
      <c r="AA180" s="365" t="n">
        <f aca="false">YEAR(X180)</f>
        <v>2016</v>
      </c>
      <c r="AB180" s="365" t="n">
        <f aca="false">MONTH(X180)</f>
        <v>3</v>
      </c>
      <c r="AC180" s="368" t="n">
        <f aca="false">(1+Y180/2)^(-(DATE(AA181,AB181,5)-TradeSum!$B$2)/182.625)</f>
        <v>0.419388706549458</v>
      </c>
      <c r="AD180" s="371"/>
      <c r="AF180" s="367" t="n">
        <v>42430</v>
      </c>
      <c r="AG180" s="0" t="n">
        <v>0.0572048946805444</v>
      </c>
      <c r="AI180" s="365" t="n">
        <f aca="false">YEAR(AF180)</f>
        <v>2016</v>
      </c>
      <c r="AJ180" s="365" t="n">
        <f aca="false">MONTH(AF180)</f>
        <v>3</v>
      </c>
      <c r="AK180" s="368" t="n">
        <f aca="false">(1+AG180/2)^(-(DATE(AI181,AJ181,5)-TradeSum!$B$2)/182.625)</f>
        <v>0.442762281151821</v>
      </c>
    </row>
    <row r="181" customFormat="false" ht="12.75" hidden="false" customHeight="false" outlineLevel="0" collapsed="false">
      <c r="X181" s="367" t="n">
        <v>42461</v>
      </c>
      <c r="Y181" s="0" t="n">
        <v>0.0611463136251431</v>
      </c>
      <c r="Z181" s="365"/>
      <c r="AA181" s="365" t="n">
        <f aca="false">YEAR(X181)</f>
        <v>2016</v>
      </c>
      <c r="AB181" s="365" t="n">
        <f aca="false">MONTH(X181)</f>
        <v>4</v>
      </c>
      <c r="AC181" s="368" t="n">
        <f aca="false">(1+Y181/2)^(-(DATE(AA182,AB182,5)-TradeSum!$B$2)/182.625)</f>
        <v>0.416875942079092</v>
      </c>
      <c r="AD181" s="371"/>
      <c r="AF181" s="367" t="n">
        <v>42461</v>
      </c>
      <c r="AG181" s="0" t="n">
        <v>0.0572629327066867</v>
      </c>
      <c r="AI181" s="365" t="n">
        <f aca="false">YEAR(AF181)</f>
        <v>2016</v>
      </c>
      <c r="AJ181" s="365" t="n">
        <f aca="false">MONTH(AF181)</f>
        <v>4</v>
      </c>
      <c r="AK181" s="368" t="n">
        <f aca="false">(1+AG181/2)^(-(DATE(AI182,AJ182,5)-TradeSum!$B$2)/182.625)</f>
        <v>0.440354787434044</v>
      </c>
    </row>
    <row r="182" customFormat="false" ht="12.75" hidden="false" customHeight="false" outlineLevel="0" collapsed="false">
      <c r="X182" s="367" t="n">
        <v>42491</v>
      </c>
      <c r="Y182" s="0" t="n">
        <v>0.0612196693211047</v>
      </c>
      <c r="Z182" s="365"/>
      <c r="AA182" s="365" t="n">
        <f aca="false">YEAR(X182)</f>
        <v>2016</v>
      </c>
      <c r="AB182" s="365" t="n">
        <f aca="false">MONTH(X182)</f>
        <v>5</v>
      </c>
      <c r="AC182" s="368" t="n">
        <f aca="false">(1+Y182/2)^(-(DATE(AA183,AB183,5)-TradeSum!$B$2)/182.625)</f>
        <v>0.414319197139098</v>
      </c>
      <c r="AD182" s="371"/>
      <c r="AF182" s="367" t="n">
        <v>42491</v>
      </c>
      <c r="AG182" s="0" t="n">
        <v>0.0573190985395042</v>
      </c>
      <c r="AI182" s="365" t="n">
        <f aca="false">YEAR(AF182)</f>
        <v>2016</v>
      </c>
      <c r="AJ182" s="365" t="n">
        <f aca="false">MONTH(AF182)</f>
        <v>5</v>
      </c>
      <c r="AK182" s="368" t="n">
        <f aca="false">(1+AG182/2)^(-(DATE(AI183,AJ183,5)-TradeSum!$B$2)/182.625)</f>
        <v>0.437900221133551</v>
      </c>
    </row>
    <row r="183" customFormat="false" ht="12.75" hidden="false" customHeight="false" outlineLevel="0" collapsed="false">
      <c r="X183" s="367" t="n">
        <v>42522</v>
      </c>
      <c r="Y183" s="0" t="n">
        <v>0.0612954702088087</v>
      </c>
      <c r="Z183" s="365"/>
      <c r="AA183" s="365" t="n">
        <f aca="false">YEAR(X183)</f>
        <v>2016</v>
      </c>
      <c r="AB183" s="365" t="n">
        <f aca="false">MONTH(X183)</f>
        <v>6</v>
      </c>
      <c r="AC183" s="368" t="n">
        <f aca="false">(1+Y183/2)^(-(DATE(AA184,AB184,5)-TradeSum!$B$2)/182.625)</f>
        <v>0.411826884105188</v>
      </c>
      <c r="AD183" s="371"/>
      <c r="AF183" s="367" t="n">
        <v>42522</v>
      </c>
      <c r="AG183" s="0" t="n">
        <v>0.0573771365678519</v>
      </c>
      <c r="AI183" s="365" t="n">
        <f aca="false">YEAR(AF183)</f>
        <v>2016</v>
      </c>
      <c r="AJ183" s="365" t="n">
        <f aca="false">MONTH(AF183)</f>
        <v>6</v>
      </c>
      <c r="AK183" s="368" t="n">
        <f aca="false">(1+AG183/2)^(-(DATE(AI184,AJ184,5)-TradeSum!$B$2)/182.625)</f>
        <v>0.435511109153653</v>
      </c>
    </row>
    <row r="184" customFormat="false" ht="12.75" hidden="false" customHeight="false" outlineLevel="0" collapsed="false">
      <c r="X184" s="367" t="n">
        <v>42552</v>
      </c>
      <c r="Y184" s="0" t="n">
        <v>0.0613688259084038</v>
      </c>
      <c r="Z184" s="365"/>
      <c r="AA184" s="365" t="n">
        <f aca="false">YEAR(X184)</f>
        <v>2016</v>
      </c>
      <c r="AB184" s="365" t="n">
        <f aca="false">MONTH(X184)</f>
        <v>7</v>
      </c>
      <c r="AC184" s="368" t="n">
        <f aca="false">(1+Y184/2)^(-(DATE(AA185,AB185,5)-TradeSum!$B$2)/182.625)</f>
        <v>0.409291243688422</v>
      </c>
      <c r="AD184" s="371"/>
      <c r="AF184" s="367" t="n">
        <v>42552</v>
      </c>
      <c r="AG184" s="0" t="n">
        <v>0.0574333024028042</v>
      </c>
      <c r="AI184" s="365" t="n">
        <f aca="false">YEAR(AF184)</f>
        <v>2016</v>
      </c>
      <c r="AJ184" s="365" t="n">
        <f aca="false">MONTH(AF184)</f>
        <v>7</v>
      </c>
      <c r="AK184" s="368" t="n">
        <f aca="false">(1+AG184/2)^(-(DATE(AI185,AJ185,5)-TradeSum!$B$2)/182.625)</f>
        <v>0.433075531149596</v>
      </c>
    </row>
    <row r="185" customFormat="false" ht="12.75" hidden="false" customHeight="false" outlineLevel="0" collapsed="false">
      <c r="X185" s="367" t="n">
        <v>42583</v>
      </c>
      <c r="Y185" s="0" t="n">
        <v>0.0614446267998621</v>
      </c>
      <c r="Z185" s="365"/>
      <c r="AA185" s="365" t="n">
        <f aca="false">YEAR(X185)</f>
        <v>2016</v>
      </c>
      <c r="AB185" s="365" t="n">
        <f aca="false">MONTH(X185)</f>
        <v>8</v>
      </c>
      <c r="AC185" s="368" t="n">
        <f aca="false">(1+Y185/2)^(-(DATE(AA186,AB186,5)-TradeSum!$B$2)/182.625)</f>
        <v>0.406751973373615</v>
      </c>
      <c r="AD185" s="371"/>
      <c r="AF185" s="367" t="n">
        <v>42583</v>
      </c>
      <c r="AG185" s="0" t="n">
        <v>0.0574913404333568</v>
      </c>
      <c r="AI185" s="365" t="n">
        <f aca="false">YEAR(AF185)</f>
        <v>2016</v>
      </c>
      <c r="AJ185" s="365" t="n">
        <f aca="false">MONTH(AF185)</f>
        <v>8</v>
      </c>
      <c r="AK185" s="368" t="n">
        <f aca="false">(1+AG185/2)^(-(DATE(AI186,AJ186,5)-TradeSum!$B$2)/182.625)</f>
        <v>0.430637943229398</v>
      </c>
    </row>
    <row r="186" customFormat="false" ht="12.75" hidden="false" customHeight="false" outlineLevel="0" collapsed="false">
      <c r="X186" s="367" t="n">
        <v>42614</v>
      </c>
      <c r="Y186" s="0" t="n">
        <v>0.0615204276932282</v>
      </c>
      <c r="Z186" s="365"/>
      <c r="AA186" s="365" t="n">
        <f aca="false">YEAR(X186)</f>
        <v>2016</v>
      </c>
      <c r="AB186" s="365" t="n">
        <f aca="false">MONTH(X186)</f>
        <v>9</v>
      </c>
      <c r="AC186" s="368" t="n">
        <f aca="false">(1+Y186/2)^(-(DATE(AA187,AB187,5)-TradeSum!$B$2)/182.625)</f>
        <v>0.404290491238815</v>
      </c>
      <c r="AD186" s="371"/>
      <c r="AF186" s="367" t="n">
        <v>42614</v>
      </c>
      <c r="AG186" s="0" t="n">
        <v>0.0575493784650303</v>
      </c>
      <c r="AI186" s="365" t="n">
        <f aca="false">YEAR(AF186)</f>
        <v>2016</v>
      </c>
      <c r="AJ186" s="365" t="n">
        <f aca="false">MONTH(AF186)</f>
        <v>9</v>
      </c>
      <c r="AK186" s="368" t="n">
        <f aca="false">(1+AG186/2)^(-(DATE(AI187,AJ187,5)-TradeSum!$B$2)/182.625)</f>
        <v>0.428276506898159</v>
      </c>
    </row>
    <row r="187" customFormat="false" ht="12.75" hidden="false" customHeight="false" outlineLevel="0" collapsed="false">
      <c r="X187" s="367" t="n">
        <v>42644</v>
      </c>
      <c r="Y187" s="0" t="n">
        <v>0.061593783398302</v>
      </c>
      <c r="Z187" s="365"/>
      <c r="AA187" s="365" t="n">
        <f aca="false">YEAR(X187)</f>
        <v>2016</v>
      </c>
      <c r="AB187" s="365" t="n">
        <f aca="false">MONTH(X187)</f>
        <v>10</v>
      </c>
      <c r="AC187" s="368" t="n">
        <f aca="false">(1+Y187/2)^(-(DATE(AA188,AB188,5)-TradeSum!$B$2)/182.625)</f>
        <v>0.401786653728966</v>
      </c>
      <c r="AD187" s="371"/>
      <c r="AF187" s="367" t="n">
        <v>42644</v>
      </c>
      <c r="AG187" s="0" t="n">
        <v>0.0576055443032009</v>
      </c>
      <c r="AI187" s="365" t="n">
        <f aca="false">YEAR(AF187)</f>
        <v>2016</v>
      </c>
      <c r="AJ187" s="365" t="n">
        <f aca="false">MONTH(AF187)</f>
        <v>10</v>
      </c>
      <c r="AK187" s="368" t="n">
        <f aca="false">(1+AG187/2)^(-(DATE(AI188,AJ188,5)-TradeSum!$B$2)/182.625)</f>
        <v>0.425869508631136</v>
      </c>
    </row>
    <row r="188" customFormat="false" ht="12.75" hidden="false" customHeight="false" outlineLevel="0" collapsed="false">
      <c r="X188" s="367" t="n">
        <v>42675</v>
      </c>
      <c r="Y188" s="0" t="n">
        <v>0.0616581281381339</v>
      </c>
      <c r="Z188" s="365"/>
      <c r="AA188" s="365" t="n">
        <f aca="false">YEAR(X188)</f>
        <v>2016</v>
      </c>
      <c r="AB188" s="365" t="n">
        <f aca="false">MONTH(X188)</f>
        <v>11</v>
      </c>
      <c r="AC188" s="368" t="n">
        <f aca="false">(1+Y188/2)^(-(DATE(AA189,AB189,5)-TradeSum!$B$2)/182.625)</f>
        <v>0.399412679166839</v>
      </c>
      <c r="AD188" s="371"/>
      <c r="AF188" s="367" t="n">
        <v>42675</v>
      </c>
      <c r="AG188" s="0" t="n">
        <v>0.0576635823370792</v>
      </c>
      <c r="AI188" s="365" t="n">
        <f aca="false">YEAR(AF188)</f>
        <v>2016</v>
      </c>
      <c r="AJ188" s="365" t="n">
        <f aca="false">MONTH(AF188)</f>
        <v>11</v>
      </c>
      <c r="AK188" s="368" t="n">
        <f aca="false">(1+AG188/2)^(-(DATE(AI189,AJ189,5)-TradeSum!$B$2)/182.625)</f>
        <v>0.423526388269923</v>
      </c>
    </row>
    <row r="189" customFormat="false" ht="12.75" hidden="false" customHeight="false" outlineLevel="0" collapsed="false">
      <c r="X189" s="367" t="n">
        <v>42705</v>
      </c>
      <c r="Y189" s="0" t="n">
        <v>0.061688523256072</v>
      </c>
      <c r="Z189" s="365"/>
      <c r="AA189" s="365" t="n">
        <f aca="false">YEAR(X189)</f>
        <v>2016</v>
      </c>
      <c r="AB189" s="365" t="n">
        <f aca="false">MONTH(X189)</f>
        <v>12</v>
      </c>
      <c r="AC189" s="368" t="n">
        <f aca="false">(1+Y189/2)^(-(DATE(AA190,AB190,5)-TradeSum!$B$2)/182.625)</f>
        <v>0.39718134219802</v>
      </c>
      <c r="AD189" s="371"/>
      <c r="AF189" s="367" t="n">
        <v>42705</v>
      </c>
      <c r="AG189" s="0" t="n">
        <v>0.0577197481773828</v>
      </c>
      <c r="AI189" s="365" t="n">
        <f aca="false">YEAR(AF189)</f>
        <v>2016</v>
      </c>
      <c r="AJ189" s="365" t="n">
        <f aca="false">MONTH(AF189)</f>
        <v>12</v>
      </c>
      <c r="AK189" s="368" t="n">
        <f aca="false">(1+AG189/2)^(-(DATE(AI190,AJ190,5)-TradeSum!$B$2)/182.625)</f>
        <v>0.421138298343013</v>
      </c>
    </row>
    <row r="190" customFormat="false" ht="12.75" hidden="false" customHeight="false" outlineLevel="0" collapsed="false">
      <c r="X190" s="367" t="n">
        <v>42736</v>
      </c>
      <c r="Y190" s="0" t="n">
        <v>0.0617199315449302</v>
      </c>
      <c r="Z190" s="365"/>
      <c r="AA190" s="365" t="n">
        <f aca="false">YEAR(X190)</f>
        <v>2017</v>
      </c>
      <c r="AB190" s="365" t="n">
        <f aca="false">MONTH(X190)</f>
        <v>1</v>
      </c>
      <c r="AC190" s="368" t="n">
        <f aca="false">(1+Y190/2)^(-(DATE(AA191,AB191,5)-TradeSum!$B$2)/182.625)</f>
        <v>0.394954564046622</v>
      </c>
      <c r="AD190" s="371"/>
      <c r="AF190" s="367" t="n">
        <v>42736</v>
      </c>
      <c r="AG190" s="0" t="n">
        <v>0.0577777862134656</v>
      </c>
      <c r="AI190" s="365" t="n">
        <f aca="false">YEAR(AF190)</f>
        <v>2017</v>
      </c>
      <c r="AJ190" s="365" t="n">
        <f aca="false">MONTH(AF190)</f>
        <v>1</v>
      </c>
      <c r="AK190" s="368" t="n">
        <f aca="false">(1+AG190/2)^(-(DATE(AI191,AJ191,5)-TradeSum!$B$2)/182.625)</f>
        <v>0.418748157823207</v>
      </c>
    </row>
    <row r="191" customFormat="false" ht="12.75" hidden="false" customHeight="false" outlineLevel="0" collapsed="false">
      <c r="X191" s="367" t="n">
        <v>42767</v>
      </c>
      <c r="Y191" s="0" t="n">
        <v>0.0617513398341156</v>
      </c>
      <c r="Z191" s="365"/>
      <c r="AA191" s="365" t="n">
        <f aca="false">YEAR(X191)</f>
        <v>2017</v>
      </c>
      <c r="AB191" s="365" t="n">
        <f aca="false">MONTH(X191)</f>
        <v>2</v>
      </c>
      <c r="AC191" s="368" t="n">
        <f aca="false">(1+Y191/2)^(-(DATE(AA192,AB192,5)-TradeSum!$B$2)/182.625)</f>
        <v>0.392934473532114</v>
      </c>
      <c r="AD191" s="371"/>
      <c r="AF191" s="367" t="n">
        <v>42767</v>
      </c>
      <c r="AG191" s="0" t="n">
        <v>0.0578358242506698</v>
      </c>
      <c r="AI191" s="365" t="n">
        <f aca="false">YEAR(AF191)</f>
        <v>2017</v>
      </c>
      <c r="AJ191" s="365" t="n">
        <f aca="false">MONTH(AF191)</f>
        <v>2</v>
      </c>
      <c r="AK191" s="368" t="n">
        <f aca="false">(1+AG191/2)^(-(DATE(AI192,AJ192,5)-TradeSum!$B$2)/182.625)</f>
        <v>0.416562635733583</v>
      </c>
    </row>
    <row r="192" customFormat="false" ht="12.75" hidden="false" customHeight="false" outlineLevel="0" collapsed="false">
      <c r="X192" s="367" t="n">
        <v>42795</v>
      </c>
      <c r="Y192" s="0" t="n">
        <v>0.0617797086117258</v>
      </c>
      <c r="Z192" s="365"/>
      <c r="AA192" s="365" t="n">
        <f aca="false">YEAR(X192)</f>
        <v>2017</v>
      </c>
      <c r="AB192" s="365" t="n">
        <f aca="false">MONTH(X192)</f>
        <v>3</v>
      </c>
      <c r="AC192" s="368" t="n">
        <f aca="false">(1+Y192/2)^(-(DATE(AA193,AB193,5)-TradeSum!$B$2)/182.625)</f>
        <v>0.390745359687647</v>
      </c>
      <c r="AD192" s="371"/>
      <c r="AF192" s="367" t="n">
        <v>42795</v>
      </c>
      <c r="AG192" s="0" t="n">
        <v>0.0578882457045906</v>
      </c>
      <c r="AI192" s="365" t="n">
        <f aca="false">YEAR(AF192)</f>
        <v>2017</v>
      </c>
      <c r="AJ192" s="365" t="n">
        <f aca="false">MONTH(AF192)</f>
        <v>3</v>
      </c>
      <c r="AK192" s="368" t="n">
        <f aca="false">(1+AG192/2)^(-(DATE(AI193,AJ193,5)-TradeSum!$B$2)/182.625)</f>
        <v>0.414225663513404</v>
      </c>
    </row>
    <row r="193" customFormat="false" ht="12.75" hidden="false" customHeight="false" outlineLevel="0" collapsed="false">
      <c r="X193" s="367" t="n">
        <v>42826</v>
      </c>
      <c r="Y193" s="0" t="n">
        <v>0.0618111169015347</v>
      </c>
      <c r="Z193" s="365"/>
      <c r="AA193" s="365" t="n">
        <f aca="false">YEAR(X193)</f>
        <v>2017</v>
      </c>
      <c r="AB193" s="365" t="n">
        <f aca="false">MONTH(X193)</f>
        <v>4</v>
      </c>
      <c r="AC193" s="368" t="n">
        <f aca="false">(1+Y193/2)^(-(DATE(AA194,AB194,5)-TradeSum!$B$2)/182.625)</f>
        <v>0.388613602308259</v>
      </c>
      <c r="AD193" s="371"/>
      <c r="AF193" s="367" t="n">
        <v>42826</v>
      </c>
      <c r="AG193" s="0" t="n">
        <v>0.0579462837439264</v>
      </c>
      <c r="AI193" s="365" t="n">
        <f aca="false">YEAR(AF193)</f>
        <v>2017</v>
      </c>
      <c r="AJ193" s="365" t="n">
        <f aca="false">MONTH(AF193)</f>
        <v>4</v>
      </c>
      <c r="AK193" s="368" t="n">
        <f aca="false">(1+AG193/2)^(-(DATE(AI194,AJ194,5)-TradeSum!$B$2)/182.625)</f>
        <v>0.411927752965594</v>
      </c>
    </row>
    <row r="194" customFormat="false" ht="12.75" hidden="false" customHeight="false" outlineLevel="0" collapsed="false">
      <c r="X194" s="367" t="n">
        <v>42856</v>
      </c>
      <c r="Y194" s="0" t="n">
        <v>0.0618415120210165</v>
      </c>
      <c r="Z194" s="365"/>
      <c r="AA194" s="365" t="n">
        <f aca="false">YEAR(X194)</f>
        <v>2017</v>
      </c>
      <c r="AB194" s="365" t="n">
        <f aca="false">MONTH(X194)</f>
        <v>5</v>
      </c>
      <c r="AC194" s="368" t="n">
        <f aca="false">(1+Y194/2)^(-(DATE(AA195,AB195,5)-TradeSum!$B$2)/182.625)</f>
        <v>0.386433029894344</v>
      </c>
      <c r="AD194" s="371"/>
      <c r="AF194" s="367" t="n">
        <v>42856</v>
      </c>
      <c r="AG194" s="0" t="n">
        <v>0.0580024495895115</v>
      </c>
      <c r="AI194" s="365" t="n">
        <f aca="false">YEAR(AF194)</f>
        <v>2017</v>
      </c>
      <c r="AJ194" s="365" t="n">
        <f aca="false">MONTH(AF194)</f>
        <v>5</v>
      </c>
      <c r="AK194" s="368" t="n">
        <f aca="false">(1+AG194/2)^(-(DATE(AI195,AJ195,5)-TradeSum!$B$2)/182.625)</f>
        <v>0.409586315072746</v>
      </c>
    </row>
    <row r="195" customFormat="false" ht="12.75" hidden="false" customHeight="false" outlineLevel="0" collapsed="false">
      <c r="X195" s="367" t="n">
        <v>42887</v>
      </c>
      <c r="Y195" s="0" t="n">
        <v>0.0618729203114698</v>
      </c>
      <c r="Z195" s="365"/>
      <c r="AA195" s="365" t="n">
        <f aca="false">YEAR(X195)</f>
        <v>2017</v>
      </c>
      <c r="AB195" s="365" t="n">
        <f aca="false">MONTH(X195)</f>
        <v>6</v>
      </c>
      <c r="AC195" s="368" t="n">
        <f aca="false">(1+Y195/2)^(-(DATE(AA196,AB196,5)-TradeSum!$B$2)/182.625)</f>
        <v>0.384320956477648</v>
      </c>
      <c r="AD195" s="371"/>
      <c r="AF195" s="367" t="n">
        <v>42887</v>
      </c>
      <c r="AG195" s="0" t="n">
        <v>0.0580604876310513</v>
      </c>
      <c r="AI195" s="365" t="n">
        <f aca="false">YEAR(AF195)</f>
        <v>2017</v>
      </c>
      <c r="AJ195" s="365" t="n">
        <f aca="false">MONTH(AF195)</f>
        <v>6</v>
      </c>
      <c r="AK195" s="368" t="n">
        <f aca="false">(1+AG195/2)^(-(DATE(AI196,AJ196,5)-TradeSum!$B$2)/182.625)</f>
        <v>0.407306611264736</v>
      </c>
    </row>
    <row r="196" customFormat="false" ht="12.75" hidden="false" customHeight="false" outlineLevel="0" collapsed="false">
      <c r="X196" s="367" t="n">
        <v>42917</v>
      </c>
      <c r="Y196" s="0" t="n">
        <v>0.0619033154315751</v>
      </c>
      <c r="Z196" s="365"/>
      <c r="AA196" s="365" t="n">
        <f aca="false">YEAR(X196)</f>
        <v>2017</v>
      </c>
      <c r="AB196" s="365" t="n">
        <f aca="false">MONTH(X196)</f>
        <v>7</v>
      </c>
      <c r="AC196" s="368" t="n">
        <f aca="false">(1+Y196/2)^(-(DATE(AA197,AB197,5)-TradeSum!$B$2)/182.625)</f>
        <v>0.382160649826832</v>
      </c>
      <c r="AD196" s="371"/>
      <c r="AF196" s="367" t="n">
        <v>42917</v>
      </c>
      <c r="AG196" s="0" t="n">
        <v>0.0581166534787703</v>
      </c>
      <c r="AI196" s="365" t="n">
        <f aca="false">YEAR(AF196)</f>
        <v>2017</v>
      </c>
      <c r="AJ196" s="365" t="n">
        <f aca="false">MONTH(AF196)</f>
        <v>7</v>
      </c>
      <c r="AK196" s="368" t="n">
        <f aca="false">(1+AG196/2)^(-(DATE(AI197,AJ197,5)-TradeSum!$B$2)/182.625)</f>
        <v>0.404983953034067</v>
      </c>
    </row>
    <row r="197" customFormat="false" ht="12.75" hidden="false" customHeight="false" outlineLevel="0" collapsed="false">
      <c r="X197" s="367" t="n">
        <v>42948</v>
      </c>
      <c r="Y197" s="0" t="n">
        <v>0.0619347237226728</v>
      </c>
      <c r="Z197" s="365"/>
      <c r="AA197" s="365" t="n">
        <f aca="false">YEAR(X197)</f>
        <v>2017</v>
      </c>
      <c r="AB197" s="365" t="n">
        <f aca="false">MONTH(X197)</f>
        <v>8</v>
      </c>
      <c r="AC197" s="368" t="n">
        <f aca="false">(1+Y197/2)^(-(DATE(AA198,AB198,5)-TradeSum!$B$2)/182.625)</f>
        <v>0.380004663239573</v>
      </c>
      <c r="AD197" s="371"/>
      <c r="AF197" s="367" t="n">
        <v>42948</v>
      </c>
      <c r="AG197" s="0" t="n">
        <v>0.058174691522515</v>
      </c>
      <c r="AI197" s="365" t="n">
        <f aca="false">YEAR(AF197)</f>
        <v>2017</v>
      </c>
      <c r="AJ197" s="365" t="n">
        <f aca="false">MONTH(AF197)</f>
        <v>8</v>
      </c>
      <c r="AK197" s="368" t="n">
        <f aca="false">(1+AG197/2)^(-(DATE(AI198,AJ198,5)-TradeSum!$B$2)/182.625)</f>
        <v>0.402659197841688</v>
      </c>
    </row>
    <row r="198" customFormat="false" ht="12.75" hidden="false" customHeight="false" outlineLevel="0" collapsed="false">
      <c r="X198" s="367" t="n">
        <v>42979</v>
      </c>
      <c r="Y198" s="0" t="n">
        <v>0.0619661320140978</v>
      </c>
      <c r="Z198" s="365"/>
      <c r="AA198" s="365" t="n">
        <f aca="false">YEAR(X198)</f>
        <v>2017</v>
      </c>
      <c r="AB198" s="365" t="n">
        <f aca="false">MONTH(X198)</f>
        <v>9</v>
      </c>
      <c r="AC198" s="368" t="n">
        <f aca="false">(1+Y198/2)^(-(DATE(AA199,AB199,5)-TradeSum!$B$2)/182.625)</f>
        <v>0.377922026065862</v>
      </c>
      <c r="AD198" s="371"/>
      <c r="AF198" s="367" t="n">
        <v>42979</v>
      </c>
      <c r="AG198" s="0" t="n">
        <v>0.0582327295673792</v>
      </c>
      <c r="AI198" s="365" t="n">
        <f aca="false">YEAR(AF198)</f>
        <v>2017</v>
      </c>
      <c r="AJ198" s="365" t="n">
        <f aca="false">MONTH(AF198)</f>
        <v>9</v>
      </c>
      <c r="AK198" s="368" t="n">
        <f aca="false">(1+AG198/2)^(-(DATE(AI199,AJ199,5)-TradeSum!$B$2)/182.625)</f>
        <v>0.400406886276202</v>
      </c>
    </row>
    <row r="199" customFormat="false" ht="12.75" hidden="false" customHeight="false" outlineLevel="0" collapsed="false">
      <c r="X199" s="367" t="n">
        <v>43009</v>
      </c>
      <c r="Y199" s="0" t="n">
        <v>0.0619965271351432</v>
      </c>
      <c r="Z199" s="365"/>
      <c r="AA199" s="365" t="n">
        <f aca="false">YEAR(X199)</f>
        <v>2017</v>
      </c>
      <c r="AB199" s="365" t="n">
        <f aca="false">MONTH(X199)</f>
        <v>10</v>
      </c>
      <c r="AC199" s="368" t="n">
        <f aca="false">(1+Y199/2)^(-(DATE(AA200,AB200,5)-TradeSum!$B$2)/182.625)</f>
        <v>0.375792022035691</v>
      </c>
      <c r="AD199" s="371"/>
      <c r="AF199" s="367" t="n">
        <v>43009</v>
      </c>
      <c r="AG199" s="0" t="n">
        <v>0.0582888954183156</v>
      </c>
      <c r="AI199" s="365" t="n">
        <f aca="false">YEAR(AF199)</f>
        <v>2017</v>
      </c>
      <c r="AJ199" s="365" t="n">
        <f aca="false">MONTH(AF199)</f>
        <v>10</v>
      </c>
      <c r="AK199" s="368" t="n">
        <f aca="false">(1+AG199/2)^(-(DATE(AI200,AJ200,5)-TradeSum!$B$2)/182.625)</f>
        <v>0.398112473881622</v>
      </c>
    </row>
    <row r="200" customFormat="false" ht="12.75" hidden="false" customHeight="false" outlineLevel="0" collapsed="false">
      <c r="X200" s="367" t="n">
        <v>43040</v>
      </c>
      <c r="Y200" s="0" t="n">
        <v>0.0620279354272131</v>
      </c>
      <c r="Z200" s="365"/>
      <c r="AA200" s="365" t="n">
        <f aca="false">YEAR(X200)</f>
        <v>2017</v>
      </c>
      <c r="AB200" s="365" t="n">
        <f aca="false">MONTH(X200)</f>
        <v>11</v>
      </c>
      <c r="AC200" s="368" t="n">
        <f aca="false">(1+Y200/2)^(-(DATE(AA201,AB201,5)-TradeSum!$B$2)/182.625)</f>
        <v>0.373728736345542</v>
      </c>
      <c r="AD200" s="371"/>
      <c r="AF200" s="367" t="n">
        <v>43040</v>
      </c>
      <c r="AG200" s="0" t="n">
        <v>0.0583469334653843</v>
      </c>
      <c r="AI200" s="365" t="n">
        <f aca="false">YEAR(AF200)</f>
        <v>2017</v>
      </c>
      <c r="AJ200" s="365" t="n">
        <f aca="false">MONTH(AF200)</f>
        <v>11</v>
      </c>
      <c r="AK200" s="368" t="n">
        <f aca="false">(1+AG200/2)^(-(DATE(AI201,AJ201,5)-TradeSum!$B$2)/182.625)</f>
        <v>0.39587827767544</v>
      </c>
    </row>
    <row r="201" customFormat="false" ht="12.75" hidden="false" customHeight="false" outlineLevel="0" collapsed="false">
      <c r="X201" s="367" t="n">
        <v>43070</v>
      </c>
      <c r="Y201" s="0" t="n">
        <v>0.0620583305488824</v>
      </c>
      <c r="Z201" s="365"/>
      <c r="AA201" s="365" t="n">
        <f aca="false">YEAR(X201)</f>
        <v>2017</v>
      </c>
      <c r="AB201" s="365" t="n">
        <f aca="false">MONTH(X201)</f>
        <v>12</v>
      </c>
      <c r="AC201" s="368" t="n">
        <f aca="false">(1+Y201/2)^(-(DATE(AA202,AB202,5)-TradeSum!$B$2)/182.625)</f>
        <v>0.371618650956272</v>
      </c>
      <c r="AD201" s="371"/>
      <c r="AF201" s="367" t="n">
        <v>43070</v>
      </c>
      <c r="AG201" s="0" t="n">
        <v>0.0584030993184528</v>
      </c>
      <c r="AI201" s="365" t="n">
        <f aca="false">YEAR(AF201)</f>
        <v>2017</v>
      </c>
      <c r="AJ201" s="365" t="n">
        <f aca="false">MONTH(AF201)</f>
        <v>12</v>
      </c>
      <c r="AK201" s="368" t="n">
        <f aca="false">(1+AG201/2)^(-(DATE(AI202,AJ202,5)-TradeSum!$B$2)/182.625)</f>
        <v>0.39360253968988</v>
      </c>
    </row>
    <row r="202" customFormat="false" ht="12.75" hidden="false" customHeight="false" outlineLevel="0" collapsed="false">
      <c r="X202" s="367" t="n">
        <v>43101</v>
      </c>
      <c r="Y202" s="0" t="n">
        <v>0.0620897388415962</v>
      </c>
      <c r="Z202" s="365"/>
      <c r="AA202" s="365" t="n">
        <f aca="false">YEAR(X202)</f>
        <v>2018</v>
      </c>
      <c r="AB202" s="365" t="n">
        <f aca="false">MONTH(X202)</f>
        <v>1</v>
      </c>
      <c r="AC202" s="368" t="n">
        <f aca="false">(1+Y202/2)^(-(DATE(AA203,AB203,5)-TradeSum!$B$2)/182.625)</f>
        <v>0.369512720478253</v>
      </c>
      <c r="AD202" s="371"/>
      <c r="AF202" s="367" t="n">
        <v>43101</v>
      </c>
      <c r="AG202" s="0" t="n">
        <v>0.0584611373677255</v>
      </c>
      <c r="AI202" s="365" t="n">
        <f aca="false">YEAR(AF202)</f>
        <v>2018</v>
      </c>
      <c r="AJ202" s="365" t="n">
        <f aca="false">MONTH(AF202)</f>
        <v>1</v>
      </c>
      <c r="AK202" s="368" t="n">
        <f aca="false">(1+AG202/2)^(-(DATE(AI203,AJ203,5)-TradeSum!$B$2)/182.625)</f>
        <v>0.391324678076743</v>
      </c>
    </row>
    <row r="203" customFormat="false" ht="12.75" hidden="false" customHeight="false" outlineLevel="0" collapsed="false">
      <c r="X203" s="367" t="n">
        <v>43132</v>
      </c>
      <c r="Y203" s="0" t="n">
        <v>0.0621211471346377</v>
      </c>
      <c r="Z203" s="365"/>
      <c r="AA203" s="365" t="n">
        <f aca="false">YEAR(X203)</f>
        <v>2018</v>
      </c>
      <c r="AB203" s="365" t="n">
        <f aca="false">MONTH(X203)</f>
        <v>2</v>
      </c>
      <c r="AC203" s="368" t="n">
        <f aca="false">(1+Y203/2)^(-(DATE(AA204,AB204,5)-TradeSum!$B$2)/182.625)</f>
        <v>0.367601489900913</v>
      </c>
      <c r="AD203" s="371"/>
      <c r="AF203" s="367" t="n">
        <v>43132</v>
      </c>
      <c r="AG203" s="0" t="n">
        <v>0.0585191754181191</v>
      </c>
      <c r="AI203" s="365" t="n">
        <f aca="false">YEAR(AF203)</f>
        <v>2018</v>
      </c>
      <c r="AJ203" s="365" t="n">
        <f aca="false">MONTH(AF203)</f>
        <v>2</v>
      </c>
      <c r="AK203" s="368" t="n">
        <f aca="false">(1+AG203/2)^(-(DATE(AI204,AJ204,5)-TradeSum!$B$2)/182.625)</f>
        <v>0.389240645083167</v>
      </c>
    </row>
    <row r="204" customFormat="false" ht="12.75" hidden="false" customHeight="false" outlineLevel="0" collapsed="false">
      <c r="X204" s="367" t="n">
        <v>43160</v>
      </c>
      <c r="Y204" s="0" t="n">
        <v>0.0621495159157304</v>
      </c>
      <c r="Z204" s="365"/>
      <c r="AA204" s="365" t="n">
        <f aca="false">YEAR(X204)</f>
        <v>2018</v>
      </c>
      <c r="AB204" s="365" t="n">
        <f aca="false">MONTH(X204)</f>
        <v>3</v>
      </c>
      <c r="AC204" s="368" t="n">
        <f aca="false">(1+Y204/2)^(-(DATE(AA205,AB205,5)-TradeSum!$B$2)/182.625)</f>
        <v>0.365532359594643</v>
      </c>
      <c r="AD204" s="371"/>
      <c r="AF204" s="367" t="n">
        <v>43160</v>
      </c>
      <c r="AG204" s="0" t="n">
        <v>0.0585715968839531</v>
      </c>
      <c r="AI204" s="365" t="n">
        <f aca="false">YEAR(AF204)</f>
        <v>2018</v>
      </c>
      <c r="AJ204" s="365" t="n">
        <f aca="false">MONTH(AF204)</f>
        <v>3</v>
      </c>
      <c r="AK204" s="368" t="n">
        <f aca="false">(1+AG204/2)^(-(DATE(AI205,AJ205,5)-TradeSum!$B$2)/182.625)</f>
        <v>0.387015542483702</v>
      </c>
    </row>
    <row r="205" customFormat="false" ht="12.75" hidden="false" customHeight="false" outlineLevel="0" collapsed="false">
      <c r="X205" s="367" t="n">
        <v>43191</v>
      </c>
      <c r="Y205" s="0" t="n">
        <v>0.0621809242093945</v>
      </c>
      <c r="Z205" s="365"/>
      <c r="AA205" s="365" t="n">
        <f aca="false">YEAR(X205)</f>
        <v>2018</v>
      </c>
      <c r="AB205" s="365" t="n">
        <f aca="false">MONTH(X205)</f>
        <v>4</v>
      </c>
      <c r="AC205" s="368" t="n">
        <f aca="false">(1+Y205/2)^(-(DATE(AA206,AB206,5)-TradeSum!$B$2)/182.625)</f>
        <v>0.363516409460258</v>
      </c>
      <c r="AD205" s="371"/>
      <c r="AF205" s="367" t="n">
        <v>43191</v>
      </c>
      <c r="AG205" s="0" t="n">
        <v>0.0586296349364774</v>
      </c>
      <c r="AI205" s="365" t="n">
        <f aca="false">YEAR(AF205)</f>
        <v>2018</v>
      </c>
      <c r="AJ205" s="365" t="n">
        <f aca="false">MONTH(AF205)</f>
        <v>4</v>
      </c>
      <c r="AK205" s="368" t="n">
        <f aca="false">(1+AG205/2)^(-(DATE(AI206,AJ206,5)-TradeSum!$B$2)/182.625)</f>
        <v>0.384826016973267</v>
      </c>
    </row>
    <row r="206" customFormat="false" ht="12.75" hidden="false" customHeight="false" outlineLevel="0" collapsed="false">
      <c r="X206" s="367" t="n">
        <v>43221</v>
      </c>
      <c r="Y206" s="0" t="n">
        <v>0.0622113193326075</v>
      </c>
      <c r="Z206" s="365"/>
      <c r="AA206" s="365" t="n">
        <f aca="false">YEAR(X206)</f>
        <v>2018</v>
      </c>
      <c r="AB206" s="365" t="n">
        <f aca="false">MONTH(X206)</f>
        <v>5</v>
      </c>
      <c r="AC206" s="368" t="n">
        <f aca="false">(1+Y206/2)^(-(DATE(AA207,AB207,5)-TradeSum!$B$2)/182.625)</f>
        <v>0.361455038891595</v>
      </c>
      <c r="AD206" s="371"/>
      <c r="AF206" s="367" t="n">
        <v>43221</v>
      </c>
      <c r="AG206" s="0" t="n">
        <v>0.0586858007948257</v>
      </c>
      <c r="AI206" s="365" t="n">
        <f aca="false">YEAR(AF206)</f>
        <v>2018</v>
      </c>
      <c r="AJ206" s="365" t="n">
        <f aca="false">MONTH(AF206)</f>
        <v>5</v>
      </c>
      <c r="AK206" s="368" t="n">
        <f aca="false">(1+AG206/2)^(-(DATE(AI207,AJ207,5)-TradeSum!$B$2)/182.625)</f>
        <v>0.382596309989579</v>
      </c>
    </row>
    <row r="207" customFormat="false" ht="12.75" hidden="false" customHeight="false" outlineLevel="0" collapsed="false">
      <c r="X207" s="367" t="n">
        <v>43252</v>
      </c>
      <c r="Y207" s="0" t="n">
        <v>0.0622427276269164</v>
      </c>
      <c r="Z207" s="365"/>
      <c r="AA207" s="365" t="n">
        <f aca="false">YEAR(X207)</f>
        <v>2018</v>
      </c>
      <c r="AB207" s="365" t="n">
        <f aca="false">MONTH(X207)</f>
        <v>6</v>
      </c>
      <c r="AC207" s="368" t="n">
        <f aca="false">(1+Y207/2)^(-(DATE(AA208,AB208,5)-TradeSum!$B$2)/182.625)</f>
        <v>0.359457982709029</v>
      </c>
      <c r="AD207" s="371"/>
      <c r="AF207" s="367" t="n">
        <v>43252</v>
      </c>
      <c r="AG207" s="0" t="n">
        <v>0.0587438388495536</v>
      </c>
      <c r="AI207" s="365" t="n">
        <f aca="false">YEAR(AF207)</f>
        <v>2018</v>
      </c>
      <c r="AJ207" s="365" t="n">
        <f aca="false">MONTH(AF207)</f>
        <v>6</v>
      </c>
      <c r="AK207" s="368" t="n">
        <f aca="false">(1+AG207/2)^(-(DATE(AI208,AJ208,5)-TradeSum!$B$2)/182.625)</f>
        <v>0.380424756628146</v>
      </c>
    </row>
    <row r="208" customFormat="false" ht="12.75" hidden="false" customHeight="false" outlineLevel="0" collapsed="false">
      <c r="X208" s="367" t="n">
        <v>43282</v>
      </c>
      <c r="Y208" s="0" t="n">
        <v>0.0622731227507525</v>
      </c>
      <c r="Z208" s="365"/>
      <c r="AA208" s="365" t="n">
        <f aca="false">YEAR(X208)</f>
        <v>2018</v>
      </c>
      <c r="AB208" s="365" t="n">
        <f aca="false">MONTH(X208)</f>
        <v>7</v>
      </c>
      <c r="AC208" s="368" t="n">
        <f aca="false">(1+Y208/2)^(-(DATE(AA209,AB209,5)-TradeSum!$B$2)/182.625)</f>
        <v>0.357416053422575</v>
      </c>
      <c r="AD208" s="371"/>
      <c r="AF208" s="367" t="n">
        <v>43282</v>
      </c>
      <c r="AG208" s="0" t="n">
        <v>0.0588000047100348</v>
      </c>
      <c r="AI208" s="365" t="n">
        <f aca="false">YEAR(AF208)</f>
        <v>2018</v>
      </c>
      <c r="AJ208" s="365" t="n">
        <f aca="false">MONTH(AF208)</f>
        <v>7</v>
      </c>
      <c r="AK208" s="368" t="n">
        <f aca="false">(1+AG208/2)^(-(DATE(AI209,AJ209,5)-TradeSum!$B$2)/182.625)</f>
        <v>0.378213561860181</v>
      </c>
    </row>
    <row r="209" customFormat="false" ht="12.75" hidden="false" customHeight="false" outlineLevel="0" collapsed="false">
      <c r="X209" s="367" t="n">
        <v>43313</v>
      </c>
      <c r="Y209" s="0" t="n">
        <v>0.0623045310457058</v>
      </c>
      <c r="Z209" s="365"/>
      <c r="AA209" s="365" t="n">
        <f aca="false">YEAR(X209)</f>
        <v>2018</v>
      </c>
      <c r="AB209" s="365" t="n">
        <f aca="false">MONTH(X209)</f>
        <v>8</v>
      </c>
      <c r="AC209" s="368" t="n">
        <f aca="false">(1+Y209/2)^(-(DATE(AA210,AB210,5)-TradeSum!$B$2)/182.625)</f>
        <v>0.355378059747456</v>
      </c>
      <c r="AD209" s="371"/>
      <c r="AF209" s="367" t="n">
        <v>43313</v>
      </c>
      <c r="AG209" s="0" t="n">
        <v>0.0588580427669667</v>
      </c>
      <c r="AI209" s="365" t="n">
        <f aca="false">YEAR(AF209)</f>
        <v>2018</v>
      </c>
      <c r="AJ209" s="365" t="n">
        <f aca="false">MONTH(AF209)</f>
        <v>8</v>
      </c>
      <c r="AK209" s="368" t="n">
        <f aca="false">(1+AG209/2)^(-(DATE(AI210,AJ210,5)-TradeSum!$B$2)/182.625)</f>
        <v>0.376000215316916</v>
      </c>
    </row>
    <row r="210" customFormat="false" ht="12.75" hidden="false" customHeight="false" outlineLevel="0" collapsed="false">
      <c r="X210" s="367" t="n">
        <v>43344</v>
      </c>
      <c r="Y210" s="0" t="n">
        <v>0.0623359393409859</v>
      </c>
      <c r="Z210" s="365"/>
      <c r="AA210" s="365" t="n">
        <f aca="false">YEAR(X210)</f>
        <v>2018</v>
      </c>
      <c r="AB210" s="365" t="n">
        <f aca="false">MONTH(X210)</f>
        <v>9</v>
      </c>
      <c r="AC210" s="368" t="n">
        <f aca="false">(1+Y210/2)^(-(DATE(AA211,AB211,5)-TradeSum!$B$2)/182.625)</f>
        <v>0.353409251821232</v>
      </c>
      <c r="AD210" s="371"/>
      <c r="AF210" s="367" t="n">
        <v>43344</v>
      </c>
      <c r="AG210" s="0" t="n">
        <v>0.0589160808250186</v>
      </c>
      <c r="AI210" s="365" t="n">
        <f aca="false">YEAR(AF210)</f>
        <v>2018</v>
      </c>
      <c r="AJ210" s="365" t="n">
        <f aca="false">MONTH(AF210)</f>
        <v>9</v>
      </c>
      <c r="AK210" s="368" t="n">
        <f aca="false">(1+AG210/2)^(-(DATE(AI211,AJ211,5)-TradeSum!$B$2)/182.625)</f>
        <v>0.373855682558615</v>
      </c>
    </row>
    <row r="211" customFormat="false" ht="12.75" hidden="false" customHeight="false" outlineLevel="0" collapsed="false">
      <c r="X211" s="367" t="n">
        <v>43374</v>
      </c>
      <c r="Y211" s="0" t="n">
        <v>0.0623663344657626</v>
      </c>
      <c r="Z211" s="365"/>
      <c r="AA211" s="365" t="n">
        <f aca="false">YEAR(X211)</f>
        <v>2018</v>
      </c>
      <c r="AB211" s="365" t="n">
        <f aca="false">MONTH(X211)</f>
        <v>10</v>
      </c>
      <c r="AC211" s="368" t="n">
        <f aca="false">(1+Y211/2)^(-(DATE(AA212,AB212,5)-TradeSum!$B$2)/182.625)</f>
        <v>0.351396385683421</v>
      </c>
      <c r="AD211" s="371"/>
      <c r="AF211" s="367" t="n">
        <v>43374</v>
      </c>
      <c r="AG211" s="0" t="n">
        <v>0.0589722466887155</v>
      </c>
      <c r="AI211" s="365" t="n">
        <f aca="false">YEAR(AF211)</f>
        <v>2018</v>
      </c>
      <c r="AJ211" s="365" t="n">
        <f aca="false">MONTH(AF211)</f>
        <v>10</v>
      </c>
      <c r="AK211" s="368" t="n">
        <f aca="false">(1+AG211/2)^(-(DATE(AI212,AJ212,5)-TradeSum!$B$2)/182.625)</f>
        <v>0.371672312698735</v>
      </c>
    </row>
    <row r="212" customFormat="false" ht="12.75" hidden="false" customHeight="false" outlineLevel="0" collapsed="false">
      <c r="X212" s="367" t="n">
        <v>43405</v>
      </c>
      <c r="Y212" s="0" t="n">
        <v>0.0623977427616871</v>
      </c>
      <c r="Z212" s="365"/>
      <c r="AA212" s="365" t="n">
        <f aca="false">YEAR(X212)</f>
        <v>2018</v>
      </c>
      <c r="AB212" s="365" t="n">
        <f aca="false">MONTH(X212)</f>
        <v>11</v>
      </c>
      <c r="AC212" s="368" t="n">
        <f aca="false">(1+Y212/2)^(-(DATE(AA213,AB213,5)-TradeSum!$B$2)/182.625)</f>
        <v>0.349446143941026</v>
      </c>
      <c r="AD212" s="371"/>
      <c r="AF212" s="367" t="n">
        <v>43405</v>
      </c>
      <c r="AG212" s="0" t="n">
        <v>0.059030284748971</v>
      </c>
      <c r="AI212" s="365" t="n">
        <f aca="false">YEAR(AF212)</f>
        <v>2018</v>
      </c>
      <c r="AJ212" s="365" t="n">
        <f aca="false">MONTH(AF212)</f>
        <v>11</v>
      </c>
      <c r="AK212" s="368" t="n">
        <f aca="false">(1+AG212/2)^(-(DATE(AI213,AJ213,5)-TradeSum!$B$2)/182.625)</f>
        <v>0.369545637278118</v>
      </c>
    </row>
    <row r="213" customFormat="false" ht="12.75" hidden="false" customHeight="false" outlineLevel="0" collapsed="false">
      <c r="X213" s="367" t="n">
        <v>43435</v>
      </c>
      <c r="Y213" s="0" t="n">
        <v>0.0624281378870872</v>
      </c>
      <c r="Z213" s="365"/>
      <c r="AA213" s="365" t="n">
        <f aca="false">YEAR(X213)</f>
        <v>2018</v>
      </c>
      <c r="AB213" s="365" t="n">
        <f aca="false">MONTH(X213)</f>
        <v>12</v>
      </c>
      <c r="AC213" s="368" t="n">
        <f aca="false">(1+Y213/2)^(-(DATE(AA214,AB214,5)-TradeSum!$B$2)/182.625)</f>
        <v>0.347452377338953</v>
      </c>
      <c r="AD213" s="371"/>
      <c r="AF213" s="367" t="n">
        <v>43435</v>
      </c>
      <c r="AG213" s="0" t="n">
        <v>0.0590864506147999</v>
      </c>
      <c r="AI213" s="365" t="n">
        <f aca="false">YEAR(AF213)</f>
        <v>2018</v>
      </c>
      <c r="AJ213" s="365" t="n">
        <f aca="false">MONTH(AF213)</f>
        <v>12</v>
      </c>
      <c r="AK213" s="368" t="n">
        <f aca="false">(1+AG213/2)^(-(DATE(AI214,AJ214,5)-TradeSum!$B$2)/182.625)</f>
        <v>0.367380651303773</v>
      </c>
    </row>
    <row r="214" customFormat="false" ht="12.75" hidden="false" customHeight="false" outlineLevel="0" collapsed="false">
      <c r="X214" s="367" t="n">
        <v>43466</v>
      </c>
      <c r="Y214" s="0" t="n">
        <v>0.0624595461836561</v>
      </c>
      <c r="Z214" s="365"/>
      <c r="AA214" s="365" t="n">
        <f aca="false">YEAR(X214)</f>
        <v>2019</v>
      </c>
      <c r="AB214" s="365" t="n">
        <f aca="false">MONTH(X214)</f>
        <v>1</v>
      </c>
      <c r="AC214" s="368" t="n">
        <f aca="false">(1+Y214/2)^(-(DATE(AA215,AB215,5)-TradeSum!$B$2)/182.625)</f>
        <v>0.345462394726687</v>
      </c>
      <c r="AD214" s="371"/>
      <c r="AF214" s="367" t="n">
        <v>43466</v>
      </c>
      <c r="AG214" s="0" t="n">
        <v>0.0591444886772585</v>
      </c>
      <c r="AI214" s="365" t="n">
        <f aca="false">YEAR(AF214)</f>
        <v>2019</v>
      </c>
      <c r="AJ214" s="365" t="n">
        <f aca="false">MONTH(AF214)</f>
        <v>1</v>
      </c>
      <c r="AK214" s="368" t="n">
        <f aca="false">(1+AG214/2)^(-(DATE(AI215,AJ215,5)-TradeSum!$B$2)/182.625)</f>
        <v>0.365213499203703</v>
      </c>
    </row>
    <row r="215" customFormat="false" ht="12.75" hidden="false" customHeight="false" outlineLevel="0" collapsed="false">
      <c r="X215" s="367" t="n">
        <v>43497</v>
      </c>
      <c r="Y215" s="0" t="n">
        <v>0.0624909544805523</v>
      </c>
      <c r="Z215" s="365"/>
      <c r="AA215" s="365" t="n">
        <f aca="false">YEAR(X215)</f>
        <v>2019</v>
      </c>
      <c r="AB215" s="365" t="n">
        <f aca="false">MONTH(X215)</f>
        <v>2</v>
      </c>
      <c r="AC215" s="368" t="n">
        <f aca="false">(1+Y215/2)^(-(DATE(AA216,AB216,5)-TradeSum!$B$2)/182.625)</f>
        <v>0.343655682005753</v>
      </c>
      <c r="AD215" s="371"/>
      <c r="AF215" s="367" t="n">
        <v>43497</v>
      </c>
      <c r="AG215" s="0" t="n">
        <v>0.0592025267408367</v>
      </c>
      <c r="AI215" s="365" t="n">
        <f aca="false">YEAR(AF215)</f>
        <v>2019</v>
      </c>
      <c r="AJ215" s="365" t="n">
        <f aca="false">MONTH(AF215)</f>
        <v>2</v>
      </c>
      <c r="AK215" s="368" t="n">
        <f aca="false">(1+AG215/2)^(-(DATE(AI216,AJ216,5)-TradeSum!$B$2)/182.625)</f>
        <v>0.363229686698886</v>
      </c>
    </row>
    <row r="216" customFormat="false" ht="12.75" hidden="false" customHeight="false" outlineLevel="0" collapsed="false">
      <c r="X216" s="367" t="n">
        <v>43525</v>
      </c>
      <c r="Y216" s="0" t="n">
        <v>0.0625193232651271</v>
      </c>
      <c r="Z216" s="365"/>
      <c r="AA216" s="365" t="n">
        <f aca="false">YEAR(X216)</f>
        <v>2019</v>
      </c>
      <c r="AB216" s="365" t="n">
        <f aca="false">MONTH(X216)</f>
        <v>3</v>
      </c>
      <c r="AC216" s="368" t="n">
        <f aca="false">(1+Y216/2)^(-(DATE(AA217,AB217,5)-TradeSum!$B$2)/182.625)</f>
        <v>0.341701569013084</v>
      </c>
      <c r="AD216" s="371"/>
      <c r="AF216" s="367" t="n">
        <v>43525</v>
      </c>
      <c r="AG216" s="0" t="n">
        <v>0.0592549482185798</v>
      </c>
      <c r="AI216" s="365" t="n">
        <f aca="false">YEAR(AF216)</f>
        <v>2019</v>
      </c>
      <c r="AJ216" s="365" t="n">
        <f aca="false">MONTH(AF216)</f>
        <v>3</v>
      </c>
      <c r="AK216" s="368" t="n">
        <f aca="false">(1+AG216/2)^(-(DATE(AI217,AJ217,5)-TradeSum!$B$2)/182.625)</f>
        <v>0.361114656156456</v>
      </c>
    </row>
    <row r="217" customFormat="false" ht="12.75" hidden="false" customHeight="false" outlineLevel="0" collapsed="false">
      <c r="X217" s="367" t="n">
        <v>43556</v>
      </c>
      <c r="Y217" s="0" t="n">
        <v>0.0625507315626463</v>
      </c>
      <c r="Z217" s="365"/>
      <c r="AA217" s="365" t="n">
        <f aca="false">YEAR(X217)</f>
        <v>2019</v>
      </c>
      <c r="AB217" s="365" t="n">
        <f aca="false">MONTH(X217)</f>
        <v>4</v>
      </c>
      <c r="AC217" s="368" t="n">
        <f aca="false">(1+Y217/2)^(-(DATE(AA218,AB218,5)-TradeSum!$B$2)/182.625)</f>
        <v>0.339796727375045</v>
      </c>
      <c r="AD217" s="371"/>
      <c r="AF217" s="367" t="n">
        <v>43556</v>
      </c>
      <c r="AG217" s="0" t="n">
        <v>0.0593129862842887</v>
      </c>
      <c r="AI217" s="365" t="n">
        <f aca="false">YEAR(AF217)</f>
        <v>2019</v>
      </c>
      <c r="AJ217" s="365" t="n">
        <f aca="false">MONTH(AF217)</f>
        <v>4</v>
      </c>
      <c r="AK217" s="368" t="n">
        <f aca="false">(1+AG217/2)^(-(DATE(AI218,AJ218,5)-TradeSum!$B$2)/182.625)</f>
        <v>0.359031973946877</v>
      </c>
    </row>
    <row r="218" customFormat="false" ht="12.75" hidden="false" customHeight="false" outlineLevel="0" collapsed="false">
      <c r="X218" s="367" t="n">
        <v>43586</v>
      </c>
      <c r="Y218" s="0" t="n">
        <v>0.0625811266895893</v>
      </c>
      <c r="Z218" s="365"/>
      <c r="AA218" s="365" t="n">
        <f aca="false">YEAR(X218)</f>
        <v>2019</v>
      </c>
      <c r="AB218" s="365" t="n">
        <f aca="false">MONTH(X218)</f>
        <v>5</v>
      </c>
      <c r="AC218" s="368" t="n">
        <f aca="false">(1+Y218/2)^(-(DATE(AA219,AB219,5)-TradeSum!$B$2)/182.625)</f>
        <v>0.337849657590304</v>
      </c>
      <c r="AD218" s="371"/>
      <c r="AF218" s="367" t="n">
        <v>43586</v>
      </c>
      <c r="AG218" s="0" t="n">
        <v>0.0593691521553956</v>
      </c>
      <c r="AI218" s="365" t="n">
        <f aca="false">YEAR(AF218)</f>
        <v>2019</v>
      </c>
      <c r="AJ218" s="365" t="n">
        <f aca="false">MONTH(AF218)</f>
        <v>5</v>
      </c>
      <c r="AK218" s="368" t="n">
        <f aca="false">(1+AG218/2)^(-(DATE(AI219,AJ219,5)-TradeSum!$B$2)/182.625)</f>
        <v>0.35691226166336</v>
      </c>
    </row>
    <row r="219" customFormat="false" ht="12.75" hidden="false" customHeight="false" outlineLevel="0" collapsed="false">
      <c r="X219" s="367" t="n">
        <v>43617</v>
      </c>
      <c r="Y219" s="0" t="n">
        <v>0.0626125349877529</v>
      </c>
      <c r="Z219" s="365"/>
      <c r="AA219" s="365" t="n">
        <f aca="false">YEAR(X219)</f>
        <v>2019</v>
      </c>
      <c r="AB219" s="365" t="n">
        <f aca="false">MONTH(X219)</f>
        <v>6</v>
      </c>
      <c r="AC219" s="368" t="n">
        <f aca="false">(1+Y219/2)^(-(DATE(AA220,AB220,5)-TradeSum!$B$2)/182.625)</f>
        <v>0.335962931567746</v>
      </c>
      <c r="AD219" s="371"/>
      <c r="AF219" s="367" t="n">
        <v>43617</v>
      </c>
      <c r="AG219" s="0" t="n">
        <v>0.0594271902233077</v>
      </c>
      <c r="AI219" s="365" t="n">
        <f aca="false">YEAR(AF219)</f>
        <v>2019</v>
      </c>
      <c r="AJ219" s="365" t="n">
        <f aca="false">MONTH(AF219)</f>
        <v>6</v>
      </c>
      <c r="AK219" s="368" t="n">
        <f aca="false">(1+AG219/2)^(-(DATE(AI220,AJ220,5)-TradeSum!$B$2)/182.625)</f>
        <v>0.354847262630446</v>
      </c>
    </row>
    <row r="220" customFormat="false" ht="12.75" hidden="false" customHeight="false" outlineLevel="0" collapsed="false">
      <c r="X220" s="367" t="n">
        <v>43647</v>
      </c>
      <c r="Y220" s="0" t="n">
        <v>0.0626429301153193</v>
      </c>
      <c r="Z220" s="365"/>
      <c r="AA220" s="365" t="n">
        <f aca="false">YEAR(X220)</f>
        <v>2019</v>
      </c>
      <c r="AB220" s="365" t="n">
        <f aca="false">MONTH(X220)</f>
        <v>7</v>
      </c>
      <c r="AC220" s="368" t="n">
        <f aca="false">(1+Y220/2)^(-(DATE(AA221,AB221,5)-TradeSum!$B$2)/182.625)</f>
        <v>0.3340344918342</v>
      </c>
      <c r="AD220" s="371"/>
      <c r="AF220" s="367" t="n">
        <v>43647</v>
      </c>
      <c r="AG220" s="0" t="n">
        <v>0.0594833560965466</v>
      </c>
      <c r="AI220" s="365" t="n">
        <f aca="false">YEAR(AF220)</f>
        <v>2019</v>
      </c>
      <c r="AJ220" s="365" t="n">
        <f aca="false">MONTH(AF220)</f>
        <v>7</v>
      </c>
      <c r="AK220" s="368" t="n">
        <f aca="false">(1+AG220/2)^(-(DATE(AI221,AJ221,5)-TradeSum!$B$2)/182.625)</f>
        <v>0.352745741602453</v>
      </c>
    </row>
    <row r="221" customFormat="false" ht="12.75" hidden="false" customHeight="false" outlineLevel="0" collapsed="false">
      <c r="X221" s="367" t="n">
        <v>43678</v>
      </c>
      <c r="Y221" s="0" t="n">
        <v>0.0626743384141273</v>
      </c>
      <c r="Z221" s="365"/>
      <c r="AA221" s="365" t="n">
        <f aca="false">YEAR(X221)</f>
        <v>2019</v>
      </c>
      <c r="AB221" s="365" t="n">
        <f aca="false">MONTH(X221)</f>
        <v>8</v>
      </c>
      <c r="AC221" s="368" t="n">
        <f aca="false">(1+Y221/2)^(-(DATE(AA222,AB222,5)-TradeSum!$B$2)/182.625)</f>
        <v>0.332109634854912</v>
      </c>
      <c r="AD221" s="371"/>
      <c r="AF221" s="367" t="n">
        <v>43678</v>
      </c>
      <c r="AG221" s="0" t="n">
        <v>0.0595413941666614</v>
      </c>
      <c r="AI221" s="365" t="n">
        <f aca="false">YEAR(AF221)</f>
        <v>2019</v>
      </c>
      <c r="AJ221" s="365" t="n">
        <f aca="false">MONTH(AF221)</f>
        <v>8</v>
      </c>
      <c r="AK221" s="368" t="n">
        <f aca="false">(1+AG221/2)^(-(DATE(AI222,AJ222,5)-TradeSum!$B$2)/182.625)</f>
        <v>0.350642042249462</v>
      </c>
    </row>
    <row r="222" customFormat="false" ht="12.75" hidden="false" customHeight="false" outlineLevel="0" collapsed="false">
      <c r="X222" s="367" t="n">
        <v>43709</v>
      </c>
      <c r="Y222" s="0" t="n">
        <v>0.0627057467132621</v>
      </c>
      <c r="Z222" s="365"/>
      <c r="AA222" s="365" t="n">
        <f aca="false">YEAR(X222)</f>
        <v>2019</v>
      </c>
      <c r="AB222" s="365" t="n">
        <f aca="false">MONTH(X222)</f>
        <v>9</v>
      </c>
      <c r="AC222" s="368" t="n">
        <f aca="false">(1+Y222/2)^(-(DATE(AA223,AB223,5)-TradeSum!$B$2)/182.625)</f>
        <v>0.33024998717731</v>
      </c>
      <c r="AD222" s="371"/>
      <c r="AF222" s="367" t="n">
        <v>43709</v>
      </c>
      <c r="AG222" s="0" t="n">
        <v>0.0595994322378961</v>
      </c>
      <c r="AI222" s="365" t="n">
        <f aca="false">YEAR(AF222)</f>
        <v>2019</v>
      </c>
      <c r="AJ222" s="365" t="n">
        <f aca="false">MONTH(AF222)</f>
        <v>9</v>
      </c>
      <c r="AK222" s="368" t="n">
        <f aca="false">(1+AG222/2)^(-(DATE(AI223,AJ223,5)-TradeSum!$B$2)/182.625)</f>
        <v>0.34860361181139</v>
      </c>
    </row>
    <row r="223" customFormat="false" ht="12.75" hidden="false" customHeight="false" outlineLevel="0" collapsed="false">
      <c r="X223" s="367" t="n">
        <v>43739</v>
      </c>
      <c r="Y223" s="0" t="n">
        <v>0.0627361418417691</v>
      </c>
      <c r="Z223" s="365"/>
      <c r="AA223" s="365" t="n">
        <f aca="false">YEAR(X223)</f>
        <v>2019</v>
      </c>
      <c r="AB223" s="365" t="n">
        <f aca="false">MONTH(X223)</f>
        <v>10</v>
      </c>
      <c r="AC223" s="368" t="n">
        <f aca="false">(1+Y223/2)^(-(DATE(AA224,AB224,5)-TradeSum!$B$2)/182.625)</f>
        <v>0.328349391560507</v>
      </c>
      <c r="AD223" s="371"/>
      <c r="AF223" s="367" t="n">
        <v>43739</v>
      </c>
      <c r="AG223" s="0" t="n">
        <v>0.0596555981143503</v>
      </c>
      <c r="AI223" s="365" t="n">
        <f aca="false">YEAR(AF223)</f>
        <v>2019</v>
      </c>
      <c r="AJ223" s="365" t="n">
        <f aca="false">MONTH(AF223)</f>
        <v>10</v>
      </c>
      <c r="AK223" s="368" t="n">
        <f aca="false">(1+AG223/2)^(-(DATE(AI224,AJ224,5)-TradeSum!$B$2)/182.625)</f>
        <v>0.346529415728732</v>
      </c>
    </row>
    <row r="224" customFormat="false" ht="12.75" hidden="false" customHeight="false" outlineLevel="0" collapsed="false">
      <c r="X224" s="367" t="n">
        <v>43770</v>
      </c>
      <c r="Y224" s="0" t="n">
        <v>0.0627675501415479</v>
      </c>
      <c r="Z224" s="365"/>
      <c r="AA224" s="365" t="n">
        <f aca="false">YEAR(X224)</f>
        <v>2019</v>
      </c>
      <c r="AB224" s="365" t="n">
        <f aca="false">MONTH(X224)</f>
        <v>11</v>
      </c>
      <c r="AC224" s="368" t="n">
        <f aca="false">(1+Y224/2)^(-(DATE(AA225,AB225,5)-TradeSum!$B$2)/182.625)</f>
        <v>0.326507537055961</v>
      </c>
      <c r="AD224" s="371"/>
      <c r="AF224" s="367" t="n">
        <v>43770</v>
      </c>
      <c r="AG224" s="0" t="n">
        <v>0.0597136361877872</v>
      </c>
      <c r="AI224" s="365" t="n">
        <f aca="false">YEAR(AF224)</f>
        <v>2019</v>
      </c>
      <c r="AJ224" s="365" t="n">
        <f aca="false">MONTH(AF224)</f>
        <v>11</v>
      </c>
      <c r="AK224" s="368" t="n">
        <f aca="false">(1+AG224/2)^(-(DATE(AI225,AJ225,5)-TradeSum!$B$2)/182.625)</f>
        <v>0.344508532411708</v>
      </c>
    </row>
    <row r="225" customFormat="false" ht="12.75" hidden="false" customHeight="false" outlineLevel="0" collapsed="false">
      <c r="X225" s="367" t="n">
        <v>43800</v>
      </c>
      <c r="Y225" s="0" t="n">
        <v>0.062797945270678</v>
      </c>
      <c r="Z225" s="365"/>
      <c r="AA225" s="365" t="n">
        <f aca="false">YEAR(X225)</f>
        <v>2019</v>
      </c>
      <c r="AB225" s="365" t="n">
        <f aca="false">MONTH(X225)</f>
        <v>12</v>
      </c>
      <c r="AC225" s="368" t="n">
        <f aca="false">(1+Y225/2)^(-(DATE(AA226,AB226,5)-TradeSum!$B$2)/182.625)</f>
        <v>0.324625235719223</v>
      </c>
      <c r="AD225" s="371"/>
      <c r="AF225" s="367" t="n">
        <v>43800</v>
      </c>
      <c r="AG225" s="0" t="n">
        <v>0.0597698020663726</v>
      </c>
      <c r="AI225" s="365" t="n">
        <f aca="false">YEAR(AF225)</f>
        <v>2019</v>
      </c>
      <c r="AJ225" s="365" t="n">
        <f aca="false">MONTH(AF225)</f>
        <v>12</v>
      </c>
      <c r="AK225" s="368" t="n">
        <f aca="false">(1+AG225/2)^(-(DATE(AI226,AJ226,5)-TradeSum!$B$2)/182.625)</f>
        <v>0.342452378397038</v>
      </c>
    </row>
    <row r="226" customFormat="false" ht="12.75" hidden="false" customHeight="false" outlineLevel="0" collapsed="false">
      <c r="X226" s="367" t="n">
        <v>43831</v>
      </c>
      <c r="Y226" s="0" t="n">
        <v>0.0628293535711011</v>
      </c>
      <c r="Z226" s="365"/>
      <c r="AA226" s="365" t="n">
        <f aca="false">YEAR(X226)</f>
        <v>2020</v>
      </c>
      <c r="AB226" s="365" t="n">
        <f aca="false">MONTH(X226)</f>
        <v>1</v>
      </c>
      <c r="AC226" s="368" t="n">
        <f aca="false">(1+Y226/2)^(-(DATE(AA227,AB227,5)-TradeSum!$B$2)/182.625)</f>
        <v>0.322746378072028</v>
      </c>
      <c r="AD226" s="371"/>
      <c r="AF226" s="367" t="n">
        <v>43831</v>
      </c>
      <c r="AG226" s="0" t="n">
        <v>0.0598278401420123</v>
      </c>
      <c r="AI226" s="365" t="n">
        <f aca="false">YEAR(AF226)</f>
        <v>2020</v>
      </c>
      <c r="AJ226" s="365" t="n">
        <f aca="false">MONTH(AF226)</f>
        <v>1</v>
      </c>
      <c r="AK226" s="368" t="n">
        <f aca="false">(1+AG226/2)^(-(DATE(AI227,AJ227,5)-TradeSum!$B$2)/182.625)</f>
        <v>0.340394042437745</v>
      </c>
    </row>
    <row r="227" customFormat="false" ht="12.75" hidden="false" customHeight="false" outlineLevel="0" collapsed="false">
      <c r="X227" s="367" t="n">
        <v>43862</v>
      </c>
      <c r="Y227" s="0" t="n">
        <v>0.0628607618718515</v>
      </c>
      <c r="Z227" s="365"/>
      <c r="AA227" s="365" t="n">
        <f aca="false">YEAR(X227)</f>
        <v>2020</v>
      </c>
      <c r="AB227" s="365" t="n">
        <f aca="false">MONTH(X227)</f>
        <v>2</v>
      </c>
      <c r="AC227" s="368" t="n">
        <f aca="false">(1+Y227/2)^(-(DATE(AA228,AB228,5)-TradeSum!$B$2)/182.625)</f>
        <v>0.320985505106785</v>
      </c>
      <c r="AD227" s="371"/>
      <c r="AF227" s="367" t="n">
        <v>43862</v>
      </c>
      <c r="AG227" s="0" t="n">
        <v>0.0598858782187714</v>
      </c>
      <c r="AI227" s="365" t="n">
        <f aca="false">YEAR(AF227)</f>
        <v>2020</v>
      </c>
      <c r="AJ227" s="365" t="n">
        <f aca="false">MONTH(AF227)</f>
        <v>2</v>
      </c>
      <c r="AK227" s="368" t="n">
        <f aca="false">(1+AG227/2)^(-(DATE(AI228,AJ228,5)-TradeSum!$B$2)/182.625)</f>
        <v>0.338454189698246</v>
      </c>
    </row>
    <row r="228" customFormat="false" ht="12.75" hidden="false" customHeight="false" outlineLevel="0" collapsed="false">
      <c r="X228" s="367" t="n">
        <v>43891</v>
      </c>
      <c r="Y228" s="0" t="n">
        <v>0.0628901438309146</v>
      </c>
      <c r="Z228" s="365"/>
      <c r="AA228" s="365" t="n">
        <f aca="false">YEAR(X228)</f>
        <v>2020</v>
      </c>
      <c r="AB228" s="365" t="n">
        <f aca="false">MONTH(X228)</f>
        <v>3</v>
      </c>
      <c r="AC228" s="368" t="n">
        <f aca="false">(1+Y228/2)^(-(DATE(AA229,AB229,5)-TradeSum!$B$2)/182.625)</f>
        <v>0.319136036953215</v>
      </c>
      <c r="AD228" s="371"/>
      <c r="AF228" s="367" t="n">
        <v>43891</v>
      </c>
      <c r="AG228" s="0" t="n">
        <v>0.0599401719044947</v>
      </c>
      <c r="AI228" s="365" t="n">
        <f aca="false">YEAR(AF228)</f>
        <v>2020</v>
      </c>
      <c r="AJ228" s="365" t="n">
        <f aca="false">MONTH(AF228)</f>
        <v>3</v>
      </c>
      <c r="AK228" s="368" t="n">
        <f aca="false">(1+AG228/2)^(-(DATE(AI229,AJ229,5)-TradeSum!$B$2)/182.625)</f>
        <v>0.336436131579543</v>
      </c>
    </row>
    <row r="229" customFormat="false" ht="12.75" hidden="false" customHeight="false" outlineLevel="0" collapsed="false">
      <c r="X229" s="367" t="n">
        <v>43922</v>
      </c>
      <c r="Y229" s="0" t="n">
        <v>0.0629215521322983</v>
      </c>
      <c r="Z229" s="365"/>
      <c r="AA229" s="365" t="n">
        <f aca="false">YEAR(X229)</f>
        <v>2020</v>
      </c>
      <c r="AB229" s="365" t="n">
        <f aca="false">MONTH(X229)</f>
        <v>4</v>
      </c>
      <c r="AC229" s="368" t="n">
        <f aca="false">(1+Y229/2)^(-(DATE(AA230,AB230,5)-TradeSum!$B$2)/182.625)</f>
        <v>0.317337963991627</v>
      </c>
      <c r="AD229" s="371"/>
      <c r="AF229" s="367" t="n">
        <v>43922</v>
      </c>
      <c r="AG229" s="0" t="n">
        <v>0.0599982099834198</v>
      </c>
      <c r="AI229" s="365" t="n">
        <f aca="false">YEAR(AF229)</f>
        <v>2020</v>
      </c>
      <c r="AJ229" s="365" t="n">
        <f aca="false">MONTH(AF229)</f>
        <v>4</v>
      </c>
      <c r="AK229" s="368" t="n">
        <f aca="false">(1+AG229/2)^(-(DATE(AI230,AJ230,5)-TradeSum!$B$2)/182.625)</f>
        <v>0.334458723359544</v>
      </c>
    </row>
    <row r="230" customFormat="false" ht="12.75" hidden="false" customHeight="false" outlineLevel="0" collapsed="false">
      <c r="X230" s="367" t="n">
        <v>43952</v>
      </c>
      <c r="Y230" s="0" t="n">
        <v>0.0629519472629818</v>
      </c>
      <c r="Z230" s="365"/>
      <c r="AA230" s="365" t="n">
        <f aca="false">YEAR(X230)</f>
        <v>2020</v>
      </c>
      <c r="AB230" s="365" t="n">
        <f aca="false">MONTH(X230)</f>
        <v>5</v>
      </c>
      <c r="AC230" s="368" t="n">
        <f aca="false">(1+Y230/2)^(-(DATE(AA231,AB231,5)-TradeSum!$B$2)/182.625)</f>
        <v>0.315500670156507</v>
      </c>
      <c r="AD230" s="371"/>
      <c r="AF230" s="367" t="n">
        <v>43952</v>
      </c>
      <c r="AG230" s="0" t="n">
        <v>0.0600543758673164</v>
      </c>
      <c r="AI230" s="365" t="n">
        <f aca="false">YEAR(AF230)</f>
        <v>2020</v>
      </c>
      <c r="AJ230" s="365" t="n">
        <f aca="false">MONTH(AF230)</f>
        <v>5</v>
      </c>
      <c r="AK230" s="368" t="n">
        <f aca="false">(1+AG230/2)^(-(DATE(AI231,AJ231,5)-TradeSum!$B$2)/182.625)</f>
        <v>0.33244725524081</v>
      </c>
    </row>
    <row r="231" customFormat="false" ht="12.75" hidden="false" customHeight="false" outlineLevel="0" collapsed="false">
      <c r="X231" s="367" t="n">
        <v>43983</v>
      </c>
      <c r="Y231" s="0" t="n">
        <v>0.0629833555650099</v>
      </c>
      <c r="Z231" s="365"/>
      <c r="AA231" s="365" t="n">
        <f aca="false">YEAR(X231)</f>
        <v>2020</v>
      </c>
      <c r="AB231" s="365" t="n">
        <f aca="false">MONTH(X231)</f>
        <v>6</v>
      </c>
      <c r="AC231" s="368" t="n">
        <f aca="false">(1+Y231/2)^(-(DATE(AA232,AB232,5)-TradeSum!$B$2)/182.625)</f>
        <v>0.31371994549562</v>
      </c>
      <c r="AD231" s="371"/>
      <c r="AF231" s="367" t="n">
        <v>43983</v>
      </c>
      <c r="AG231" s="0" t="n">
        <v>0.0601124139484441</v>
      </c>
      <c r="AI231" s="365" t="n">
        <f aca="false">YEAR(AF231)</f>
        <v>2020</v>
      </c>
      <c r="AJ231" s="365" t="n">
        <f aca="false">MONTH(AF231)</f>
        <v>6</v>
      </c>
      <c r="AK231" s="368" t="n">
        <f aca="false">(1+AG231/2)^(-(DATE(AI232,AJ232,5)-TradeSum!$B$2)/182.625)</f>
        <v>0.330487191064606</v>
      </c>
    </row>
    <row r="232" customFormat="false" ht="12.75" hidden="false" customHeight="false" outlineLevel="0" collapsed="false">
      <c r="X232" s="367" t="n">
        <v>44013</v>
      </c>
      <c r="Y232" s="0" t="n">
        <v>0.063013750696316</v>
      </c>
      <c r="Z232" s="365"/>
      <c r="AA232" s="365" t="n">
        <f aca="false">YEAR(X232)</f>
        <v>2020</v>
      </c>
      <c r="AB232" s="365" t="n">
        <f aca="false">MONTH(X232)</f>
        <v>7</v>
      </c>
      <c r="AC232" s="368" t="n">
        <f aca="false">(1+Y232/2)^(-(DATE(AA233,AB233,5)-TradeSum!$B$2)/182.625)</f>
        <v>0.311900482957775</v>
      </c>
      <c r="AD232" s="371"/>
      <c r="AF232" s="367" t="n">
        <v>44013</v>
      </c>
      <c r="AG232" s="0" t="n">
        <v>0.060168579834472</v>
      </c>
      <c r="AI232" s="365" t="n">
        <f aca="false">YEAR(AF232)</f>
        <v>2020</v>
      </c>
      <c r="AJ232" s="365" t="n">
        <f aca="false">MONTH(AF232)</f>
        <v>7</v>
      </c>
      <c r="AK232" s="368" t="n">
        <f aca="false">(1+AG232/2)^(-(DATE(AI233,AJ233,5)-TradeSum!$B$2)/182.625)</f>
        <v>0.328493543940558</v>
      </c>
    </row>
    <row r="233" customFormat="false" ht="12.75" hidden="false" customHeight="false" outlineLevel="0" collapsed="false">
      <c r="X233" s="367" t="n">
        <v>44044</v>
      </c>
      <c r="Y233" s="0" t="n">
        <v>0.063045158998988</v>
      </c>
      <c r="Z233" s="365"/>
      <c r="AA233" s="365" t="n">
        <f aca="false">YEAR(X233)</f>
        <v>2020</v>
      </c>
      <c r="AB233" s="365" t="n">
        <f aca="false">MONTH(X233)</f>
        <v>8</v>
      </c>
      <c r="AC233" s="368" t="n">
        <f aca="false">(1+Y233/2)^(-(DATE(AA234,AB234,5)-TradeSum!$B$2)/182.625)</f>
        <v>0.310084278779921</v>
      </c>
      <c r="AD233" s="371"/>
      <c r="AF233" s="367" t="n">
        <v>44044</v>
      </c>
      <c r="AG233" s="0" t="n">
        <v>0.0602266179178019</v>
      </c>
      <c r="AI233" s="365" t="n">
        <f aca="false">YEAR(AF233)</f>
        <v>2020</v>
      </c>
      <c r="AJ233" s="365" t="n">
        <f aca="false">MONTH(AF233)</f>
        <v>8</v>
      </c>
      <c r="AK233" s="368" t="n">
        <f aca="false">(1+AG233/2)^(-(DATE(AI234,AJ234,5)-TradeSum!$B$2)/182.625)</f>
        <v>0.326497716527503</v>
      </c>
    </row>
    <row r="234" customFormat="false" ht="12.75" hidden="false" customHeight="false" outlineLevel="0" collapsed="false">
      <c r="X234" s="367" t="n">
        <v>44075</v>
      </c>
      <c r="Y234" s="0" t="n">
        <v>0.0630765673019877</v>
      </c>
      <c r="Z234" s="365"/>
      <c r="AA234" s="365" t="n">
        <f aca="false">YEAR(X234)</f>
        <v>2020</v>
      </c>
      <c r="AB234" s="365" t="n">
        <f aca="false">MONTH(X234)</f>
        <v>9</v>
      </c>
      <c r="AC234" s="368" t="n">
        <f aca="false">(1+Y234/2)^(-(DATE(AA235,AB235,5)-TradeSum!$B$2)/182.625)</f>
        <v>0.308329479610715</v>
      </c>
      <c r="AD234" s="371"/>
      <c r="AF234" s="367" t="n">
        <v>44075</v>
      </c>
      <c r="AG234" s="0" t="n">
        <v>0.0602846560022505</v>
      </c>
      <c r="AI234" s="365" t="n">
        <f aca="false">YEAR(AF234)</f>
        <v>2020</v>
      </c>
      <c r="AJ234" s="365" t="n">
        <f aca="false">MONTH(AF234)</f>
        <v>9</v>
      </c>
      <c r="AK234" s="368" t="n">
        <f aca="false">(1+AG234/2)^(-(DATE(AI235,AJ235,5)-TradeSum!$B$2)/182.625)</f>
        <v>0.324563694889195</v>
      </c>
    </row>
    <row r="235" customFormat="false" ht="12.75" hidden="false" customHeight="false" outlineLevel="0" collapsed="false">
      <c r="X235" s="367" t="n">
        <v>44105</v>
      </c>
      <c r="Y235" s="0" t="n">
        <v>0.063106962434234</v>
      </c>
      <c r="Z235" s="365"/>
      <c r="AA235" s="365" t="n">
        <f aca="false">YEAR(X235)</f>
        <v>2020</v>
      </c>
      <c r="AB235" s="365" t="n">
        <f aca="false">MONTH(X235)</f>
        <v>10</v>
      </c>
      <c r="AC235" s="368" t="n">
        <f aca="false">(1+Y235/2)^(-(DATE(AA236,AB236,5)-TradeSum!$B$2)/182.625)</f>
        <v>0.306536661400542</v>
      </c>
      <c r="AD235" s="371"/>
      <c r="AF235" s="367" t="n">
        <v>44105</v>
      </c>
      <c r="AG235" s="0" t="n">
        <v>0.0603408218914918</v>
      </c>
      <c r="AI235" s="365" t="n">
        <f aca="false">YEAR(AF235)</f>
        <v>2020</v>
      </c>
      <c r="AJ235" s="365" t="n">
        <f aca="false">MONTH(AF235)</f>
        <v>10</v>
      </c>
      <c r="AK235" s="368" t="n">
        <f aca="false">(1+AG235/2)^(-(DATE(AI236,AJ236,5)-TradeSum!$B$2)/182.625)</f>
        <v>0.32259680001863</v>
      </c>
    </row>
    <row r="236" customFormat="false" ht="12.75" hidden="false" customHeight="false" outlineLevel="0" collapsed="false">
      <c r="X236" s="367" t="n">
        <v>44136</v>
      </c>
      <c r="Y236" s="0" t="n">
        <v>0.0631383707378776</v>
      </c>
      <c r="Z236" s="365"/>
      <c r="AA236" s="365" t="n">
        <f aca="false">YEAR(X236)</f>
        <v>2020</v>
      </c>
      <c r="AB236" s="365" t="n">
        <f aca="false">MONTH(X236)</f>
        <v>11</v>
      </c>
      <c r="AC236" s="368" t="n">
        <f aca="false">(1+Y236/2)^(-(DATE(AA237,AB237,5)-TradeSum!$B$2)/182.625)</f>
        <v>0.304798893986997</v>
      </c>
      <c r="AD236" s="371"/>
      <c r="AF236" s="367" t="n">
        <v>44136</v>
      </c>
      <c r="AG236" s="0" t="n">
        <v>0.0603988599781431</v>
      </c>
      <c r="AI236" s="365" t="n">
        <f aca="false">YEAR(AF236)</f>
        <v>2020</v>
      </c>
      <c r="AJ236" s="365" t="n">
        <f aca="false">MONTH(AF236)</f>
        <v>11</v>
      </c>
      <c r="AK236" s="368" t="n">
        <f aca="false">(1+AG236/2)^(-(DATE(AI237,AJ237,5)-TradeSum!$B$2)/182.625)</f>
        <v>0.320679967248834</v>
      </c>
    </row>
    <row r="237" customFormat="false" ht="12.75" hidden="false" customHeight="false" outlineLevel="0" collapsed="false">
      <c r="X237" s="367" t="n">
        <v>44166</v>
      </c>
      <c r="Y237" s="0" t="n">
        <v>0.0631687658707474</v>
      </c>
      <c r="Z237" s="365"/>
      <c r="AA237" s="365" t="n">
        <f aca="false">YEAR(X237)</f>
        <v>2020</v>
      </c>
      <c r="AB237" s="365" t="n">
        <f aca="false">MONTH(X237)</f>
        <v>12</v>
      </c>
      <c r="AC237" s="368" t="n">
        <f aca="false">(1+Y237/2)^(-(DATE(AA238,AB238,5)-TradeSum!$B$2)/182.625)</f>
        <v>0.303023577836103</v>
      </c>
      <c r="AD237" s="371"/>
      <c r="AF237" s="367" t="n">
        <v>44166</v>
      </c>
      <c r="AG237" s="0" t="n">
        <v>0.0604550258695156</v>
      </c>
      <c r="AI237" s="365" t="n">
        <f aca="false">YEAR(AF237)</f>
        <v>2020</v>
      </c>
      <c r="AJ237" s="365" t="n">
        <f aca="false">MONTH(AF237)</f>
        <v>12</v>
      </c>
      <c r="AK237" s="368" t="n">
        <f aca="false">(1+AG237/2)^(-(DATE(AI238,AJ238,5)-TradeSum!$B$2)/182.625)</f>
        <v>0.318730725482307</v>
      </c>
    </row>
    <row r="238" customFormat="false" ht="12.75" hidden="false" customHeight="false" outlineLevel="0" collapsed="false">
      <c r="X238" s="367" t="n">
        <v>44197</v>
      </c>
      <c r="Y238" s="0" t="n">
        <v>0.0632001741750345</v>
      </c>
      <c r="Z238" s="365"/>
      <c r="AA238" s="365" t="n">
        <f aca="false">YEAR(X238)</f>
        <v>2021</v>
      </c>
      <c r="AB238" s="365" t="n">
        <f aca="false">MONTH(X238)</f>
        <v>1</v>
      </c>
      <c r="AC238" s="368" t="n">
        <f aca="false">(1+Y238/2)^(-(DATE(AA239,AB239,5)-TradeSum!$B$2)/182.625)</f>
        <v>0.301251392650339</v>
      </c>
      <c r="AD238" s="371"/>
      <c r="AF238" s="367" t="n">
        <v>44197</v>
      </c>
      <c r="AG238" s="0" t="n">
        <v>0.0605130639583682</v>
      </c>
      <c r="AI238" s="365" t="n">
        <f aca="false">YEAR(AF238)</f>
        <v>2021</v>
      </c>
      <c r="AJ238" s="365" t="n">
        <f aca="false">MONTH(AF238)</f>
        <v>1</v>
      </c>
      <c r="AK238" s="368" t="n">
        <f aca="false">(1+AG238/2)^(-(DATE(AI239,AJ239,5)-TradeSum!$B$2)/182.625)</f>
        <v>0.316779309087994</v>
      </c>
    </row>
    <row r="239" customFormat="false" ht="12.75" hidden="false" customHeight="false" outlineLevel="0" collapsed="false">
      <c r="X239" s="367" t="n">
        <v>44228</v>
      </c>
      <c r="Y239" s="0" t="n">
        <v>0.063231582479649</v>
      </c>
      <c r="Z239" s="365"/>
      <c r="AA239" s="365" t="n">
        <f aca="false">YEAR(X239)</f>
        <v>2021</v>
      </c>
      <c r="AB239" s="365" t="n">
        <f aca="false">MONTH(X239)</f>
        <v>2</v>
      </c>
      <c r="AC239" s="368" t="n">
        <f aca="false">(1+Y239/2)^(-(DATE(AA240,AB240,5)-TradeSum!$B$2)/182.625)</f>
        <v>0.299641198566738</v>
      </c>
      <c r="AD239" s="371"/>
      <c r="AF239" s="367" t="n">
        <v>44228</v>
      </c>
      <c r="AG239" s="0" t="n">
        <v>0.0605711020483395</v>
      </c>
      <c r="AI239" s="365" t="n">
        <f aca="false">YEAR(AF239)</f>
        <v>2021</v>
      </c>
      <c r="AJ239" s="365" t="n">
        <f aca="false">MONTH(AF239)</f>
        <v>2</v>
      </c>
      <c r="AK239" s="368" t="n">
        <f aca="false">(1+AG239/2)^(-(DATE(AI240,AJ240,5)-TradeSum!$B$2)/182.625)</f>
        <v>0.314991184521183</v>
      </c>
    </row>
    <row r="240" customFormat="false" ht="12.75" hidden="false" customHeight="false" outlineLevel="0" collapsed="false">
      <c r="X240" s="367" t="n">
        <v>44256</v>
      </c>
      <c r="Y240" s="0" t="n">
        <v>0.0632599512711951</v>
      </c>
      <c r="Z240" s="365"/>
      <c r="AA240" s="365" t="n">
        <f aca="false">YEAR(X240)</f>
        <v>2021</v>
      </c>
      <c r="AB240" s="365" t="n">
        <f aca="false">MONTH(X240)</f>
        <v>3</v>
      </c>
      <c r="AC240" s="368" t="n">
        <f aca="false">(1+Y240/2)^(-(DATE(AA241,AB241,5)-TradeSum!$B$2)/182.625)</f>
        <v>0.297902861515206</v>
      </c>
      <c r="AD240" s="371"/>
      <c r="AF240" s="367" t="n">
        <v>44256</v>
      </c>
      <c r="AG240" s="0" t="n">
        <v>0.0606235235499208</v>
      </c>
      <c r="AI240" s="365" t="n">
        <f aca="false">YEAR(AF240)</f>
        <v>2021</v>
      </c>
      <c r="AJ240" s="365" t="n">
        <f aca="false">MONTH(AF240)</f>
        <v>3</v>
      </c>
      <c r="AK240" s="368" t="n">
        <f aca="false">(1+AG240/2)^(-(DATE(AI241,AJ241,5)-TradeSum!$B$2)/182.625)</f>
        <v>0.31309002506749</v>
      </c>
    </row>
    <row r="241" customFormat="false" ht="12.75" hidden="false" customHeight="false" outlineLevel="0" collapsed="false">
      <c r="X241" s="367" t="n">
        <v>44287</v>
      </c>
      <c r="Y241" s="0" t="n">
        <v>0.0632913595764326</v>
      </c>
      <c r="Z241" s="365"/>
      <c r="AA241" s="365" t="n">
        <f aca="false">YEAR(X241)</f>
        <v>2021</v>
      </c>
      <c r="AB241" s="365" t="n">
        <f aca="false">MONTH(X241)</f>
        <v>4</v>
      </c>
      <c r="AC241" s="368" t="n">
        <f aca="false">(1+Y241/2)^(-(DATE(AA242,AB242,5)-TradeSum!$B$2)/182.625)</f>
        <v>0.296206715816318</v>
      </c>
      <c r="AD241" s="371"/>
      <c r="AF241" s="367" t="n">
        <v>44287</v>
      </c>
      <c r="AG241" s="0" t="n">
        <v>0.0606815616420215</v>
      </c>
      <c r="AI241" s="365" t="n">
        <f aca="false">YEAR(AF241)</f>
        <v>2021</v>
      </c>
      <c r="AJ241" s="365" t="n">
        <f aca="false">MONTH(AF241)</f>
        <v>4</v>
      </c>
      <c r="AK241" s="368" t="n">
        <f aca="false">(1+AG241/2)^(-(DATE(AI242,AJ242,5)-TradeSum!$B$2)/182.625)</f>
        <v>0.311215464345208</v>
      </c>
    </row>
    <row r="242" customFormat="false" ht="12.75" hidden="false" customHeight="false" outlineLevel="0" collapsed="false">
      <c r="X242" s="367" t="n">
        <v>44317</v>
      </c>
      <c r="Y242" s="0" t="n">
        <v>0.0633217547108451</v>
      </c>
      <c r="Z242" s="365"/>
      <c r="AA242" s="365" t="n">
        <f aca="false">YEAR(X242)</f>
        <v>2021</v>
      </c>
      <c r="AB242" s="365" t="n">
        <f aca="false">MONTH(X242)</f>
        <v>5</v>
      </c>
      <c r="AC242" s="368" t="n">
        <f aca="false">(1+Y242/2)^(-(DATE(AA243,AB243,5)-TradeSum!$B$2)/182.625)</f>
        <v>0.294474164206907</v>
      </c>
      <c r="AD242" s="371"/>
      <c r="AF242" s="367" t="n">
        <v>44317</v>
      </c>
      <c r="AG242" s="0" t="n">
        <v>0.0607377275386689</v>
      </c>
      <c r="AI242" s="365" t="n">
        <f aca="false">YEAR(AF242)</f>
        <v>2021</v>
      </c>
      <c r="AJ242" s="365" t="n">
        <f aca="false">MONTH(AF242)</f>
        <v>5</v>
      </c>
      <c r="AK242" s="368" t="n">
        <f aca="false">(1+AG242/2)^(-(DATE(AI243,AJ243,5)-TradeSum!$B$2)/182.625)</f>
        <v>0.309309622270994</v>
      </c>
    </row>
    <row r="243" customFormat="false" ht="12.75" hidden="false" customHeight="false" outlineLevel="0" collapsed="false">
      <c r="X243" s="367" t="n">
        <v>44348</v>
      </c>
      <c r="Y243" s="0" t="n">
        <v>0.0633531630167266</v>
      </c>
      <c r="Z243" s="365"/>
      <c r="AA243" s="365" t="n">
        <f aca="false">YEAR(X243)</f>
        <v>2021</v>
      </c>
      <c r="AB243" s="365" t="n">
        <f aca="false">MONTH(X243)</f>
        <v>6</v>
      </c>
      <c r="AC243" s="368" t="n">
        <f aca="false">(1+Y243/2)^(-(DATE(AA244,AB244,5)-TradeSum!$B$2)/182.625)</f>
        <v>0.292794615994912</v>
      </c>
      <c r="AD243" s="371"/>
      <c r="AF243" s="367" t="n">
        <v>44348</v>
      </c>
      <c r="AG243" s="0" t="n">
        <v>0.0607957656329714</v>
      </c>
      <c r="AI243" s="365" t="n">
        <f aca="false">YEAR(AF243)</f>
        <v>2021</v>
      </c>
      <c r="AJ243" s="365" t="n">
        <f aca="false">MONTH(AF243)</f>
        <v>6</v>
      </c>
      <c r="AK243" s="368" t="n">
        <f aca="false">(1+AG243/2)^(-(DATE(AI244,AJ244,5)-TradeSum!$B$2)/182.625)</f>
        <v>0.307452023332887</v>
      </c>
    </row>
    <row r="244" customFormat="false" ht="12.75" hidden="false" customHeight="false" outlineLevel="0" collapsed="false">
      <c r="X244" s="367" t="n">
        <v>44378</v>
      </c>
      <c r="Y244" s="0" t="n">
        <v>0.0633835581517621</v>
      </c>
      <c r="Z244" s="365"/>
      <c r="AA244" s="365" t="n">
        <f aca="false">YEAR(X244)</f>
        <v>2021</v>
      </c>
      <c r="AB244" s="365" t="n">
        <f aca="false">MONTH(X244)</f>
        <v>7</v>
      </c>
      <c r="AC244" s="368" t="n">
        <f aca="false">(1+Y244/2)^(-(DATE(AA245,AB245,5)-TradeSum!$B$2)/182.625)</f>
        <v>0.291079115018965</v>
      </c>
      <c r="AD244" s="371"/>
      <c r="AF244" s="367" t="n">
        <v>44378</v>
      </c>
      <c r="AG244" s="0" t="n">
        <v>0.0608519315317486</v>
      </c>
      <c r="AI244" s="365" t="n">
        <f aca="false">YEAR(AF244)</f>
        <v>2021</v>
      </c>
      <c r="AJ244" s="365" t="n">
        <f aca="false">MONTH(AF244)</f>
        <v>7</v>
      </c>
      <c r="AK244" s="368" t="n">
        <f aca="false">(1+AG244/2)^(-(DATE(AI245,AJ245,5)-TradeSum!$B$2)/182.625)</f>
        <v>0.3055635899605</v>
      </c>
    </row>
    <row r="245" customFormat="false" ht="12.75" hidden="false" customHeight="false" outlineLevel="0" collapsed="false">
      <c r="X245" s="367" t="n">
        <v>44409</v>
      </c>
      <c r="Y245" s="0" t="n">
        <v>0.063414966458287</v>
      </c>
      <c r="Z245" s="365"/>
      <c r="AA245" s="365" t="n">
        <f aca="false">YEAR(X245)</f>
        <v>2021</v>
      </c>
      <c r="AB245" s="365" t="n">
        <f aca="false">MONTH(X245)</f>
        <v>8</v>
      </c>
      <c r="AC245" s="368" t="n">
        <f aca="false">(1+Y245/2)^(-(DATE(AA246,AB246,5)-TradeSum!$B$2)/182.625)</f>
        <v>0.289366576088318</v>
      </c>
      <c r="AD245" s="371"/>
      <c r="AF245" s="367" t="n">
        <v>44409</v>
      </c>
      <c r="AG245" s="0" t="n">
        <v>0.0609099696282529</v>
      </c>
      <c r="AI245" s="365" t="n">
        <f aca="false">YEAR(AF245)</f>
        <v>2021</v>
      </c>
      <c r="AJ245" s="365" t="n">
        <f aca="false">MONTH(AF245)</f>
        <v>8</v>
      </c>
      <c r="AK245" s="368" t="n">
        <f aca="false">(1+AG245/2)^(-(DATE(AI246,AJ246,5)-TradeSum!$B$2)/182.625)</f>
        <v>0.303672995485944</v>
      </c>
    </row>
    <row r="246" customFormat="false" ht="12.75" hidden="false" customHeight="false" outlineLevel="0" collapsed="false">
      <c r="X246" s="367" t="n">
        <v>44440</v>
      </c>
      <c r="Y246" s="0" t="n">
        <v>0.0634463747651397</v>
      </c>
      <c r="Z246" s="365"/>
      <c r="AA246" s="365" t="n">
        <f aca="false">YEAR(X246)</f>
        <v>2021</v>
      </c>
      <c r="AB246" s="365" t="n">
        <f aca="false">MONTH(X246)</f>
        <v>9</v>
      </c>
      <c r="AC246" s="368" t="n">
        <f aca="false">(1+Y246/2)^(-(DATE(AA247,AB247,5)-TradeSum!$B$2)/182.625)</f>
        <v>0.287711825768966</v>
      </c>
      <c r="AD246" s="371"/>
      <c r="AF246" s="367" t="n">
        <v>44440</v>
      </c>
      <c r="AG246" s="0" t="n">
        <v>0.0609680077258754</v>
      </c>
      <c r="AI246" s="365" t="n">
        <f aca="false">YEAR(AF246)</f>
        <v>2021</v>
      </c>
      <c r="AJ246" s="365" t="n">
        <f aca="false">MONTH(AF246)</f>
        <v>9</v>
      </c>
      <c r="AK246" s="368" t="n">
        <f aca="false">(1+AG246/2)^(-(DATE(AI247,AJ247,5)-TradeSum!$B$2)/182.625)</f>
        <v>0.301840849647625</v>
      </c>
    </row>
    <row r="247" customFormat="false" ht="12.75" hidden="false" customHeight="false" outlineLevel="0" collapsed="false">
      <c r="X247" s="367" t="n">
        <v>44470</v>
      </c>
      <c r="Y247" s="0" t="n">
        <v>0.063476769901115</v>
      </c>
      <c r="Z247" s="365"/>
      <c r="AA247" s="365" t="n">
        <f aca="false">YEAR(X247)</f>
        <v>2021</v>
      </c>
      <c r="AB247" s="365" t="n">
        <f aca="false">MONTH(X247)</f>
        <v>10</v>
      </c>
      <c r="AC247" s="368" t="n">
        <f aca="false">(1+Y247/2)^(-(DATE(AA248,AB248,5)-TradeSum!$B$2)/182.625)</f>
        <v>0.286021796968873</v>
      </c>
      <c r="AD247" s="371"/>
      <c r="AF247" s="367" t="n">
        <v>44470</v>
      </c>
      <c r="AG247" s="0" t="n">
        <v>0.0610241736278656</v>
      </c>
      <c r="AI247" s="365" t="n">
        <f aca="false">YEAR(AF247)</f>
        <v>2021</v>
      </c>
      <c r="AJ247" s="365" t="n">
        <f aca="false">MONTH(AF247)</f>
        <v>10</v>
      </c>
      <c r="AK247" s="368" t="n">
        <f aca="false">(1+AG247/2)^(-(DATE(AI248,AJ248,5)-TradeSum!$B$2)/182.625)</f>
        <v>0.299978534124234</v>
      </c>
    </row>
    <row r="248" customFormat="false" ht="12.75" hidden="false" customHeight="false" outlineLevel="0" collapsed="false">
      <c r="X248" s="367" t="n">
        <v>44501</v>
      </c>
      <c r="Y248" s="0" t="n">
        <v>0.0635003612328306</v>
      </c>
      <c r="Z248" s="365"/>
      <c r="AA248" s="365" t="n">
        <f aca="false">YEAR(X248)</f>
        <v>2021</v>
      </c>
      <c r="AB248" s="365" t="n">
        <f aca="false">MONTH(X248)</f>
        <v>11</v>
      </c>
      <c r="AC248" s="368" t="n">
        <f aca="false">(1+Y248/2)^(-(DATE(AA249,AB249,5)-TradeSum!$B$2)/182.625)</f>
        <v>0.284426671217485</v>
      </c>
      <c r="AD248" s="371"/>
      <c r="AF248" s="367" t="n">
        <v>44501</v>
      </c>
      <c r="AG248" s="0" t="n">
        <v>0.0610714460795583</v>
      </c>
      <c r="AI248" s="365" t="n">
        <f aca="false">YEAR(AF248)</f>
        <v>2021</v>
      </c>
      <c r="AJ248" s="365" t="n">
        <f aca="false">MONTH(AF248)</f>
        <v>11</v>
      </c>
      <c r="AK248" s="368" t="n">
        <f aca="false">(1+AG248/2)^(-(DATE(AI249,AJ249,5)-TradeSum!$B$2)/182.625)</f>
        <v>0.298225830176023</v>
      </c>
    </row>
    <row r="249" customFormat="false" ht="12.75" hidden="false" customHeight="false" outlineLevel="0" collapsed="false">
      <c r="X249" s="367" t="n">
        <v>44531</v>
      </c>
      <c r="Y249" s="0" t="n">
        <v>0.0634972550444681</v>
      </c>
      <c r="Z249" s="365"/>
      <c r="AA249" s="365" t="n">
        <f aca="false">YEAR(X249)</f>
        <v>2021</v>
      </c>
      <c r="AB249" s="365" t="n">
        <f aca="false">MONTH(X249)</f>
        <v>12</v>
      </c>
      <c r="AC249" s="368" t="n">
        <f aca="false">(1+Y249/2)^(-(DATE(AA250,AB250,5)-TradeSum!$B$2)/182.625)</f>
        <v>0.282938788581179</v>
      </c>
      <c r="AD249" s="371"/>
      <c r="AF249" s="367" t="n">
        <v>44531</v>
      </c>
      <c r="AG249" s="0" t="n">
        <v>0.0610737837423931</v>
      </c>
      <c r="AI249" s="365" t="n">
        <f aca="false">YEAR(AF249)</f>
        <v>2021</v>
      </c>
      <c r="AJ249" s="365" t="n">
        <f aca="false">MONTH(AF249)</f>
        <v>12</v>
      </c>
      <c r="AK249" s="368" t="n">
        <f aca="false">(1+AG249/2)^(-(DATE(AI250,AJ250,5)-TradeSum!$B$2)/182.625)</f>
        <v>0.296693443100691</v>
      </c>
    </row>
    <row r="250" customFormat="false" ht="12.75" hidden="false" customHeight="false" outlineLevel="0" collapsed="false">
      <c r="X250" s="367" t="n">
        <v>44562</v>
      </c>
      <c r="Y250" s="0" t="n">
        <v>0.0634940453164963</v>
      </c>
      <c r="Z250" s="365"/>
      <c r="AA250" s="365" t="n">
        <f aca="false">YEAR(X250)</f>
        <v>2022</v>
      </c>
      <c r="AB250" s="365" t="n">
        <f aca="false">MONTH(X250)</f>
        <v>1</v>
      </c>
      <c r="AC250" s="368" t="n">
        <f aca="false">(1+Y250/2)^(-(DATE(AA251,AB251,5)-TradeSum!$B$2)/182.625)</f>
        <v>0.281459406040267</v>
      </c>
      <c r="AD250" s="371"/>
      <c r="AF250" s="367" t="n">
        <v>44562</v>
      </c>
      <c r="AG250" s="0" t="n">
        <v>0.0610761993273248</v>
      </c>
      <c r="AI250" s="365" t="n">
        <f aca="false">YEAR(AF250)</f>
        <v>2022</v>
      </c>
      <c r="AJ250" s="365" t="n">
        <f aca="false">MONTH(AF250)</f>
        <v>1</v>
      </c>
      <c r="AK250" s="368" t="n">
        <f aca="false">(1+AG250/2)^(-(DATE(AI251,AJ251,5)-TradeSum!$B$2)/182.625)</f>
        <v>0.29516836365245</v>
      </c>
    </row>
    <row r="251" customFormat="false" ht="12.75" hidden="false" customHeight="false" outlineLevel="0" collapsed="false">
      <c r="X251" s="367" t="n">
        <v>44593</v>
      </c>
      <c r="Y251" s="0" t="n">
        <v>0.063490835588528</v>
      </c>
      <c r="Z251" s="365"/>
      <c r="AA251" s="365" t="n">
        <f aca="false">YEAR(X251)</f>
        <v>2022</v>
      </c>
      <c r="AB251" s="365" t="n">
        <f aca="false">MONTH(X251)</f>
        <v>2</v>
      </c>
      <c r="AC251" s="368" t="n">
        <f aca="false">(1+Y251/2)^(-(DATE(AA252,AB252,5)-TradeSum!$B$2)/182.625)</f>
        <v>0.280131683349872</v>
      </c>
      <c r="AD251" s="371"/>
      <c r="AF251" s="367" t="n">
        <v>44593</v>
      </c>
      <c r="AG251" s="0" t="n">
        <v>0.0610786149122582</v>
      </c>
      <c r="AI251" s="365" t="n">
        <f aca="false">YEAR(AF251)</f>
        <v>2022</v>
      </c>
      <c r="AJ251" s="365" t="n">
        <f aca="false">MONTH(AF251)</f>
        <v>2</v>
      </c>
      <c r="AK251" s="368" t="n">
        <f aca="false">(1+AG251/2)^(-(DATE(AI252,AJ252,5)-TradeSum!$B$2)/182.625)</f>
        <v>0.293796154442252</v>
      </c>
    </row>
    <row r="252" customFormat="false" ht="12.75" hidden="false" customHeight="false" outlineLevel="0" collapsed="false">
      <c r="X252" s="367" t="n">
        <v>44621</v>
      </c>
      <c r="Y252" s="0" t="n">
        <v>0.0634879364793983</v>
      </c>
      <c r="Z252" s="365"/>
      <c r="AA252" s="365" t="n">
        <f aca="false">YEAR(X252)</f>
        <v>2022</v>
      </c>
      <c r="AB252" s="365" t="n">
        <f aca="false">MONTH(X252)</f>
        <v>3</v>
      </c>
      <c r="AC252" s="368" t="n">
        <f aca="false">(1+Y252/2)^(-(DATE(AA253,AB253,5)-TradeSum!$B$2)/182.625)</f>
        <v>0.278665550248354</v>
      </c>
      <c r="AD252" s="371"/>
      <c r="AF252" s="367" t="n">
        <v>44621</v>
      </c>
      <c r="AG252" s="0" t="n">
        <v>0.0610807967309093</v>
      </c>
      <c r="AI252" s="365" t="n">
        <f aca="false">YEAR(AF252)</f>
        <v>2022</v>
      </c>
      <c r="AJ252" s="365" t="n">
        <f aca="false">MONTH(AF252)</f>
        <v>3</v>
      </c>
      <c r="AK252" s="368" t="n">
        <f aca="false">(1+AG252/2)^(-(DATE(AI253,AJ253,5)-TradeSum!$B$2)/182.625)</f>
        <v>0.292287096301528</v>
      </c>
    </row>
    <row r="253" customFormat="false" ht="12.75" hidden="false" customHeight="false" outlineLevel="0" collapsed="false">
      <c r="X253" s="367" t="n">
        <v>44652</v>
      </c>
      <c r="Y253" s="0" t="n">
        <v>0.0634847267514371</v>
      </c>
      <c r="Z253" s="365"/>
      <c r="AA253" s="365" t="n">
        <f aca="false">YEAR(X253)</f>
        <v>2022</v>
      </c>
      <c r="AB253" s="365" t="n">
        <f aca="false">MONTH(X253)</f>
        <v>4</v>
      </c>
      <c r="AC253" s="368" t="n">
        <f aca="false">(1+Y253/2)^(-(DATE(AA254,AB254,5)-TradeSum!$B$2)/182.625)</f>
        <v>0.27725637328561</v>
      </c>
      <c r="AD253" s="371"/>
      <c r="AF253" s="367" t="n">
        <v>44652</v>
      </c>
      <c r="AG253" s="0" t="n">
        <v>0.0610832123158462</v>
      </c>
      <c r="AI253" s="365" t="n">
        <f aca="false">YEAR(AF253)</f>
        <v>2022</v>
      </c>
      <c r="AJ253" s="365" t="n">
        <f aca="false">MONTH(AF253)</f>
        <v>4</v>
      </c>
      <c r="AK253" s="368" t="n">
        <f aca="false">(1+AG253/2)^(-(DATE(AI254,AJ254,5)-TradeSum!$B$2)/182.625)</f>
        <v>0.290832236667833</v>
      </c>
    </row>
    <row r="254" customFormat="false" ht="12.75" hidden="false" customHeight="false" outlineLevel="0" collapsed="false">
      <c r="X254" s="367" t="n">
        <v>44682</v>
      </c>
      <c r="Y254" s="0" t="n">
        <v>0.0634816205630902</v>
      </c>
      <c r="Z254" s="365"/>
      <c r="AA254" s="365" t="n">
        <f aca="false">YEAR(X254)</f>
        <v>2022</v>
      </c>
      <c r="AB254" s="365" t="n">
        <f aca="false">MONTH(X254)</f>
        <v>5</v>
      </c>
      <c r="AC254" s="368" t="n">
        <f aca="false">(1+Y254/2)^(-(DATE(AA255,AB255,5)-TradeSum!$B$2)/182.625)</f>
        <v>0.275806697782522</v>
      </c>
      <c r="AD254" s="371"/>
      <c r="AF254" s="367" t="n">
        <v>44682</v>
      </c>
      <c r="AG254" s="0" t="n">
        <v>0.0610855499786909</v>
      </c>
      <c r="AI254" s="365" t="n">
        <f aca="false">YEAR(AF254)</f>
        <v>2022</v>
      </c>
      <c r="AJ254" s="365" t="n">
        <f aca="false">MONTH(AF254)</f>
        <v>5</v>
      </c>
      <c r="AK254" s="368" t="n">
        <f aca="false">(1+AG254/2)^(-(DATE(AI255,AJ255,5)-TradeSum!$B$2)/182.625)</f>
        <v>0.289337288781406</v>
      </c>
    </row>
    <row r="255" customFormat="false" ht="12.75" hidden="false" customHeight="false" outlineLevel="0" collapsed="false">
      <c r="X255" s="367" t="n">
        <v>44713</v>
      </c>
      <c r="Y255" s="0" t="n">
        <v>0.0634784108351352</v>
      </c>
      <c r="Z255" s="365"/>
      <c r="AA255" s="365" t="n">
        <f aca="false">YEAR(X255)</f>
        <v>2022</v>
      </c>
      <c r="AB255" s="365" t="n">
        <f aca="false">MONTH(X255)</f>
        <v>6</v>
      </c>
      <c r="AC255" s="368" t="n">
        <f aca="false">(1+Y255/2)^(-(DATE(AA256,AB256,5)-TradeSum!$B$2)/182.625)</f>
        <v>0.274412258282904</v>
      </c>
      <c r="AD255" s="371"/>
      <c r="AF255" s="367" t="n">
        <v>44713</v>
      </c>
      <c r="AG255" s="0" t="n">
        <v>0.0610879655636318</v>
      </c>
      <c r="AI255" s="365" t="n">
        <f aca="false">YEAR(AF255)</f>
        <v>2022</v>
      </c>
      <c r="AJ255" s="365" t="n">
        <f aca="false">MONTH(AF255)</f>
        <v>6</v>
      </c>
      <c r="AK255" s="368" t="n">
        <f aca="false">(1+AG255/2)^(-(DATE(AI256,AJ256,5)-TradeSum!$B$2)/182.625)</f>
        <v>0.287896890083504</v>
      </c>
    </row>
    <row r="256" customFormat="false" ht="12.75" hidden="false" customHeight="false" outlineLevel="0" collapsed="false">
      <c r="X256" s="367" t="n">
        <v>44743</v>
      </c>
      <c r="Y256" s="0" t="n">
        <v>0.0634753046467948</v>
      </c>
      <c r="Z256" s="365"/>
      <c r="AA256" s="365" t="n">
        <f aca="false">YEAR(X256)</f>
        <v>2022</v>
      </c>
      <c r="AB256" s="365" t="n">
        <f aca="false">MONTH(X256)</f>
        <v>7</v>
      </c>
      <c r="AC256" s="368" t="n">
        <f aca="false">(1+Y256/2)^(-(DATE(AA257,AB257,5)-TradeSum!$B$2)/182.625)</f>
        <v>0.272977732785604</v>
      </c>
      <c r="AD256" s="371"/>
      <c r="AF256" s="367" t="n">
        <v>44743</v>
      </c>
      <c r="AG256" s="0" t="n">
        <v>0.0610903032264796</v>
      </c>
      <c r="AI256" s="365" t="n">
        <f aca="false">YEAR(AF256)</f>
        <v>2022</v>
      </c>
      <c r="AJ256" s="365" t="n">
        <f aca="false">MONTH(AF256)</f>
        <v>7</v>
      </c>
      <c r="AK256" s="368" t="n">
        <f aca="false">(1+AG256/2)^(-(DATE(AI257,AJ257,5)-TradeSum!$B$2)/182.625)</f>
        <v>0.286416809988937</v>
      </c>
    </row>
    <row r="257" customFormat="false" ht="12.75" hidden="false" customHeight="false" outlineLevel="0" collapsed="false">
      <c r="X257" s="367" t="n">
        <v>44774</v>
      </c>
      <c r="Y257" s="0" t="n">
        <v>0.063472094918847</v>
      </c>
      <c r="Z257" s="365"/>
      <c r="AA257" s="365" t="n">
        <f aca="false">YEAR(X257)</f>
        <v>2022</v>
      </c>
      <c r="AB257" s="365" t="n">
        <f aca="false">MONTH(X257)</f>
        <v>8</v>
      </c>
      <c r="AC257" s="368" t="n">
        <f aca="false">(1+Y257/2)^(-(DATE(AA258,AB258,5)-TradeSum!$B$2)/182.625)</f>
        <v>0.271551413787133</v>
      </c>
      <c r="AD257" s="371"/>
      <c r="AF257" s="367" t="n">
        <v>44774</v>
      </c>
      <c r="AG257" s="0" t="n">
        <v>0.0610927188114245</v>
      </c>
      <c r="AI257" s="365" t="n">
        <f aca="false">YEAR(AF257)</f>
        <v>2022</v>
      </c>
      <c r="AJ257" s="365" t="n">
        <f aca="false">MONTH(AF257)</f>
        <v>8</v>
      </c>
      <c r="AK257" s="368" t="n">
        <f aca="false">(1+AG257/2)^(-(DATE(AI258,AJ258,5)-TradeSum!$B$2)/182.625)</f>
        <v>0.284943779807747</v>
      </c>
    </row>
    <row r="258" customFormat="false" ht="12.75" hidden="false" customHeight="false" outlineLevel="0" collapsed="false">
      <c r="X258" s="367" t="n">
        <v>44805</v>
      </c>
      <c r="Y258" s="0" t="n">
        <v>0.0634688851909018</v>
      </c>
      <c r="Z258" s="365"/>
      <c r="AA258" s="365" t="n">
        <f aca="false">YEAR(X258)</f>
        <v>2022</v>
      </c>
      <c r="AB258" s="365" t="n">
        <f aca="false">MONTH(X258)</f>
        <v>9</v>
      </c>
      <c r="AC258" s="368" t="n">
        <f aca="false">(1+Y258/2)^(-(DATE(AA259,AB259,5)-TradeSum!$B$2)/182.625)</f>
        <v>0.270178905076392</v>
      </c>
      <c r="AD258" s="371"/>
      <c r="AF258" s="367" t="n">
        <v>44805</v>
      </c>
      <c r="AG258" s="0" t="n">
        <v>0.0610951343963708</v>
      </c>
      <c r="AI258" s="365" t="n">
        <f aca="false">YEAR(AF258)</f>
        <v>2022</v>
      </c>
      <c r="AJ258" s="365" t="n">
        <f aca="false">MONTH(AF258)</f>
        <v>9</v>
      </c>
      <c r="AK258" s="368" t="n">
        <f aca="false">(1+AG258/2)^(-(DATE(AI259,AJ259,5)-TradeSum!$B$2)/182.625)</f>
        <v>0.283524923833377</v>
      </c>
    </row>
    <row r="259" customFormat="false" ht="12.75" hidden="false" customHeight="false" outlineLevel="0" collapsed="false">
      <c r="X259" s="367" t="n">
        <v>44835</v>
      </c>
      <c r="Y259" s="0" t="n">
        <v>0.0634657790025717</v>
      </c>
      <c r="Z259" s="365"/>
      <c r="AA259" s="365" t="n">
        <f aca="false">YEAR(X259)</f>
        <v>2022</v>
      </c>
      <c r="AB259" s="365" t="n">
        <f aca="false">MONTH(X259)</f>
        <v>10</v>
      </c>
      <c r="AC259" s="368" t="n">
        <f aca="false">(1+Y259/2)^(-(DATE(AA260,AB260,5)-TradeSum!$B$2)/182.625)</f>
        <v>0.268766924477363</v>
      </c>
      <c r="AD259" s="371"/>
      <c r="AF259" s="367" t="n">
        <v>44835</v>
      </c>
      <c r="AG259" s="0" t="n">
        <v>0.0610974720592243</v>
      </c>
      <c r="AI259" s="365" t="n">
        <f aca="false">YEAR(AF259)</f>
        <v>2022</v>
      </c>
      <c r="AJ259" s="365" t="n">
        <f aca="false">MONTH(AF259)</f>
        <v>10</v>
      </c>
      <c r="AK259" s="368" t="n">
        <f aca="false">(1+AG259/2)^(-(DATE(AI260,AJ260,5)-TradeSum!$B$2)/182.625)</f>
        <v>0.282066992399402</v>
      </c>
    </row>
    <row r="260" customFormat="false" ht="12.75" hidden="false" customHeight="false" outlineLevel="0" collapsed="false">
      <c r="X260" s="367" t="n">
        <v>44866</v>
      </c>
      <c r="Y260" s="0" t="n">
        <v>0.0634625692746331</v>
      </c>
      <c r="Z260" s="365"/>
      <c r="AA260" s="365" t="n">
        <f aca="false">YEAR(X260)</f>
        <v>2022</v>
      </c>
      <c r="AB260" s="365" t="n">
        <f aca="false">MONTH(X260)</f>
        <v>11</v>
      </c>
      <c r="AC260" s="368" t="n">
        <f aca="false">(1+Y260/2)^(-(DATE(AA261,AB261,5)-TradeSum!$B$2)/182.625)</f>
        <v>0.2674087629207</v>
      </c>
      <c r="AD260" s="371"/>
      <c r="AF260" s="367" t="n">
        <v>44866</v>
      </c>
      <c r="AG260" s="0" t="n">
        <v>0.0610998876441751</v>
      </c>
      <c r="AI260" s="365" t="n">
        <f aca="false">YEAR(AF260)</f>
        <v>2022</v>
      </c>
      <c r="AJ260" s="365" t="n">
        <f aca="false">MONTH(AF260)</f>
        <v>11</v>
      </c>
      <c r="AK260" s="368" t="n">
        <f aca="false">(1+AG260/2)^(-(DATE(AI261,AJ261,5)-TradeSum!$B$2)/182.625)</f>
        <v>0.280662245006758</v>
      </c>
    </row>
    <row r="261" customFormat="false" ht="12.75" hidden="false" customHeight="false" outlineLevel="0" collapsed="false">
      <c r="X261" s="367" t="n">
        <v>44896</v>
      </c>
      <c r="Y261" s="0" t="n">
        <v>0.0634594630863092</v>
      </c>
      <c r="Z261" s="365"/>
      <c r="AA261" s="365" t="n">
        <f aca="false">YEAR(X261)</f>
        <v>2022</v>
      </c>
      <c r="AB261" s="365" t="n">
        <f aca="false">MONTH(X261)</f>
        <v>12</v>
      </c>
      <c r="AC261" s="368" t="n">
        <f aca="false">(1+Y261/2)^(-(DATE(AA262,AB262,5)-TradeSum!$B$2)/182.625)</f>
        <v>0.266011531361751</v>
      </c>
      <c r="AD261" s="371"/>
      <c r="AF261" s="367" t="n">
        <v>44896</v>
      </c>
      <c r="AG261" s="0" t="n">
        <v>0.0611022253070321</v>
      </c>
      <c r="AI261" s="365" t="n">
        <f aca="false">YEAR(AF261)</f>
        <v>2022</v>
      </c>
      <c r="AJ261" s="365" t="n">
        <f aca="false">MONTH(AF261)</f>
        <v>12</v>
      </c>
      <c r="AK261" s="368" t="n">
        <f aca="false">(1+AG261/2)^(-(DATE(AI262,AJ262,5)-TradeSum!$B$2)/182.625)</f>
        <v>0.279218818882277</v>
      </c>
    </row>
    <row r="262" customFormat="false" ht="12.75" hidden="false" customHeight="false" outlineLevel="0" collapsed="false">
      <c r="X262" s="367" t="n">
        <v>44927</v>
      </c>
      <c r="Y262" s="0" t="n">
        <v>0.0634562533583778</v>
      </c>
      <c r="Z262" s="365"/>
      <c r="AA262" s="365" t="n">
        <f aca="false">YEAR(X262)</f>
        <v>2023</v>
      </c>
      <c r="AB262" s="365" t="n">
        <f aca="false">MONTH(X262)</f>
        <v>1</v>
      </c>
      <c r="AC262" s="368" t="n">
        <f aca="false">(1+Y262/2)^(-(DATE(AA263,AB263,5)-TradeSum!$B$2)/182.625)</f>
        <v>0.264622300859032</v>
      </c>
      <c r="AD262" s="371"/>
      <c r="AF262" s="367" t="n">
        <v>44927</v>
      </c>
      <c r="AG262" s="0" t="n">
        <v>0.0611046408919864</v>
      </c>
      <c r="AI262" s="365" t="n">
        <f aca="false">YEAR(AF262)</f>
        <v>2023</v>
      </c>
      <c r="AJ262" s="365" t="n">
        <f aca="false">MONTH(AF262)</f>
        <v>1</v>
      </c>
      <c r="AK262" s="368" t="n">
        <f aca="false">(1+AG262/2)^(-(DATE(AI263,AJ263,5)-TradeSum!$B$2)/182.625)</f>
        <v>0.277782262266254</v>
      </c>
    </row>
    <row r="263" customFormat="false" ht="12.75" hidden="false" customHeight="false" outlineLevel="0" collapsed="false">
      <c r="X263" s="367" t="n">
        <v>44958</v>
      </c>
      <c r="Y263" s="0" t="n">
        <v>0.0634530436304504</v>
      </c>
      <c r="Z263" s="365"/>
      <c r="AA263" s="365" t="n">
        <f aca="false">YEAR(X263)</f>
        <v>2023</v>
      </c>
      <c r="AB263" s="365" t="n">
        <f aca="false">MONTH(X263)</f>
        <v>2</v>
      </c>
      <c r="AC263" s="368" t="n">
        <f aca="false">(1+Y263/2)^(-(DATE(AA264,AB264,5)-TradeSum!$B$2)/182.625)</f>
        <v>0.263375562167441</v>
      </c>
      <c r="AD263" s="371"/>
      <c r="AF263" s="367" t="n">
        <v>44958</v>
      </c>
      <c r="AG263" s="0" t="n">
        <v>0.0611070564769429</v>
      </c>
      <c r="AI263" s="365" t="n">
        <f aca="false">YEAR(AF263)</f>
        <v>2023</v>
      </c>
      <c r="AJ263" s="365" t="n">
        <f aca="false">MONTH(AF263)</f>
        <v>2</v>
      </c>
      <c r="AK263" s="368" t="n">
        <f aca="false">(1+AG263/2)^(-(DATE(AI264,AJ264,5)-TradeSum!$B$2)/182.625)</f>
        <v>0.276489646931994</v>
      </c>
    </row>
    <row r="264" customFormat="false" ht="12.75" hidden="false" customHeight="false" outlineLevel="0" collapsed="false">
      <c r="X264" s="367" t="n">
        <v>44986</v>
      </c>
      <c r="Y264" s="0" t="n">
        <v>0.0634501445213571</v>
      </c>
      <c r="Z264" s="365"/>
      <c r="AA264" s="365" t="n">
        <f aca="false">YEAR(X264)</f>
        <v>2023</v>
      </c>
      <c r="AB264" s="365" t="n">
        <f aca="false">MONTH(X264)</f>
        <v>3</v>
      </c>
      <c r="AC264" s="368" t="n">
        <f aca="false">(1+Y264/2)^(-(DATE(AA265,AB265,5)-TradeSum!$B$2)/182.625)</f>
        <v>0.261998676542821</v>
      </c>
      <c r="AD264" s="371"/>
      <c r="AF264" s="367" t="n">
        <v>44986</v>
      </c>
      <c r="AG264" s="0" t="n">
        <v>0.0611092382956144</v>
      </c>
      <c r="AI264" s="365" t="n">
        <f aca="false">YEAR(AF264)</f>
        <v>2023</v>
      </c>
      <c r="AJ264" s="365" t="n">
        <f aca="false">MONTH(AF264)</f>
        <v>3</v>
      </c>
      <c r="AK264" s="368" t="n">
        <f aca="false">(1+AG264/2)^(-(DATE(AI265,AJ265,5)-TradeSum!$B$2)/182.625)</f>
        <v>0.275068256036798</v>
      </c>
    </row>
    <row r="265" customFormat="false" ht="12.75" hidden="false" customHeight="false" outlineLevel="0" collapsed="false">
      <c r="X265" s="367" t="n">
        <v>45017</v>
      </c>
      <c r="Y265" s="0" t="n">
        <v>0.0634469347934354</v>
      </c>
      <c r="Z265" s="365"/>
      <c r="AA265" s="365" t="n">
        <f aca="false">YEAR(X265)</f>
        <v>2023</v>
      </c>
      <c r="AB265" s="365" t="n">
        <f aca="false">MONTH(X265)</f>
        <v>4</v>
      </c>
      <c r="AC265" s="368" t="n">
        <f aca="false">(1+Y265/2)^(-(DATE(AA266,AB266,5)-TradeSum!$B$2)/182.625)</f>
        <v>0.260675376862186</v>
      </c>
      <c r="AD265" s="371"/>
      <c r="AF265" s="367" t="n">
        <v>45017</v>
      </c>
      <c r="AG265" s="0" t="n">
        <v>0.0611116538805745</v>
      </c>
      <c r="AI265" s="365" t="n">
        <f aca="false">YEAR(AF265)</f>
        <v>2023</v>
      </c>
      <c r="AJ265" s="365" t="n">
        <f aca="false">MONTH(AF265)</f>
        <v>4</v>
      </c>
      <c r="AK265" s="368" t="n">
        <f aca="false">(1+AG265/2)^(-(DATE(AI266,AJ266,5)-TradeSum!$B$2)/182.625)</f>
        <v>0.273697841873327</v>
      </c>
    </row>
    <row r="266" customFormat="false" ht="12.75" hidden="false" customHeight="false" outlineLevel="0" collapsed="false">
      <c r="X266" s="367" t="n">
        <v>45047</v>
      </c>
      <c r="Y266" s="0" t="n">
        <v>0.063443828605128</v>
      </c>
      <c r="Z266" s="365"/>
      <c r="AA266" s="365" t="n">
        <f aca="false">YEAR(X266)</f>
        <v>2023</v>
      </c>
      <c r="AB266" s="365" t="n">
        <f aca="false">MONTH(X266)</f>
        <v>5</v>
      </c>
      <c r="AC266" s="368" t="n">
        <f aca="false">(1+Y266/2)^(-(DATE(AA267,AB267,5)-TradeSum!$B$2)/182.625)</f>
        <v>0.259313984166672</v>
      </c>
      <c r="AD266" s="371"/>
      <c r="AF266" s="367" t="n">
        <v>45047</v>
      </c>
      <c r="AG266" s="0" t="n">
        <v>0.0611139915434409</v>
      </c>
      <c r="AI266" s="365" t="n">
        <f aca="false">YEAR(AF266)</f>
        <v>2023</v>
      </c>
      <c r="AJ266" s="365" t="n">
        <f aca="false">MONTH(AF266)</f>
        <v>5</v>
      </c>
      <c r="AK266" s="368" t="n">
        <f aca="false">(1+AG266/2)^(-(DATE(AI267,AJ267,5)-TradeSum!$B$2)/182.625)</f>
        <v>0.272289714053743</v>
      </c>
    </row>
    <row r="267" customFormat="false" ht="12.75" hidden="false" customHeight="false" outlineLevel="0" collapsed="false">
      <c r="X267" s="367" t="n">
        <v>45078</v>
      </c>
      <c r="Y267" s="0" t="n">
        <v>0.063440618877213</v>
      </c>
      <c r="Z267" s="365"/>
      <c r="AA267" s="365" t="n">
        <f aca="false">YEAR(X267)</f>
        <v>2023</v>
      </c>
      <c r="AB267" s="365" t="n">
        <f aca="false">MONTH(X267)</f>
        <v>6</v>
      </c>
      <c r="AC267" s="368" t="n">
        <f aca="false">(1+Y267/2)^(-(DATE(AA268,AB268,5)-TradeSum!$B$2)/182.625)</f>
        <v>0.258004508129</v>
      </c>
      <c r="AD267" s="371"/>
      <c r="AF267" s="367" t="n">
        <v>45078</v>
      </c>
      <c r="AG267" s="0" t="n">
        <v>0.0611164071284045</v>
      </c>
      <c r="AI267" s="365" t="n">
        <f aca="false">YEAR(AF267)</f>
        <v>2023</v>
      </c>
      <c r="AJ267" s="365" t="n">
        <f aca="false">MONTH(AF267)</f>
        <v>6</v>
      </c>
      <c r="AK267" s="368" t="n">
        <f aca="false">(1+AG267/2)^(-(DATE(AI268,AJ268,5)-TradeSum!$B$2)/182.625)</f>
        <v>0.270932934162608</v>
      </c>
    </row>
    <row r="268" customFormat="false" ht="12.75" hidden="false" customHeight="false" outlineLevel="0" collapsed="false">
      <c r="X268" s="367" t="n">
        <v>45108</v>
      </c>
      <c r="Y268" s="0" t="n">
        <v>0.0634375126889117</v>
      </c>
      <c r="Z268" s="365"/>
      <c r="AA268" s="365" t="n">
        <f aca="false">YEAR(X268)</f>
        <v>2023</v>
      </c>
      <c r="AB268" s="365" t="n">
        <f aca="false">MONTH(X268)</f>
        <v>7</v>
      </c>
      <c r="AC268" s="368" t="n">
        <f aca="false">(1+Y268/2)^(-(DATE(AA269,AB269,5)-TradeSum!$B$2)/182.625)</f>
        <v>0.256657326657815</v>
      </c>
      <c r="AD268" s="365"/>
      <c r="AF268" s="367" t="n">
        <v>45108</v>
      </c>
      <c r="AG268" s="0" t="n">
        <v>0.0611187447912744</v>
      </c>
      <c r="AI268" s="365" t="n">
        <f aca="false">YEAR(AF268)</f>
        <v>2023</v>
      </c>
      <c r="AJ268" s="365" t="n">
        <f aca="false">MONTH(AF268)</f>
        <v>7</v>
      </c>
      <c r="AK268" s="368" t="n">
        <f aca="false">(1+AG268/2)^(-(DATE(AI269,AJ269,5)-TradeSum!$B$2)/182.625)</f>
        <v>0.269538823718248</v>
      </c>
    </row>
    <row r="269" customFormat="false" ht="12.75" hidden="false" customHeight="false" outlineLevel="0" collapsed="false">
      <c r="X269" s="367" t="n">
        <v>45139</v>
      </c>
      <c r="Y269" s="0" t="n">
        <v>0.0634343029610038</v>
      </c>
      <c r="Z269" s="365"/>
      <c r="AA269" s="365" t="n">
        <f aca="false">YEAR(X269)</f>
        <v>2023</v>
      </c>
      <c r="AB269" s="365" t="n">
        <f aca="false">MONTH(X269)</f>
        <v>8</v>
      </c>
      <c r="AC269" s="368" t="n">
        <f aca="false">(1+Y269/2)^(-(DATE(AA270,AB270,5)-TradeSum!$B$2)/182.625)</f>
        <v>0.255317870217154</v>
      </c>
      <c r="AD269" s="365"/>
      <c r="AF269" s="367" t="n">
        <v>45139</v>
      </c>
      <c r="AG269" s="0" t="n">
        <v>0.061121160376242</v>
      </c>
      <c r="AI269" s="365" t="n">
        <f aca="false">YEAR(AF269)</f>
        <v>2023</v>
      </c>
      <c r="AJ269" s="365" t="n">
        <f aca="false">MONTH(AF269)</f>
        <v>8</v>
      </c>
      <c r="AK269" s="368" t="n">
        <f aca="false">(1+AG269/2)^(-(DATE(AI270,AJ270,5)-TradeSum!$B$2)/182.625)</f>
        <v>0.268151340309287</v>
      </c>
    </row>
    <row r="270" customFormat="false" ht="12.75" hidden="false" customHeight="false" outlineLevel="0" collapsed="false">
      <c r="X270" s="367" t="n">
        <v>45170</v>
      </c>
      <c r="Y270" s="0" t="n">
        <v>0.063431093233099</v>
      </c>
      <c r="Z270" s="365"/>
      <c r="AA270" s="365" t="n">
        <f aca="false">YEAR(X270)</f>
        <v>2023</v>
      </c>
      <c r="AB270" s="365" t="n">
        <f aca="false">MONTH(X270)</f>
        <v>9</v>
      </c>
      <c r="AC270" s="368" t="n">
        <f aca="false">(1+Y270/2)^(-(DATE(AA271,AB271,5)-TradeSum!$B$2)/182.625)</f>
        <v>0.254028965417923</v>
      </c>
      <c r="AD270" s="365"/>
      <c r="AF270" s="367" t="n">
        <v>45170</v>
      </c>
      <c r="AG270" s="0" t="n">
        <v>0.0611235759612114</v>
      </c>
      <c r="AI270" s="365" t="n">
        <f aca="false">YEAR(AF270)</f>
        <v>2023</v>
      </c>
      <c r="AJ270" s="365" t="n">
        <f aca="false">MONTH(AF270)</f>
        <v>9</v>
      </c>
      <c r="AK270" s="368" t="n">
        <f aca="false">(1+AG270/2)^(-(DATE(AI271,AJ271,5)-TradeSum!$B$2)/182.625)</f>
        <v>0.266814871403622</v>
      </c>
    </row>
    <row r="271" customFormat="false" ht="12.75" hidden="false" customHeight="false" outlineLevel="0" collapsed="false">
      <c r="X271" s="367" t="n">
        <v>45200</v>
      </c>
      <c r="Y271" s="0" t="n">
        <v>0.0634279870448076</v>
      </c>
      <c r="Z271" s="365"/>
      <c r="AA271" s="365" t="n">
        <f aca="false">YEAR(X271)</f>
        <v>2023</v>
      </c>
      <c r="AB271" s="365" t="n">
        <f aca="false">MONTH(X271)</f>
        <v>10</v>
      </c>
      <c r="AC271" s="368" t="n">
        <f aca="false">(1+Y271/2)^(-(DATE(AA272,AB272,5)-TradeSum!$B$2)/182.625)</f>
        <v>0.252702932145874</v>
      </c>
      <c r="AD271" s="365"/>
      <c r="AF271" s="367" t="n">
        <v>45200</v>
      </c>
      <c r="AG271" s="0" t="n">
        <v>0.0611259136240872</v>
      </c>
      <c r="AI271" s="365" t="n">
        <f aca="false">YEAR(AF271)</f>
        <v>2023</v>
      </c>
      <c r="AJ271" s="365" t="n">
        <f aca="false">MONTH(AF271)</f>
        <v>10</v>
      </c>
      <c r="AK271" s="368" t="n">
        <f aca="false">(1+AG271/2)^(-(DATE(AI272,AJ272,5)-TradeSum!$B$2)/182.625)</f>
        <v>0.265441642499081</v>
      </c>
    </row>
    <row r="272" customFormat="false" ht="12.75" hidden="false" customHeight="false" outlineLevel="0" collapsed="false">
      <c r="X272" s="367" t="n">
        <v>45231</v>
      </c>
      <c r="Y272" s="0" t="n">
        <v>0.0634247773169094</v>
      </c>
      <c r="Z272" s="365"/>
      <c r="AA272" s="365" t="n">
        <f aca="false">YEAR(X272)</f>
        <v>2023</v>
      </c>
      <c r="AB272" s="365" t="n">
        <f aca="false">MONTH(X272)</f>
        <v>11</v>
      </c>
      <c r="AC272" s="368" t="n">
        <f aca="false">(1+Y272/2)^(-(DATE(AA273,AB273,5)-TradeSum!$B$2)/182.625)</f>
        <v>0.25142748527975</v>
      </c>
      <c r="AD272" s="365"/>
      <c r="AF272" s="367" t="n">
        <v>45231</v>
      </c>
      <c r="AG272" s="0" t="n">
        <v>0.0611283292090605</v>
      </c>
      <c r="AI272" s="365" t="n">
        <f aca="false">YEAR(AF272)</f>
        <v>2023</v>
      </c>
      <c r="AJ272" s="365" t="n">
        <f aca="false">MONTH(AF272)</f>
        <v>11</v>
      </c>
      <c r="AK272" s="368" t="n">
        <f aca="false">(1+AG272/2)^(-(DATE(AI273,AJ273,5)-TradeSum!$B$2)/182.625)</f>
        <v>0.264118475336585</v>
      </c>
    </row>
    <row r="273" customFormat="false" ht="12.75" hidden="false" customHeight="false" outlineLevel="0" collapsed="false">
      <c r="X273" s="367" t="n">
        <v>45261</v>
      </c>
      <c r="Y273" s="0" t="n">
        <v>0.0634216711286251</v>
      </c>
      <c r="Z273" s="365"/>
      <c r="AA273" s="365" t="n">
        <f aca="false">YEAR(X273)</f>
        <v>2023</v>
      </c>
      <c r="AB273" s="365" t="n">
        <f aca="false">MONTH(X273)</f>
        <v>12</v>
      </c>
      <c r="AC273" s="368" t="n">
        <f aca="false">(1+Y273/2)^(-(DATE(AA274,AB274,5)-TradeSum!$B$2)/182.625)</f>
        <v>0.250115287521548</v>
      </c>
      <c r="AD273" s="365"/>
      <c r="AF273" s="367" t="n">
        <v>45261</v>
      </c>
      <c r="AG273" s="0" t="n">
        <v>0.0611306668719398</v>
      </c>
      <c r="AI273" s="365" t="n">
        <f aca="false">YEAR(AF273)</f>
        <v>2023</v>
      </c>
      <c r="AJ273" s="365" t="n">
        <f aca="false">MONTH(AF273)</f>
        <v>12</v>
      </c>
      <c r="AK273" s="368" t="n">
        <f aca="false">(1+AG273/2)^(-(DATE(AI274,AJ274,5)-TradeSum!$B$2)/182.625)</f>
        <v>0.262758921732285</v>
      </c>
    </row>
    <row r="274" customFormat="false" ht="12.75" hidden="false" customHeight="false" outlineLevel="0" collapsed="false">
      <c r="X274" s="367" t="n">
        <v>45292</v>
      </c>
      <c r="Y274" s="0" t="n">
        <v>0.063418461400734</v>
      </c>
      <c r="Z274" s="365"/>
      <c r="AA274" s="365" t="n">
        <f aca="false">YEAR(X274)</f>
        <v>2024</v>
      </c>
      <c r="AB274" s="365" t="n">
        <f aca="false">MONTH(X274)</f>
        <v>1</v>
      </c>
      <c r="AC274" s="368" t="n">
        <f aca="false">(1+Y274/2)^(-(DATE(AA275,AB275,5)-TradeSum!$B$2)/182.625)</f>
        <v>0.248810621639324</v>
      </c>
      <c r="AD274" s="365"/>
      <c r="AF274" s="367" t="n">
        <v>45292</v>
      </c>
      <c r="AG274" s="0" t="n">
        <v>0.0611330824569167</v>
      </c>
      <c r="AI274" s="365" t="n">
        <f aca="false">YEAR(AF274)</f>
        <v>2024</v>
      </c>
      <c r="AJ274" s="365" t="n">
        <f aca="false">MONTH(AF274)</f>
        <v>1</v>
      </c>
      <c r="AK274" s="368" t="n">
        <f aca="false">(1+AG274/2)^(-(DATE(AI275,AJ275,5)-TradeSum!$B$2)/182.625)</f>
        <v>0.261405825431955</v>
      </c>
    </row>
    <row r="275" customFormat="false" ht="12.75" hidden="false" customHeight="false" outlineLevel="0" collapsed="false">
      <c r="X275" s="367" t="n">
        <v>45323</v>
      </c>
      <c r="Y275" s="0" t="n">
        <v>0.0634152516728461</v>
      </c>
      <c r="Z275" s="365"/>
      <c r="AA275" s="365" t="n">
        <f aca="false">YEAR(X275)</f>
        <v>2024</v>
      </c>
      <c r="AB275" s="365" t="n">
        <f aca="false">MONTH(X275)</f>
        <v>2</v>
      </c>
      <c r="AC275" s="368" t="n">
        <f aca="false">(1+Y275/2)^(-(DATE(AA276,AB276,5)-TradeSum!$B$2)/182.625)</f>
        <v>0.247597519095147</v>
      </c>
      <c r="AD275" s="365"/>
      <c r="AF275" s="367" t="n">
        <v>45323</v>
      </c>
      <c r="AG275" s="0" t="n">
        <v>0.0611354980418959</v>
      </c>
      <c r="AI275" s="365" t="n">
        <f aca="false">YEAR(AF275)</f>
        <v>2024</v>
      </c>
      <c r="AJ275" s="365" t="n">
        <f aca="false">MONTH(AF275)</f>
        <v>2</v>
      </c>
      <c r="AK275" s="368" t="n">
        <f aca="false">(1+AG275/2)^(-(DATE(AI276,AJ276,5)-TradeSum!$B$2)/182.625)</f>
        <v>0.26014536109977</v>
      </c>
    </row>
    <row r="276" customFormat="false" ht="12.75" hidden="false" customHeight="false" outlineLevel="0" collapsed="false">
      <c r="X276" s="367" t="n">
        <v>45352</v>
      </c>
      <c r="Y276" s="0" t="n">
        <v>0.06341224902418</v>
      </c>
      <c r="Z276" s="365"/>
      <c r="AA276" s="365" t="n">
        <f aca="false">YEAR(X276)</f>
        <v>2024</v>
      </c>
      <c r="AB276" s="365" t="n">
        <f aca="false">MONTH(X276)</f>
        <v>3</v>
      </c>
      <c r="AC276" s="368" t="n">
        <f aca="false">(1+Y276/2)^(-(DATE(AA277,AB277,5)-TradeSum!$B$2)/182.625)</f>
        <v>0.246305132930584</v>
      </c>
      <c r="AD276" s="365"/>
      <c r="AF276" s="367" t="n">
        <v>45352</v>
      </c>
      <c r="AG276" s="0" t="n">
        <v>0.0611377577826846</v>
      </c>
      <c r="AI276" s="365" t="n">
        <f aca="false">YEAR(AF276)</f>
        <v>2024</v>
      </c>
      <c r="AJ276" s="365" t="n">
        <f aca="false">MONTH(AF276)</f>
        <v>3</v>
      </c>
      <c r="AK276" s="368" t="n">
        <f aca="false">(1+AG276/2)^(-(DATE(AI277,AJ277,5)-TradeSum!$B$2)/182.625)</f>
        <v>0.258806399356389</v>
      </c>
    </row>
    <row r="277" customFormat="false" ht="12.75" hidden="false" customHeight="false" outlineLevel="0" collapsed="false">
      <c r="X277" s="367" t="n">
        <v>45383</v>
      </c>
      <c r="Y277" s="0" t="n">
        <v>0.0634090392962987</v>
      </c>
      <c r="Z277" s="365"/>
      <c r="AA277" s="365" t="n">
        <f aca="false">YEAR(X277)</f>
        <v>2024</v>
      </c>
      <c r="AB277" s="365" t="n">
        <f aca="false">MONTH(X277)</f>
        <v>4</v>
      </c>
      <c r="AC277" s="368" t="n">
        <f aca="false">(1+Y277/2)^(-(DATE(AA278,AB278,5)-TradeSum!$B$2)/182.625)</f>
        <v>0.245062601605605</v>
      </c>
      <c r="AD277" s="365"/>
      <c r="AF277" s="367" t="n">
        <v>45383</v>
      </c>
      <c r="AG277" s="0" t="n">
        <v>0.0611401733676673</v>
      </c>
      <c r="AI277" s="365" t="n">
        <f aca="false">YEAR(AF277)</f>
        <v>2024</v>
      </c>
      <c r="AJ277" s="365" t="n">
        <f aca="false">MONTH(AF277)</f>
        <v>4</v>
      </c>
      <c r="AK277" s="368" t="n">
        <f aca="false">(1+AG277/2)^(-(DATE(AI278,AJ278,5)-TradeSum!$B$2)/182.625)</f>
        <v>0.257515813193776</v>
      </c>
    </row>
    <row r="278" customFormat="false" ht="12.75" hidden="false" customHeight="false" outlineLevel="0" collapsed="false">
      <c r="X278" s="367" t="n">
        <v>45413</v>
      </c>
      <c r="Y278" s="0" t="n">
        <v>0.0634059331080299</v>
      </c>
      <c r="Z278" s="365"/>
      <c r="AA278" s="365" t="n">
        <f aca="false">YEAR(X278)</f>
        <v>2024</v>
      </c>
      <c r="AB278" s="365" t="n">
        <f aca="false">MONTH(X278)</f>
        <v>5</v>
      </c>
      <c r="AC278" s="368" t="n">
        <f aca="false">(1+Y278/2)^(-(DATE(AA279,AB279,5)-TradeSum!$B$2)/182.625)</f>
        <v>0.243784243309036</v>
      </c>
      <c r="AD278" s="365"/>
      <c r="AF278" s="367" t="n">
        <v>45413</v>
      </c>
      <c r="AG278" s="0" t="n">
        <v>0.0611425110305559</v>
      </c>
      <c r="AI278" s="365" t="n">
        <f aca="false">YEAR(AF278)</f>
        <v>2024</v>
      </c>
      <c r="AJ278" s="365" t="n">
        <f aca="false">MONTH(AF278)</f>
        <v>5</v>
      </c>
      <c r="AK278" s="368" t="n">
        <f aca="false">(1+AG278/2)^(-(DATE(AI279,AJ279,5)-TradeSum!$B$2)/182.625)</f>
        <v>0.256189755228155</v>
      </c>
    </row>
    <row r="279" customFormat="false" ht="12.75" hidden="false" customHeight="false" outlineLevel="0" collapsed="false">
      <c r="X279" s="367" t="n">
        <v>45444</v>
      </c>
      <c r="Y279" s="0" t="n">
        <v>0.0634027233801557</v>
      </c>
      <c r="Z279" s="365"/>
      <c r="AA279" s="365" t="n">
        <f aca="false">YEAR(X279)</f>
        <v>2024</v>
      </c>
      <c r="AB279" s="365" t="n">
        <f aca="false">MONTH(X279)</f>
        <v>6</v>
      </c>
      <c r="AC279" s="368" t="n">
        <f aca="false">(1+Y279/2)^(-(DATE(AA280,AB280,5)-TradeSum!$B$2)/182.625)</f>
        <v>0.242554677113095</v>
      </c>
      <c r="AD279" s="365"/>
      <c r="AF279" s="367" t="n">
        <v>45444</v>
      </c>
      <c r="AG279" s="0" t="n">
        <v>0.0611449266155426</v>
      </c>
      <c r="AI279" s="365" t="n">
        <f aca="false">YEAR(AF279)</f>
        <v>2024</v>
      </c>
      <c r="AJ279" s="365" t="n">
        <f aca="false">MONTH(AF279)</f>
        <v>6</v>
      </c>
      <c r="AK279" s="368" t="n">
        <f aca="false">(1+AG279/2)^(-(DATE(AI280,AJ280,5)-TradeSum!$B$2)/182.625)</f>
        <v>0.254912021123025</v>
      </c>
    </row>
    <row r="280" customFormat="false" ht="12.75" hidden="false" customHeight="false" outlineLevel="0" collapsed="false">
      <c r="X280" s="367" t="n">
        <v>45474</v>
      </c>
      <c r="Y280" s="0" t="n">
        <v>0.0633996171918936</v>
      </c>
      <c r="Z280" s="365"/>
      <c r="AA280" s="365" t="n">
        <f aca="false">YEAR(X280)</f>
        <v>2024</v>
      </c>
      <c r="AB280" s="365" t="n">
        <f aca="false">MONTH(X280)</f>
        <v>7</v>
      </c>
      <c r="AC280" s="368" t="n">
        <f aca="false">(1+Y280/2)^(-(DATE(AA281,AB281,5)-TradeSum!$B$2)/182.625)</f>
        <v>0.241289648039668</v>
      </c>
      <c r="AD280" s="365"/>
      <c r="AF280" s="367" t="n">
        <v>45474</v>
      </c>
      <c r="AG280" s="0" t="n">
        <v>0.0611472642784348</v>
      </c>
      <c r="AI280" s="365" t="n">
        <f aca="false">YEAR(AF280)</f>
        <v>2024</v>
      </c>
      <c r="AJ280" s="365" t="n">
        <f aca="false">MONTH(AF280)</f>
        <v>7</v>
      </c>
      <c r="AK280" s="368" t="n">
        <f aca="false">(1+AG280/2)^(-(DATE(AI281,AJ281,5)-TradeSum!$B$2)/182.625)</f>
        <v>0.253599175871493</v>
      </c>
    </row>
    <row r="281" customFormat="false" ht="12.75" hidden="false" customHeight="false" outlineLevel="0" collapsed="false">
      <c r="X281" s="367" t="n">
        <v>45505</v>
      </c>
      <c r="Y281" s="0" t="n">
        <v>0.0633964074640256</v>
      </c>
      <c r="Z281" s="365"/>
      <c r="AA281" s="365" t="n">
        <f aca="false">YEAR(X281)</f>
        <v>2024</v>
      </c>
      <c r="AB281" s="365" t="n">
        <f aca="false">MONTH(X281)</f>
        <v>8</v>
      </c>
      <c r="AC281" s="368" t="n">
        <f aca="false">(1+Y281/2)^(-(DATE(AA282,AB282,5)-TradeSum!$B$2)/182.625)</f>
        <v>0.240031890114564</v>
      </c>
      <c r="AD281" s="365"/>
      <c r="AF281" s="367" t="n">
        <v>45505</v>
      </c>
      <c r="AG281" s="0" t="n">
        <v>0.061149679863425</v>
      </c>
      <c r="AI281" s="365" t="n">
        <f aca="false">YEAR(AF281)</f>
        <v>2024</v>
      </c>
      <c r="AJ281" s="365" t="n">
        <f aca="false">MONTH(AF281)</f>
        <v>8</v>
      </c>
      <c r="AK281" s="368" t="n">
        <f aca="false">(1+AG281/2)^(-(DATE(AI282,AJ282,5)-TradeSum!$B$2)/182.625)</f>
        <v>0.252292558745891</v>
      </c>
    </row>
    <row r="282" customFormat="false" ht="12.75" hidden="false" customHeight="false" outlineLevel="0" collapsed="false">
      <c r="X282" s="367" t="n">
        <v>45536</v>
      </c>
      <c r="Y282" s="0" t="n">
        <v>0.0633931977361613</v>
      </c>
      <c r="Z282" s="365"/>
      <c r="AA282" s="365" t="n">
        <f aca="false">YEAR(X282)</f>
        <v>2024</v>
      </c>
      <c r="AB282" s="365" t="n">
        <f aca="false">MONTH(X282)</f>
        <v>9</v>
      </c>
      <c r="AC282" s="368" t="n">
        <f aca="false">(1+Y282/2)^(-(DATE(AA283,AB283,5)-TradeSum!$B$2)/182.625)</f>
        <v>0.238821617870806</v>
      </c>
      <c r="AD282" s="365"/>
      <c r="AF282" s="367" t="n">
        <v>45536</v>
      </c>
      <c r="AG282" s="0" t="n">
        <v>0.0611520954484175</v>
      </c>
      <c r="AI282" s="365" t="n">
        <f aca="false">YEAR(AF282)</f>
        <v>2024</v>
      </c>
      <c r="AJ282" s="365" t="n">
        <f aca="false">MONTH(AF282)</f>
        <v>9</v>
      </c>
      <c r="AK282" s="368" t="n">
        <f aca="false">(1+AG282/2)^(-(DATE(AI283,AJ283,5)-TradeSum!$B$2)/182.625)</f>
        <v>0.251033970131272</v>
      </c>
    </row>
    <row r="283" customFormat="false" ht="12.75" hidden="false" customHeight="false" outlineLevel="0" collapsed="false">
      <c r="X283" s="367" t="n">
        <v>45566</v>
      </c>
      <c r="Y283" s="0" t="n">
        <v>0.0633900915479093</v>
      </c>
      <c r="Z283" s="365"/>
      <c r="AA283" s="365" t="n">
        <f aca="false">YEAR(X283)</f>
        <v>2024</v>
      </c>
      <c r="AB283" s="365" t="n">
        <f aca="false">MONTH(X283)</f>
        <v>10</v>
      </c>
      <c r="AC283" s="368" t="n">
        <f aca="false">(1+Y283/2)^(-(DATE(AA284,AB284,5)-TradeSum!$B$2)/182.625)</f>
        <v>0.23757642475478</v>
      </c>
      <c r="AD283" s="365"/>
      <c r="AF283" s="367" t="n">
        <v>45566</v>
      </c>
      <c r="AG283" s="0" t="n">
        <v>0.061154433111315</v>
      </c>
      <c r="AI283" s="365" t="n">
        <f aca="false">YEAR(AF283)</f>
        <v>2024</v>
      </c>
      <c r="AJ283" s="365" t="n">
        <f aca="false">MONTH(AF283)</f>
        <v>10</v>
      </c>
      <c r="AK283" s="368" t="n">
        <f aca="false">(1+AG283/2)^(-(DATE(AI284,AJ284,5)-TradeSum!$B$2)/182.625)</f>
        <v>0.249740807489037</v>
      </c>
    </row>
    <row r="284" customFormat="false" ht="12.75" hidden="false" customHeight="false" outlineLevel="0" collapsed="false">
      <c r="X284" s="367" t="n">
        <v>45597</v>
      </c>
      <c r="Y284" s="0" t="n">
        <v>0.063386881820052</v>
      </c>
      <c r="Z284" s="365"/>
      <c r="AA284" s="365" t="n">
        <f aca="false">YEAR(X284)</f>
        <v>2024</v>
      </c>
      <c r="AB284" s="365" t="n">
        <f aca="false">MONTH(X284)</f>
        <v>11</v>
      </c>
      <c r="AC284" s="368" t="n">
        <f aca="false">(1+Y284/2)^(-(DATE(AA285,AB285,5)-TradeSum!$B$2)/182.625)</f>
        <v>0.236378775016297</v>
      </c>
      <c r="AD284" s="365"/>
      <c r="AF284" s="367" t="n">
        <v>45597</v>
      </c>
      <c r="AG284" s="0" t="n">
        <v>0.0611568486963114</v>
      </c>
      <c r="AI284" s="365" t="n">
        <f aca="false">YEAR(AF284)</f>
        <v>2024</v>
      </c>
      <c r="AJ284" s="365" t="n">
        <f aca="false">MONTH(AF284)</f>
        <v>11</v>
      </c>
      <c r="AK284" s="368" t="n">
        <f aca="false">(1+AG284/2)^(-(DATE(AI285,AJ285,5)-TradeSum!$B$2)/182.625)</f>
        <v>0.248494757180251</v>
      </c>
    </row>
    <row r="285" customFormat="false" ht="12.75" hidden="false" customHeight="false" outlineLevel="0" collapsed="false">
      <c r="X285" s="367" t="n">
        <v>45627</v>
      </c>
      <c r="Y285" s="0" t="n">
        <v>0.0633837756318059</v>
      </c>
      <c r="Z285" s="365"/>
      <c r="AA285" s="365" t="n">
        <f aca="false">YEAR(X285)</f>
        <v>2024</v>
      </c>
      <c r="AB285" s="365" t="n">
        <f aca="false">MONTH(X285)</f>
        <v>12</v>
      </c>
      <c r="AC285" s="368" t="n">
        <f aca="false">(1+Y285/2)^(-(DATE(AA286,AB286,5)-TradeSum!$B$2)/182.625)</f>
        <v>0.235146559115669</v>
      </c>
      <c r="AD285" s="365"/>
      <c r="AF285" s="367" t="n">
        <v>45627</v>
      </c>
      <c r="AG285" s="0" t="n">
        <v>0.0611591863592129</v>
      </c>
      <c r="AI285" s="365" t="n">
        <f aca="false">YEAR(AF285)</f>
        <v>2024</v>
      </c>
      <c r="AJ285" s="365" t="n">
        <f aca="false">MONTH(AF285)</f>
        <v>12</v>
      </c>
      <c r="AK285" s="368" t="n">
        <f aca="false">(1+AG285/2)^(-(DATE(AI286,AJ286,5)-TradeSum!$B$2)/182.625)</f>
        <v>0.247214484505592</v>
      </c>
    </row>
    <row r="286" customFormat="false" ht="12.75" hidden="false" customHeight="false" outlineLevel="0" collapsed="false">
      <c r="X286" s="367" t="n">
        <v>45658</v>
      </c>
      <c r="Y286" s="0" t="n">
        <v>0.0633805659039552</v>
      </c>
      <c r="Z286" s="365"/>
      <c r="AA286" s="365" t="n">
        <f aca="false">YEAR(X286)</f>
        <v>2025</v>
      </c>
      <c r="AB286" s="365" t="n">
        <f aca="false">MONTH(X286)</f>
        <v>1</v>
      </c>
      <c r="AC286" s="368" t="n">
        <f aca="false">(1+Y286/2)^(-(DATE(AA287,AB287,5)-TradeSum!$B$2)/182.625)</f>
        <v>0.233921432779266</v>
      </c>
      <c r="AD286" s="365"/>
      <c r="AF286" s="367" t="n">
        <v>45658</v>
      </c>
      <c r="AG286" s="0" t="n">
        <v>0.0611616019442129</v>
      </c>
      <c r="AI286" s="365" t="n">
        <f aca="false">YEAR(AF286)</f>
        <v>2025</v>
      </c>
      <c r="AJ286" s="365" t="n">
        <f aca="false">MONTH(AF286)</f>
        <v>1</v>
      </c>
      <c r="AK286" s="368" t="n">
        <f aca="false">(1+AG286/2)^(-(DATE(AI287,AJ287,5)-TradeSum!$B$2)/182.625)</f>
        <v>0.245940280303003</v>
      </c>
    </row>
    <row r="287" customFormat="false" ht="12.75" hidden="false" customHeight="false" outlineLevel="0" collapsed="false">
      <c r="X287" s="367" t="n">
        <v>45689</v>
      </c>
      <c r="Y287" s="0" t="n">
        <v>0.0633773561761077</v>
      </c>
      <c r="Z287" s="365"/>
      <c r="AA287" s="365" t="n">
        <f aca="false">YEAR(X287)</f>
        <v>2025</v>
      </c>
      <c r="AB287" s="365" t="n">
        <f aca="false">MONTH(X287)</f>
        <v>2</v>
      </c>
      <c r="AC287" s="368" t="n">
        <f aca="false">(1+Y287/2)^(-(DATE(AA288,AB288,5)-TradeSum!$B$2)/182.625)</f>
        <v>0.23282209741475</v>
      </c>
      <c r="AD287" s="365"/>
      <c r="AF287" s="367" t="n">
        <v>45689</v>
      </c>
      <c r="AG287" s="0" t="n">
        <v>0.0611640175292147</v>
      </c>
      <c r="AI287" s="365" t="n">
        <f aca="false">YEAR(AF287)</f>
        <v>2025</v>
      </c>
      <c r="AJ287" s="365" t="n">
        <f aca="false">MONTH(AF287)</f>
        <v>2</v>
      </c>
      <c r="AK287" s="368" t="n">
        <f aca="false">(1+AG287/2)^(-(DATE(AI288,AJ288,5)-TradeSum!$B$2)/182.625)</f>
        <v>0.244793651318987</v>
      </c>
    </row>
    <row r="288" customFormat="false" ht="12.75" hidden="false" customHeight="false" outlineLevel="0" collapsed="false">
      <c r="X288" s="367" t="n">
        <v>45717</v>
      </c>
      <c r="Y288" s="0" t="n">
        <v>0.0633744570670873</v>
      </c>
      <c r="Z288" s="365"/>
      <c r="AA288" s="365" t="n">
        <f aca="false">YEAR(X288)</f>
        <v>2025</v>
      </c>
      <c r="AB288" s="365" t="n">
        <f aca="false">MONTH(X288)</f>
        <v>3</v>
      </c>
      <c r="AC288" s="368" t="n">
        <f aca="false">(1+Y288/2)^(-(DATE(AA289,AB289,5)-TradeSum!$B$2)/182.625)</f>
        <v>0.231607685591878</v>
      </c>
      <c r="AD288" s="365"/>
      <c r="AF288" s="367" t="n">
        <v>45717</v>
      </c>
      <c r="AG288" s="0" t="n">
        <v>0.0611661993479276</v>
      </c>
      <c r="AI288" s="365" t="n">
        <f aca="false">YEAR(AF288)</f>
        <v>2025</v>
      </c>
      <c r="AJ288" s="365" t="n">
        <f aca="false">MONTH(AF288)</f>
        <v>3</v>
      </c>
      <c r="AK288" s="368" t="n">
        <f aca="false">(1+AG288/2)^(-(DATE(AI289,AJ289,5)-TradeSum!$B$2)/182.625)</f>
        <v>0.243533030681137</v>
      </c>
    </row>
    <row r="289" customFormat="false" ht="12.75" hidden="false" customHeight="false" outlineLevel="0" collapsed="false">
      <c r="X289" s="367" t="n">
        <v>45748</v>
      </c>
      <c r="Y289" s="0" t="n">
        <v>0.063371247339246</v>
      </c>
      <c r="Z289" s="365"/>
      <c r="AA289" s="365" t="n">
        <f aca="false">YEAR(X289)</f>
        <v>2025</v>
      </c>
      <c r="AB289" s="365" t="n">
        <f aca="false">MONTH(X289)</f>
        <v>4</v>
      </c>
      <c r="AC289" s="368" t="n">
        <f aca="false">(1+Y289/2)^(-(DATE(AA290,AB290,5)-TradeSum!$B$2)/182.625)</f>
        <v>0.230440708291691</v>
      </c>
      <c r="AD289" s="365"/>
      <c r="AF289" s="367" t="n">
        <v>45748</v>
      </c>
      <c r="AG289" s="0" t="n">
        <v>0.0611686149329334</v>
      </c>
      <c r="AI289" s="365" t="n">
        <f aca="false">YEAR(AF289)</f>
        <v>2025</v>
      </c>
      <c r="AJ289" s="365" t="n">
        <f aca="false">MONTH(AF289)</f>
        <v>4</v>
      </c>
      <c r="AK289" s="368" t="n">
        <f aca="false">(1+AG289/2)^(-(DATE(AI290,AJ290,5)-TradeSum!$B$2)/182.625)</f>
        <v>0.242317491327597</v>
      </c>
    </row>
    <row r="290" customFormat="false" ht="12.75" hidden="false" customHeight="false" outlineLevel="0" collapsed="false">
      <c r="X290" s="367" t="n">
        <v>45778</v>
      </c>
      <c r="Y290" s="0" t="n">
        <v>0.0633681411510163</v>
      </c>
      <c r="Z290" s="365"/>
      <c r="AA290" s="365" t="n">
        <f aca="false">YEAR(X290)</f>
        <v>2025</v>
      </c>
      <c r="AB290" s="365" t="n">
        <f aca="false">MONTH(X290)</f>
        <v>5</v>
      </c>
      <c r="AC290" s="368" t="n">
        <f aca="false">(1+Y290/2)^(-(DATE(AA291,AB291,5)-TradeSum!$B$2)/182.625)</f>
        <v>0.229240027167462</v>
      </c>
      <c r="AD290" s="365"/>
      <c r="AF290" s="367" t="n">
        <v>45778</v>
      </c>
      <c r="AG290" s="0" t="n">
        <v>0.0611709525958442</v>
      </c>
      <c r="AI290" s="365" t="n">
        <f aca="false">YEAR(AF290)</f>
        <v>2025</v>
      </c>
      <c r="AJ290" s="365" t="n">
        <f aca="false">MONTH(AF290)</f>
        <v>5</v>
      </c>
      <c r="AK290" s="368" t="n">
        <f aca="false">(1+AG290/2)^(-(DATE(AI291,AJ291,5)-TradeSum!$B$2)/182.625)</f>
        <v>0.241068585028799</v>
      </c>
    </row>
    <row r="291" customFormat="false" ht="12.75" hidden="false" customHeight="false" outlineLevel="0" collapsed="false">
      <c r="X291" s="367" t="n">
        <v>45809</v>
      </c>
      <c r="Y291" s="0" t="n">
        <v>0.0633649314231821</v>
      </c>
      <c r="Z291" s="365"/>
      <c r="AA291" s="365" t="n">
        <f aca="false">YEAR(X291)</f>
        <v>2025</v>
      </c>
      <c r="AB291" s="365" t="n">
        <f aca="false">MONTH(X291)</f>
        <v>6</v>
      </c>
      <c r="AC291" s="368" t="n">
        <f aca="false">(1+Y291/2)^(-(DATE(AA292,AB292,5)-TradeSum!$B$2)/182.625)</f>
        <v>0.228085212788595</v>
      </c>
      <c r="AD291" s="365"/>
      <c r="AF291" s="367" t="n">
        <v>45809</v>
      </c>
      <c r="AG291" s="0" t="n">
        <v>0.0611733681808535</v>
      </c>
      <c r="AI291" s="365" t="n">
        <f aca="false">YEAR(AF291)</f>
        <v>2025</v>
      </c>
      <c r="AJ291" s="365" t="n">
        <f aca="false">MONTH(AF291)</f>
        <v>6</v>
      </c>
      <c r="AK291" s="368" t="n">
        <f aca="false">(1+AG291/2)^(-(DATE(AI292,AJ292,5)-TradeSum!$B$2)/182.625)</f>
        <v>0.23986516165949</v>
      </c>
    </row>
    <row r="292" customFormat="false" ht="12.75" hidden="false" customHeight="false" outlineLevel="0" collapsed="false">
      <c r="X292" s="367" t="n">
        <v>45839</v>
      </c>
      <c r="Y292" s="0" t="n">
        <v>0.063361825234959</v>
      </c>
      <c r="Z292" s="365"/>
      <c r="AA292" s="365" t="n">
        <f aca="false">YEAR(X292)</f>
        <v>2025</v>
      </c>
      <c r="AB292" s="365" t="n">
        <f aca="false">MONTH(X292)</f>
        <v>7</v>
      </c>
      <c r="AC292" s="368" t="n">
        <f aca="false">(1+Y292/2)^(-(DATE(AA293,AB293,5)-TradeSum!$B$2)/182.625)</f>
        <v>0.22689703669863</v>
      </c>
      <c r="AD292" s="365"/>
      <c r="AF292" s="367" t="n">
        <v>45839</v>
      </c>
      <c r="AG292" s="0" t="n">
        <v>0.0611757058437679</v>
      </c>
      <c r="AI292" s="365" t="n">
        <f aca="false">YEAR(AF292)</f>
        <v>2025</v>
      </c>
      <c r="AJ292" s="365" t="n">
        <f aca="false">MONTH(AF292)</f>
        <v>7</v>
      </c>
      <c r="AK292" s="368" t="n">
        <f aca="false">(1+AG292/2)^(-(DATE(AI293,AJ293,5)-TradeSum!$B$2)/182.625)</f>
        <v>0.238628710907223</v>
      </c>
    </row>
    <row r="293" customFormat="false" ht="12.75" hidden="false" customHeight="false" outlineLevel="0" collapsed="false">
      <c r="X293" s="367" t="n">
        <v>45870</v>
      </c>
      <c r="Y293" s="0" t="n">
        <v>0.063358615507132</v>
      </c>
      <c r="Z293" s="365"/>
      <c r="AA293" s="365" t="n">
        <f aca="false">YEAR(X293)</f>
        <v>2025</v>
      </c>
      <c r="AB293" s="365" t="n">
        <f aca="false">MONTH(X293)</f>
        <v>8</v>
      </c>
      <c r="AC293" s="368" t="n">
        <f aca="false">(1+Y293/2)^(-(DATE(AA294,AB294,5)-TradeSum!$B$2)/182.625)</f>
        <v>0.225715706184873</v>
      </c>
      <c r="AD293" s="365"/>
      <c r="AF293" s="367" t="n">
        <v>45870</v>
      </c>
      <c r="AG293" s="0" t="n">
        <v>0.0611781214287812</v>
      </c>
      <c r="AI293" s="365" t="n">
        <f aca="false">YEAR(AF293)</f>
        <v>2025</v>
      </c>
      <c r="AJ293" s="365" t="n">
        <f aca="false">MONTH(AF293)</f>
        <v>8</v>
      </c>
      <c r="AK293" s="368" t="n">
        <f aca="false">(1+AG293/2)^(-(DATE(AI294,AJ294,5)-TradeSum!$B$2)/182.625)</f>
        <v>0.237398114056307</v>
      </c>
    </row>
    <row r="294" customFormat="false" ht="12.75" hidden="false" customHeight="false" outlineLevel="0" collapsed="false">
      <c r="X294" s="367" t="n">
        <v>45901</v>
      </c>
      <c r="Y294" s="0" t="n">
        <v>0.063355405779308</v>
      </c>
      <c r="Z294" s="365"/>
      <c r="AA294" s="365" t="n">
        <f aca="false">YEAR(X294)</f>
        <v>2025</v>
      </c>
      <c r="AB294" s="365" t="n">
        <f aca="false">MONTH(X294)</f>
        <v>9</v>
      </c>
      <c r="AC294" s="368" t="n">
        <f aca="false">(1+Y294/2)^(-(DATE(AA295,AB295,5)-TradeSum!$B$2)/182.625)</f>
        <v>0.224578992226249</v>
      </c>
      <c r="AD294" s="365"/>
      <c r="AF294" s="367" t="n">
        <v>45901</v>
      </c>
      <c r="AG294" s="0" t="n">
        <v>0.0611805370137959</v>
      </c>
      <c r="AI294" s="365" t="n">
        <f aca="false">YEAR(AF294)</f>
        <v>2025</v>
      </c>
      <c r="AJ294" s="365" t="n">
        <f aca="false">MONTH(AF294)</f>
        <v>9</v>
      </c>
      <c r="AK294" s="368" t="n">
        <f aca="false">(1+AG294/2)^(-(DATE(AI295,AJ295,5)-TradeSum!$B$2)/182.625)</f>
        <v>0.236212739446556</v>
      </c>
    </row>
    <row r="295" customFormat="false" ht="12.75" hidden="false" customHeight="false" outlineLevel="0" collapsed="false">
      <c r="X295" s="367" t="n">
        <v>45931</v>
      </c>
      <c r="Y295" s="0" t="n">
        <v>0.0633522995910942</v>
      </c>
      <c r="Z295" s="365"/>
      <c r="AA295" s="365" t="n">
        <f aca="false">YEAR(X295)</f>
        <v>2025</v>
      </c>
      <c r="AB295" s="365" t="n">
        <f aca="false">MONTH(X295)</f>
        <v>10</v>
      </c>
      <c r="AC295" s="368" t="n">
        <f aca="false">(1+Y295/2)^(-(DATE(AA296,AB296,5)-TradeSum!$B$2)/182.625)</f>
        <v>0.223409425847287</v>
      </c>
      <c r="AD295" s="365"/>
      <c r="AF295" s="367" t="n">
        <v>45931</v>
      </c>
      <c r="AG295" s="0" t="n">
        <v>0.0611828746767156</v>
      </c>
      <c r="AI295" s="365" t="n">
        <f aca="false">YEAR(AF295)</f>
        <v>2025</v>
      </c>
      <c r="AJ295" s="365" t="n">
        <f aca="false">MONTH(AF295)</f>
        <v>10</v>
      </c>
      <c r="AK295" s="368" t="n">
        <f aca="false">(1+AG295/2)^(-(DATE(AI296,AJ296,5)-TradeSum!$B$2)/182.625)</f>
        <v>0.234994843151327</v>
      </c>
    </row>
    <row r="296" customFormat="false" ht="12.75" hidden="false" customHeight="false" outlineLevel="0" collapsed="false">
      <c r="X296" s="367" t="n">
        <v>45962</v>
      </c>
      <c r="Y296" s="0" t="n">
        <v>0.0633490898632769</v>
      </c>
      <c r="Z296" s="365"/>
      <c r="AA296" s="365" t="n">
        <f aca="false">YEAR(X296)</f>
        <v>2025</v>
      </c>
      <c r="AB296" s="365" t="n">
        <f aca="false">MONTH(X296)</f>
        <v>11</v>
      </c>
      <c r="AC296" s="368" t="n">
        <f aca="false">(1+Y296/2)^(-(DATE(AA297,AB297,5)-TradeSum!$B$2)/182.625)</f>
        <v>0.22228455373549</v>
      </c>
      <c r="AD296" s="365"/>
      <c r="AF296" s="367" t="n">
        <v>45962</v>
      </c>
      <c r="AG296" s="0" t="n">
        <v>0.0611852902617347</v>
      </c>
      <c r="AI296" s="365" t="n">
        <f aca="false">YEAR(AF296)</f>
        <v>2025</v>
      </c>
      <c r="AJ296" s="365" t="n">
        <f aca="false">MONTH(AF296)</f>
        <v>11</v>
      </c>
      <c r="AK296" s="368" t="n">
        <f aca="false">(1+AG296/2)^(-(DATE(AI297,AJ297,5)-TradeSum!$B$2)/182.625)</f>
        <v>0.233821288461484</v>
      </c>
    </row>
    <row r="297" customFormat="false" ht="12.75" hidden="false" customHeight="false" outlineLevel="0" collapsed="false">
      <c r="X297" s="367" t="n">
        <v>45992</v>
      </c>
      <c r="Y297" s="0" t="n">
        <v>0.0633459836750698</v>
      </c>
      <c r="Z297" s="365"/>
      <c r="AA297" s="365" t="n">
        <f aca="false">YEAR(X297)</f>
        <v>2025</v>
      </c>
      <c r="AB297" s="365" t="n">
        <f aca="false">MONTH(X297)</f>
        <v>12</v>
      </c>
      <c r="AC297" s="368" t="n">
        <f aca="false">(1+Y297/2)^(-(DATE(AA298,AB298,5)-TradeSum!$B$2)/182.625)</f>
        <v>0.221127162508775</v>
      </c>
      <c r="AD297" s="365"/>
      <c r="AF297" s="367" t="n">
        <v>45992</v>
      </c>
      <c r="AG297" s="0" t="n">
        <v>0.0611876279246584</v>
      </c>
      <c r="AI297" s="365" t="n">
        <f aca="false">YEAR(AF297)</f>
        <v>2025</v>
      </c>
      <c r="AJ297" s="365" t="n">
        <f aca="false">MONTH(AF297)</f>
        <v>12</v>
      </c>
      <c r="AK297" s="368" t="n">
        <f aca="false">(1+AG297/2)^(-(DATE(AI298,AJ298,5)-TradeSum!$B$2)/182.625)</f>
        <v>0.232615543171877</v>
      </c>
    </row>
    <row r="298" customFormat="false" ht="12.75" hidden="false" customHeight="false" outlineLevel="0" collapsed="false">
      <c r="X298" s="367" t="n">
        <v>46023</v>
      </c>
      <c r="Y298" s="0" t="n">
        <v>0.0633427739472592</v>
      </c>
      <c r="Z298" s="365"/>
      <c r="AA298" s="365" t="n">
        <f aca="false">YEAR(X298)</f>
        <v>2026</v>
      </c>
      <c r="AB298" s="365" t="n">
        <f aca="false">MONTH(X298)</f>
        <v>1</v>
      </c>
      <c r="AC298" s="368" t="n">
        <f aca="false">(1+Y298/2)^(-(DATE(AA299,AB299,5)-TradeSum!$B$2)/182.625)</f>
        <v>0.219976446110246</v>
      </c>
      <c r="AD298" s="365"/>
      <c r="AF298" s="367" t="n">
        <v>46023</v>
      </c>
      <c r="AG298" s="0" t="n">
        <v>0.0611900435096815</v>
      </c>
      <c r="AI298" s="365" t="n">
        <f aca="false">YEAR(AF298)</f>
        <v>2026</v>
      </c>
      <c r="AJ298" s="365" t="n">
        <f aca="false">MONTH(AF298)</f>
        <v>1</v>
      </c>
      <c r="AK298" s="368" t="n">
        <f aca="false">(1+AG298/2)^(-(DATE(AI299,AJ299,5)-TradeSum!$B$2)/182.625)</f>
        <v>0.231415501592213</v>
      </c>
    </row>
    <row r="299" customFormat="false" ht="12.75" hidden="false" customHeight="false" outlineLevel="0" collapsed="false">
      <c r="X299" s="367" t="n">
        <v>46054</v>
      </c>
      <c r="Y299" s="0" t="n">
        <v>0.0633395642194521</v>
      </c>
      <c r="Z299" s="365"/>
      <c r="AA299" s="365" t="n">
        <f aca="false">YEAR(X299)</f>
        <v>2026</v>
      </c>
      <c r="AB299" s="365" t="n">
        <f aca="false">MONTH(X299)</f>
        <v>2</v>
      </c>
      <c r="AC299" s="368" t="n">
        <f aca="false">(1+Y299/2)^(-(DATE(AA300,AB300,5)-TradeSum!$B$2)/182.625)</f>
        <v>0.218943942325639</v>
      </c>
      <c r="AD299" s="365"/>
      <c r="AF299" s="367" t="n">
        <v>46054</v>
      </c>
      <c r="AG299" s="0" t="n">
        <v>0.0611924590947059</v>
      </c>
      <c r="AI299" s="365" t="n">
        <f aca="false">YEAR(AF299)</f>
        <v>2026</v>
      </c>
      <c r="AJ299" s="365" t="n">
        <f aca="false">MONTH(AF299)</f>
        <v>2</v>
      </c>
      <c r="AK299" s="368" t="n">
        <f aca="false">(1+AG299/2)^(-(DATE(AI300,AJ300,5)-TradeSum!$B$2)/182.625)</f>
        <v>0.230335563761138</v>
      </c>
    </row>
    <row r="300" customFormat="false" ht="12.75" hidden="false" customHeight="false" outlineLevel="0" collapsed="false">
      <c r="X300" s="367" t="n">
        <v>46082</v>
      </c>
      <c r="Y300" s="0" t="n">
        <v>0.0633366651104681</v>
      </c>
      <c r="Z300" s="365"/>
      <c r="AA300" s="365" t="n">
        <f aca="false">YEAR(X300)</f>
        <v>2026</v>
      </c>
      <c r="AB300" s="365" t="n">
        <f aca="false">MONTH(X300)</f>
        <v>3</v>
      </c>
      <c r="AC300" s="368" t="n">
        <f aca="false">(1+Y300/2)^(-(DATE(AA301,AB301,5)-TradeSum!$B$2)/182.625)</f>
        <v>0.217803208711542</v>
      </c>
      <c r="AD300" s="365"/>
      <c r="AF300" s="367" t="n">
        <v>46082</v>
      </c>
      <c r="AG300" s="0" t="n">
        <v>0.0611946409134396</v>
      </c>
      <c r="AI300" s="365" t="n">
        <f aca="false">YEAR(AF300)</f>
        <v>2026</v>
      </c>
      <c r="AJ300" s="365" t="n">
        <f aca="false">MONTH(AF300)</f>
        <v>3</v>
      </c>
      <c r="AK300" s="368" t="n">
        <f aca="false">(1+AG300/2)^(-(DATE(AI301,AJ301,5)-TradeSum!$B$2)/182.625)</f>
        <v>0.229148376975725</v>
      </c>
    </row>
    <row r="301" customFormat="false" ht="12.75" hidden="false" customHeight="false" outlineLevel="0" collapsed="false">
      <c r="X301" s="367" t="n">
        <v>46113</v>
      </c>
      <c r="Y301" s="0" t="n">
        <v>0.0633334553826672</v>
      </c>
      <c r="Z301" s="365"/>
      <c r="AA301" s="365" t="n">
        <f aca="false">YEAR(X301)</f>
        <v>2026</v>
      </c>
      <c r="AB301" s="365" t="n">
        <f aca="false">MONTH(X301)</f>
        <v>4</v>
      </c>
      <c r="AC301" s="368" t="n">
        <f aca="false">(1+Y301/2)^(-(DATE(AA302,AB302,5)-TradeSum!$B$2)/182.625)</f>
        <v>0.216707112640583</v>
      </c>
      <c r="AD301" s="365"/>
      <c r="AF301" s="367" t="n">
        <v>46113</v>
      </c>
      <c r="AG301" s="0" t="n">
        <v>0.0611970564984681</v>
      </c>
      <c r="AI301" s="365" t="n">
        <f aca="false">YEAR(AF301)</f>
        <v>2026</v>
      </c>
      <c r="AJ301" s="365" t="n">
        <f aca="false">MONTH(AF301)</f>
        <v>4</v>
      </c>
      <c r="AK301" s="368" t="n">
        <f aca="false">(1+AG301/2)^(-(DATE(AI302,AJ302,5)-TradeSum!$B$2)/182.625)</f>
        <v>0.228003584632552</v>
      </c>
    </row>
    <row r="302" customFormat="false" ht="12.75" hidden="false" customHeight="false" outlineLevel="0" collapsed="false">
      <c r="X302" s="367" t="n">
        <v>46143</v>
      </c>
      <c r="Y302" s="0" t="n">
        <v>0.0633303491944766</v>
      </c>
      <c r="Z302" s="365"/>
      <c r="AA302" s="365" t="n">
        <f aca="false">YEAR(X302)</f>
        <v>2026</v>
      </c>
      <c r="AB302" s="365" t="n">
        <f aca="false">MONTH(X302)</f>
        <v>5</v>
      </c>
      <c r="AC302" s="368" t="n">
        <f aca="false">(1+Y302/2)^(-(DATE(AA303,AB303,5)-TradeSum!$B$2)/182.625)</f>
        <v>0.215579307772401</v>
      </c>
      <c r="AD302" s="365"/>
      <c r="AF302" s="367" t="n">
        <v>46143</v>
      </c>
      <c r="AG302" s="0" t="n">
        <v>0.0611993941614006</v>
      </c>
      <c r="AI302" s="365" t="n">
        <f aca="false">YEAR(AF302)</f>
        <v>2026</v>
      </c>
      <c r="AJ302" s="365" t="n">
        <f aca="false">MONTH(AF302)</f>
        <v>5</v>
      </c>
      <c r="AK302" s="368" t="n">
        <f aca="false">(1+AG302/2)^(-(DATE(AI303,AJ303,5)-TradeSum!$B$2)/182.625)</f>
        <v>0.226827407045675</v>
      </c>
    </row>
    <row r="303" customFormat="false" ht="12.75" hidden="false" customHeight="false" outlineLevel="0" collapsed="false">
      <c r="X303" s="367" t="n">
        <v>46174</v>
      </c>
      <c r="Y303" s="0" t="n">
        <v>0.0633271394666828</v>
      </c>
      <c r="Z303" s="365"/>
      <c r="AA303" s="365" t="n">
        <f aca="false">YEAR(X303)</f>
        <v>2026</v>
      </c>
      <c r="AB303" s="365" t="n">
        <f aca="false">MONTH(X303)</f>
        <v>6</v>
      </c>
      <c r="AC303" s="368" t="n">
        <f aca="false">(1+Y303/2)^(-(DATE(AA304,AB304,5)-TradeSum!$B$2)/182.625)</f>
        <v>0.214494622854878</v>
      </c>
      <c r="AD303" s="365"/>
      <c r="AF303" s="367" t="n">
        <v>46174</v>
      </c>
      <c r="AG303" s="0" t="n">
        <v>0.0612018097464331</v>
      </c>
      <c r="AI303" s="365" t="n">
        <f aca="false">YEAR(AF303)</f>
        <v>2026</v>
      </c>
      <c r="AJ303" s="365" t="n">
        <f aca="false">MONTH(AF303)</f>
        <v>6</v>
      </c>
      <c r="AK303" s="368" t="n">
        <f aca="false">(1+AG303/2)^(-(DATE(AI304,AJ304,5)-TradeSum!$B$2)/182.625)</f>
        <v>0.225694036120156</v>
      </c>
    </row>
    <row r="304" customFormat="false" ht="12.75" hidden="false" customHeight="false" outlineLevel="0" collapsed="false">
      <c r="X304" s="367" t="n">
        <v>46204</v>
      </c>
      <c r="Y304" s="0" t="n">
        <v>0.0633240332784983</v>
      </c>
      <c r="Z304" s="365"/>
      <c r="AA304" s="365" t="n">
        <f aca="false">YEAR(X304)</f>
        <v>2026</v>
      </c>
      <c r="AB304" s="365" t="n">
        <f aca="false">MONTH(X304)</f>
        <v>7</v>
      </c>
      <c r="AC304" s="368" t="n">
        <f aca="false">(1+Y304/2)^(-(DATE(AA305,AB305,5)-TradeSum!$B$2)/182.625)</f>
        <v>0.213378550621822</v>
      </c>
      <c r="AD304" s="365"/>
      <c r="AF304" s="367" t="n">
        <v>46204</v>
      </c>
      <c r="AG304" s="0" t="n">
        <v>0.0612041474093692</v>
      </c>
      <c r="AI304" s="365" t="n">
        <f aca="false">YEAR(AF304)</f>
        <v>2026</v>
      </c>
      <c r="AJ304" s="365" t="n">
        <f aca="false">MONTH(AF304)</f>
        <v>7</v>
      </c>
      <c r="AK304" s="368" t="n">
        <f aca="false">(1+AG304/2)^(-(DATE(AI305,AJ305,5)-TradeSum!$B$2)/182.625)</f>
        <v>0.22452959963468</v>
      </c>
    </row>
    <row r="305" customFormat="false" ht="12.75" hidden="false" customHeight="false" outlineLevel="0" collapsed="false">
      <c r="X305" s="367" t="n">
        <v>46235</v>
      </c>
      <c r="Y305" s="0" t="n">
        <v>0.0633208235507112</v>
      </c>
      <c r="Z305" s="365"/>
      <c r="AA305" s="365" t="n">
        <f aca="false">YEAR(X305)</f>
        <v>2026</v>
      </c>
      <c r="AB305" s="365" t="n">
        <f aca="false">MONTH(X305)</f>
        <v>8</v>
      </c>
      <c r="AC305" s="368" t="n">
        <f aca="false">(1+Y305/2)^(-(DATE(AA306,AB306,5)-TradeSum!$B$2)/182.625)</f>
        <v>0.212268923780619</v>
      </c>
      <c r="AD305" s="365"/>
      <c r="AF305" s="367" t="n">
        <v>46235</v>
      </c>
      <c r="AG305" s="0" t="n">
        <v>0.0612065629944056</v>
      </c>
      <c r="AI305" s="365" t="n">
        <f aca="false">YEAR(AF305)</f>
        <v>2026</v>
      </c>
      <c r="AJ305" s="365" t="n">
        <f aca="false">MONTH(AF305)</f>
        <v>8</v>
      </c>
      <c r="AK305" s="368" t="n">
        <f aca="false">(1+AG305/2)^(-(DATE(AI306,AJ306,5)-TradeSum!$B$2)/182.625)</f>
        <v>0.223370665011308</v>
      </c>
    </row>
    <row r="306" customFormat="false" ht="12.75" hidden="false" customHeight="false" outlineLevel="0" collapsed="false">
      <c r="X306" s="367" t="n">
        <v>46266</v>
      </c>
      <c r="Y306" s="0" t="n">
        <v>0.0633176138229277</v>
      </c>
      <c r="Z306" s="365"/>
      <c r="AA306" s="365" t="n">
        <f aca="false">YEAR(X306)</f>
        <v>2026</v>
      </c>
      <c r="AB306" s="365" t="n">
        <f aca="false">MONTH(X306)</f>
        <v>9</v>
      </c>
      <c r="AC306" s="368" t="n">
        <f aca="false">(1+Y306/2)^(-(DATE(AA307,AB307,5)-TradeSum!$B$2)/182.625)</f>
        <v>0.211201220780014</v>
      </c>
      <c r="AD306" s="365"/>
      <c r="AF306" s="367" t="n">
        <v>46266</v>
      </c>
      <c r="AG306" s="0" t="n">
        <v>0.0612089785794434</v>
      </c>
      <c r="AI306" s="365" t="n">
        <f aca="false">YEAR(AF306)</f>
        <v>2026</v>
      </c>
      <c r="AJ306" s="365" t="n">
        <f aca="false">MONTH(AF306)</f>
        <v>9</v>
      </c>
      <c r="AK306" s="368" t="n">
        <f aca="false">(1+AG306/2)^(-(DATE(AI307,AJ307,5)-TradeSum!$B$2)/182.625)</f>
        <v>0.222254307970874</v>
      </c>
    </row>
    <row r="307" customFormat="false" ht="12.75" hidden="false" customHeight="false" outlineLevel="0" collapsed="false">
      <c r="X307" s="367" t="n">
        <v>46296</v>
      </c>
      <c r="Y307" s="0" t="n">
        <v>0.063314507634753</v>
      </c>
      <c r="Z307" s="365"/>
      <c r="AA307" s="365" t="n">
        <f aca="false">YEAR(X307)</f>
        <v>2026</v>
      </c>
      <c r="AB307" s="365" t="n">
        <f aca="false">MONTH(X307)</f>
        <v>10</v>
      </c>
      <c r="AC307" s="368" t="n">
        <f aca="false">(1+Y307/2)^(-(DATE(AA308,AB308,5)-TradeSum!$B$2)/182.625)</f>
        <v>0.210102609048781</v>
      </c>
      <c r="AD307" s="365"/>
      <c r="AF307" s="367" t="n">
        <v>46296</v>
      </c>
      <c r="AG307" s="0" t="n">
        <v>0.0612113162423848</v>
      </c>
      <c r="AI307" s="365" t="n">
        <f aca="false">YEAR(AF307)</f>
        <v>2026</v>
      </c>
      <c r="AJ307" s="365" t="n">
        <f aca="false">MONTH(AF307)</f>
        <v>10</v>
      </c>
      <c r="AK307" s="368" t="n">
        <f aca="false">(1+AG307/2)^(-(DATE(AI308,AJ308,5)-TradeSum!$B$2)/182.625)</f>
        <v>0.221107361457948</v>
      </c>
    </row>
    <row r="308" customFormat="false" ht="12.75" hidden="false" customHeight="false" outlineLevel="0" collapsed="false">
      <c r="X308" s="367" t="n">
        <v>46327</v>
      </c>
      <c r="Y308" s="0" t="n">
        <v>0.0633112979069756</v>
      </c>
      <c r="Z308" s="365"/>
      <c r="AA308" s="365" t="n">
        <f aca="false">YEAR(X308)</f>
        <v>2026</v>
      </c>
      <c r="AB308" s="365" t="n">
        <f aca="false">MONTH(X308)</f>
        <v>11</v>
      </c>
      <c r="AC308" s="368" t="n">
        <f aca="false">(1+Y308/2)^(-(DATE(AA309,AB309,5)-TradeSum!$B$2)/182.625)</f>
        <v>0.2090460163002</v>
      </c>
      <c r="AD308" s="365"/>
      <c r="AF308" s="367" t="n">
        <v>46327</v>
      </c>
      <c r="AG308" s="0" t="n">
        <v>0.0612137318274271</v>
      </c>
      <c r="AI308" s="365" t="n">
        <f aca="false">YEAR(AF308)</f>
        <v>2026</v>
      </c>
      <c r="AJ308" s="365" t="n">
        <f aca="false">MONTH(AF308)</f>
        <v>11</v>
      </c>
      <c r="AK308" s="368" t="n">
        <f aca="false">(1+AG308/2)^(-(DATE(AI309,AJ309,5)-TradeSum!$B$2)/182.625)</f>
        <v>0.220002146477267</v>
      </c>
    </row>
    <row r="309" customFormat="false" ht="12.75" hidden="false" customHeight="false" outlineLevel="0" collapsed="false">
      <c r="X309" s="367" t="n">
        <v>46357</v>
      </c>
      <c r="Y309" s="0" t="n">
        <v>0.0633081917188076</v>
      </c>
      <c r="Z309" s="365"/>
      <c r="AA309" s="365" t="n">
        <f aca="false">YEAR(X309)</f>
        <v>2026</v>
      </c>
      <c r="AB309" s="365" t="n">
        <f aca="false">MONTH(X309)</f>
        <v>12</v>
      </c>
      <c r="AC309" s="368" t="n">
        <f aca="false">(1+Y309/2)^(-(DATE(AA310,AB310,5)-TradeSum!$B$2)/182.625)</f>
        <v>0.20795882803563</v>
      </c>
      <c r="AD309" s="365"/>
      <c r="AF309" s="367" t="n">
        <v>46357</v>
      </c>
      <c r="AG309" s="0" t="n">
        <v>0.0612160694903725</v>
      </c>
      <c r="AI309" s="365" t="n">
        <f aca="false">YEAR(AF309)</f>
        <v>2026</v>
      </c>
      <c r="AJ309" s="365" t="n">
        <f aca="false">MONTH(AF309)</f>
        <v>12</v>
      </c>
      <c r="AK309" s="368" t="n">
        <f aca="false">(1+AG309/2)^(-(DATE(AI310,AJ310,5)-TradeSum!$B$2)/182.625)</f>
        <v>0.218866653720118</v>
      </c>
    </row>
    <row r="310" customFormat="false" ht="12.75" hidden="false" customHeight="false" outlineLevel="0" collapsed="false">
      <c r="X310" s="367" t="n">
        <v>46388</v>
      </c>
      <c r="Y310" s="0" t="n">
        <v>0.0633049819910374</v>
      </c>
      <c r="Z310" s="365"/>
      <c r="AA310" s="365" t="n">
        <f aca="false">YEAR(X310)</f>
        <v>2027</v>
      </c>
      <c r="AB310" s="365" t="n">
        <f aca="false">MONTH(X310)</f>
        <v>1</v>
      </c>
      <c r="AC310" s="368" t="n">
        <f aca="false">(1+Y310/2)^(-(DATE(AA311,AB311,5)-TradeSum!$B$2)/182.625)</f>
        <v>0.206877924592607</v>
      </c>
      <c r="AD310" s="365"/>
      <c r="AF310" s="367" t="n">
        <v>46388</v>
      </c>
      <c r="AG310" s="0" t="n">
        <v>0.0612184850754183</v>
      </c>
      <c r="AI310" s="365" t="n">
        <f aca="false">YEAR(AF310)</f>
        <v>2027</v>
      </c>
      <c r="AJ310" s="365" t="n">
        <f aca="false">MONTH(AF310)</f>
        <v>1</v>
      </c>
      <c r="AK310" s="368" t="n">
        <f aca="false">(1+AG310/2)^(-(DATE(AI311,AJ311,5)-TradeSum!$B$2)/182.625)</f>
        <v>0.217736521543127</v>
      </c>
    </row>
    <row r="311" customFormat="false" ht="12.75" hidden="false" customHeight="false" outlineLevel="0" collapsed="false">
      <c r="X311" s="367" t="n">
        <v>46419</v>
      </c>
      <c r="Y311" s="0" t="n">
        <v>0.0633017722632703</v>
      </c>
      <c r="Z311" s="365"/>
      <c r="AA311" s="365" t="n">
        <f aca="false">YEAR(X311)</f>
        <v>2027</v>
      </c>
      <c r="AB311" s="365" t="n">
        <f aca="false">MONTH(X311)</f>
        <v>2</v>
      </c>
      <c r="AC311" s="368" t="n">
        <f aca="false">(1+Y311/2)^(-(DATE(AA312,AB312,5)-TradeSum!$B$2)/182.625)</f>
        <v>0.205908120067614</v>
      </c>
      <c r="AD311" s="365"/>
      <c r="AF311" s="367" t="n">
        <v>46419</v>
      </c>
      <c r="AG311" s="0" t="n">
        <v>0.0612209006604658</v>
      </c>
      <c r="AI311" s="365" t="n">
        <f aca="false">YEAR(AF311)</f>
        <v>2027</v>
      </c>
      <c r="AJ311" s="365" t="n">
        <f aca="false">MONTH(AF311)</f>
        <v>2</v>
      </c>
      <c r="AK311" s="368" t="n">
        <f aca="false">(1+AG311/2)^(-(DATE(AI312,AJ312,5)-TradeSum!$B$2)/182.625)</f>
        <v>0.21671945295486</v>
      </c>
    </row>
    <row r="312" customFormat="false" ht="12.75" hidden="false" customHeight="false" outlineLevel="0" collapsed="false">
      <c r="X312" s="367" t="n">
        <v>46447</v>
      </c>
      <c r="Y312" s="0" t="n">
        <v>0.0632988731543227</v>
      </c>
      <c r="Z312" s="365"/>
      <c r="AA312" s="365" t="n">
        <f aca="false">YEAR(X312)</f>
        <v>2027</v>
      </c>
      <c r="AB312" s="365" t="n">
        <f aca="false">MONTH(X312)</f>
        <v>3</v>
      </c>
      <c r="AC312" s="368" t="n">
        <f aca="false">(1+Y312/2)^(-(DATE(AA313,AB313,5)-TradeSum!$B$2)/182.625)</f>
        <v>0.204836517552609</v>
      </c>
      <c r="AD312" s="365"/>
      <c r="AF312" s="367" t="n">
        <v>46447</v>
      </c>
      <c r="AG312" s="0" t="n">
        <v>0.0612230824792199</v>
      </c>
      <c r="AI312" s="365" t="n">
        <f aca="false">YEAR(AF312)</f>
        <v>2027</v>
      </c>
      <c r="AJ312" s="365" t="n">
        <f aca="false">MONTH(AF312)</f>
        <v>3</v>
      </c>
      <c r="AK312" s="368" t="n">
        <f aca="false">(1+AG312/2)^(-(DATE(AI313,AJ313,5)-TradeSum!$B$2)/182.625)</f>
        <v>0.215601484848689</v>
      </c>
    </row>
    <row r="313" customFormat="false" ht="12.75" hidden="false" customHeight="false" outlineLevel="0" collapsed="false">
      <c r="X313" s="367" t="n">
        <v>46478</v>
      </c>
      <c r="Y313" s="0" t="n">
        <v>0.0632956634265627</v>
      </c>
      <c r="Z313" s="365"/>
      <c r="AA313" s="365" t="n">
        <f aca="false">YEAR(X313)</f>
        <v>2027</v>
      </c>
      <c r="AB313" s="365" t="n">
        <f aca="false">MONTH(X313)</f>
        <v>4</v>
      </c>
      <c r="AC313" s="368" t="n">
        <f aca="false">(1+Y313/2)^(-(DATE(AA314,AB314,5)-TradeSum!$B$2)/182.625)</f>
        <v>0.203806923598526</v>
      </c>
      <c r="AD313" s="365"/>
      <c r="AF313" s="367" t="n">
        <v>46478</v>
      </c>
      <c r="AG313" s="0" t="n">
        <v>0.0612254980642715</v>
      </c>
      <c r="AI313" s="365" t="n">
        <f aca="false">YEAR(AF313)</f>
        <v>2027</v>
      </c>
      <c r="AJ313" s="365" t="n">
        <f aca="false">MONTH(AF313)</f>
        <v>4</v>
      </c>
      <c r="AK313" s="368" t="n">
        <f aca="false">(1+AG313/2)^(-(DATE(AI314,AJ314,5)-TradeSum!$B$2)/182.625)</f>
        <v>0.214523382276743</v>
      </c>
    </row>
    <row r="314" customFormat="false" ht="12.75" hidden="false" customHeight="false" outlineLevel="0" collapsed="false">
      <c r="X314" s="367" t="n">
        <v>46508</v>
      </c>
      <c r="Y314" s="0" t="n">
        <v>0.0632925572384106</v>
      </c>
      <c r="Z314" s="365"/>
      <c r="AA314" s="365" t="n">
        <f aca="false">YEAR(X314)</f>
        <v>2027</v>
      </c>
      <c r="AB314" s="365" t="n">
        <f aca="false">MONTH(X314)</f>
        <v>5</v>
      </c>
      <c r="AC314" s="368" t="n">
        <f aca="false">(1+Y314/2)^(-(DATE(AA315,AB315,5)-TradeSum!$B$2)/182.625)</f>
        <v>0.202747495618004</v>
      </c>
      <c r="AD314" s="365"/>
      <c r="AF314" s="367" t="n">
        <v>46508</v>
      </c>
      <c r="AG314" s="0" t="n">
        <v>0.0612278357272258</v>
      </c>
      <c r="AI314" s="365" t="n">
        <f aca="false">YEAR(AF314)</f>
        <v>2027</v>
      </c>
      <c r="AJ314" s="365" t="n">
        <f aca="false">MONTH(AF314)</f>
        <v>5</v>
      </c>
      <c r="AK314" s="368" t="n">
        <f aca="false">(1+AG314/2)^(-(DATE(AI315,AJ315,5)-TradeSum!$B$2)/182.625)</f>
        <v>0.213415760107165</v>
      </c>
    </row>
    <row r="315" customFormat="false" ht="12.75" hidden="false" customHeight="false" outlineLevel="0" collapsed="false">
      <c r="X315" s="367" t="n">
        <v>46539</v>
      </c>
      <c r="Y315" s="0" t="n">
        <v>0.0632893475106568</v>
      </c>
      <c r="Z315" s="365"/>
      <c r="AA315" s="365" t="n">
        <f aca="false">YEAR(X315)</f>
        <v>2027</v>
      </c>
      <c r="AB315" s="365" t="n">
        <f aca="false">MONTH(X315)</f>
        <v>6</v>
      </c>
      <c r="AC315" s="368" t="n">
        <f aca="false">(1+Y315/2)^(-(DATE(AA316,AB316,5)-TradeSum!$B$2)/182.625)</f>
        <v>0.201728608269021</v>
      </c>
      <c r="AD315" s="365"/>
      <c r="AF315" s="367" t="n">
        <v>46539</v>
      </c>
      <c r="AG315" s="0" t="n">
        <v>0.0612302513122813</v>
      </c>
      <c r="AI315" s="365" t="n">
        <f aca="false">YEAR(AF315)</f>
        <v>2027</v>
      </c>
      <c r="AJ315" s="365" t="n">
        <f aca="false">MONTH(AF315)</f>
        <v>6</v>
      </c>
      <c r="AK315" s="368" t="n">
        <f aca="false">(1+AG315/2)^(-(DATE(AI316,AJ316,5)-TradeSum!$B$2)/182.625)</f>
        <v>0.212348423590415</v>
      </c>
    </row>
    <row r="316" customFormat="false" ht="12.75" hidden="false" customHeight="false" outlineLevel="0" collapsed="false">
      <c r="X316" s="367" t="n">
        <v>46569</v>
      </c>
      <c r="Y316" s="0" t="n">
        <v>0.0632862413225115</v>
      </c>
      <c r="Z316" s="365"/>
      <c r="AA316" s="365" t="n">
        <f aca="false">YEAR(X316)</f>
        <v>2027</v>
      </c>
      <c r="AB316" s="365" t="n">
        <f aca="false">MONTH(X316)</f>
        <v>7</v>
      </c>
      <c r="AC316" s="368" t="n">
        <f aca="false">(1+Y316/2)^(-(DATE(AA317,AB317,5)-TradeSum!$B$2)/182.625)</f>
        <v>0.200680189009685</v>
      </c>
      <c r="AD316" s="365"/>
      <c r="AF316" s="367" t="n">
        <v>46569</v>
      </c>
      <c r="AG316" s="0" t="n">
        <v>0.0612325889752396</v>
      </c>
      <c r="AI316" s="365" t="n">
        <f aca="false">YEAR(AF316)</f>
        <v>2027</v>
      </c>
      <c r="AJ316" s="365" t="n">
        <f aca="false">MONTH(AF316)</f>
        <v>7</v>
      </c>
      <c r="AK316" s="368" t="n">
        <f aca="false">(1+AG316/2)^(-(DATE(AI317,AJ317,5)-TradeSum!$B$2)/182.625)</f>
        <v>0.211251868427975</v>
      </c>
    </row>
    <row r="317" customFormat="false" ht="12.75" hidden="false" customHeight="false" outlineLevel="0" collapsed="false">
      <c r="X317" s="367" t="n">
        <v>46600</v>
      </c>
      <c r="Y317" s="0" t="n">
        <v>0.0632830315947643</v>
      </c>
      <c r="Z317" s="365"/>
      <c r="AA317" s="365" t="n">
        <f aca="false">YEAR(X317)</f>
        <v>2027</v>
      </c>
      <c r="AB317" s="365" t="n">
        <f aca="false">MONTH(X317)</f>
        <v>8</v>
      </c>
      <c r="AC317" s="368" t="n">
        <f aca="false">(1+Y317/2)^(-(DATE(AA318,AB318,5)-TradeSum!$B$2)/182.625)</f>
        <v>0.199637838803638</v>
      </c>
      <c r="AD317" s="365"/>
      <c r="AF317" s="367" t="n">
        <v>46600</v>
      </c>
      <c r="AG317" s="0" t="n">
        <v>0.0612350045602987</v>
      </c>
      <c r="AI317" s="365" t="n">
        <f aca="false">YEAR(AF317)</f>
        <v>2027</v>
      </c>
      <c r="AJ317" s="365" t="n">
        <f aca="false">MONTH(AF317)</f>
        <v>8</v>
      </c>
      <c r="AK317" s="368" t="n">
        <f aca="false">(1+AG317/2)^(-(DATE(AI318,AJ318,5)-TradeSum!$B$2)/182.625)</f>
        <v>0.210160483976869</v>
      </c>
    </row>
    <row r="318" customFormat="false" ht="12.75" hidden="false" customHeight="false" outlineLevel="0" collapsed="false">
      <c r="X318" s="367" t="n">
        <v>46631</v>
      </c>
      <c r="Y318" s="0" t="n">
        <v>0.0632798218670212</v>
      </c>
      <c r="Z318" s="365"/>
      <c r="AA318" s="365" t="n">
        <f aca="false">YEAR(X318)</f>
        <v>2027</v>
      </c>
      <c r="AB318" s="365" t="n">
        <f aca="false">MONTH(X318)</f>
        <v>9</v>
      </c>
      <c r="AC318" s="368" t="n">
        <f aca="false">(1+Y318/2)^(-(DATE(AA319,AB319,5)-TradeSum!$B$2)/182.625)</f>
        <v>0.198634885107726</v>
      </c>
      <c r="AD318" s="365"/>
      <c r="AF318" s="367" t="n">
        <v>46631</v>
      </c>
      <c r="AG318" s="0" t="n">
        <v>0.0612374201453592</v>
      </c>
      <c r="AI318" s="365" t="n">
        <f aca="false">YEAR(AF318)</f>
        <v>2027</v>
      </c>
      <c r="AJ318" s="365" t="n">
        <f aca="false">MONTH(AF318)</f>
        <v>9</v>
      </c>
      <c r="AK318" s="368" t="n">
        <f aca="false">(1+AG318/2)^(-(DATE(AI319,AJ319,5)-TradeSum!$B$2)/182.625)</f>
        <v>0.209109184895038</v>
      </c>
    </row>
    <row r="319" customFormat="false" ht="12.75" hidden="false" customHeight="false" outlineLevel="0" collapsed="false">
      <c r="X319" s="367" t="n">
        <v>46661</v>
      </c>
      <c r="Y319" s="0" t="n">
        <v>0.0632767156788852</v>
      </c>
      <c r="Z319" s="365"/>
      <c r="AA319" s="365" t="n">
        <f aca="false">YEAR(X319)</f>
        <v>2027</v>
      </c>
      <c r="AB319" s="365" t="n">
        <f aca="false">MONTH(X319)</f>
        <v>10</v>
      </c>
      <c r="AC319" s="368" t="n">
        <f aca="false">(1+Y319/2)^(-(DATE(AA320,AB320,5)-TradeSum!$B$2)/182.625)</f>
        <v>0.197602849263791</v>
      </c>
      <c r="AD319" s="365"/>
      <c r="AF319" s="367" t="n">
        <v>46661</v>
      </c>
      <c r="AG319" s="0" t="n">
        <v>0.0612397578083232</v>
      </c>
      <c r="AI319" s="365" t="n">
        <f aca="false">YEAR(AF319)</f>
        <v>2027</v>
      </c>
      <c r="AJ319" s="365" t="n">
        <f aca="false">MONTH(AF319)</f>
        <v>10</v>
      </c>
      <c r="AK319" s="368" t="n">
        <f aca="false">(1+AG319/2)^(-(DATE(AI320,AJ320,5)-TradeSum!$B$2)/182.625)</f>
        <v>0.20802911535344</v>
      </c>
    </row>
    <row r="320" customFormat="false" ht="12.75" hidden="false" customHeight="false" outlineLevel="0" collapsed="false">
      <c r="X320" s="367" t="n">
        <v>46692</v>
      </c>
      <c r="Y320" s="0" t="n">
        <v>0.0632735059511487</v>
      </c>
      <c r="Z320" s="365"/>
      <c r="AA320" s="365" t="n">
        <f aca="false">YEAR(X320)</f>
        <v>2027</v>
      </c>
      <c r="AB320" s="365" t="n">
        <f aca="false">MONTH(X320)</f>
        <v>11</v>
      </c>
      <c r="AC320" s="368" t="n">
        <f aca="false">(1+Y320/2)^(-(DATE(AA321,AB321,5)-TradeSum!$B$2)/182.625)</f>
        <v>0.19661032015763</v>
      </c>
      <c r="AD320" s="365"/>
      <c r="AF320" s="367" t="n">
        <v>46692</v>
      </c>
      <c r="AG320" s="0" t="n">
        <v>0.0612421733933877</v>
      </c>
      <c r="AI320" s="365" t="n">
        <f aca="false">YEAR(AF320)</f>
        <v>2027</v>
      </c>
      <c r="AJ320" s="365" t="n">
        <f aca="false">MONTH(AF320)</f>
        <v>11</v>
      </c>
      <c r="AK320" s="368" t="n">
        <f aca="false">(1+AG320/2)^(-(DATE(AI321,AJ321,5)-TradeSum!$B$2)/182.625)</f>
        <v>0.206988318747882</v>
      </c>
    </row>
    <row r="321" customFormat="false" ht="12.75" hidden="false" customHeight="false" outlineLevel="0" collapsed="false">
      <c r="X321" s="367" t="n">
        <v>46722</v>
      </c>
      <c r="Y321" s="0" t="n">
        <v>0.0632703997630193</v>
      </c>
      <c r="Z321" s="365"/>
      <c r="AA321" s="365" t="n">
        <f aca="false">YEAR(X321)</f>
        <v>2027</v>
      </c>
      <c r="AB321" s="365" t="n">
        <f aca="false">MONTH(X321)</f>
        <v>12</v>
      </c>
      <c r="AC321" s="368" t="n">
        <f aca="false">(1+Y321/2)^(-(DATE(AA322,AB322,5)-TradeSum!$B$2)/182.625)</f>
        <v>0.195589003259255</v>
      </c>
      <c r="AD321" s="365"/>
      <c r="AF321" s="367" t="n">
        <v>46722</v>
      </c>
      <c r="AG321" s="0" t="n">
        <v>0.0612445110563553</v>
      </c>
      <c r="AI321" s="365" t="n">
        <f aca="false">YEAR(AF321)</f>
        <v>2027</v>
      </c>
      <c r="AJ321" s="365" t="n">
        <f aca="false">MONTH(AF321)</f>
        <v>12</v>
      </c>
      <c r="AK321" s="368" t="n">
        <f aca="false">(1+AG321/2)^(-(DATE(AI322,AJ322,5)-TradeSum!$B$2)/182.625)</f>
        <v>0.205919045107881</v>
      </c>
    </row>
    <row r="322" customFormat="false" ht="12.75" hidden="false" customHeight="false" outlineLevel="0" collapsed="false">
      <c r="X322" s="367" t="n">
        <v>46753</v>
      </c>
      <c r="Y322" s="0" t="n">
        <v>0.063267190035289</v>
      </c>
      <c r="Z322" s="365"/>
      <c r="AA322" s="365" t="n">
        <f aca="false">YEAR(X322)</f>
        <v>2028</v>
      </c>
      <c r="AB322" s="365" t="n">
        <f aca="false">MONTH(X322)</f>
        <v>1</v>
      </c>
      <c r="AC322" s="368" t="n">
        <f aca="false">(1+Y322/2)^(-(DATE(AA323,AB323,5)-TradeSum!$B$2)/182.625)</f>
        <v>0.194573604403905</v>
      </c>
      <c r="AD322" s="365"/>
      <c r="AF322" s="367" t="n">
        <v>46753</v>
      </c>
      <c r="AG322" s="0" t="n">
        <v>0.0612469266414237</v>
      </c>
      <c r="AI322" s="365" t="n">
        <f aca="false">YEAR(AF322)</f>
        <v>2028</v>
      </c>
      <c r="AJ322" s="365" t="n">
        <f aca="false">MONTH(AF322)</f>
        <v>1</v>
      </c>
      <c r="AK322" s="368" t="n">
        <f aca="false">(1+AG322/2)^(-(DATE(AI323,AJ323,5)-TradeSum!$B$2)/182.625)</f>
        <v>0.204854809285578</v>
      </c>
    </row>
    <row r="323" customFormat="false" ht="12.75" hidden="false" customHeight="false" outlineLevel="0" collapsed="false">
      <c r="X323" s="367" t="n">
        <v>46784</v>
      </c>
      <c r="Y323" s="0" t="n">
        <v>0.0632639803075632</v>
      </c>
      <c r="Z323" s="365"/>
      <c r="AA323" s="365" t="n">
        <f aca="false">YEAR(X323)</f>
        <v>2028</v>
      </c>
      <c r="AB323" s="365" t="n">
        <f aca="false">MONTH(X323)</f>
        <v>2</v>
      </c>
      <c r="AC323" s="368" t="n">
        <f aca="false">(1+Y323/2)^(-(DATE(AA324,AB324,5)-TradeSum!$B$2)/182.625)</f>
        <v>0.193629605091847</v>
      </c>
      <c r="AD323" s="365"/>
      <c r="AF323" s="367" t="n">
        <v>46784</v>
      </c>
      <c r="AG323" s="0" t="n">
        <v>0.0612493422264944</v>
      </c>
      <c r="AI323" s="365" t="n">
        <f aca="false">YEAR(AF323)</f>
        <v>2028</v>
      </c>
      <c r="AJ323" s="365" t="n">
        <f aca="false">MONTH(AF323)</f>
        <v>2</v>
      </c>
      <c r="AK323" s="368" t="n">
        <f aca="false">(1+AG323/2)^(-(DATE(AI324,AJ324,5)-TradeSum!$B$2)/182.625)</f>
        <v>0.203863327758219</v>
      </c>
    </row>
    <row r="324" customFormat="false" ht="12.75" hidden="false" customHeight="false" outlineLevel="0" collapsed="false">
      <c r="X324" s="367" t="n">
        <v>46813</v>
      </c>
      <c r="Y324" s="0" t="n">
        <v>0.0632609776590476</v>
      </c>
      <c r="Z324" s="365"/>
      <c r="AA324" s="365" t="n">
        <f aca="false">YEAR(X324)</f>
        <v>2028</v>
      </c>
      <c r="AB324" s="365" t="n">
        <f aca="false">MONTH(X324)</f>
        <v>3</v>
      </c>
      <c r="AC324" s="368" t="n">
        <f aca="false">(1+Y324/2)^(-(DATE(AA325,AB325,5)-TradeSum!$B$2)/182.625)</f>
        <v>0.192623556164559</v>
      </c>
      <c r="AD324" s="365"/>
      <c r="AF324" s="367" t="n">
        <v>46813</v>
      </c>
      <c r="AG324" s="0" t="n">
        <v>0.0612516019673683</v>
      </c>
      <c r="AI324" s="365" t="n">
        <f aca="false">YEAR(AF324)</f>
        <v>2028</v>
      </c>
      <c r="AJ324" s="365" t="n">
        <f aca="false">MONTH(AF324)</f>
        <v>3</v>
      </c>
      <c r="AK324" s="368" t="n">
        <f aca="false">(1+AG324/2)^(-(DATE(AI325,AJ325,5)-TradeSum!$B$2)/182.625)</f>
        <v>0.202810368599334</v>
      </c>
    </row>
    <row r="325" customFormat="false" ht="12.75" hidden="false" customHeight="false" outlineLevel="0" collapsed="false">
      <c r="X325" s="367" t="n">
        <v>46844</v>
      </c>
      <c r="Y325" s="0" t="n">
        <v>0.0632577679313275</v>
      </c>
      <c r="Z325" s="365"/>
      <c r="AA325" s="365" t="n">
        <f aca="false">YEAR(X325)</f>
        <v>2028</v>
      </c>
      <c r="AB325" s="365" t="n">
        <f aca="false">MONTH(X325)</f>
        <v>4</v>
      </c>
      <c r="AC325" s="368" t="n">
        <f aca="false">(1+Y325/2)^(-(DATE(AA326,AB326,5)-TradeSum!$B$2)/182.625)</f>
        <v>0.191656525711594</v>
      </c>
      <c r="AD325" s="365"/>
      <c r="AF325" s="367" t="n">
        <v>46844</v>
      </c>
      <c r="AG325" s="0" t="n">
        <v>0.0612540175524425</v>
      </c>
      <c r="AI325" s="365" t="n">
        <f aca="false">YEAR(AF325)</f>
        <v>2028</v>
      </c>
      <c r="AJ325" s="365" t="n">
        <f aca="false">MONTH(AF325)</f>
        <v>4</v>
      </c>
      <c r="AK325" s="368" t="n">
        <f aca="false">(1+AG325/2)^(-(DATE(AI326,AJ326,5)-TradeSum!$B$2)/182.625)</f>
        <v>0.201795294824085</v>
      </c>
    </row>
    <row r="326" customFormat="false" ht="12.75" hidden="false" customHeight="false" outlineLevel="0" collapsed="false">
      <c r="X326" s="367" t="n">
        <v>46874</v>
      </c>
      <c r="Y326" s="0" t="n">
        <v>0.0632546617432146</v>
      </c>
      <c r="Z326" s="365"/>
      <c r="AA326" s="365" t="n">
        <f aca="false">YEAR(X326)</f>
        <v>2028</v>
      </c>
      <c r="AB326" s="365" t="n">
        <f aca="false">MONTH(X326)</f>
        <v>5</v>
      </c>
      <c r="AC326" s="368" t="n">
        <f aca="false">(1+Y326/2)^(-(DATE(AA327,AB327,5)-TradeSum!$B$2)/182.625)</f>
        <v>0.190661427799453</v>
      </c>
      <c r="AD326" s="365"/>
      <c r="AF326" s="367" t="n">
        <v>46874</v>
      </c>
      <c r="AG326" s="0" t="n">
        <v>0.0612563552154195</v>
      </c>
      <c r="AI326" s="365" t="n">
        <f aca="false">YEAR(AF326)</f>
        <v>2028</v>
      </c>
      <c r="AJ326" s="365" t="n">
        <f aca="false">MONTH(AF326)</f>
        <v>5</v>
      </c>
      <c r="AK326" s="368" t="n">
        <f aca="false">(1+AG326/2)^(-(DATE(AI327,AJ327,5)-TradeSum!$B$2)/182.625)</f>
        <v>0.200752462406775</v>
      </c>
    </row>
    <row r="327" customFormat="false" ht="12.75" hidden="false" customHeight="false" outlineLevel="0" collapsed="false">
      <c r="X327" s="367" t="n">
        <v>46905</v>
      </c>
      <c r="Y327" s="0" t="n">
        <v>0.0632514520155012</v>
      </c>
      <c r="Z327" s="365"/>
      <c r="AA327" s="365" t="n">
        <f aca="false">YEAR(X327)</f>
        <v>2028</v>
      </c>
      <c r="AB327" s="365" t="n">
        <f aca="false">MONTH(X327)</f>
        <v>6</v>
      </c>
      <c r="AC327" s="368" t="n">
        <f aca="false">(1+Y327/2)^(-(DATE(AA328,AB328,5)-TradeSum!$B$2)/182.625)</f>
        <v>0.189704441860066</v>
      </c>
      <c r="AD327" s="365"/>
      <c r="AF327" s="367" t="n">
        <v>46905</v>
      </c>
      <c r="AG327" s="0" t="n">
        <v>0.0612587708004972</v>
      </c>
      <c r="AI327" s="365" t="n">
        <f aca="false">YEAR(AF327)</f>
        <v>2028</v>
      </c>
      <c r="AJ327" s="365" t="n">
        <f aca="false">MONTH(AF327)</f>
        <v>6</v>
      </c>
      <c r="AK327" s="368" t="n">
        <f aca="false">(1+AG327/2)^(-(DATE(AI328,AJ328,5)-TradeSum!$B$2)/182.625)</f>
        <v>0.199747534706249</v>
      </c>
    </row>
    <row r="328" customFormat="false" ht="12.75" hidden="false" customHeight="false" outlineLevel="0" collapsed="false">
      <c r="X328" s="367" t="n">
        <v>46935</v>
      </c>
      <c r="Y328" s="0" t="n">
        <v>0.0632483458273949</v>
      </c>
      <c r="Z328" s="365"/>
      <c r="AA328" s="365" t="n">
        <f aca="false">YEAR(X328)</f>
        <v>2028</v>
      </c>
      <c r="AB328" s="365" t="n">
        <f aca="false">MONTH(X328)</f>
        <v>7</v>
      </c>
      <c r="AC328" s="368" t="n">
        <f aca="false">(1+Y328/2)^(-(DATE(AA329,AB329,5)-TradeSum!$B$2)/182.625)</f>
        <v>0.18871967235049</v>
      </c>
      <c r="AD328" s="365"/>
      <c r="AF328" s="367" t="n">
        <v>46935</v>
      </c>
      <c r="AG328" s="0" t="n">
        <v>0.0612611084634778</v>
      </c>
      <c r="AI328" s="365" t="n">
        <f aca="false">YEAR(AF328)</f>
        <v>2028</v>
      </c>
      <c r="AJ328" s="365" t="n">
        <f aca="false">MONTH(AF328)</f>
        <v>7</v>
      </c>
      <c r="AK328" s="368" t="n">
        <f aca="false">(1+AG328/2)^(-(DATE(AI329,AJ329,5)-TradeSum!$B$2)/182.625)</f>
        <v>0.198715131618483</v>
      </c>
    </row>
    <row r="329" customFormat="false" ht="12.75" hidden="false" customHeight="false" outlineLevel="0" collapsed="false">
      <c r="X329" s="367" t="n">
        <v>46966</v>
      </c>
      <c r="Y329" s="0" t="n">
        <v>0.0632451360996882</v>
      </c>
      <c r="Z329" s="365"/>
      <c r="AA329" s="365" t="n">
        <f aca="false">YEAR(X329)</f>
        <v>2028</v>
      </c>
      <c r="AB329" s="365" t="n">
        <f aca="false">MONTH(X329)</f>
        <v>8</v>
      </c>
      <c r="AC329" s="368" t="n">
        <f aca="false">(1+Y329/2)^(-(DATE(AA330,AB330,5)-TradeSum!$B$2)/182.625)</f>
        <v>0.187740617014525</v>
      </c>
      <c r="AD329" s="365"/>
      <c r="AF329" s="367" t="n">
        <v>46966</v>
      </c>
      <c r="AG329" s="0" t="n">
        <v>0.06126352404856</v>
      </c>
      <c r="AI329" s="365" t="n">
        <f aca="false">YEAR(AF329)</f>
        <v>2028</v>
      </c>
      <c r="AJ329" s="365" t="n">
        <f aca="false">MONTH(AF329)</f>
        <v>8</v>
      </c>
      <c r="AK329" s="368" t="n">
        <f aca="false">(1+AG329/2)^(-(DATE(AI330,AJ330,5)-TradeSum!$B$2)/182.625)</f>
        <v>0.197687586930145</v>
      </c>
    </row>
    <row r="330" customFormat="false" ht="12.75" hidden="false" customHeight="false" outlineLevel="0" collapsed="false">
      <c r="X330" s="367" t="n">
        <v>46997</v>
      </c>
      <c r="Y330" s="0" t="n">
        <v>0.063241926371985</v>
      </c>
      <c r="Z330" s="365"/>
      <c r="AA330" s="365" t="n">
        <f aca="false">YEAR(X330)</f>
        <v>2028</v>
      </c>
      <c r="AB330" s="365" t="n">
        <f aca="false">MONTH(X330)</f>
        <v>9</v>
      </c>
      <c r="AC330" s="368" t="n">
        <f aca="false">(1+Y330/2)^(-(DATE(AA331,AB331,5)-TradeSum!$B$2)/182.625)</f>
        <v>0.18679857961953</v>
      </c>
      <c r="AD330" s="365"/>
      <c r="AF330" s="367" t="n">
        <v>46997</v>
      </c>
      <c r="AG330" s="0" t="n">
        <v>0.061265939633643</v>
      </c>
      <c r="AI330" s="365" t="n">
        <f aca="false">YEAR(AF330)</f>
        <v>2028</v>
      </c>
      <c r="AJ330" s="365" t="n">
        <f aca="false">MONTH(AF330)</f>
        <v>9</v>
      </c>
      <c r="AK330" s="368" t="n">
        <f aca="false">(1+AG330/2)^(-(DATE(AI331,AJ331,5)-TradeSum!$B$2)/182.625)</f>
        <v>0.196697772942587</v>
      </c>
    </row>
    <row r="331" customFormat="false" ht="12.75" hidden="false" customHeight="false" outlineLevel="0" collapsed="false">
      <c r="X331" s="367" t="n">
        <v>47027</v>
      </c>
      <c r="Y331" s="0" t="n">
        <v>0.0632388201838885</v>
      </c>
      <c r="Z331" s="365"/>
      <c r="AA331" s="365" t="n">
        <f aca="false">YEAR(X331)</f>
        <v>2028</v>
      </c>
      <c r="AB331" s="365" t="n">
        <f aca="false">MONTH(X331)</f>
        <v>10</v>
      </c>
      <c r="AC331" s="368" t="n">
        <f aca="false">(1+Y331/2)^(-(DATE(AA332,AB332,5)-TradeSum!$B$2)/182.625)</f>
        <v>0.18582918128817</v>
      </c>
      <c r="AD331" s="365"/>
      <c r="AF331" s="367" t="n">
        <v>47027</v>
      </c>
      <c r="AG331" s="0" t="n">
        <v>0.0612682772966293</v>
      </c>
      <c r="AI331" s="365" t="n">
        <f aca="false">YEAR(AF331)</f>
        <v>2028</v>
      </c>
      <c r="AJ331" s="365" t="n">
        <f aca="false">MONTH(AF331)</f>
        <v>10</v>
      </c>
      <c r="AK331" s="368" t="n">
        <f aca="false">(1+AG331/2)^(-(DATE(AI332,AJ332,5)-TradeSum!$B$2)/182.625)</f>
        <v>0.195680905393681</v>
      </c>
    </row>
    <row r="332" customFormat="false" ht="12.75" hidden="false" customHeight="false" outlineLevel="0" collapsed="false">
      <c r="X332" s="367" t="n">
        <v>47058</v>
      </c>
      <c r="Y332" s="0" t="n">
        <v>0.063235610456192</v>
      </c>
      <c r="Z332" s="365"/>
      <c r="AA332" s="365" t="n">
        <f aca="false">YEAR(X332)</f>
        <v>2028</v>
      </c>
      <c r="AB332" s="365" t="n">
        <f aca="false">MONTH(X332)</f>
        <v>11</v>
      </c>
      <c r="AC332" s="368" t="n">
        <f aca="false">(1+Y332/2)^(-(DATE(AA333,AB333,5)-TradeSum!$B$2)/182.625)</f>
        <v>0.184896924120644</v>
      </c>
      <c r="AD332" s="365"/>
      <c r="AF332" s="367" t="n">
        <v>47058</v>
      </c>
      <c r="AG332" s="0" t="n">
        <v>0.0612706928817168</v>
      </c>
      <c r="AI332" s="365" t="n">
        <f aca="false">YEAR(AF332)</f>
        <v>2028</v>
      </c>
      <c r="AJ332" s="365" t="n">
        <f aca="false">MONTH(AF332)</f>
        <v>11</v>
      </c>
      <c r="AK332" s="368" t="n">
        <f aca="false">(1+AG332/2)^(-(DATE(AI333,AJ333,5)-TradeSum!$B$2)/182.625)</f>
        <v>0.194700988843723</v>
      </c>
    </row>
    <row r="333" customFormat="false" ht="12.75" hidden="false" customHeight="false" outlineLevel="0" collapsed="false">
      <c r="X333" s="367" t="n">
        <v>47088</v>
      </c>
      <c r="Y333" s="0" t="n">
        <v>0.0632325042681021</v>
      </c>
      <c r="Z333" s="365"/>
      <c r="AA333" s="365" t="n">
        <f aca="false">YEAR(X333)</f>
        <v>2028</v>
      </c>
      <c r="AB333" s="365" t="n">
        <f aca="false">MONTH(X333)</f>
        <v>12</v>
      </c>
      <c r="AC333" s="368" t="n">
        <f aca="false">(1+Y333/2)^(-(DATE(AA334,AB334,5)-TradeSum!$B$2)/182.625)</f>
        <v>0.183937582621913</v>
      </c>
      <c r="AD333" s="365"/>
      <c r="AF333" s="367" t="n">
        <v>47088</v>
      </c>
      <c r="AG333" s="0" t="n">
        <v>0.0612730305447067</v>
      </c>
      <c r="AI333" s="365" t="n">
        <f aca="false">YEAR(AF333)</f>
        <v>2028</v>
      </c>
      <c r="AJ333" s="365" t="n">
        <f aca="false">MONTH(AF333)</f>
        <v>12</v>
      </c>
      <c r="AK333" s="368" t="n">
        <f aca="false">(1+AG333/2)^(-(DATE(AI334,AJ334,5)-TradeSum!$B$2)/182.625)</f>
        <v>0.193694294896669</v>
      </c>
    </row>
    <row r="334" customFormat="false" ht="12.75" hidden="false" customHeight="false" outlineLevel="0" collapsed="false">
      <c r="X334" s="367" t="n">
        <v>47119</v>
      </c>
      <c r="Y334" s="0" t="n">
        <v>0.0632292945404123</v>
      </c>
      <c r="Z334" s="365"/>
      <c r="AA334" s="365" t="n">
        <f aca="false">YEAR(X334)</f>
        <v>2029</v>
      </c>
      <c r="AB334" s="365" t="n">
        <f aca="false">MONTH(X334)</f>
        <v>1</v>
      </c>
      <c r="AC334" s="368" t="n">
        <f aca="false">(1+Y334/2)^(-(DATE(AA335,AB335,5)-TradeSum!$B$2)/182.625)</f>
        <v>0.182983813290873</v>
      </c>
      <c r="AD334" s="365"/>
      <c r="AF334" s="367" t="n">
        <v>47119</v>
      </c>
      <c r="AG334" s="0" t="n">
        <v>0.0612754461297982</v>
      </c>
      <c r="AI334" s="365" t="n">
        <f aca="false">YEAR(AF334)</f>
        <v>2029</v>
      </c>
      <c r="AJ334" s="365" t="n">
        <f aca="false">MONTH(AF334)</f>
        <v>1</v>
      </c>
      <c r="AK334" s="368" t="n">
        <f aca="false">(1+AG334/2)^(-(DATE(AI335,AJ335,5)-TradeSum!$B$2)/182.625)</f>
        <v>0.1926923343736</v>
      </c>
    </row>
    <row r="335" customFormat="false" ht="12.75" hidden="false" customHeight="false" outlineLevel="0" collapsed="false">
      <c r="X335" s="367" t="n">
        <v>47150</v>
      </c>
      <c r="Y335" s="0" t="n">
        <v>0.063226084812726</v>
      </c>
      <c r="Z335" s="365"/>
      <c r="AA335" s="365" t="n">
        <f aca="false">YEAR(X335)</f>
        <v>2029</v>
      </c>
      <c r="AB335" s="365" t="n">
        <f aca="false">MONTH(X335)</f>
        <v>2</v>
      </c>
      <c r="AC335" s="368" t="n">
        <f aca="false">(1+Y335/2)^(-(DATE(AA336,AB336,5)-TradeSum!$B$2)/182.625)</f>
        <v>0.182128178796309</v>
      </c>
      <c r="AD335" s="365"/>
      <c r="AF335" s="367" t="n">
        <v>47150</v>
      </c>
      <c r="AG335" s="0" t="n">
        <v>0.0612778617148915</v>
      </c>
      <c r="AI335" s="365" t="n">
        <f aca="false">YEAR(AF335)</f>
        <v>2029</v>
      </c>
      <c r="AJ335" s="365" t="n">
        <f aca="false">MONTH(AF335)</f>
        <v>2</v>
      </c>
      <c r="AK335" s="368" t="n">
        <f aca="false">(1+AG335/2)^(-(DATE(AI336,AJ336,5)-TradeSum!$B$2)/182.625)</f>
        <v>0.191790537704077</v>
      </c>
    </row>
    <row r="336" customFormat="false" ht="12.75" hidden="false" customHeight="false" outlineLevel="0" collapsed="false">
      <c r="X336" s="367" t="n">
        <v>47178</v>
      </c>
      <c r="Y336" s="0" t="n">
        <v>0.0632231857038512</v>
      </c>
      <c r="Z336" s="365"/>
      <c r="AA336" s="365" t="n">
        <f aca="false">YEAR(X336)</f>
        <v>2029</v>
      </c>
      <c r="AB336" s="365" t="n">
        <f aca="false">MONTH(X336)</f>
        <v>3</v>
      </c>
      <c r="AC336" s="368" t="n">
        <f aca="false">(1+Y336/2)^(-(DATE(AA337,AB337,5)-TradeSum!$B$2)/182.625)</f>
        <v>0.181182481343218</v>
      </c>
      <c r="AD336" s="365"/>
      <c r="AF336" s="367" t="n">
        <v>47178</v>
      </c>
      <c r="AG336" s="0" t="n">
        <v>0.0612800435336869</v>
      </c>
      <c r="AI336" s="365" t="n">
        <f aca="false">YEAR(AF336)</f>
        <v>2029</v>
      </c>
      <c r="AJ336" s="365" t="n">
        <f aca="false">MONTH(AF336)</f>
        <v>3</v>
      </c>
      <c r="AK336" s="368" t="n">
        <f aca="false">(1+AG336/2)^(-(DATE(AI337,AJ337,5)-TradeSum!$B$2)/182.625)</f>
        <v>0.190799464689428</v>
      </c>
    </row>
    <row r="337" customFormat="false" ht="12.75" hidden="false" customHeight="false" outlineLevel="0" collapsed="false">
      <c r="X337" s="367" t="n">
        <v>47209</v>
      </c>
      <c r="Y337" s="0" t="n">
        <v>0.0632199759761711</v>
      </c>
      <c r="Z337" s="365"/>
      <c r="AA337" s="365" t="n">
        <f aca="false">YEAR(X337)</f>
        <v>2029</v>
      </c>
      <c r="AB337" s="365" t="n">
        <f aca="false">MONTH(X337)</f>
        <v>4</v>
      </c>
      <c r="AC337" s="368" t="n">
        <f aca="false">(1+Y337/2)^(-(DATE(AA338,AB338,5)-TradeSum!$B$2)/182.625)</f>
        <v>0.180273991876014</v>
      </c>
      <c r="AD337" s="365"/>
      <c r="AF337" s="367" t="n">
        <v>47209</v>
      </c>
      <c r="AG337" s="0" t="n">
        <v>0.0612824591187837</v>
      </c>
      <c r="AI337" s="365" t="n">
        <f aca="false">YEAR(AF337)</f>
        <v>2029</v>
      </c>
      <c r="AJ337" s="365" t="n">
        <f aca="false">MONTH(AF337)</f>
        <v>4</v>
      </c>
      <c r="AK337" s="368" t="n">
        <f aca="false">(1+AG337/2)^(-(DATE(AI338,AJ338,5)-TradeSum!$B$2)/182.625)</f>
        <v>0.189843631165158</v>
      </c>
    </row>
    <row r="338" customFormat="false" ht="12.75" hidden="false" customHeight="false" outlineLevel="0" collapsed="false">
      <c r="X338" s="367" t="n">
        <v>47239</v>
      </c>
      <c r="Y338" s="0" t="n">
        <v>0.0632168697880973</v>
      </c>
      <c r="Z338" s="365"/>
      <c r="AA338" s="365" t="n">
        <f aca="false">YEAR(X338)</f>
        <v>2029</v>
      </c>
      <c r="AB338" s="365" t="n">
        <f aca="false">MONTH(X338)</f>
        <v>5</v>
      </c>
      <c r="AC338" s="368" t="n">
        <f aca="false">(1+Y338/2)^(-(DATE(AA339,AB339,5)-TradeSum!$B$2)/182.625)</f>
        <v>0.179339090589678</v>
      </c>
      <c r="AD338" s="365"/>
      <c r="AF338" s="367" t="n">
        <v>47239</v>
      </c>
      <c r="AG338" s="0" t="n">
        <v>0.0612847967817824</v>
      </c>
      <c r="AI338" s="365" t="n">
        <f aca="false">YEAR(AF338)</f>
        <v>2029</v>
      </c>
      <c r="AJ338" s="365" t="n">
        <f aca="false">MONTH(AF338)</f>
        <v>5</v>
      </c>
      <c r="AK338" s="368" t="n">
        <f aca="false">(1+AG338/2)^(-(DATE(AI339,AJ339,5)-TradeSum!$B$2)/182.625)</f>
        <v>0.188861691972096</v>
      </c>
    </row>
    <row r="339" customFormat="false" ht="12.75" hidden="false" customHeight="false" outlineLevel="0" collapsed="false">
      <c r="X339" s="367" t="n">
        <v>47270</v>
      </c>
      <c r="Y339" s="0" t="n">
        <v>0.0632136600604243</v>
      </c>
      <c r="Z339" s="365"/>
      <c r="AA339" s="365" t="n">
        <f aca="false">YEAR(X339)</f>
        <v>2029</v>
      </c>
      <c r="AB339" s="365" t="n">
        <f aca="false">MONTH(X339)</f>
        <v>6</v>
      </c>
      <c r="AC339" s="368" t="n">
        <f aca="false">(1+Y339/2)^(-(DATE(AA340,AB340,5)-TradeSum!$B$2)/182.625)</f>
        <v>0.178440026796394</v>
      </c>
      <c r="AD339" s="365"/>
      <c r="AF339" s="367" t="n">
        <v>47270</v>
      </c>
      <c r="AG339" s="0" t="n">
        <v>0.0612872123668837</v>
      </c>
      <c r="AI339" s="365" t="n">
        <f aca="false">YEAR(AF339)</f>
        <v>2029</v>
      </c>
      <c r="AJ339" s="365" t="n">
        <f aca="false">MONTH(AF339)</f>
        <v>6</v>
      </c>
      <c r="AK339" s="368" t="n">
        <f aca="false">(1+AG339/2)^(-(DATE(AI340,AJ340,5)-TradeSum!$B$2)/182.625)</f>
        <v>0.187915421249189</v>
      </c>
    </row>
    <row r="340" customFormat="false" ht="12.75" hidden="false" customHeight="false" outlineLevel="0" collapsed="false">
      <c r="X340" s="367" t="n">
        <v>47300</v>
      </c>
      <c r="Y340" s="0" t="n">
        <v>0.0632105538723566</v>
      </c>
      <c r="Z340" s="365"/>
      <c r="AA340" s="365" t="n">
        <f aca="false">YEAR(X340)</f>
        <v>2029</v>
      </c>
      <c r="AB340" s="365" t="n">
        <f aca="false">MONTH(X340)</f>
        <v>7</v>
      </c>
      <c r="AC340" s="368" t="n">
        <f aca="false">(1+Y340/2)^(-(DATE(AA341,AB341,5)-TradeSum!$B$2)/182.625)</f>
        <v>0.177514818009887</v>
      </c>
      <c r="AD340" s="365"/>
      <c r="AF340" s="367" t="n">
        <v>47300</v>
      </c>
      <c r="AG340" s="0" t="n">
        <v>0.061289550029886</v>
      </c>
      <c r="AI340" s="365" t="n">
        <f aca="false">YEAR(AF340)</f>
        <v>2029</v>
      </c>
      <c r="AJ340" s="365" t="n">
        <f aca="false">MONTH(AF340)</f>
        <v>7</v>
      </c>
      <c r="AK340" s="368" t="n">
        <f aca="false">(1+AG340/2)^(-(DATE(AI341,AJ341,5)-TradeSum!$B$2)/182.625)</f>
        <v>0.186943311484944</v>
      </c>
    </row>
    <row r="341" customFormat="false" ht="12.75" hidden="false" customHeight="false" outlineLevel="0" collapsed="false">
      <c r="X341" s="367" t="n">
        <v>47331</v>
      </c>
      <c r="Y341" s="0" t="n">
        <v>0.0632073441446903</v>
      </c>
      <c r="Z341" s="365"/>
      <c r="AA341" s="365" t="n">
        <f aca="false">YEAR(X341)</f>
        <v>2029</v>
      </c>
      <c r="AB341" s="365" t="n">
        <f aca="false">MONTH(X341)</f>
        <v>8</v>
      </c>
      <c r="AC341" s="368" t="n">
        <f aca="false">(1+Y341/2)^(-(DATE(AA342,AB342,5)-TradeSum!$B$2)/182.625)</f>
        <v>0.176594990555015</v>
      </c>
      <c r="AD341" s="365"/>
      <c r="AF341" s="367" t="n">
        <v>47331</v>
      </c>
      <c r="AG341" s="0" t="n">
        <v>0.0612919656149908</v>
      </c>
      <c r="AI341" s="365" t="n">
        <f aca="false">YEAR(AF341)</f>
        <v>2029</v>
      </c>
      <c r="AJ341" s="365" t="n">
        <f aca="false">MONTH(AF341)</f>
        <v>8</v>
      </c>
      <c r="AK341" s="368" t="n">
        <f aca="false">(1+AG341/2)^(-(DATE(AI342,AJ342,5)-TradeSum!$B$2)/182.625)</f>
        <v>0.185975767199475</v>
      </c>
    </row>
    <row r="342" customFormat="false" ht="12.75" hidden="false" customHeight="false" outlineLevel="0" collapsed="false">
      <c r="X342" s="367" t="n">
        <v>47362</v>
      </c>
      <c r="Y342" s="0" t="n">
        <v>0.0632041344170276</v>
      </c>
      <c r="Z342" s="365"/>
      <c r="AA342" s="365" t="n">
        <f aca="false">YEAR(X342)</f>
        <v>2029</v>
      </c>
      <c r="AB342" s="365" t="n">
        <f aca="false">MONTH(X342)</f>
        <v>9</v>
      </c>
      <c r="AC342" s="368" t="n">
        <f aca="false">(1+Y342/2)^(-(DATE(AA343,AB343,5)-TradeSum!$B$2)/182.625)</f>
        <v>0.175709954537385</v>
      </c>
      <c r="AD342" s="365"/>
      <c r="AF342" s="367" t="n">
        <v>47362</v>
      </c>
      <c r="AG342" s="0" t="n">
        <v>0.061294381200097</v>
      </c>
      <c r="AI342" s="365" t="n">
        <f aca="false">YEAR(AF342)</f>
        <v>2029</v>
      </c>
      <c r="AJ342" s="365" t="n">
        <f aca="false">MONTH(AF342)</f>
        <v>9</v>
      </c>
      <c r="AK342" s="368" t="n">
        <f aca="false">(1+AG342/2)^(-(DATE(AI343,AJ343,5)-TradeSum!$B$2)/182.625)</f>
        <v>0.185043741168856</v>
      </c>
    </row>
    <row r="343" customFormat="false" ht="12.75" hidden="false" customHeight="false" outlineLevel="0" collapsed="false">
      <c r="X343" s="367" t="n">
        <v>47392</v>
      </c>
      <c r="Y343" s="0" t="n">
        <v>0.0632010282289701</v>
      </c>
      <c r="Z343" s="365"/>
      <c r="AA343" s="365" t="n">
        <f aca="false">YEAR(X343)</f>
        <v>2029</v>
      </c>
      <c r="AB343" s="365" t="n">
        <f aca="false">MONTH(X343)</f>
        <v>10</v>
      </c>
      <c r="AC343" s="368" t="n">
        <f aca="false">(1+Y343/2)^(-(DATE(AA344,AB344,5)-TradeSum!$B$2)/182.625)</f>
        <v>0.174799170763963</v>
      </c>
      <c r="AD343" s="365"/>
      <c r="AF343" s="367" t="n">
        <v>47392</v>
      </c>
      <c r="AG343" s="0" t="n">
        <v>0.0612967188631051</v>
      </c>
      <c r="AI343" s="365" t="n">
        <f aca="false">YEAR(AF343)</f>
        <v>2029</v>
      </c>
      <c r="AJ343" s="365" t="n">
        <f aca="false">MONTH(AF343)</f>
        <v>10</v>
      </c>
      <c r="AK343" s="368" t="n">
        <f aca="false">(1+AG343/2)^(-(DATE(AI344,AJ344,5)-TradeSum!$B$2)/182.625)</f>
        <v>0.184086273156455</v>
      </c>
    </row>
    <row r="344" customFormat="false" ht="12.75" hidden="false" customHeight="false" outlineLevel="0" collapsed="false">
      <c r="X344" s="367" t="n">
        <v>47423</v>
      </c>
      <c r="Y344" s="0" t="n">
        <v>0.063197818501314</v>
      </c>
      <c r="Z344" s="365"/>
      <c r="AA344" s="365" t="n">
        <f aca="false">YEAR(X344)</f>
        <v>2029</v>
      </c>
      <c r="AB344" s="365" t="n">
        <f aca="false">MONTH(X344)</f>
        <v>11</v>
      </c>
      <c r="AC344" s="368" t="n">
        <f aca="false">(1+Y344/2)^(-(DATE(AA345,AB345,5)-TradeSum!$B$2)/182.625)</f>
        <v>0.173923312687685</v>
      </c>
      <c r="AD344" s="365"/>
      <c r="AF344" s="367" t="n">
        <v>47423</v>
      </c>
      <c r="AG344" s="0" t="n">
        <v>0.0612991344482157</v>
      </c>
      <c r="AI344" s="365" t="n">
        <f aca="false">YEAR(AF344)</f>
        <v>2029</v>
      </c>
      <c r="AJ344" s="365" t="n">
        <f aca="false">MONTH(AF344)</f>
        <v>11</v>
      </c>
      <c r="AK344" s="368" t="n">
        <f aca="false">(1+AG344/2)^(-(DATE(AI345,AJ345,5)-TradeSum!$B$2)/182.625)</f>
        <v>0.183163575361066</v>
      </c>
    </row>
    <row r="345" customFormat="false" ht="12.75" hidden="false" customHeight="false" outlineLevel="0" collapsed="false">
      <c r="X345" s="367" t="n">
        <v>47453</v>
      </c>
      <c r="Y345" s="0" t="n">
        <v>0.0631947123132628</v>
      </c>
      <c r="Z345" s="365"/>
      <c r="AA345" s="365" t="n">
        <f aca="false">YEAR(X345)</f>
        <v>2029</v>
      </c>
      <c r="AB345" s="365" t="n">
        <f aca="false">MONTH(X345)</f>
        <v>12</v>
      </c>
      <c r="AC345" s="368" t="n">
        <f aca="false">(1+Y345/2)^(-(DATE(AA346,AB346,5)-TradeSum!$B$2)/182.625)</f>
        <v>0.17302196684324</v>
      </c>
      <c r="AD345" s="365"/>
      <c r="AF345" s="367" t="n">
        <v>47453</v>
      </c>
      <c r="AG345" s="0" t="n">
        <v>0.0613014721112273</v>
      </c>
      <c r="AI345" s="365" t="n">
        <f aca="false">YEAR(AF345)</f>
        <v>2029</v>
      </c>
      <c r="AJ345" s="365" t="n">
        <f aca="false">MONTH(AF345)</f>
        <v>12</v>
      </c>
      <c r="AK345" s="368" t="n">
        <f aca="false">(1+AG345/2)^(-(DATE(AI346,AJ346,5)-TradeSum!$B$2)/182.625)</f>
        <v>0.182215695530859</v>
      </c>
    </row>
    <row r="346" customFormat="false" ht="12.75" hidden="false" customHeight="false" outlineLevel="0" collapsed="false">
      <c r="X346" s="367" t="n">
        <v>47484</v>
      </c>
      <c r="Y346" s="0" t="n">
        <v>0.0631915025856134</v>
      </c>
      <c r="Z346" s="365"/>
      <c r="AA346" s="365" t="n">
        <f aca="false">YEAR(X346)</f>
        <v>2030</v>
      </c>
      <c r="AB346" s="365" t="n">
        <f aca="false">MONTH(X346)</f>
        <v>1</v>
      </c>
      <c r="AC346" s="368" t="n">
        <f aca="false">(1+Y346/2)^(-(DATE(AA347,AB347,5)-TradeSum!$B$2)/182.625)</f>
        <v>0.172125868759761</v>
      </c>
      <c r="AD346" s="365"/>
      <c r="AF346" s="367" t="n">
        <v>47484</v>
      </c>
      <c r="AG346" s="0" t="n">
        <v>0.0613038876963414</v>
      </c>
      <c r="AI346" s="365" t="n">
        <f aca="false">YEAR(AF346)</f>
        <v>2030</v>
      </c>
      <c r="AJ346" s="365" t="n">
        <f aca="false">MONTH(AF346)</f>
        <v>1</v>
      </c>
      <c r="AK346" s="368" t="n">
        <f aca="false">(1+AG346/2)^(-(DATE(AI347,AJ347,5)-TradeSum!$B$2)/182.625)</f>
        <v>0.181272263637181</v>
      </c>
    </row>
    <row r="347" customFormat="false" ht="12.75" hidden="false" customHeight="false" outlineLevel="0" collapsed="false">
      <c r="X347" s="367" t="n">
        <v>47515</v>
      </c>
      <c r="Y347" s="0" t="n">
        <v>0.063188292857967</v>
      </c>
      <c r="Z347" s="365"/>
      <c r="AA347" s="365" t="n">
        <f aca="false">YEAR(X347)</f>
        <v>2030</v>
      </c>
      <c r="AB347" s="365" t="n">
        <f aca="false">MONTH(X347)</f>
        <v>2</v>
      </c>
      <c r="AC347" s="368" t="n">
        <f aca="false">(1+Y347/2)^(-(DATE(AA348,AB348,5)-TradeSum!$B$2)/182.625)</f>
        <v>0.17132202023253</v>
      </c>
      <c r="AD347" s="365"/>
      <c r="AF347" s="367" t="n">
        <v>47515</v>
      </c>
      <c r="AG347" s="0" t="n">
        <v>0.0613063032814578</v>
      </c>
      <c r="AI347" s="365" t="n">
        <f aca="false">YEAR(AF347)</f>
        <v>2030</v>
      </c>
      <c r="AJ347" s="365" t="n">
        <f aca="false">MONTH(AF347)</f>
        <v>2</v>
      </c>
      <c r="AK347" s="368" t="n">
        <f aca="false">(1+AG347/2)^(-(DATE(AI348,AJ348,5)-TradeSum!$B$2)/182.625)</f>
        <v>0.180423108591181</v>
      </c>
    </row>
    <row r="348" customFormat="false" ht="12.75" hidden="false" customHeight="false" outlineLevel="0" collapsed="false">
      <c r="X348" s="367" t="n">
        <v>47543</v>
      </c>
      <c r="Y348" s="0" t="n">
        <v>0.0631853937491282</v>
      </c>
      <c r="Z348" s="365"/>
      <c r="AA348" s="365" t="n">
        <f aca="false">YEAR(X348)</f>
        <v>2030</v>
      </c>
      <c r="AB348" s="365" t="n">
        <f aca="false">MONTH(X348)</f>
        <v>3</v>
      </c>
      <c r="AC348" s="368" t="n">
        <f aca="false">(1+Y348/2)^(-(DATE(AA349,AB349,5)-TradeSum!$B$2)/182.625)</f>
        <v>0.170433442378473</v>
      </c>
      <c r="AD348" s="365"/>
      <c r="AF348" s="367" t="n">
        <v>47543</v>
      </c>
      <c r="AG348" s="0" t="n">
        <v>0.0613084851002736</v>
      </c>
      <c r="AI348" s="365" t="n">
        <f aca="false">YEAR(AF348)</f>
        <v>2030</v>
      </c>
      <c r="AJ348" s="365" t="n">
        <f aca="false">MONTH(AF348)</f>
        <v>3</v>
      </c>
      <c r="AK348" s="368" t="n">
        <f aca="false">(1+AG348/2)^(-(DATE(AI349,AJ349,5)-TradeSum!$B$2)/182.625)</f>
        <v>0.179489976536191</v>
      </c>
    </row>
    <row r="349" customFormat="false" ht="12.75" hidden="false" customHeight="false" outlineLevel="0" collapsed="false">
      <c r="X349" s="367" t="n">
        <v>47574</v>
      </c>
      <c r="Y349" s="0" t="n">
        <v>0.063182184021489</v>
      </c>
      <c r="Z349" s="365"/>
      <c r="AA349" s="365" t="n">
        <f aca="false">YEAR(X349)</f>
        <v>2030</v>
      </c>
      <c r="AB349" s="365" t="n">
        <f aca="false">MONTH(X349)</f>
        <v>4</v>
      </c>
      <c r="AC349" s="368" t="n">
        <f aca="false">(1+Y349/2)^(-(DATE(AA350,AB350,5)-TradeSum!$B$2)/182.625)</f>
        <v>0.169579888794623</v>
      </c>
      <c r="AD349" s="365"/>
      <c r="AF349" s="367" t="n">
        <v>47574</v>
      </c>
      <c r="AG349" s="0" t="n">
        <v>0.0613109006853936</v>
      </c>
      <c r="AI349" s="365" t="n">
        <f aca="false">YEAR(AF349)</f>
        <v>2030</v>
      </c>
      <c r="AJ349" s="365" t="n">
        <f aca="false">MONTH(AF349)</f>
        <v>4</v>
      </c>
      <c r="AK349" s="368" t="n">
        <f aca="false">(1+AG349/2)^(-(DATE(AI350,AJ350,5)-TradeSum!$B$2)/182.625)</f>
        <v>0.17858997637564</v>
      </c>
    </row>
    <row r="350" customFormat="false" ht="12.75" hidden="false" customHeight="false" outlineLevel="0" collapsed="false">
      <c r="X350" s="367" t="n">
        <v>47604</v>
      </c>
      <c r="Y350" s="0" t="n">
        <v>0.0631790778334538</v>
      </c>
      <c r="Z350" s="365"/>
      <c r="AA350" s="365" t="n">
        <f aca="false">YEAR(X350)</f>
        <v>2030</v>
      </c>
      <c r="AB350" s="365" t="n">
        <f aca="false">MONTH(X350)</f>
        <v>5</v>
      </c>
      <c r="AC350" s="368" t="n">
        <f aca="false">(1+Y350/2)^(-(DATE(AA351,AB351,5)-TradeSum!$B$2)/182.625)</f>
        <v>0.16870147956536</v>
      </c>
      <c r="AD350" s="365"/>
      <c r="AF350" s="367" t="n">
        <v>47604</v>
      </c>
      <c r="AG350" s="0" t="n">
        <v>0.0613132383484145</v>
      </c>
      <c r="AI350" s="365" t="n">
        <f aca="false">YEAR(AF350)</f>
        <v>2030</v>
      </c>
      <c r="AJ350" s="365" t="n">
        <f aca="false">MONTH(AF350)</f>
        <v>5</v>
      </c>
      <c r="AK350" s="368" t="n">
        <f aca="false">(1+AG350/2)^(-(DATE(AI351,AJ351,5)-TradeSum!$B$2)/182.625)</f>
        <v>0.177665426452107</v>
      </c>
    </row>
    <row r="351" customFormat="false" ht="12.75" hidden="false" customHeight="false" outlineLevel="0" collapsed="false">
      <c r="X351" s="367" t="n">
        <v>47635</v>
      </c>
      <c r="Y351" s="0" t="n">
        <v>0.0631758681058208</v>
      </c>
      <c r="Z351" s="365"/>
      <c r="AA351" s="365" t="n">
        <f aca="false">YEAR(X351)</f>
        <v>2030</v>
      </c>
      <c r="AB351" s="365" t="n">
        <f aca="false">MONTH(X351)</f>
        <v>6</v>
      </c>
      <c r="AC351" s="368" t="n">
        <f aca="false">(1+Y351/2)^(-(DATE(AA352,AB352,5)-TradeSum!$B$2)/182.625)</f>
        <v>0.167856771565262</v>
      </c>
      <c r="AD351" s="365"/>
      <c r="AF351" s="367" t="n">
        <v>47635</v>
      </c>
      <c r="AG351" s="0" t="n">
        <v>0.0613156539335384</v>
      </c>
      <c r="AI351" s="365" t="n">
        <f aca="false">YEAR(AF351)</f>
        <v>2030</v>
      </c>
      <c r="AJ351" s="365" t="n">
        <f aca="false">MONTH(AF351)</f>
        <v>6</v>
      </c>
      <c r="AK351" s="368" t="n">
        <f aca="false">(1+AG351/2)^(-(DATE(AI352,AJ352,5)-TradeSum!$B$2)/182.625)</f>
        <v>0.176774438837566</v>
      </c>
    </row>
    <row r="352" customFormat="false" ht="12.75" hidden="false" customHeight="false" outlineLevel="0" collapsed="false">
      <c r="X352" s="367" t="n">
        <v>47665</v>
      </c>
      <c r="Y352" s="0" t="n">
        <v>0.0631727619177922</v>
      </c>
      <c r="Z352" s="365"/>
      <c r="AA352" s="365" t="n">
        <f aca="false">YEAR(X352)</f>
        <v>2030</v>
      </c>
      <c r="AB352" s="365" t="n">
        <f aca="false">MONTH(X352)</f>
        <v>7</v>
      </c>
      <c r="AC352" s="368" t="n">
        <f aca="false">(1+Y352/2)^(-(DATE(AA353,AB353,5)-TradeSum!$B$2)/182.625)</f>
        <v>0.166987458725977</v>
      </c>
      <c r="AD352" s="365"/>
      <c r="AF352" s="367" t="n">
        <v>47665</v>
      </c>
      <c r="AG352" s="0" t="n">
        <v>0.0613179915965629</v>
      </c>
      <c r="AI352" s="365" t="n">
        <f aca="false">YEAR(AF352)</f>
        <v>2030</v>
      </c>
      <c r="AJ352" s="365" t="n">
        <f aca="false">MONTH(AF352)</f>
        <v>7</v>
      </c>
      <c r="AK352" s="368" t="n">
        <f aca="false">(1+AG352/2)^(-(DATE(AI353,AJ353,5)-TradeSum!$B$2)/182.625)</f>
        <v>0.175859152422021</v>
      </c>
    </row>
    <row r="353" customFormat="false" ht="12.75" hidden="false" customHeight="false" outlineLevel="0" collapsed="false">
      <c r="X353" s="367" t="n">
        <v>47696</v>
      </c>
      <c r="Y353" s="0" t="n">
        <v>0.0631695521901667</v>
      </c>
      <c r="Z353" s="365"/>
      <c r="AA353" s="365" t="n">
        <f aca="false">YEAR(X353)</f>
        <v>2030</v>
      </c>
      <c r="AB353" s="365" t="n">
        <f aca="false">MONTH(X353)</f>
        <v>8</v>
      </c>
      <c r="AC353" s="368" t="n">
        <f aca="false">(1+Y353/2)^(-(DATE(AA354,AB354,5)-TradeSum!$B$2)/182.625)</f>
        <v>0.166123214140867</v>
      </c>
      <c r="AD353" s="365"/>
      <c r="AF353" s="367" t="n">
        <v>47696</v>
      </c>
      <c r="AG353" s="0" t="n">
        <v>0.0613204071816904</v>
      </c>
      <c r="AI353" s="365" t="n">
        <f aca="false">YEAR(AF353)</f>
        <v>2030</v>
      </c>
      <c r="AJ353" s="365" t="n">
        <f aca="false">MONTH(AF353)</f>
        <v>8</v>
      </c>
      <c r="AK353" s="368" t="n">
        <f aca="false">(1+AG353/2)^(-(DATE(AI354,AJ354,5)-TradeSum!$B$2)/182.625)</f>
        <v>0.174948155991089</v>
      </c>
    </row>
    <row r="354" customFormat="false" ht="12.75" hidden="false" customHeight="false" outlineLevel="0" collapsed="false">
      <c r="X354" s="367" t="n">
        <v>47727</v>
      </c>
      <c r="Y354" s="0" t="n">
        <v>0.0631663424625439</v>
      </c>
      <c r="Z354" s="365"/>
      <c r="AA354" s="365" t="n">
        <f aca="false">YEAR(X354)</f>
        <v>2030</v>
      </c>
      <c r="AB354" s="365" t="n">
        <f aca="false">MONTH(X354)</f>
        <v>9</v>
      </c>
      <c r="AC354" s="368" t="n">
        <f aca="false">(1+Y354/2)^(-(DATE(AA355,AB355,5)-TradeSum!$B$2)/182.625)</f>
        <v>0.165291670790347</v>
      </c>
      <c r="AD354" s="365"/>
      <c r="AF354" s="367" t="n">
        <v>47727</v>
      </c>
      <c r="AG354" s="0" t="n">
        <v>0.0613228227668192</v>
      </c>
      <c r="AI354" s="365" t="n">
        <f aca="false">YEAR(AF354)</f>
        <v>2030</v>
      </c>
      <c r="AJ354" s="365" t="n">
        <f aca="false">MONTH(AF354)</f>
        <v>9</v>
      </c>
      <c r="AK354" s="368" t="n">
        <f aca="false">(1+AG354/2)^(-(DATE(AI355,AJ355,5)-TradeSum!$B$2)/182.625)</f>
        <v>0.174070593251714</v>
      </c>
    </row>
    <row r="355" customFormat="false" ht="12.75" hidden="false" customHeight="false" outlineLevel="0" collapsed="false">
      <c r="X355" s="367" t="n">
        <v>47757</v>
      </c>
      <c r="Y355" s="0" t="n">
        <v>0.0631632362745251</v>
      </c>
      <c r="Z355" s="365"/>
      <c r="AA355" s="365" t="n">
        <f aca="false">YEAR(X355)</f>
        <v>2030</v>
      </c>
      <c r="AB355" s="365" t="n">
        <f aca="false">MONTH(X355)</f>
        <v>10</v>
      </c>
      <c r="AC355" s="368" t="n">
        <f aca="false">(1+Y355/2)^(-(DATE(AA356,AB356,5)-TradeSum!$B$2)/182.625)</f>
        <v>0.164435895994317</v>
      </c>
      <c r="AD355" s="365"/>
      <c r="AF355" s="367" t="n">
        <v>47757</v>
      </c>
      <c r="AG355" s="0" t="n">
        <v>0.0613251604298499</v>
      </c>
      <c r="AI355" s="365" t="n">
        <f aca="false">YEAR(AF355)</f>
        <v>2030</v>
      </c>
      <c r="AJ355" s="365" t="n">
        <f aca="false">MONTH(AF355)</f>
        <v>10</v>
      </c>
      <c r="AK355" s="368" t="n">
        <f aca="false">(1+AG355/2)^(-(DATE(AI356,AJ356,5)-TradeSum!$B$2)/182.625)</f>
        <v>0.173169105437569</v>
      </c>
    </row>
    <row r="356" customFormat="false" ht="12.75" hidden="false" customHeight="false" outlineLevel="0" collapsed="false">
      <c r="X356" s="367" t="n">
        <v>47788</v>
      </c>
      <c r="Y356" s="0" t="n">
        <v>0.0631600265469094</v>
      </c>
      <c r="Z356" s="365"/>
      <c r="AA356" s="365" t="n">
        <f aca="false">YEAR(X356)</f>
        <v>2030</v>
      </c>
      <c r="AB356" s="365" t="n">
        <f aca="false">MONTH(X356)</f>
        <v>11</v>
      </c>
      <c r="AC356" s="368" t="n">
        <f aca="false">(1+Y356/2)^(-(DATE(AA357,AB357,5)-TradeSum!$B$2)/182.625)</f>
        <v>0.163612965995599</v>
      </c>
      <c r="AD356" s="365"/>
      <c r="AF356" s="367" t="n">
        <v>47788</v>
      </c>
      <c r="AG356" s="0" t="n">
        <v>0.0613275760149827</v>
      </c>
      <c r="AI356" s="365" t="n">
        <f aca="false">YEAR(AF356)</f>
        <v>2030</v>
      </c>
      <c r="AJ356" s="365" t="n">
        <f aca="false">MONTH(AF356)</f>
        <v>11</v>
      </c>
      <c r="AK356" s="368" t="n">
        <f aca="false">(1+AG356/2)^(-(DATE(AI357,AJ357,5)-TradeSum!$B$2)/182.625)</f>
        <v>0.172300333965562</v>
      </c>
    </row>
    <row r="357" customFormat="false" ht="12.75" hidden="false" customHeight="false" outlineLevel="0" collapsed="false">
      <c r="X357" s="367" t="n">
        <v>47818</v>
      </c>
      <c r="Y357" s="0" t="n">
        <v>0.0631569203588969</v>
      </c>
      <c r="Z357" s="365"/>
      <c r="AA357" s="365" t="n">
        <f aca="false">YEAR(X357)</f>
        <v>2030</v>
      </c>
      <c r="AB357" s="365" t="n">
        <f aca="false">MONTH(X357)</f>
        <v>12</v>
      </c>
      <c r="AC357" s="368" t="n">
        <f aca="false">(1+Y357/2)^(-(DATE(AA358,AB358,5)-TradeSum!$B$2)/182.625)</f>
        <v>0.16276604893716</v>
      </c>
      <c r="AD357" s="365"/>
      <c r="AF357" s="367" t="n">
        <v>47818</v>
      </c>
      <c r="AG357" s="0" t="n">
        <v>0.0613299136780165</v>
      </c>
      <c r="AI357" s="365" t="n">
        <f aca="false">YEAR(AF357)</f>
        <v>2030</v>
      </c>
      <c r="AJ357" s="365" t="n">
        <f aca="false">MONTH(AF357)</f>
        <v>12</v>
      </c>
      <c r="AK357" s="368" t="n">
        <f aca="false">(1+AG357/2)^(-(DATE(AI358,AJ358,5)-TradeSum!$B$2)/182.625)</f>
        <v>0.171407882086996</v>
      </c>
    </row>
    <row r="358" customFormat="false" ht="12.75" hidden="false" customHeight="false" outlineLevel="0" collapsed="false">
      <c r="X358" s="367" t="n">
        <v>47849</v>
      </c>
      <c r="Y358" s="0" t="n">
        <v>0.0631537106312878</v>
      </c>
      <c r="Z358" s="365"/>
      <c r="AA358" s="365" t="n">
        <f aca="false">YEAR(X358)</f>
        <v>2031</v>
      </c>
      <c r="AB358" s="365" t="n">
        <f aca="false">MONTH(X358)</f>
        <v>1</v>
      </c>
      <c r="AC358" s="368" t="n">
        <f aca="false">(1+Y358/2)^(-(DATE(AA359,AB359,5)-TradeSum!$B$2)/182.625)</f>
        <v>0.161924074487262</v>
      </c>
      <c r="AD358" s="365"/>
      <c r="AF358" s="367" t="n">
        <v>47849</v>
      </c>
      <c r="AG358" s="0" t="n">
        <v>0.0613323292631538</v>
      </c>
      <c r="AI358" s="365" t="n">
        <f aca="false">YEAR(AF358)</f>
        <v>2031</v>
      </c>
      <c r="AJ358" s="365" t="n">
        <f aca="false">MONTH(AF358)</f>
        <v>1</v>
      </c>
      <c r="AK358" s="368" t="n">
        <f aca="false">(1+AG358/2)^(-(DATE(AI359,AJ359,5)-TradeSum!$B$2)/182.625)</f>
        <v>0.170519609648014</v>
      </c>
    </row>
    <row r="359" customFormat="false" ht="12.75" hidden="false" customHeight="false" outlineLevel="0" collapsed="false">
      <c r="X359" s="367" t="n">
        <v>47880</v>
      </c>
      <c r="Y359" s="0" t="n">
        <v>0.0631505009036819</v>
      </c>
      <c r="Z359" s="365"/>
      <c r="AA359" s="365" t="n">
        <f aca="false">YEAR(X359)</f>
        <v>2031</v>
      </c>
      <c r="AB359" s="365" t="n">
        <f aca="false">MONTH(X359)</f>
        <v>2</v>
      </c>
      <c r="AC359" s="368" t="n">
        <f aca="false">(1+Y359/2)^(-(DATE(AA360,AB360,5)-TradeSum!$B$2)/182.625)</f>
        <v>0.161168823584332</v>
      </c>
      <c r="AD359" s="365"/>
      <c r="AF359" s="367" t="n">
        <v>47880</v>
      </c>
      <c r="AG359" s="0" t="n">
        <v>0.0613347448482928</v>
      </c>
      <c r="AI359" s="365" t="n">
        <f aca="false">YEAR(AF359)</f>
        <v>2031</v>
      </c>
      <c r="AJ359" s="365" t="n">
        <f aca="false">MONTH(AF359)</f>
        <v>2</v>
      </c>
      <c r="AK359" s="368" t="n">
        <f aca="false">(1+AG359/2)^(-(DATE(AI360,AJ360,5)-TradeSum!$B$2)/182.625)</f>
        <v>0.16972006814146</v>
      </c>
    </row>
    <row r="360" customFormat="false" ht="12.75" hidden="false" customHeight="false" outlineLevel="0" collapsed="false">
      <c r="X360" s="367" t="n">
        <v>47908</v>
      </c>
      <c r="Y360" s="0" t="n">
        <v>0.0631476017948796</v>
      </c>
      <c r="Z360" s="365"/>
      <c r="AA360" s="365" t="n">
        <f aca="false">YEAR(X360)</f>
        <v>2031</v>
      </c>
      <c r="AB360" s="365" t="n">
        <f aca="false">MONTH(X360)</f>
        <v>3</v>
      </c>
      <c r="AC360" s="368" t="n">
        <f aca="false">(1+Y360/2)^(-(DATE(AA361,AB361,5)-TradeSum!$B$2)/182.625)</f>
        <v>0.160333855295636</v>
      </c>
      <c r="AD360" s="365"/>
      <c r="AF360" s="367" t="n">
        <v>47908</v>
      </c>
      <c r="AG360" s="0" t="n">
        <v>0.0613369266671295</v>
      </c>
      <c r="AI360" s="365" t="n">
        <f aca="false">YEAR(AF360)</f>
        <v>2031</v>
      </c>
      <c r="AJ360" s="365" t="n">
        <f aca="false">MONTH(AF360)</f>
        <v>3</v>
      </c>
      <c r="AK360" s="368" t="n">
        <f aca="false">(1+AG360/2)^(-(DATE(AI361,AJ361,5)-TradeSum!$B$2)/182.625)</f>
        <v>0.168841538762343</v>
      </c>
    </row>
    <row r="361" customFormat="false" ht="12.75" hidden="false" customHeight="false" outlineLevel="0" collapsed="false">
      <c r="X361" s="367" t="n">
        <v>47939</v>
      </c>
      <c r="Y361" s="0" t="n">
        <v>0.0631443920672803</v>
      </c>
      <c r="Z361" s="365"/>
      <c r="AA361" s="365" t="n">
        <f aca="false">YEAR(X361)</f>
        <v>2031</v>
      </c>
      <c r="AB361" s="365" t="n">
        <f aca="false">MONTH(X361)</f>
        <v>4</v>
      </c>
      <c r="AC361" s="368" t="n">
        <f aca="false">(1+Y361/2)^(-(DATE(AA362,AB362,5)-TradeSum!$B$2)/182.625)</f>
        <v>0.159531858134859</v>
      </c>
      <c r="AD361" s="365"/>
      <c r="AF361" s="367" t="n">
        <v>47939</v>
      </c>
      <c r="AG361" s="0" t="n">
        <v>0.0613393422522721</v>
      </c>
      <c r="AI361" s="365" t="n">
        <f aca="false">YEAR(AF361)</f>
        <v>2031</v>
      </c>
      <c r="AJ361" s="365" t="n">
        <f aca="false">MONTH(AF361)</f>
        <v>4</v>
      </c>
      <c r="AK361" s="368" t="n">
        <f aca="false">(1+AG361/2)^(-(DATE(AI362,AJ362,5)-TradeSum!$B$2)/182.625)</f>
        <v>0.167994158012333</v>
      </c>
    </row>
    <row r="362" customFormat="false" ht="12.75" hidden="false" customHeight="false" outlineLevel="0" collapsed="false">
      <c r="X362" s="367" t="n">
        <v>47969</v>
      </c>
      <c r="Y362" s="0" t="n">
        <v>0.0631412858792841</v>
      </c>
      <c r="Z362" s="365"/>
      <c r="AA362" s="365" t="n">
        <f aca="false">YEAR(X362)</f>
        <v>2031</v>
      </c>
      <c r="AB362" s="365" t="n">
        <f aca="false">MONTH(X362)</f>
        <v>5</v>
      </c>
      <c r="AC362" s="368" t="n">
        <f aca="false">(1+Y362/2)^(-(DATE(AA363,AB363,5)-TradeSum!$B$2)/182.625)</f>
        <v>0.15870646811571</v>
      </c>
      <c r="AD362" s="365"/>
      <c r="AF362" s="367" t="n">
        <v>47969</v>
      </c>
      <c r="AG362" s="0" t="n">
        <v>0.0613416799153148</v>
      </c>
      <c r="AI362" s="365" t="n">
        <f aca="false">YEAR(AF362)</f>
        <v>2031</v>
      </c>
      <c r="AJ362" s="365" t="n">
        <f aca="false">MONTH(AF362)</f>
        <v>5</v>
      </c>
      <c r="AK362" s="368" t="n">
        <f aca="false">(1+AG362/2)^(-(DATE(AI363,AJ363,5)-TradeSum!$B$2)/182.625)</f>
        <v>0.167123691955209</v>
      </c>
    </row>
    <row r="363" customFormat="false" ht="12.75" hidden="false" customHeight="false" outlineLevel="0" collapsed="false">
      <c r="X363" s="367" t="n">
        <v>48000</v>
      </c>
      <c r="Y363" s="0" t="n">
        <v>0.063138076151692</v>
      </c>
      <c r="Z363" s="365"/>
      <c r="AA363" s="365" t="n">
        <f aca="false">YEAR(X363)</f>
        <v>2031</v>
      </c>
      <c r="AB363" s="365" t="n">
        <f aca="false">MONTH(X363)</f>
        <v>6</v>
      </c>
      <c r="AC363" s="368" t="n">
        <f aca="false">(1+Y363/2)^(-(DATE(AA364,AB364,5)-TradeSum!$B$2)/182.625)</f>
        <v>0.157912772733973</v>
      </c>
      <c r="AD363" s="365"/>
      <c r="AF363" s="367" t="n">
        <v>48000</v>
      </c>
      <c r="AG363" s="0" t="n">
        <v>0.0613440955004614</v>
      </c>
      <c r="AI363" s="365" t="n">
        <f aca="false">YEAR(AF363)</f>
        <v>2031</v>
      </c>
      <c r="AJ363" s="365" t="n">
        <f aca="false">MONTH(AF363)</f>
        <v>6</v>
      </c>
      <c r="AK363" s="368" t="n">
        <f aca="false">(1+AG363/2)^(-(DATE(AI364,AJ364,5)-TradeSum!$B$2)/182.625)</f>
        <v>0.166284804674831</v>
      </c>
    </row>
    <row r="364" customFormat="false" ht="12.75" hidden="false" customHeight="false" outlineLevel="0" collapsed="false">
      <c r="X364" s="367" t="n">
        <v>48030</v>
      </c>
      <c r="Y364" s="0" t="n">
        <v>0.0631349699637025</v>
      </c>
      <c r="Z364" s="365"/>
      <c r="AA364" s="365" t="n">
        <f aca="false">YEAR(X364)</f>
        <v>2031</v>
      </c>
      <c r="AB364" s="365" t="n">
        <f aca="false">MONTH(X364)</f>
        <v>7</v>
      </c>
      <c r="AC364" s="368" t="n">
        <f aca="false">(1+Y364/2)^(-(DATE(AA365,AB365,5)-TradeSum!$B$2)/182.625)</f>
        <v>0.157095920258969</v>
      </c>
      <c r="AD364" s="365"/>
      <c r="AF364" s="367" t="n">
        <v>48030</v>
      </c>
      <c r="AG364" s="0" t="n">
        <v>0.0613464331635081</v>
      </c>
      <c r="AI364" s="365" t="n">
        <f aca="false">YEAR(AF364)</f>
        <v>2031</v>
      </c>
      <c r="AJ364" s="365" t="n">
        <f aca="false">MONTH(AF364)</f>
        <v>7</v>
      </c>
      <c r="AK364" s="368" t="n">
        <f aca="false">(1+AG364/2)^(-(DATE(AI365,AJ365,5)-TradeSum!$B$2)/182.625)</f>
        <v>0.165423068290934</v>
      </c>
    </row>
    <row r="365" customFormat="false" ht="12.75" hidden="false" customHeight="false" outlineLevel="0" collapsed="false">
      <c r="X365" s="367" t="n">
        <v>48061</v>
      </c>
      <c r="Y365" s="0" t="n">
        <v>0.0631317602361166</v>
      </c>
      <c r="Z365" s="365"/>
      <c r="AA365" s="365" t="n">
        <f aca="false">YEAR(X365)</f>
        <v>2031</v>
      </c>
      <c r="AB365" s="365" t="n">
        <f aca="false">MONTH(X365)</f>
        <v>8</v>
      </c>
      <c r="AC365" s="368" t="n">
        <f aca="false">(1+Y365/2)^(-(DATE(AA366,AB366,5)-TradeSum!$B$2)/182.625)</f>
        <v>0.156283841530097</v>
      </c>
      <c r="AD365" s="365"/>
      <c r="AF365" s="367" t="n">
        <v>48061</v>
      </c>
      <c r="AG365" s="0" t="n">
        <v>0.0613488487486586</v>
      </c>
      <c r="AI365" s="365" t="n">
        <f aca="false">YEAR(AF365)</f>
        <v>2031</v>
      </c>
      <c r="AJ365" s="365" t="n">
        <f aca="false">MONTH(AF365)</f>
        <v>8</v>
      </c>
      <c r="AK365" s="368" t="n">
        <f aca="false">(1+AG365/2)^(-(DATE(AI366,AJ366,5)-TradeSum!$B$2)/182.625)</f>
        <v>0.164565362801593</v>
      </c>
    </row>
    <row r="366" customFormat="false" ht="12.75" hidden="false" customHeight="false" outlineLevel="0" collapsed="false">
      <c r="X366" s="367" t="n">
        <v>48092</v>
      </c>
      <c r="Y366" s="0" t="n">
        <v>0.0631285505085342</v>
      </c>
      <c r="Z366" s="365"/>
      <c r="AA366" s="365" t="n">
        <f aca="false">YEAR(X366)</f>
        <v>2031</v>
      </c>
      <c r="AB366" s="365" t="n">
        <f aca="false">MONTH(X366)</f>
        <v>9</v>
      </c>
      <c r="AC366" s="368" t="n">
        <f aca="false">(1+Y366/2)^(-(DATE(AA367,AB367,5)-TradeSum!$B$2)/182.625)</f>
        <v>0.155502501649895</v>
      </c>
      <c r="AD366" s="365"/>
      <c r="AF366" s="367" t="n">
        <v>48092</v>
      </c>
      <c r="AG366" s="0" t="n">
        <v>0.061351264333811</v>
      </c>
      <c r="AI366" s="365" t="n">
        <f aca="false">YEAR(AF366)</f>
        <v>2031</v>
      </c>
      <c r="AJ366" s="365" t="n">
        <f aca="false">MONTH(AF366)</f>
        <v>9</v>
      </c>
      <c r="AK366" s="368" t="n">
        <f aca="false">(1+AG366/2)^(-(DATE(AI367,AJ367,5)-TradeSum!$B$2)/182.625)</f>
        <v>0.163739127041721</v>
      </c>
    </row>
    <row r="367" customFormat="false" ht="12.75" hidden="false" customHeight="false" outlineLevel="0" collapsed="false">
      <c r="X367" s="367" t="n">
        <v>48122</v>
      </c>
      <c r="Y367" s="0" t="n">
        <v>0.0631254443205544</v>
      </c>
      <c r="Z367" s="365"/>
      <c r="AA367" s="365" t="n">
        <f aca="false">YEAR(X367)</f>
        <v>2031</v>
      </c>
      <c r="AB367" s="365" t="n">
        <f aca="false">MONTH(X367)</f>
        <v>10</v>
      </c>
      <c r="AC367" s="368" t="n">
        <f aca="false">(1+Y367/2)^(-(DATE(AA368,AB368,5)-TradeSum!$B$2)/182.625)</f>
        <v>1.12457826446167</v>
      </c>
      <c r="AD367" s="365"/>
      <c r="AF367" s="367" t="n">
        <v>48122</v>
      </c>
      <c r="AG367" s="0" t="n">
        <v>0.061353601996863</v>
      </c>
      <c r="AI367" s="365" t="n">
        <f aca="false">YEAR(AF367)</f>
        <v>2031</v>
      </c>
      <c r="AJ367" s="365" t="n">
        <f aca="false">MONTH(AF367)</f>
        <v>10</v>
      </c>
      <c r="AK367" s="368" t="n">
        <f aca="false">(1+AG367/2)^(-(DATE(AI368,AJ368,5)-TradeSum!$B$2)/182.625)</f>
        <v>1.12093358090604</v>
      </c>
    </row>
    <row r="368" customFormat="false" ht="12.75" hidden="false" customHeight="false" outlineLevel="0" collapsed="false">
      <c r="X368" s="0"/>
      <c r="Y368" s="0"/>
      <c r="Z368" s="365"/>
      <c r="AB368" s="365"/>
      <c r="AC368" s="365"/>
      <c r="AD368" s="365"/>
    </row>
    <row r="369" customFormat="false" ht="12.75" hidden="false" customHeight="false" outlineLevel="0" collapsed="false">
      <c r="X369" s="0"/>
      <c r="Y369" s="0"/>
      <c r="Z369" s="365"/>
      <c r="AB369" s="365"/>
      <c r="AC369" s="365"/>
      <c r="AD369" s="365"/>
    </row>
    <row r="370" customFormat="false" ht="12.75" hidden="false" customHeight="false" outlineLevel="0" collapsed="false">
      <c r="X370" s="0"/>
      <c r="Y370" s="0"/>
      <c r="Z370" s="365"/>
      <c r="AB370" s="365"/>
      <c r="AC370" s="365"/>
      <c r="AD370" s="365"/>
    </row>
    <row r="371" customFormat="false" ht="12.75" hidden="false" customHeight="false" outlineLevel="0" collapsed="false">
      <c r="X371" s="0"/>
      <c r="Y371" s="0"/>
      <c r="Z371" s="365"/>
      <c r="AB371" s="365"/>
      <c r="AC371" s="365"/>
      <c r="AD371" s="365"/>
    </row>
    <row r="372" customFormat="false" ht="12.75" hidden="false" customHeight="false" outlineLevel="0" collapsed="false">
      <c r="X372" s="0"/>
      <c r="Y372" s="0"/>
      <c r="Z372" s="365"/>
      <c r="AB372" s="365"/>
      <c r="AC372" s="365"/>
      <c r="AD372" s="365"/>
    </row>
    <row r="373" customFormat="false" ht="12.75" hidden="false" customHeight="false" outlineLevel="0" collapsed="false">
      <c r="X373" s="0"/>
      <c r="Y373" s="0"/>
      <c r="Z373" s="365"/>
      <c r="AB373" s="365"/>
      <c r="AC373" s="365"/>
      <c r="AD373" s="365"/>
    </row>
    <row r="374" customFormat="false" ht="12.75" hidden="false" customHeight="false" outlineLevel="0" collapsed="false">
      <c r="X374" s="0"/>
      <c r="Y374" s="0"/>
      <c r="Z374" s="365"/>
      <c r="AB374" s="365"/>
      <c r="AC374" s="365"/>
      <c r="AD374" s="365"/>
    </row>
    <row r="375" customFormat="false" ht="12.75" hidden="false" customHeight="false" outlineLevel="0" collapsed="false">
      <c r="X375" s="0"/>
      <c r="Y375" s="0"/>
      <c r="Z375" s="365"/>
      <c r="AB375" s="365"/>
      <c r="AC375" s="365"/>
      <c r="AD375" s="365"/>
    </row>
    <row r="376" customFormat="false" ht="12.75" hidden="false" customHeight="false" outlineLevel="0" collapsed="false">
      <c r="X376" s="0"/>
      <c r="Y376" s="0"/>
      <c r="Z376" s="365"/>
      <c r="AB376" s="365"/>
      <c r="AC376" s="365"/>
      <c r="AD376" s="365"/>
    </row>
    <row r="377" customFormat="false" ht="12.75" hidden="false" customHeight="false" outlineLevel="0" collapsed="false">
      <c r="X377" s="0"/>
      <c r="Y377" s="0"/>
      <c r="Z377" s="365"/>
      <c r="AB377" s="365"/>
      <c r="AC377" s="365"/>
      <c r="AD377" s="365"/>
    </row>
    <row r="378" customFormat="false" ht="12.75" hidden="false" customHeight="false" outlineLevel="0" collapsed="false">
      <c r="X378" s="0"/>
      <c r="Y378" s="0"/>
      <c r="Z378" s="365"/>
      <c r="AB378" s="365"/>
      <c r="AC378" s="365"/>
      <c r="AD378" s="365"/>
    </row>
    <row r="379" customFormat="false" ht="12.75" hidden="false" customHeight="false" outlineLevel="0" collapsed="false">
      <c r="X379" s="0"/>
      <c r="Y379" s="0"/>
      <c r="Z379" s="365"/>
      <c r="AB379" s="365"/>
      <c r="AC379" s="365"/>
      <c r="AD379" s="365"/>
    </row>
    <row r="380" customFormat="false" ht="12.75" hidden="false" customHeight="false" outlineLevel="0" collapsed="false">
      <c r="X380" s="0"/>
      <c r="Y380" s="0"/>
      <c r="AB380" s="365"/>
      <c r="AC380" s="365"/>
      <c r="AD380" s="365"/>
    </row>
    <row r="381" customFormat="false" ht="12.75" hidden="false" customHeight="false" outlineLevel="0" collapsed="false">
      <c r="X381" s="0"/>
      <c r="Y381" s="0"/>
      <c r="AB381" s="365"/>
      <c r="AC381" s="365"/>
      <c r="AD381" s="365"/>
    </row>
    <row r="382" customFormat="false" ht="12.75" hidden="false" customHeight="false" outlineLevel="0" collapsed="false">
      <c r="X382" s="0"/>
      <c r="Y382" s="0"/>
      <c r="AB382" s="365"/>
      <c r="AC382" s="365"/>
      <c r="AD382" s="365"/>
    </row>
    <row r="383" customFormat="false" ht="12.75" hidden="false" customHeight="false" outlineLevel="0" collapsed="false">
      <c r="X383" s="0"/>
      <c r="Y383" s="0"/>
      <c r="AB383" s="365"/>
      <c r="AC383" s="365"/>
      <c r="AD383" s="365"/>
    </row>
    <row r="384" customFormat="false" ht="12.75" hidden="false" customHeight="false" outlineLevel="0" collapsed="false">
      <c r="X384" s="0"/>
      <c r="Y384" s="0"/>
      <c r="AB384" s="365"/>
      <c r="AC384" s="365"/>
      <c r="AD384" s="365"/>
    </row>
    <row r="385" customFormat="false" ht="12.75" hidden="false" customHeight="false" outlineLevel="0" collapsed="false">
      <c r="X385" s="0"/>
      <c r="Y385" s="0"/>
      <c r="AB385" s="365"/>
      <c r="AC385" s="365"/>
      <c r="AD385" s="365"/>
    </row>
    <row r="386" customFormat="false" ht="12.75" hidden="false" customHeight="false" outlineLevel="0" collapsed="false">
      <c r="X386" s="0"/>
      <c r="Y386" s="0"/>
      <c r="AB386" s="365"/>
      <c r="AC386" s="365"/>
      <c r="AD386" s="365"/>
    </row>
    <row r="387" customFormat="false" ht="12.75" hidden="false" customHeight="false" outlineLevel="0" collapsed="false">
      <c r="X387" s="0"/>
      <c r="Y387" s="0"/>
      <c r="AB387" s="365"/>
      <c r="AC387" s="365"/>
      <c r="AD387" s="365"/>
    </row>
    <row r="388" customFormat="false" ht="12.75" hidden="false" customHeight="false" outlineLevel="0" collapsed="false">
      <c r="X388" s="0"/>
      <c r="Y388" s="0"/>
      <c r="AB388" s="365"/>
      <c r="AC388" s="365"/>
      <c r="AD388" s="365"/>
    </row>
    <row r="389" customFormat="false" ht="12.75" hidden="false" customHeight="false" outlineLevel="0" collapsed="false">
      <c r="X389" s="0"/>
      <c r="Y389" s="0"/>
      <c r="AB389" s="365"/>
      <c r="AC389" s="365"/>
      <c r="AD389" s="365"/>
    </row>
    <row r="390" customFormat="false" ht="12.75" hidden="false" customHeight="false" outlineLevel="0" collapsed="false">
      <c r="X390" s="0"/>
      <c r="Y390" s="0"/>
      <c r="AB390" s="365"/>
      <c r="AC390" s="365"/>
      <c r="AD390" s="365"/>
    </row>
    <row r="391" customFormat="false" ht="12.75" hidden="false" customHeight="false" outlineLevel="0" collapsed="false">
      <c r="X391" s="0"/>
      <c r="Y391" s="0"/>
      <c r="AB391" s="365"/>
      <c r="AC391" s="365"/>
      <c r="AD391" s="365"/>
    </row>
    <row r="392" customFormat="false" ht="12.75" hidden="false" customHeight="false" outlineLevel="0" collapsed="false">
      <c r="X392" s="0"/>
      <c r="Y392" s="0"/>
      <c r="AB392" s="365"/>
      <c r="AC392" s="365"/>
      <c r="AD392" s="365"/>
    </row>
    <row r="393" customFormat="false" ht="12.75" hidden="false" customHeight="false" outlineLevel="0" collapsed="false">
      <c r="X393" s="0"/>
      <c r="Y393" s="0"/>
      <c r="AB393" s="365"/>
      <c r="AC393" s="365"/>
      <c r="AD393" s="365"/>
    </row>
    <row r="394" customFormat="false" ht="12.75" hidden="false" customHeight="false" outlineLevel="0" collapsed="false">
      <c r="X394" s="0"/>
      <c r="Y394" s="0"/>
      <c r="AB394" s="365"/>
      <c r="AC394" s="365"/>
      <c r="AD394" s="365"/>
    </row>
    <row r="395" customFormat="false" ht="12.75" hidden="false" customHeight="false" outlineLevel="0" collapsed="false">
      <c r="X395" s="0"/>
      <c r="Y395" s="0"/>
      <c r="AB395" s="365"/>
      <c r="AC395" s="365"/>
      <c r="AD395" s="365"/>
    </row>
    <row r="396" customFormat="false" ht="12.75" hidden="false" customHeight="false" outlineLevel="0" collapsed="false">
      <c r="X396" s="0"/>
      <c r="Y396" s="0"/>
      <c r="AB396" s="365"/>
      <c r="AC396" s="365"/>
      <c r="AD396" s="365"/>
    </row>
    <row r="397" customFormat="false" ht="12.75" hidden="false" customHeight="false" outlineLevel="0" collapsed="false">
      <c r="X397" s="0"/>
      <c r="Y397" s="0"/>
      <c r="AB397" s="365"/>
      <c r="AC397" s="365"/>
      <c r="AD397" s="365"/>
    </row>
    <row r="398" customFormat="false" ht="12.75" hidden="false" customHeight="false" outlineLevel="0" collapsed="false">
      <c r="X398" s="0"/>
      <c r="Y398" s="0"/>
      <c r="AB398" s="365"/>
      <c r="AC398" s="365"/>
      <c r="AD398" s="365"/>
    </row>
    <row r="399" customFormat="false" ht="12.75" hidden="false" customHeight="false" outlineLevel="0" collapsed="false">
      <c r="X399" s="0"/>
      <c r="Y399" s="0"/>
      <c r="AB399" s="365"/>
      <c r="AC399" s="365"/>
      <c r="AD399" s="365"/>
    </row>
    <row r="400" customFormat="false" ht="12.75" hidden="false" customHeight="false" outlineLevel="0" collapsed="false">
      <c r="X400" s="0"/>
      <c r="Y400" s="0"/>
      <c r="AB400" s="365"/>
      <c r="AC400" s="365"/>
      <c r="AD400" s="365"/>
    </row>
    <row r="401" customFormat="false" ht="12.75" hidden="false" customHeight="false" outlineLevel="0" collapsed="false">
      <c r="X401" s="0"/>
      <c r="Y401" s="0"/>
      <c r="AB401" s="365"/>
      <c r="AC401" s="365"/>
      <c r="AD401" s="365"/>
    </row>
    <row r="402" customFormat="false" ht="12.75" hidden="false" customHeight="false" outlineLevel="0" collapsed="false">
      <c r="X402" s="0"/>
      <c r="Y402" s="0"/>
      <c r="AB402" s="365"/>
      <c r="AC402" s="365"/>
      <c r="AD402" s="365"/>
    </row>
    <row r="403" customFormat="false" ht="12.75" hidden="false" customHeight="false" outlineLevel="0" collapsed="false">
      <c r="X403" s="0"/>
      <c r="Y403" s="0"/>
      <c r="AB403" s="365"/>
      <c r="AC403" s="365"/>
      <c r="AD403" s="365"/>
    </row>
    <row r="404" customFormat="false" ht="12.75" hidden="false" customHeight="false" outlineLevel="0" collapsed="false">
      <c r="X404" s="0"/>
      <c r="Y404" s="0"/>
      <c r="AB404" s="365"/>
      <c r="AC404" s="365"/>
      <c r="AD404" s="365"/>
    </row>
    <row r="405" customFormat="false" ht="12.75" hidden="false" customHeight="false" outlineLevel="0" collapsed="false">
      <c r="X405" s="0"/>
      <c r="Y405" s="0"/>
      <c r="AB405" s="365"/>
      <c r="AC405" s="365"/>
      <c r="AD405" s="365"/>
    </row>
    <row r="406" customFormat="false" ht="12.75" hidden="false" customHeight="false" outlineLevel="0" collapsed="false">
      <c r="X406" s="0"/>
      <c r="Y406" s="0"/>
      <c r="AB406" s="365"/>
      <c r="AC406" s="365"/>
      <c r="AD406" s="365"/>
    </row>
    <row r="407" customFormat="false" ht="12.75" hidden="false" customHeight="false" outlineLevel="0" collapsed="false">
      <c r="X407" s="0"/>
      <c r="Y407" s="0"/>
      <c r="AB407" s="365"/>
      <c r="AC407" s="365"/>
      <c r="AD407" s="365"/>
    </row>
    <row r="408" customFormat="false" ht="12.75" hidden="false" customHeight="false" outlineLevel="0" collapsed="false">
      <c r="X408" s="0"/>
      <c r="Y408" s="0"/>
      <c r="AB408" s="365"/>
      <c r="AC408" s="365"/>
      <c r="AD408" s="365"/>
    </row>
    <row r="409" customFormat="false" ht="12.75" hidden="false" customHeight="false" outlineLevel="0" collapsed="false">
      <c r="X409" s="0"/>
      <c r="Y409" s="0"/>
      <c r="AB409" s="365"/>
      <c r="AC409" s="365"/>
      <c r="AD409" s="365"/>
    </row>
    <row r="410" customFormat="false" ht="12.75" hidden="false" customHeight="false" outlineLevel="0" collapsed="false">
      <c r="X410" s="0"/>
      <c r="Y410" s="0"/>
      <c r="AB410" s="365"/>
      <c r="AC410" s="365"/>
      <c r="AD410" s="365"/>
    </row>
    <row r="411" customFormat="false" ht="12.75" hidden="false" customHeight="false" outlineLevel="0" collapsed="false">
      <c r="X411" s="0"/>
      <c r="Y411" s="0"/>
      <c r="AB411" s="365"/>
      <c r="AC411" s="365"/>
      <c r="AD411" s="365"/>
    </row>
    <row r="412" customFormat="false" ht="12.75" hidden="false" customHeight="false" outlineLevel="0" collapsed="false">
      <c r="X412" s="0"/>
      <c r="Y412" s="0"/>
      <c r="AB412" s="365"/>
      <c r="AC412" s="365"/>
      <c r="AD412" s="365"/>
    </row>
    <row r="413" customFormat="false" ht="12.75" hidden="false" customHeight="false" outlineLevel="0" collapsed="false">
      <c r="X413" s="0"/>
      <c r="Y413" s="0"/>
      <c r="AB413" s="365"/>
      <c r="AC413" s="365"/>
      <c r="AD413" s="365"/>
    </row>
    <row r="414" customFormat="false" ht="12.75" hidden="false" customHeight="false" outlineLevel="0" collapsed="false">
      <c r="X414" s="0"/>
      <c r="Y414" s="0"/>
      <c r="AB414" s="365"/>
      <c r="AC414" s="365"/>
      <c r="AD414" s="365"/>
    </row>
    <row r="415" customFormat="false" ht="12.75" hidden="false" customHeight="false" outlineLevel="0" collapsed="false">
      <c r="X415" s="0"/>
      <c r="Y415" s="0"/>
      <c r="AB415" s="365"/>
      <c r="AC415" s="365"/>
      <c r="AD415" s="365"/>
    </row>
    <row r="416" customFormat="false" ht="12.75" hidden="false" customHeight="false" outlineLevel="0" collapsed="false">
      <c r="X416" s="0"/>
      <c r="Y416" s="0"/>
      <c r="AB416" s="365"/>
      <c r="AC416" s="365"/>
      <c r="AD416" s="365"/>
    </row>
    <row r="417" customFormat="false" ht="12.75" hidden="false" customHeight="false" outlineLevel="0" collapsed="false">
      <c r="X417" s="0"/>
      <c r="Y417" s="0"/>
      <c r="AB417" s="365"/>
      <c r="AC417" s="365"/>
      <c r="AD417" s="365"/>
    </row>
    <row r="418" customFormat="false" ht="12.75" hidden="false" customHeight="false" outlineLevel="0" collapsed="false">
      <c r="X418" s="0"/>
      <c r="Y418" s="0"/>
      <c r="AB418" s="365"/>
      <c r="AC418" s="365"/>
      <c r="AD418" s="365"/>
    </row>
    <row r="419" customFormat="false" ht="12.75" hidden="false" customHeight="false" outlineLevel="0" collapsed="false">
      <c r="X419" s="0"/>
      <c r="Y419" s="0"/>
    </row>
    <row r="420" customFormat="false" ht="12.75" hidden="false" customHeight="false" outlineLevel="0" collapsed="false">
      <c r="X420" s="0"/>
      <c r="Y420" s="0"/>
    </row>
    <row r="421" customFormat="false" ht="12.75" hidden="false" customHeight="false" outlineLevel="0" collapsed="false">
      <c r="X421" s="0"/>
      <c r="Y421" s="0"/>
    </row>
    <row r="422" customFormat="false" ht="12.75" hidden="false" customHeight="false" outlineLevel="0" collapsed="false">
      <c r="X422" s="0"/>
      <c r="Y422" s="0"/>
    </row>
    <row r="423" customFormat="false" ht="12.75" hidden="false" customHeight="false" outlineLevel="0" collapsed="false">
      <c r="X423" s="0"/>
      <c r="Y423" s="0"/>
    </row>
    <row r="424" customFormat="false" ht="12.75" hidden="false" customHeight="false" outlineLevel="0" collapsed="false">
      <c r="X424" s="0"/>
      <c r="Y424" s="0"/>
    </row>
    <row r="425" customFormat="false" ht="12.75" hidden="false" customHeight="false" outlineLevel="0" collapsed="false">
      <c r="X425" s="0"/>
      <c r="Y425" s="0"/>
    </row>
    <row r="426" customFormat="false" ht="12.75" hidden="false" customHeight="false" outlineLevel="0" collapsed="false">
      <c r="X426" s="0"/>
      <c r="Y426" s="0"/>
    </row>
    <row r="427" customFormat="false" ht="12.75" hidden="false" customHeight="false" outlineLevel="0" collapsed="false">
      <c r="X427" s="0"/>
      <c r="Y427" s="0"/>
    </row>
    <row r="428" customFormat="false" ht="12.75" hidden="false" customHeight="false" outlineLevel="0" collapsed="false">
      <c r="X428" s="0"/>
      <c r="Y428" s="0"/>
    </row>
    <row r="429" customFormat="false" ht="12.75" hidden="false" customHeight="false" outlineLevel="0" collapsed="false">
      <c r="X429" s="0"/>
      <c r="Y429" s="0"/>
    </row>
    <row r="430" customFormat="false" ht="12.75" hidden="false" customHeight="false" outlineLevel="0" collapsed="false">
      <c r="X430" s="0"/>
      <c r="Y430" s="0"/>
    </row>
    <row r="431" customFormat="false" ht="12.75" hidden="false" customHeight="false" outlineLevel="0" collapsed="false">
      <c r="X431" s="0"/>
      <c r="Y431" s="0"/>
    </row>
    <row r="432" customFormat="false" ht="12.75" hidden="false" customHeight="false" outlineLevel="0" collapsed="false">
      <c r="X432" s="0"/>
      <c r="Y432" s="0"/>
    </row>
    <row r="433" customFormat="false" ht="12.75" hidden="false" customHeight="false" outlineLevel="0" collapsed="false">
      <c r="X433" s="0"/>
      <c r="Y433" s="0"/>
    </row>
    <row r="434" customFormat="false" ht="12.75" hidden="false" customHeight="false" outlineLevel="0" collapsed="false">
      <c r="X434" s="0"/>
      <c r="Y434" s="0"/>
    </row>
    <row r="435" customFormat="false" ht="12.75" hidden="false" customHeight="false" outlineLevel="0" collapsed="false">
      <c r="X435" s="0"/>
      <c r="Y435" s="0"/>
    </row>
    <row r="436" customFormat="false" ht="12.75" hidden="false" customHeight="false" outlineLevel="0" collapsed="false">
      <c r="X436" s="0"/>
      <c r="Y436" s="0"/>
    </row>
    <row r="437" customFormat="false" ht="12.75" hidden="false" customHeight="false" outlineLevel="0" collapsed="false">
      <c r="X437" s="0"/>
      <c r="Y437" s="0"/>
    </row>
    <row r="438" customFormat="false" ht="12.75" hidden="false" customHeight="false" outlineLevel="0" collapsed="false">
      <c r="X438" s="0"/>
      <c r="Y438" s="0"/>
    </row>
    <row r="439" customFormat="false" ht="12.75" hidden="false" customHeight="false" outlineLevel="0" collapsed="false">
      <c r="X439" s="0"/>
      <c r="Y439" s="0"/>
    </row>
    <row r="440" customFormat="false" ht="12.75" hidden="false" customHeight="false" outlineLevel="0" collapsed="false">
      <c r="X440" s="0"/>
      <c r="Y440" s="0"/>
    </row>
    <row r="441" customFormat="false" ht="12.75" hidden="false" customHeight="false" outlineLevel="0" collapsed="false">
      <c r="X441" s="0"/>
      <c r="Y441" s="0"/>
    </row>
    <row r="442" customFormat="false" ht="12.75" hidden="false" customHeight="false" outlineLevel="0" collapsed="false">
      <c r="X442" s="0"/>
      <c r="Y442" s="0"/>
    </row>
    <row r="443" customFormat="false" ht="12.75" hidden="false" customHeight="false" outlineLevel="0" collapsed="false">
      <c r="X443" s="0"/>
      <c r="Y443" s="0"/>
    </row>
    <row r="444" customFormat="false" ht="12.75" hidden="false" customHeight="false" outlineLevel="0" collapsed="false">
      <c r="X444" s="0"/>
      <c r="Y444" s="0"/>
    </row>
    <row r="445" customFormat="false" ht="12.75" hidden="false" customHeight="false" outlineLevel="0" collapsed="false">
      <c r="X445" s="0"/>
      <c r="Y445" s="0"/>
    </row>
    <row r="446" customFormat="false" ht="12.75" hidden="false" customHeight="false" outlineLevel="0" collapsed="false">
      <c r="X446" s="0"/>
      <c r="Y446" s="0"/>
    </row>
    <row r="447" customFormat="false" ht="12.75" hidden="false" customHeight="false" outlineLevel="0" collapsed="false">
      <c r="X447" s="0"/>
      <c r="Y447" s="0"/>
    </row>
    <row r="448" customFormat="false" ht="12.75" hidden="false" customHeight="false" outlineLevel="0" collapsed="false">
      <c r="X448" s="0"/>
      <c r="Y448" s="0"/>
    </row>
    <row r="449" customFormat="false" ht="12.75" hidden="false" customHeight="false" outlineLevel="0" collapsed="false">
      <c r="X449" s="0"/>
      <c r="Y449" s="0"/>
    </row>
    <row r="450" customFormat="false" ht="12.75" hidden="false" customHeight="false" outlineLevel="0" collapsed="false">
      <c r="X450" s="0"/>
      <c r="Y450" s="0"/>
    </row>
    <row r="451" customFormat="false" ht="12.75" hidden="false" customHeight="false" outlineLevel="0" collapsed="false">
      <c r="X451" s="0"/>
      <c r="Y451" s="0"/>
    </row>
    <row r="452" customFormat="false" ht="12.75" hidden="false" customHeight="false" outlineLevel="0" collapsed="false">
      <c r="X452" s="0"/>
      <c r="Y452" s="0"/>
    </row>
    <row r="453" customFormat="false" ht="12.75" hidden="false" customHeight="false" outlineLevel="0" collapsed="false">
      <c r="X453" s="0"/>
      <c r="Y453" s="0"/>
    </row>
    <row r="454" customFormat="false" ht="12.75" hidden="false" customHeight="false" outlineLevel="0" collapsed="false">
      <c r="X454" s="0"/>
      <c r="Y454" s="0"/>
    </row>
    <row r="455" customFormat="false" ht="12.75" hidden="false" customHeight="false" outlineLevel="0" collapsed="false">
      <c r="X455" s="0"/>
      <c r="Y455" s="0"/>
    </row>
    <row r="456" customFormat="false" ht="12.75" hidden="false" customHeight="false" outlineLevel="0" collapsed="false">
      <c r="X456" s="0"/>
      <c r="Y456" s="0"/>
    </row>
    <row r="457" customFormat="false" ht="12.75" hidden="false" customHeight="false" outlineLevel="0" collapsed="false">
      <c r="X457" s="0"/>
      <c r="Y457" s="0"/>
    </row>
    <row r="458" customFormat="false" ht="12.75" hidden="false" customHeight="false" outlineLevel="0" collapsed="false">
      <c r="X458" s="0"/>
      <c r="Y458" s="0"/>
    </row>
    <row r="459" customFormat="false" ht="12.75" hidden="false" customHeight="false" outlineLevel="0" collapsed="false">
      <c r="X459" s="0"/>
      <c r="Y459" s="0"/>
    </row>
    <row r="460" customFormat="false" ht="12.75" hidden="false" customHeight="false" outlineLevel="0" collapsed="false">
      <c r="X460" s="0"/>
      <c r="Y460" s="0"/>
    </row>
    <row r="461" customFormat="false" ht="12.75" hidden="false" customHeight="false" outlineLevel="0" collapsed="false">
      <c r="X461" s="0"/>
      <c r="Y461" s="0"/>
    </row>
    <row r="462" customFormat="false" ht="12.75" hidden="false" customHeight="false" outlineLevel="0" collapsed="false">
      <c r="X462" s="0"/>
      <c r="Y462" s="0"/>
    </row>
    <row r="463" customFormat="false" ht="12.75" hidden="false" customHeight="false" outlineLevel="0" collapsed="false">
      <c r="X463" s="0"/>
      <c r="Y463" s="0"/>
    </row>
    <row r="464" customFormat="false" ht="12.75" hidden="false" customHeight="false" outlineLevel="0" collapsed="false">
      <c r="X464" s="0"/>
      <c r="Y464" s="0"/>
    </row>
    <row r="465" customFormat="false" ht="12.75" hidden="false" customHeight="false" outlineLevel="0" collapsed="false">
      <c r="X465" s="0"/>
      <c r="Y465" s="0"/>
    </row>
    <row r="466" customFormat="false" ht="12.75" hidden="false" customHeight="false" outlineLevel="0" collapsed="false">
      <c r="X466" s="0"/>
      <c r="Y466" s="0"/>
    </row>
    <row r="467" customFormat="false" ht="12.75" hidden="false" customHeight="false" outlineLevel="0" collapsed="false">
      <c r="X467" s="0"/>
      <c r="Y467" s="0"/>
    </row>
    <row r="468" customFormat="false" ht="12.75" hidden="false" customHeight="false" outlineLevel="0" collapsed="false">
      <c r="X468" s="0"/>
      <c r="Y468" s="0"/>
    </row>
    <row r="469" customFormat="false" ht="12.75" hidden="false" customHeight="false" outlineLevel="0" collapsed="false">
      <c r="X469" s="0"/>
      <c r="Y469" s="0"/>
    </row>
    <row r="470" customFormat="false" ht="12.75" hidden="false" customHeight="false" outlineLevel="0" collapsed="false">
      <c r="X470" s="0"/>
      <c r="Y470" s="0"/>
    </row>
    <row r="471" customFormat="false" ht="12.75" hidden="false" customHeight="false" outlineLevel="0" collapsed="false">
      <c r="X471" s="0"/>
      <c r="Y471" s="0"/>
    </row>
    <row r="472" customFormat="false" ht="12.75" hidden="false" customHeight="false" outlineLevel="0" collapsed="false">
      <c r="X472" s="0"/>
      <c r="Y472" s="0"/>
    </row>
    <row r="473" customFormat="false" ht="12.75" hidden="false" customHeight="false" outlineLevel="0" collapsed="false">
      <c r="X473" s="0"/>
      <c r="Y473" s="0"/>
    </row>
    <row r="474" customFormat="false" ht="12.75" hidden="false" customHeight="false" outlineLevel="0" collapsed="false">
      <c r="X474" s="0"/>
      <c r="Y474" s="0"/>
    </row>
    <row r="475" customFormat="false" ht="12.75" hidden="false" customHeight="false" outlineLevel="0" collapsed="false">
      <c r="X475" s="0"/>
      <c r="Y475" s="0"/>
    </row>
    <row r="476" customFormat="false" ht="12.75" hidden="false" customHeight="false" outlineLevel="0" collapsed="false">
      <c r="X476" s="0"/>
      <c r="Y476" s="0"/>
    </row>
    <row r="477" customFormat="false" ht="12.75" hidden="false" customHeight="false" outlineLevel="0" collapsed="false">
      <c r="X477" s="0"/>
      <c r="Y477" s="0"/>
    </row>
    <row r="478" customFormat="false" ht="12.75" hidden="false" customHeight="false" outlineLevel="0" collapsed="false">
      <c r="X478" s="0"/>
      <c r="Y478" s="0"/>
    </row>
    <row r="479" customFormat="false" ht="12.75" hidden="false" customHeight="false" outlineLevel="0" collapsed="false">
      <c r="X479" s="0"/>
      <c r="Y479" s="0"/>
    </row>
    <row r="480" customFormat="false" ht="12.75" hidden="false" customHeight="false" outlineLevel="0" collapsed="false">
      <c r="X480" s="0"/>
      <c r="Y480" s="0"/>
    </row>
    <row r="481" customFormat="false" ht="12.75" hidden="false" customHeight="false" outlineLevel="0" collapsed="false">
      <c r="X481" s="0"/>
      <c r="Y481" s="0"/>
    </row>
    <row r="482" customFormat="false" ht="12.75" hidden="false" customHeight="false" outlineLevel="0" collapsed="false">
      <c r="X482" s="0"/>
      <c r="Y482" s="0"/>
    </row>
    <row r="483" customFormat="false" ht="12.75" hidden="false" customHeight="false" outlineLevel="0" collapsed="false">
      <c r="X483" s="0"/>
      <c r="Y483" s="0"/>
    </row>
    <row r="484" customFormat="false" ht="12.75" hidden="false" customHeight="false" outlineLevel="0" collapsed="false">
      <c r="X484" s="0"/>
      <c r="Y484" s="0"/>
    </row>
    <row r="485" customFormat="false" ht="12.75" hidden="false" customHeight="false" outlineLevel="0" collapsed="false">
      <c r="X485" s="0"/>
      <c r="Y485" s="0"/>
    </row>
    <row r="486" customFormat="false" ht="12.75" hidden="false" customHeight="false" outlineLevel="0" collapsed="false">
      <c r="X486" s="0"/>
      <c r="Y486" s="0"/>
    </row>
    <row r="487" customFormat="false" ht="12.75" hidden="false" customHeight="false" outlineLevel="0" collapsed="false">
      <c r="X487" s="0"/>
      <c r="Y487" s="0"/>
    </row>
    <row r="488" customFormat="false" ht="12.75" hidden="false" customHeight="false" outlineLevel="0" collapsed="false">
      <c r="X488" s="0"/>
      <c r="Y488" s="0"/>
    </row>
    <row r="489" customFormat="false" ht="12.75" hidden="false" customHeight="false" outlineLevel="0" collapsed="false">
      <c r="X489" s="0"/>
      <c r="Y489" s="0"/>
    </row>
    <row r="490" customFormat="false" ht="12.75" hidden="false" customHeight="false" outlineLevel="0" collapsed="false">
      <c r="X490" s="0"/>
      <c r="Y490" s="0"/>
    </row>
    <row r="491" customFormat="false" ht="12.75" hidden="false" customHeight="false" outlineLevel="0" collapsed="false">
      <c r="X491" s="0"/>
      <c r="Y491" s="0"/>
    </row>
    <row r="492" customFormat="false" ht="12.75" hidden="false" customHeight="false" outlineLevel="0" collapsed="false">
      <c r="X492" s="0"/>
      <c r="Y492" s="0"/>
    </row>
    <row r="493" customFormat="false" ht="12.75" hidden="false" customHeight="false" outlineLevel="0" collapsed="false">
      <c r="X493" s="0"/>
      <c r="Y493" s="0"/>
    </row>
    <row r="494" customFormat="false" ht="12.75" hidden="false" customHeight="false" outlineLevel="0" collapsed="false">
      <c r="X494" s="0"/>
      <c r="Y494" s="0"/>
    </row>
    <row r="495" customFormat="false" ht="12.75" hidden="false" customHeight="false" outlineLevel="0" collapsed="false">
      <c r="X495" s="0"/>
      <c r="Y495" s="0"/>
    </row>
    <row r="496" customFormat="false" ht="12.75" hidden="false" customHeight="false" outlineLevel="0" collapsed="false">
      <c r="X496" s="0"/>
      <c r="Y496" s="0"/>
    </row>
    <row r="497" customFormat="false" ht="12.75" hidden="false" customHeight="false" outlineLevel="0" collapsed="false">
      <c r="X497" s="0"/>
      <c r="Y497" s="0"/>
    </row>
    <row r="498" customFormat="false" ht="12.75" hidden="false" customHeight="false" outlineLevel="0" collapsed="false">
      <c r="X498" s="0"/>
      <c r="Y498" s="0"/>
    </row>
    <row r="499" customFormat="false" ht="12.75" hidden="false" customHeight="false" outlineLevel="0" collapsed="false">
      <c r="X499" s="0"/>
      <c r="Y499" s="0"/>
    </row>
    <row r="500" customFormat="false" ht="12.75" hidden="false" customHeight="false" outlineLevel="0" collapsed="false">
      <c r="X500" s="0"/>
      <c r="Y500" s="0"/>
    </row>
    <row r="501" customFormat="false" ht="12.75" hidden="false" customHeight="false" outlineLevel="0" collapsed="false">
      <c r="X501" s="0"/>
      <c r="Y501" s="0"/>
    </row>
    <row r="502" customFormat="false" ht="12.75" hidden="false" customHeight="false" outlineLevel="0" collapsed="false">
      <c r="X502" s="0"/>
      <c r="Y502" s="0"/>
    </row>
    <row r="503" customFormat="false" ht="12.75" hidden="false" customHeight="false" outlineLevel="0" collapsed="false">
      <c r="X503" s="0"/>
      <c r="Y503" s="0"/>
    </row>
    <row r="504" customFormat="false" ht="12.75" hidden="false" customHeight="false" outlineLevel="0" collapsed="false">
      <c r="X504" s="0"/>
      <c r="Y504" s="0"/>
    </row>
    <row r="505" customFormat="false" ht="12.75" hidden="false" customHeight="false" outlineLevel="0" collapsed="false">
      <c r="X505" s="0"/>
      <c r="Y505" s="0"/>
    </row>
    <row r="506" customFormat="false" ht="12.75" hidden="false" customHeight="false" outlineLevel="0" collapsed="false">
      <c r="X506" s="0"/>
      <c r="Y506" s="0"/>
    </row>
    <row r="507" customFormat="false" ht="12.75" hidden="false" customHeight="false" outlineLevel="0" collapsed="false">
      <c r="X507" s="0"/>
      <c r="Y507" s="0"/>
    </row>
    <row r="508" customFormat="false" ht="12.75" hidden="false" customHeight="false" outlineLevel="0" collapsed="false">
      <c r="X508" s="0"/>
      <c r="Y508" s="0"/>
    </row>
    <row r="509" customFormat="false" ht="12.75" hidden="false" customHeight="false" outlineLevel="0" collapsed="false">
      <c r="X509" s="0"/>
      <c r="Y509" s="0"/>
    </row>
    <row r="510" customFormat="false" ht="12.75" hidden="false" customHeight="false" outlineLevel="0" collapsed="false">
      <c r="X510" s="0"/>
      <c r="Y510" s="0"/>
    </row>
    <row r="511" customFormat="false" ht="12.75" hidden="false" customHeight="false" outlineLevel="0" collapsed="false">
      <c r="X511" s="0"/>
      <c r="Y511" s="0"/>
    </row>
    <row r="512" customFormat="false" ht="12.75" hidden="false" customHeight="false" outlineLevel="0" collapsed="false">
      <c r="X512" s="0"/>
      <c r="Y512" s="0"/>
    </row>
    <row r="513" customFormat="false" ht="12.75" hidden="false" customHeight="false" outlineLevel="0" collapsed="false">
      <c r="X513" s="0"/>
      <c r="Y513" s="0"/>
    </row>
    <row r="514" customFormat="false" ht="12.75" hidden="false" customHeight="false" outlineLevel="0" collapsed="false">
      <c r="X514" s="0"/>
      <c r="Y514" s="0"/>
    </row>
    <row r="515" customFormat="false" ht="12.75" hidden="false" customHeight="false" outlineLevel="0" collapsed="false">
      <c r="X515" s="0"/>
      <c r="Y515" s="0"/>
    </row>
    <row r="516" customFormat="false" ht="12.75" hidden="false" customHeight="false" outlineLevel="0" collapsed="false">
      <c r="X516" s="0"/>
      <c r="Y516" s="0"/>
    </row>
    <row r="517" customFormat="false" ht="12.75" hidden="false" customHeight="false" outlineLevel="0" collapsed="false">
      <c r="X517" s="0"/>
      <c r="Y517" s="0"/>
    </row>
    <row r="518" customFormat="false" ht="12.75" hidden="false" customHeight="false" outlineLevel="0" collapsed="false">
      <c r="X518" s="0"/>
      <c r="Y518" s="0"/>
    </row>
    <row r="519" customFormat="false" ht="12.75" hidden="false" customHeight="false" outlineLevel="0" collapsed="false">
      <c r="X519" s="0"/>
      <c r="Y519" s="0"/>
    </row>
    <row r="520" customFormat="false" ht="12.75" hidden="false" customHeight="false" outlineLevel="0" collapsed="false">
      <c r="X520" s="0"/>
      <c r="Y520" s="0"/>
    </row>
    <row r="521" customFormat="false" ht="12.75" hidden="false" customHeight="false" outlineLevel="0" collapsed="false">
      <c r="X521" s="0"/>
      <c r="Y521" s="0"/>
    </row>
    <row r="522" customFormat="false" ht="12.75" hidden="false" customHeight="false" outlineLevel="0" collapsed="false">
      <c r="X522" s="0"/>
      <c r="Y522" s="0"/>
    </row>
    <row r="523" customFormat="false" ht="12.75" hidden="false" customHeight="false" outlineLevel="0" collapsed="false">
      <c r="X523" s="0"/>
      <c r="Y523" s="0"/>
    </row>
    <row r="524" customFormat="false" ht="12.75" hidden="false" customHeight="false" outlineLevel="0" collapsed="false">
      <c r="X524" s="0"/>
      <c r="Y524" s="0"/>
    </row>
    <row r="525" customFormat="false" ht="12.75" hidden="false" customHeight="false" outlineLevel="0" collapsed="false">
      <c r="X525" s="0"/>
      <c r="Y525" s="0"/>
    </row>
    <row r="526" customFormat="false" ht="12.75" hidden="false" customHeight="false" outlineLevel="0" collapsed="false">
      <c r="X526" s="0"/>
      <c r="Y526" s="0"/>
    </row>
    <row r="527" customFormat="false" ht="12.75" hidden="false" customHeight="false" outlineLevel="0" collapsed="false">
      <c r="X527" s="0"/>
      <c r="Y527" s="0"/>
    </row>
    <row r="528" customFormat="false" ht="12.75" hidden="false" customHeight="false" outlineLevel="0" collapsed="false">
      <c r="X528" s="0"/>
      <c r="Y528" s="0"/>
    </row>
    <row r="529" customFormat="false" ht="12.75" hidden="false" customHeight="false" outlineLevel="0" collapsed="false">
      <c r="X529" s="0"/>
      <c r="Y529" s="0"/>
    </row>
    <row r="530" customFormat="false" ht="12.75" hidden="false" customHeight="false" outlineLevel="0" collapsed="false">
      <c r="X530" s="0"/>
      <c r="Y530" s="0"/>
    </row>
    <row r="531" customFormat="false" ht="12.75" hidden="false" customHeight="false" outlineLevel="0" collapsed="false">
      <c r="X531" s="0"/>
      <c r="Y531" s="0"/>
    </row>
    <row r="532" customFormat="false" ht="12.75" hidden="false" customHeight="false" outlineLevel="0" collapsed="false">
      <c r="X532" s="0"/>
      <c r="Y532" s="0"/>
    </row>
    <row r="533" customFormat="false" ht="12.75" hidden="false" customHeight="false" outlineLevel="0" collapsed="false">
      <c r="X533" s="0"/>
      <c r="Y533" s="0"/>
    </row>
    <row r="534" customFormat="false" ht="12.75" hidden="false" customHeight="false" outlineLevel="0" collapsed="false">
      <c r="X534" s="0"/>
      <c r="Y534" s="0"/>
    </row>
    <row r="535" customFormat="false" ht="12.75" hidden="false" customHeight="false" outlineLevel="0" collapsed="false">
      <c r="X535" s="0"/>
      <c r="Y535" s="0"/>
    </row>
    <row r="536" customFormat="false" ht="12.75" hidden="false" customHeight="false" outlineLevel="0" collapsed="false">
      <c r="X536" s="0"/>
      <c r="Y536" s="0"/>
    </row>
    <row r="537" customFormat="false" ht="12.75" hidden="false" customHeight="false" outlineLevel="0" collapsed="false">
      <c r="X537" s="0"/>
      <c r="Y537" s="0"/>
    </row>
    <row r="538" customFormat="false" ht="12.75" hidden="false" customHeight="false" outlineLevel="0" collapsed="false">
      <c r="X538" s="0"/>
      <c r="Y538" s="0"/>
    </row>
    <row r="539" customFormat="false" ht="12.75" hidden="false" customHeight="false" outlineLevel="0" collapsed="false">
      <c r="X539" s="0"/>
      <c r="Y539" s="0"/>
    </row>
    <row r="540" customFormat="false" ht="12.75" hidden="false" customHeight="false" outlineLevel="0" collapsed="false">
      <c r="X540" s="0"/>
      <c r="Y540" s="0"/>
    </row>
    <row r="541" customFormat="false" ht="12.75" hidden="false" customHeight="false" outlineLevel="0" collapsed="false">
      <c r="X541" s="0"/>
      <c r="Y541" s="0"/>
    </row>
    <row r="542" customFormat="false" ht="12.75" hidden="false" customHeight="false" outlineLevel="0" collapsed="false">
      <c r="X542" s="0"/>
      <c r="Y542" s="0"/>
    </row>
    <row r="543" customFormat="false" ht="12.75" hidden="false" customHeight="false" outlineLevel="0" collapsed="false">
      <c r="X543" s="0"/>
      <c r="Y543" s="0"/>
    </row>
    <row r="544" customFormat="false" ht="12.75" hidden="false" customHeight="false" outlineLevel="0" collapsed="false">
      <c r="X544" s="0"/>
      <c r="Y544" s="0"/>
    </row>
    <row r="545" customFormat="false" ht="12.75" hidden="false" customHeight="false" outlineLevel="0" collapsed="false">
      <c r="X545" s="0"/>
      <c r="Y545" s="0"/>
    </row>
    <row r="546" customFormat="false" ht="12.75" hidden="false" customHeight="false" outlineLevel="0" collapsed="false">
      <c r="X546" s="0"/>
      <c r="Y546" s="0"/>
    </row>
    <row r="547" customFormat="false" ht="12.75" hidden="false" customHeight="false" outlineLevel="0" collapsed="false">
      <c r="X547" s="0"/>
      <c r="Y547" s="0"/>
    </row>
    <row r="548" customFormat="false" ht="12.75" hidden="false" customHeight="false" outlineLevel="0" collapsed="false">
      <c r="X548" s="0"/>
      <c r="Y548" s="0"/>
    </row>
    <row r="549" customFormat="false" ht="12.75" hidden="false" customHeight="false" outlineLevel="0" collapsed="false">
      <c r="X549" s="0"/>
      <c r="Y549" s="0"/>
    </row>
    <row r="550" customFormat="false" ht="12.75" hidden="false" customHeight="false" outlineLevel="0" collapsed="false">
      <c r="X550" s="0"/>
      <c r="Y550" s="0"/>
    </row>
    <row r="551" customFormat="false" ht="12.75" hidden="false" customHeight="false" outlineLevel="0" collapsed="false">
      <c r="X551" s="0"/>
      <c r="Y551" s="0"/>
    </row>
    <row r="552" customFormat="false" ht="12.75" hidden="false" customHeight="false" outlineLevel="0" collapsed="false">
      <c r="X552" s="0"/>
      <c r="Y552" s="0"/>
    </row>
    <row r="553" customFormat="false" ht="12.75" hidden="false" customHeight="false" outlineLevel="0" collapsed="false">
      <c r="X553" s="0"/>
      <c r="Y553" s="0"/>
    </row>
    <row r="554" customFormat="false" ht="12.75" hidden="false" customHeight="false" outlineLevel="0" collapsed="false">
      <c r="X554" s="0"/>
      <c r="Y554" s="0"/>
    </row>
    <row r="555" customFormat="false" ht="12.75" hidden="false" customHeight="false" outlineLevel="0" collapsed="false">
      <c r="X555" s="0"/>
      <c r="Y555" s="0"/>
    </row>
    <row r="556" customFormat="false" ht="12.75" hidden="false" customHeight="false" outlineLevel="0" collapsed="false">
      <c r="X556" s="0"/>
      <c r="Y556" s="0"/>
    </row>
    <row r="557" customFormat="false" ht="12.75" hidden="false" customHeight="false" outlineLevel="0" collapsed="false">
      <c r="X557" s="0"/>
      <c r="Y557" s="0"/>
    </row>
    <row r="558" customFormat="false" ht="12.75" hidden="false" customHeight="false" outlineLevel="0" collapsed="false">
      <c r="X558" s="0"/>
      <c r="Y558" s="0"/>
    </row>
    <row r="559" customFormat="false" ht="12.75" hidden="false" customHeight="false" outlineLevel="0" collapsed="false">
      <c r="X559" s="0"/>
      <c r="Y559" s="0"/>
    </row>
    <row r="560" customFormat="false" ht="12.75" hidden="false" customHeight="false" outlineLevel="0" collapsed="false">
      <c r="X560" s="0"/>
      <c r="Y560" s="0"/>
    </row>
    <row r="561" customFormat="false" ht="12.75" hidden="false" customHeight="false" outlineLevel="0" collapsed="false">
      <c r="X561" s="0"/>
      <c r="Y561" s="0"/>
    </row>
    <row r="562" customFormat="false" ht="12.75" hidden="false" customHeight="false" outlineLevel="0" collapsed="false">
      <c r="X562" s="0"/>
      <c r="Y562" s="0"/>
    </row>
    <row r="563" customFormat="false" ht="12.75" hidden="false" customHeight="false" outlineLevel="0" collapsed="false">
      <c r="X563" s="0"/>
      <c r="Y563" s="0"/>
    </row>
    <row r="564" customFormat="false" ht="12.75" hidden="false" customHeight="false" outlineLevel="0" collapsed="false">
      <c r="X564" s="0"/>
      <c r="Y564" s="0"/>
    </row>
    <row r="565" customFormat="false" ht="12.75" hidden="false" customHeight="false" outlineLevel="0" collapsed="false">
      <c r="X565" s="0"/>
      <c r="Y565" s="0"/>
    </row>
    <row r="566" customFormat="false" ht="12.75" hidden="false" customHeight="false" outlineLevel="0" collapsed="false">
      <c r="X566" s="0"/>
      <c r="Y566" s="0"/>
    </row>
    <row r="567" customFormat="false" ht="12.75" hidden="false" customHeight="false" outlineLevel="0" collapsed="false">
      <c r="X567" s="0"/>
      <c r="Y567" s="0"/>
    </row>
    <row r="568" customFormat="false" ht="12.75" hidden="false" customHeight="false" outlineLevel="0" collapsed="false">
      <c r="X568" s="0"/>
      <c r="Y568" s="0"/>
    </row>
    <row r="569" customFormat="false" ht="12.75" hidden="false" customHeight="false" outlineLevel="0" collapsed="false">
      <c r="X569" s="0"/>
      <c r="Y569" s="0"/>
    </row>
    <row r="570" customFormat="false" ht="12.75" hidden="false" customHeight="false" outlineLevel="0" collapsed="false">
      <c r="X570" s="0"/>
      <c r="Y570" s="0"/>
    </row>
    <row r="571" customFormat="false" ht="12.75" hidden="false" customHeight="false" outlineLevel="0" collapsed="false">
      <c r="X571" s="0"/>
      <c r="Y571" s="0"/>
    </row>
    <row r="572" customFormat="false" ht="12.75" hidden="false" customHeight="false" outlineLevel="0" collapsed="false">
      <c r="X572" s="0"/>
      <c r="Y572" s="0"/>
    </row>
    <row r="573" customFormat="false" ht="12.75" hidden="false" customHeight="false" outlineLevel="0" collapsed="false">
      <c r="X573" s="0"/>
      <c r="Y573" s="0"/>
    </row>
    <row r="574" customFormat="false" ht="12.75" hidden="false" customHeight="false" outlineLevel="0" collapsed="false">
      <c r="X574" s="0"/>
      <c r="Y574" s="0"/>
    </row>
    <row r="575" customFormat="false" ht="12.75" hidden="false" customHeight="false" outlineLevel="0" collapsed="false">
      <c r="X575" s="0"/>
      <c r="Y575" s="0"/>
    </row>
    <row r="576" customFormat="false" ht="12.75" hidden="false" customHeight="false" outlineLevel="0" collapsed="false">
      <c r="X576" s="0"/>
      <c r="Y576" s="0"/>
    </row>
    <row r="577" customFormat="false" ht="12.75" hidden="false" customHeight="false" outlineLevel="0" collapsed="false">
      <c r="X577" s="0"/>
      <c r="Y577" s="0"/>
    </row>
    <row r="578" customFormat="false" ht="12.75" hidden="false" customHeight="false" outlineLevel="0" collapsed="false">
      <c r="X578" s="0"/>
      <c r="Y578" s="0"/>
    </row>
    <row r="579" customFormat="false" ht="12.75" hidden="false" customHeight="false" outlineLevel="0" collapsed="false">
      <c r="X579" s="0"/>
      <c r="Y579" s="0"/>
    </row>
    <row r="580" customFormat="false" ht="12.75" hidden="false" customHeight="false" outlineLevel="0" collapsed="false">
      <c r="X580" s="0"/>
      <c r="Y580" s="0"/>
    </row>
    <row r="581" customFormat="false" ht="12.75" hidden="false" customHeight="false" outlineLevel="0" collapsed="false">
      <c r="X581" s="0"/>
      <c r="Y581" s="0"/>
    </row>
    <row r="582" customFormat="false" ht="12.75" hidden="false" customHeight="false" outlineLevel="0" collapsed="false">
      <c r="X582" s="0"/>
      <c r="Y582" s="0"/>
    </row>
    <row r="583" customFormat="false" ht="12.75" hidden="false" customHeight="false" outlineLevel="0" collapsed="false">
      <c r="X583" s="0"/>
      <c r="Y583" s="0"/>
    </row>
    <row r="584" customFormat="false" ht="12.75" hidden="false" customHeight="false" outlineLevel="0" collapsed="false">
      <c r="X584" s="0"/>
      <c r="Y584" s="0"/>
    </row>
    <row r="585" customFormat="false" ht="12.75" hidden="false" customHeight="false" outlineLevel="0" collapsed="false">
      <c r="X585" s="0"/>
      <c r="Y585" s="0"/>
    </row>
    <row r="586" customFormat="false" ht="12.75" hidden="false" customHeight="false" outlineLevel="0" collapsed="false">
      <c r="X586" s="0"/>
      <c r="Y586" s="0"/>
    </row>
    <row r="587" customFormat="false" ht="12.75" hidden="false" customHeight="false" outlineLevel="0" collapsed="false">
      <c r="X587" s="0"/>
      <c r="Y587" s="0"/>
    </row>
    <row r="588" customFormat="false" ht="12.75" hidden="false" customHeight="false" outlineLevel="0" collapsed="false">
      <c r="X588" s="0"/>
      <c r="Y588" s="0"/>
    </row>
    <row r="589" customFormat="false" ht="12.75" hidden="false" customHeight="false" outlineLevel="0" collapsed="false">
      <c r="X589" s="0"/>
      <c r="Y589" s="0"/>
    </row>
    <row r="590" customFormat="false" ht="12.75" hidden="false" customHeight="false" outlineLevel="0" collapsed="false">
      <c r="X590" s="0"/>
      <c r="Y590" s="0"/>
    </row>
    <row r="591" customFormat="false" ht="12.75" hidden="false" customHeight="false" outlineLevel="0" collapsed="false">
      <c r="X591" s="0"/>
      <c r="Y591" s="0"/>
    </row>
    <row r="592" customFormat="false" ht="12.75" hidden="false" customHeight="false" outlineLevel="0" collapsed="false">
      <c r="X592" s="0"/>
      <c r="Y592" s="0"/>
    </row>
    <row r="593" customFormat="false" ht="12.75" hidden="false" customHeight="false" outlineLevel="0" collapsed="false">
      <c r="X593" s="0"/>
      <c r="Y593" s="0"/>
    </row>
    <row r="594" customFormat="false" ht="12.75" hidden="false" customHeight="false" outlineLevel="0" collapsed="false">
      <c r="X594" s="0"/>
      <c r="Y594" s="0"/>
    </row>
    <row r="595" customFormat="false" ht="12.75" hidden="false" customHeight="false" outlineLevel="0" collapsed="false">
      <c r="X595" s="0"/>
      <c r="Y595" s="0"/>
    </row>
    <row r="596" customFormat="false" ht="12.75" hidden="false" customHeight="false" outlineLevel="0" collapsed="false">
      <c r="X596" s="0"/>
      <c r="Y596" s="0"/>
    </row>
    <row r="597" customFormat="false" ht="12.75" hidden="false" customHeight="false" outlineLevel="0" collapsed="false">
      <c r="X597" s="0"/>
      <c r="Y597" s="0"/>
    </row>
    <row r="598" customFormat="false" ht="12.75" hidden="false" customHeight="false" outlineLevel="0" collapsed="false">
      <c r="X598" s="0"/>
      <c r="Y598" s="0"/>
    </row>
    <row r="599" customFormat="false" ht="12.75" hidden="false" customHeight="false" outlineLevel="0" collapsed="false">
      <c r="X599" s="0"/>
      <c r="Y599" s="0"/>
    </row>
    <row r="600" customFormat="false" ht="12.75" hidden="false" customHeight="false" outlineLevel="0" collapsed="false">
      <c r="X600" s="0"/>
      <c r="Y600" s="0"/>
    </row>
    <row r="601" customFormat="false" ht="12.75" hidden="false" customHeight="false" outlineLevel="0" collapsed="false">
      <c r="X601" s="0"/>
      <c r="Y601" s="0"/>
    </row>
    <row r="602" customFormat="false" ht="12.75" hidden="false" customHeight="false" outlineLevel="0" collapsed="false">
      <c r="X602" s="0"/>
      <c r="Y602" s="0"/>
    </row>
    <row r="603" customFormat="false" ht="12.75" hidden="false" customHeight="false" outlineLevel="0" collapsed="false">
      <c r="X603" s="0"/>
      <c r="Y603" s="0"/>
    </row>
    <row r="604" customFormat="false" ht="12.75" hidden="false" customHeight="false" outlineLevel="0" collapsed="false">
      <c r="X604" s="0"/>
      <c r="Y604" s="0"/>
    </row>
    <row r="605" customFormat="false" ht="12.75" hidden="false" customHeight="false" outlineLevel="0" collapsed="false">
      <c r="X605" s="0"/>
      <c r="Y605" s="0"/>
    </row>
    <row r="606" customFormat="false" ht="12.75" hidden="false" customHeight="false" outlineLevel="0" collapsed="false">
      <c r="X606" s="0"/>
      <c r="Y606" s="0"/>
    </row>
    <row r="607" customFormat="false" ht="12.75" hidden="false" customHeight="false" outlineLevel="0" collapsed="false">
      <c r="X607" s="0"/>
      <c r="Y607" s="0"/>
    </row>
    <row r="608" customFormat="false" ht="12.75" hidden="false" customHeight="false" outlineLevel="0" collapsed="false">
      <c r="X608" s="0"/>
      <c r="Y608" s="0"/>
    </row>
    <row r="609" customFormat="false" ht="12.75" hidden="false" customHeight="false" outlineLevel="0" collapsed="false">
      <c r="X609" s="0"/>
      <c r="Y609" s="0"/>
    </row>
    <row r="610" customFormat="false" ht="12.75" hidden="false" customHeight="false" outlineLevel="0" collapsed="false">
      <c r="X610" s="0"/>
      <c r="Y610" s="0"/>
    </row>
    <row r="611" customFormat="false" ht="12.75" hidden="false" customHeight="false" outlineLevel="0" collapsed="false">
      <c r="X611" s="0"/>
      <c r="Y611" s="0"/>
    </row>
    <row r="612" customFormat="false" ht="12.75" hidden="false" customHeight="false" outlineLevel="0" collapsed="false">
      <c r="X612" s="0"/>
      <c r="Y612" s="0"/>
    </row>
    <row r="613" customFormat="false" ht="12.75" hidden="false" customHeight="false" outlineLevel="0" collapsed="false">
      <c r="X613" s="0"/>
      <c r="Y613" s="0"/>
    </row>
    <row r="614" customFormat="false" ht="12.75" hidden="false" customHeight="false" outlineLevel="0" collapsed="false">
      <c r="X614" s="0"/>
      <c r="Y614" s="0"/>
    </row>
    <row r="615" customFormat="false" ht="12.75" hidden="false" customHeight="false" outlineLevel="0" collapsed="false">
      <c r="X615" s="0"/>
      <c r="Y615" s="0"/>
    </row>
    <row r="616" customFormat="false" ht="12.75" hidden="false" customHeight="false" outlineLevel="0" collapsed="false">
      <c r="X616" s="0"/>
      <c r="Y616" s="0"/>
    </row>
    <row r="617" customFormat="false" ht="12.75" hidden="false" customHeight="false" outlineLevel="0" collapsed="false">
      <c r="X617" s="0"/>
      <c r="Y617" s="0"/>
    </row>
    <row r="618" customFormat="false" ht="12.75" hidden="false" customHeight="false" outlineLevel="0" collapsed="false">
      <c r="X618" s="0"/>
      <c r="Y618" s="0"/>
    </row>
    <row r="619" customFormat="false" ht="12.75" hidden="false" customHeight="false" outlineLevel="0" collapsed="false">
      <c r="X619" s="0"/>
      <c r="Y619" s="0"/>
    </row>
    <row r="620" customFormat="false" ht="12.75" hidden="false" customHeight="false" outlineLevel="0" collapsed="false">
      <c r="X620" s="0"/>
      <c r="Y620" s="0"/>
    </row>
    <row r="621" customFormat="false" ht="12.75" hidden="false" customHeight="false" outlineLevel="0" collapsed="false">
      <c r="X621" s="0"/>
      <c r="Y621" s="0"/>
    </row>
    <row r="622" customFormat="false" ht="12.75" hidden="false" customHeight="false" outlineLevel="0" collapsed="false">
      <c r="X622" s="0"/>
      <c r="Y622" s="0"/>
    </row>
    <row r="623" customFormat="false" ht="12.75" hidden="false" customHeight="false" outlineLevel="0" collapsed="false">
      <c r="X623" s="0"/>
      <c r="Y623" s="0"/>
    </row>
    <row r="624" customFormat="false" ht="12.75" hidden="false" customHeight="false" outlineLevel="0" collapsed="false">
      <c r="X624" s="0"/>
      <c r="Y624" s="0"/>
    </row>
    <row r="625" customFormat="false" ht="12.75" hidden="false" customHeight="false" outlineLevel="0" collapsed="false">
      <c r="X625" s="0"/>
      <c r="Y625" s="0"/>
    </row>
    <row r="626" customFormat="false" ht="12.75" hidden="false" customHeight="false" outlineLevel="0" collapsed="false">
      <c r="X626" s="0"/>
      <c r="Y626" s="0"/>
    </row>
    <row r="627" customFormat="false" ht="12.75" hidden="false" customHeight="false" outlineLevel="0" collapsed="false">
      <c r="X627" s="0"/>
      <c r="Y627" s="0"/>
    </row>
    <row r="628" customFormat="false" ht="12.75" hidden="false" customHeight="false" outlineLevel="0" collapsed="false">
      <c r="X628" s="0"/>
      <c r="Y628" s="0"/>
    </row>
    <row r="629" customFormat="false" ht="12.75" hidden="false" customHeight="false" outlineLevel="0" collapsed="false">
      <c r="X629" s="0"/>
      <c r="Y629" s="0"/>
    </row>
    <row r="630" customFormat="false" ht="12.75" hidden="false" customHeight="false" outlineLevel="0" collapsed="false">
      <c r="X630" s="0"/>
      <c r="Y630" s="0"/>
    </row>
    <row r="631" customFormat="false" ht="12.75" hidden="false" customHeight="false" outlineLevel="0" collapsed="false">
      <c r="X631" s="0"/>
      <c r="Y631" s="0"/>
    </row>
    <row r="632" customFormat="false" ht="12.75" hidden="false" customHeight="false" outlineLevel="0" collapsed="false">
      <c r="X632" s="0"/>
      <c r="Y632" s="0"/>
    </row>
    <row r="633" customFormat="false" ht="12.75" hidden="false" customHeight="false" outlineLevel="0" collapsed="false">
      <c r="X633" s="0"/>
      <c r="Y633" s="0"/>
    </row>
    <row r="634" customFormat="false" ht="12.75" hidden="false" customHeight="false" outlineLevel="0" collapsed="false">
      <c r="X634" s="0"/>
      <c r="Y634" s="0"/>
    </row>
    <row r="635" customFormat="false" ht="12.75" hidden="false" customHeight="false" outlineLevel="0" collapsed="false">
      <c r="X635" s="0"/>
      <c r="Y635" s="0"/>
    </row>
    <row r="636" customFormat="false" ht="12.75" hidden="false" customHeight="false" outlineLevel="0" collapsed="false">
      <c r="X636" s="0"/>
      <c r="Y636" s="0"/>
    </row>
    <row r="637" customFormat="false" ht="12.75" hidden="false" customHeight="false" outlineLevel="0" collapsed="false">
      <c r="X637" s="0"/>
      <c r="Y637" s="0"/>
    </row>
    <row r="638" customFormat="false" ht="12.75" hidden="false" customHeight="false" outlineLevel="0" collapsed="false">
      <c r="X638" s="0"/>
      <c r="Y638" s="0"/>
    </row>
    <row r="639" customFormat="false" ht="12.75" hidden="false" customHeight="false" outlineLevel="0" collapsed="false">
      <c r="X639" s="0"/>
      <c r="Y639" s="0"/>
    </row>
    <row r="640" customFormat="false" ht="12.75" hidden="false" customHeight="false" outlineLevel="0" collapsed="false">
      <c r="X640" s="0"/>
      <c r="Y640" s="0"/>
    </row>
    <row r="641" customFormat="false" ht="12.75" hidden="false" customHeight="false" outlineLevel="0" collapsed="false">
      <c r="X641" s="0"/>
      <c r="Y641" s="0"/>
    </row>
    <row r="642" customFormat="false" ht="12.75" hidden="false" customHeight="false" outlineLevel="0" collapsed="false">
      <c r="X642" s="0"/>
      <c r="Y642" s="0"/>
    </row>
    <row r="643" customFormat="false" ht="12.75" hidden="false" customHeight="false" outlineLevel="0" collapsed="false">
      <c r="X643" s="0"/>
      <c r="Y643" s="0"/>
    </row>
    <row r="644" customFormat="false" ht="12.75" hidden="false" customHeight="false" outlineLevel="0" collapsed="false">
      <c r="X644" s="0"/>
      <c r="Y644" s="0"/>
    </row>
    <row r="645" customFormat="false" ht="12.75" hidden="false" customHeight="false" outlineLevel="0" collapsed="false">
      <c r="X645" s="0"/>
      <c r="Y645" s="0"/>
    </row>
    <row r="646" customFormat="false" ht="12.75" hidden="false" customHeight="false" outlineLevel="0" collapsed="false">
      <c r="X646" s="0"/>
      <c r="Y646" s="0"/>
    </row>
    <row r="647" customFormat="false" ht="12.75" hidden="false" customHeight="false" outlineLevel="0" collapsed="false">
      <c r="X647" s="0"/>
      <c r="Y647" s="0"/>
    </row>
    <row r="648" customFormat="false" ht="12.75" hidden="false" customHeight="false" outlineLevel="0" collapsed="false">
      <c r="X648" s="0"/>
      <c r="Y648" s="0"/>
    </row>
    <row r="649" customFormat="false" ht="12.75" hidden="false" customHeight="false" outlineLevel="0" collapsed="false">
      <c r="X649" s="0"/>
      <c r="Y649" s="0"/>
    </row>
    <row r="650" customFormat="false" ht="12.75" hidden="false" customHeight="false" outlineLevel="0" collapsed="false">
      <c r="X650" s="0"/>
      <c r="Y650" s="0"/>
    </row>
    <row r="651" customFormat="false" ht="12.75" hidden="false" customHeight="false" outlineLevel="0" collapsed="false">
      <c r="X651" s="0"/>
      <c r="Y651" s="0"/>
    </row>
    <row r="652" customFormat="false" ht="12.75" hidden="false" customHeight="false" outlineLevel="0" collapsed="false">
      <c r="X652" s="0"/>
      <c r="Y652" s="0"/>
    </row>
    <row r="653" customFormat="false" ht="12.75" hidden="false" customHeight="false" outlineLevel="0" collapsed="false">
      <c r="X653" s="0"/>
      <c r="Y653" s="0"/>
    </row>
    <row r="654" customFormat="false" ht="12.75" hidden="false" customHeight="false" outlineLevel="0" collapsed="false">
      <c r="X654" s="0"/>
      <c r="Y654" s="0"/>
    </row>
    <row r="655" customFormat="false" ht="12.75" hidden="false" customHeight="false" outlineLevel="0" collapsed="false">
      <c r="X655" s="0"/>
      <c r="Y655" s="0"/>
    </row>
    <row r="656" customFormat="false" ht="12.75" hidden="false" customHeight="false" outlineLevel="0" collapsed="false">
      <c r="X656" s="0"/>
      <c r="Y656" s="0"/>
    </row>
    <row r="657" customFormat="false" ht="12.75" hidden="false" customHeight="false" outlineLevel="0" collapsed="false">
      <c r="X657" s="0"/>
      <c r="Y657" s="0"/>
    </row>
    <row r="658" customFormat="false" ht="12.75" hidden="false" customHeight="false" outlineLevel="0" collapsed="false">
      <c r="X658" s="0"/>
      <c r="Y658" s="0"/>
    </row>
    <row r="659" customFormat="false" ht="12.75" hidden="false" customHeight="false" outlineLevel="0" collapsed="false">
      <c r="X659" s="0"/>
      <c r="Y659" s="0"/>
    </row>
    <row r="660" customFormat="false" ht="12.75" hidden="false" customHeight="false" outlineLevel="0" collapsed="false">
      <c r="X660" s="0"/>
      <c r="Y660" s="0"/>
    </row>
    <row r="661" customFormat="false" ht="12.75" hidden="false" customHeight="false" outlineLevel="0" collapsed="false">
      <c r="X661" s="0"/>
      <c r="Y661" s="0"/>
    </row>
    <row r="662" customFormat="false" ht="12.75" hidden="false" customHeight="false" outlineLevel="0" collapsed="false">
      <c r="X662" s="0"/>
      <c r="Y662" s="0"/>
    </row>
    <row r="663" customFormat="false" ht="12.75" hidden="false" customHeight="false" outlineLevel="0" collapsed="false">
      <c r="X663" s="0"/>
      <c r="Y663" s="0"/>
    </row>
    <row r="664" customFormat="false" ht="12.75" hidden="false" customHeight="false" outlineLevel="0" collapsed="false">
      <c r="X664" s="0"/>
      <c r="Y664" s="0"/>
    </row>
    <row r="665" customFormat="false" ht="12.75" hidden="false" customHeight="false" outlineLevel="0" collapsed="false">
      <c r="X665" s="0"/>
      <c r="Y665" s="0"/>
    </row>
    <row r="666" customFormat="false" ht="12.75" hidden="false" customHeight="false" outlineLevel="0" collapsed="false">
      <c r="X666" s="0"/>
      <c r="Y666" s="0"/>
    </row>
    <row r="667" customFormat="false" ht="12.75" hidden="false" customHeight="false" outlineLevel="0" collapsed="false">
      <c r="X667" s="0"/>
      <c r="Y667" s="0"/>
    </row>
    <row r="668" customFormat="false" ht="12.75" hidden="false" customHeight="false" outlineLevel="0" collapsed="false">
      <c r="X668" s="0"/>
      <c r="Y668" s="0"/>
    </row>
    <row r="669" customFormat="false" ht="12.75" hidden="false" customHeight="false" outlineLevel="0" collapsed="false">
      <c r="X669" s="0"/>
      <c r="Y669" s="0"/>
    </row>
    <row r="670" customFormat="false" ht="12.75" hidden="false" customHeight="false" outlineLevel="0" collapsed="false">
      <c r="X670" s="0"/>
      <c r="Y670" s="0"/>
    </row>
    <row r="671" customFormat="false" ht="12.75" hidden="false" customHeight="false" outlineLevel="0" collapsed="false">
      <c r="X671" s="0"/>
      <c r="Y671" s="0"/>
    </row>
    <row r="672" customFormat="false" ht="12.75" hidden="false" customHeight="false" outlineLevel="0" collapsed="false">
      <c r="X672" s="0"/>
      <c r="Y672" s="0"/>
    </row>
    <row r="673" customFormat="false" ht="12.75" hidden="false" customHeight="false" outlineLevel="0" collapsed="false">
      <c r="X673" s="0"/>
      <c r="Y673" s="0"/>
    </row>
    <row r="674" customFormat="false" ht="12.75" hidden="false" customHeight="false" outlineLevel="0" collapsed="false">
      <c r="X674" s="0"/>
      <c r="Y674" s="0"/>
    </row>
    <row r="675" customFormat="false" ht="12.75" hidden="false" customHeight="false" outlineLevel="0" collapsed="false">
      <c r="X675" s="0"/>
      <c r="Y675" s="0"/>
    </row>
    <row r="676" customFormat="false" ht="12.75" hidden="false" customHeight="false" outlineLevel="0" collapsed="false">
      <c r="X676" s="0"/>
      <c r="Y676" s="0"/>
    </row>
    <row r="677" customFormat="false" ht="12.75" hidden="false" customHeight="false" outlineLevel="0" collapsed="false">
      <c r="X677" s="0"/>
      <c r="Y677" s="0"/>
    </row>
    <row r="678" customFormat="false" ht="12.75" hidden="false" customHeight="false" outlineLevel="0" collapsed="false">
      <c r="X678" s="0"/>
      <c r="Y678" s="0"/>
    </row>
    <row r="679" customFormat="false" ht="12.75" hidden="false" customHeight="false" outlineLevel="0" collapsed="false">
      <c r="X679" s="0"/>
      <c r="Y679" s="0"/>
    </row>
    <row r="680" customFormat="false" ht="12.75" hidden="false" customHeight="false" outlineLevel="0" collapsed="false">
      <c r="X680" s="0"/>
      <c r="Y680" s="0"/>
    </row>
    <row r="681" customFormat="false" ht="12.75" hidden="false" customHeight="false" outlineLevel="0" collapsed="false">
      <c r="X681" s="0"/>
      <c r="Y681" s="0"/>
    </row>
    <row r="682" customFormat="false" ht="12.75" hidden="false" customHeight="false" outlineLevel="0" collapsed="false">
      <c r="X682" s="0"/>
      <c r="Y682" s="0"/>
    </row>
    <row r="683" customFormat="false" ht="12.75" hidden="false" customHeight="false" outlineLevel="0" collapsed="false">
      <c r="X683" s="0"/>
      <c r="Y683" s="0"/>
    </row>
    <row r="684" customFormat="false" ht="12.75" hidden="false" customHeight="false" outlineLevel="0" collapsed="false">
      <c r="X684" s="0"/>
      <c r="Y684" s="0"/>
    </row>
    <row r="685" customFormat="false" ht="12.75" hidden="false" customHeight="false" outlineLevel="0" collapsed="false">
      <c r="X685" s="0"/>
      <c r="Y685" s="0"/>
    </row>
    <row r="686" customFormat="false" ht="12.75" hidden="false" customHeight="false" outlineLevel="0" collapsed="false">
      <c r="X686" s="0"/>
      <c r="Y686" s="0"/>
    </row>
    <row r="687" customFormat="false" ht="12.75" hidden="false" customHeight="false" outlineLevel="0" collapsed="false">
      <c r="X687" s="0"/>
      <c r="Y687" s="0"/>
    </row>
    <row r="688" customFormat="false" ht="12.75" hidden="false" customHeight="false" outlineLevel="0" collapsed="false">
      <c r="X688" s="0"/>
      <c r="Y688" s="0"/>
    </row>
    <row r="689" customFormat="false" ht="12.75" hidden="false" customHeight="false" outlineLevel="0" collapsed="false">
      <c r="X689" s="0"/>
      <c r="Y689" s="0"/>
    </row>
    <row r="690" customFormat="false" ht="12.75" hidden="false" customHeight="false" outlineLevel="0" collapsed="false">
      <c r="X690" s="0"/>
      <c r="Y690" s="0"/>
    </row>
    <row r="691" customFormat="false" ht="12.75" hidden="false" customHeight="false" outlineLevel="0" collapsed="false">
      <c r="X691" s="0"/>
      <c r="Y691" s="0"/>
    </row>
    <row r="692" customFormat="false" ht="12.75" hidden="false" customHeight="false" outlineLevel="0" collapsed="false">
      <c r="X692" s="0"/>
      <c r="Y692" s="0"/>
    </row>
    <row r="693" customFormat="false" ht="12.75" hidden="false" customHeight="false" outlineLevel="0" collapsed="false">
      <c r="X693" s="0"/>
      <c r="Y693" s="0"/>
    </row>
    <row r="694" customFormat="false" ht="12.75" hidden="false" customHeight="false" outlineLevel="0" collapsed="false">
      <c r="X694" s="0"/>
      <c r="Y694" s="0"/>
    </row>
    <row r="695" customFormat="false" ht="12.75" hidden="false" customHeight="false" outlineLevel="0" collapsed="false">
      <c r="X695" s="0"/>
      <c r="Y695" s="0"/>
    </row>
    <row r="696" customFormat="false" ht="12.75" hidden="false" customHeight="false" outlineLevel="0" collapsed="false">
      <c r="X696" s="0"/>
      <c r="Y696" s="0"/>
    </row>
    <row r="697" customFormat="false" ht="12.75" hidden="false" customHeight="false" outlineLevel="0" collapsed="false">
      <c r="X697" s="0"/>
      <c r="Y697" s="0"/>
    </row>
    <row r="698" customFormat="false" ht="12.75" hidden="false" customHeight="false" outlineLevel="0" collapsed="false">
      <c r="X698" s="0"/>
      <c r="Y698" s="0"/>
    </row>
    <row r="699" customFormat="false" ht="12.75" hidden="false" customHeight="false" outlineLevel="0" collapsed="false">
      <c r="X699" s="0"/>
      <c r="Y699" s="0"/>
    </row>
    <row r="700" customFormat="false" ht="12.75" hidden="false" customHeight="false" outlineLevel="0" collapsed="false">
      <c r="X700" s="0"/>
      <c r="Y700" s="0"/>
    </row>
    <row r="701" customFormat="false" ht="12.75" hidden="false" customHeight="false" outlineLevel="0" collapsed="false">
      <c r="X701" s="0"/>
      <c r="Y701" s="0"/>
    </row>
    <row r="702" customFormat="false" ht="12.75" hidden="false" customHeight="false" outlineLevel="0" collapsed="false">
      <c r="X702" s="0"/>
      <c r="Y702" s="0"/>
    </row>
    <row r="703" customFormat="false" ht="12.75" hidden="false" customHeight="false" outlineLevel="0" collapsed="false">
      <c r="X703" s="0"/>
      <c r="Y703" s="0"/>
    </row>
    <row r="704" customFormat="false" ht="12.75" hidden="false" customHeight="false" outlineLevel="0" collapsed="false">
      <c r="X704" s="0"/>
      <c r="Y704" s="0"/>
    </row>
    <row r="705" customFormat="false" ht="12.75" hidden="false" customHeight="false" outlineLevel="0" collapsed="false">
      <c r="X705" s="0"/>
      <c r="Y705" s="0"/>
    </row>
    <row r="706" customFormat="false" ht="12.75" hidden="false" customHeight="false" outlineLevel="0" collapsed="false">
      <c r="X706" s="0"/>
      <c r="Y706" s="0"/>
    </row>
    <row r="707" customFormat="false" ht="12.75" hidden="false" customHeight="false" outlineLevel="0" collapsed="false">
      <c r="X707" s="0"/>
      <c r="Y707" s="0"/>
    </row>
    <row r="708" customFormat="false" ht="12.75" hidden="false" customHeight="false" outlineLevel="0" collapsed="false">
      <c r="X708" s="0"/>
      <c r="Y708" s="0"/>
    </row>
    <row r="709" customFormat="false" ht="12.75" hidden="false" customHeight="false" outlineLevel="0" collapsed="false">
      <c r="X709" s="0"/>
      <c r="Y709" s="0"/>
    </row>
    <row r="710" customFormat="false" ht="12.75" hidden="false" customHeight="false" outlineLevel="0" collapsed="false">
      <c r="X710" s="0"/>
      <c r="Y710" s="0"/>
    </row>
    <row r="711" customFormat="false" ht="12.75" hidden="false" customHeight="false" outlineLevel="0" collapsed="false">
      <c r="X711" s="0"/>
      <c r="Y711" s="0"/>
    </row>
    <row r="712" customFormat="false" ht="12.75" hidden="false" customHeight="false" outlineLevel="0" collapsed="false">
      <c r="X712" s="0"/>
      <c r="Y712" s="0"/>
    </row>
    <row r="713" customFormat="false" ht="12.75" hidden="false" customHeight="false" outlineLevel="0" collapsed="false">
      <c r="X713" s="0"/>
      <c r="Y713" s="0"/>
    </row>
    <row r="714" customFormat="false" ht="12.75" hidden="false" customHeight="false" outlineLevel="0" collapsed="false">
      <c r="X714" s="0"/>
      <c r="Y714" s="0"/>
    </row>
    <row r="715" customFormat="false" ht="12.75" hidden="false" customHeight="false" outlineLevel="0" collapsed="false">
      <c r="X715" s="0"/>
      <c r="Y715" s="0"/>
    </row>
    <row r="716" customFormat="false" ht="12.75" hidden="false" customHeight="false" outlineLevel="0" collapsed="false">
      <c r="X716" s="0"/>
      <c r="Y716" s="0"/>
    </row>
    <row r="717" customFormat="false" ht="12.75" hidden="false" customHeight="false" outlineLevel="0" collapsed="false">
      <c r="X717" s="0"/>
      <c r="Y717" s="0"/>
    </row>
    <row r="718" customFormat="false" ht="12.75" hidden="false" customHeight="false" outlineLevel="0" collapsed="false">
      <c r="X718" s="0"/>
      <c r="Y718" s="0"/>
    </row>
    <row r="719" customFormat="false" ht="12.75" hidden="false" customHeight="false" outlineLevel="0" collapsed="false">
      <c r="X719" s="0"/>
      <c r="Y719" s="0"/>
    </row>
    <row r="720" customFormat="false" ht="12.75" hidden="false" customHeight="false" outlineLevel="0" collapsed="false">
      <c r="X720" s="0"/>
      <c r="Y720" s="0"/>
    </row>
    <row r="721" customFormat="false" ht="12.75" hidden="false" customHeight="false" outlineLevel="0" collapsed="false">
      <c r="X721" s="0"/>
      <c r="Y721" s="0"/>
    </row>
    <row r="722" customFormat="false" ht="12.75" hidden="false" customHeight="false" outlineLevel="0" collapsed="false">
      <c r="X722" s="0"/>
      <c r="Y722" s="0"/>
    </row>
    <row r="723" customFormat="false" ht="12.75" hidden="false" customHeight="false" outlineLevel="0" collapsed="false">
      <c r="X723" s="0"/>
      <c r="Y723" s="0"/>
    </row>
    <row r="724" customFormat="false" ht="12.75" hidden="false" customHeight="false" outlineLevel="0" collapsed="false">
      <c r="X724" s="0"/>
      <c r="Y724" s="0"/>
    </row>
    <row r="725" customFormat="false" ht="12.75" hidden="false" customHeight="false" outlineLevel="0" collapsed="false">
      <c r="X725" s="0"/>
      <c r="Y725" s="0"/>
    </row>
    <row r="726" customFormat="false" ht="12.75" hidden="false" customHeight="false" outlineLevel="0" collapsed="false">
      <c r="X726" s="0"/>
      <c r="Y726" s="0"/>
    </row>
    <row r="727" customFormat="false" ht="12.75" hidden="false" customHeight="false" outlineLevel="0" collapsed="false">
      <c r="X727" s="0"/>
      <c r="Y727" s="0"/>
    </row>
    <row r="728" customFormat="false" ht="12.75" hidden="false" customHeight="false" outlineLevel="0" collapsed="false">
      <c r="X728" s="0"/>
      <c r="Y728" s="0"/>
    </row>
    <row r="729" customFormat="false" ht="12.75" hidden="false" customHeight="false" outlineLevel="0" collapsed="false">
      <c r="X729" s="0"/>
      <c r="Y729" s="0"/>
    </row>
    <row r="730" customFormat="false" ht="12.75" hidden="false" customHeight="false" outlineLevel="0" collapsed="false">
      <c r="X730" s="0"/>
      <c r="Y730" s="0"/>
    </row>
    <row r="731" customFormat="false" ht="12.75" hidden="false" customHeight="false" outlineLevel="0" collapsed="false">
      <c r="X731" s="0"/>
      <c r="Y731" s="0"/>
    </row>
    <row r="732" customFormat="false" ht="12.75" hidden="false" customHeight="false" outlineLevel="0" collapsed="false">
      <c r="X732" s="0"/>
      <c r="Y732" s="0"/>
    </row>
    <row r="733" customFormat="false" ht="12.75" hidden="false" customHeight="false" outlineLevel="0" collapsed="false">
      <c r="X733" s="0"/>
      <c r="Y733" s="0"/>
    </row>
    <row r="734" customFormat="false" ht="12.75" hidden="false" customHeight="false" outlineLevel="0" collapsed="false">
      <c r="X734" s="0"/>
      <c r="Y734" s="0"/>
    </row>
    <row r="735" customFormat="false" ht="12.75" hidden="false" customHeight="false" outlineLevel="0" collapsed="false">
      <c r="X735" s="0"/>
      <c r="Y735" s="0"/>
    </row>
    <row r="736" customFormat="false" ht="12.75" hidden="false" customHeight="false" outlineLevel="0" collapsed="false">
      <c r="X736" s="0"/>
      <c r="Y736" s="0"/>
    </row>
    <row r="737" customFormat="false" ht="12.75" hidden="false" customHeight="false" outlineLevel="0" collapsed="false">
      <c r="X737" s="0"/>
      <c r="Y737" s="0"/>
    </row>
    <row r="738" customFormat="false" ht="12.75" hidden="false" customHeight="false" outlineLevel="0" collapsed="false">
      <c r="X738" s="0"/>
      <c r="Y738" s="0"/>
    </row>
    <row r="739" customFormat="false" ht="12.75" hidden="false" customHeight="false" outlineLevel="0" collapsed="false">
      <c r="X739" s="0"/>
      <c r="Y739" s="0"/>
    </row>
    <row r="740" customFormat="false" ht="12.75" hidden="false" customHeight="false" outlineLevel="0" collapsed="false">
      <c r="X740" s="0"/>
      <c r="Y740" s="0"/>
    </row>
    <row r="741" customFormat="false" ht="12.75" hidden="false" customHeight="false" outlineLevel="0" collapsed="false">
      <c r="X741" s="0"/>
      <c r="Y741" s="0"/>
    </row>
    <row r="742" customFormat="false" ht="12.75" hidden="false" customHeight="false" outlineLevel="0" collapsed="false">
      <c r="X742" s="0"/>
      <c r="Y742" s="0"/>
    </row>
    <row r="743" customFormat="false" ht="12.75" hidden="false" customHeight="false" outlineLevel="0" collapsed="false">
      <c r="X743" s="0"/>
      <c r="Y743" s="0"/>
    </row>
    <row r="744" customFormat="false" ht="12.75" hidden="false" customHeight="false" outlineLevel="0" collapsed="false">
      <c r="X744" s="0"/>
      <c r="Y744" s="0"/>
    </row>
    <row r="745" customFormat="false" ht="12.75" hidden="false" customHeight="false" outlineLevel="0" collapsed="false">
      <c r="X745" s="0"/>
      <c r="Y745" s="0"/>
    </row>
    <row r="746" customFormat="false" ht="12.75" hidden="false" customHeight="false" outlineLevel="0" collapsed="false">
      <c r="X746" s="0"/>
      <c r="Y746" s="0"/>
    </row>
    <row r="747" customFormat="false" ht="12.75" hidden="false" customHeight="false" outlineLevel="0" collapsed="false">
      <c r="X747" s="0"/>
      <c r="Y747" s="0"/>
    </row>
    <row r="748" customFormat="false" ht="12.75" hidden="false" customHeight="false" outlineLevel="0" collapsed="false">
      <c r="X748" s="0"/>
      <c r="Y748" s="0"/>
    </row>
    <row r="749" customFormat="false" ht="12.75" hidden="false" customHeight="false" outlineLevel="0" collapsed="false">
      <c r="X749" s="0"/>
      <c r="Y749" s="0"/>
    </row>
    <row r="750" customFormat="false" ht="12.75" hidden="false" customHeight="false" outlineLevel="0" collapsed="false">
      <c r="X750" s="0"/>
      <c r="Y750" s="0"/>
    </row>
    <row r="751" customFormat="false" ht="12.75" hidden="false" customHeight="false" outlineLevel="0" collapsed="false">
      <c r="X751" s="0"/>
      <c r="Y751" s="0"/>
    </row>
    <row r="752" customFormat="false" ht="12.75" hidden="false" customHeight="false" outlineLevel="0" collapsed="false">
      <c r="X752" s="0"/>
      <c r="Y752" s="0"/>
    </row>
    <row r="753" customFormat="false" ht="12.75" hidden="false" customHeight="false" outlineLevel="0" collapsed="false">
      <c r="X753" s="0"/>
      <c r="Y753" s="0"/>
    </row>
    <row r="754" customFormat="false" ht="12.75" hidden="false" customHeight="false" outlineLevel="0" collapsed="false">
      <c r="X754" s="0"/>
      <c r="Y754" s="0"/>
    </row>
    <row r="755" customFormat="false" ht="12.75" hidden="false" customHeight="false" outlineLevel="0" collapsed="false">
      <c r="X755" s="0"/>
      <c r="Y755" s="0"/>
    </row>
    <row r="756" customFormat="false" ht="12.75" hidden="false" customHeight="false" outlineLevel="0" collapsed="false">
      <c r="X756" s="0"/>
      <c r="Y756" s="0"/>
    </row>
    <row r="757" customFormat="false" ht="12.75" hidden="false" customHeight="false" outlineLevel="0" collapsed="false">
      <c r="X757" s="0"/>
      <c r="Y757" s="0"/>
    </row>
    <row r="758" customFormat="false" ht="12.75" hidden="false" customHeight="false" outlineLevel="0" collapsed="false">
      <c r="X758" s="0"/>
      <c r="Y758" s="0"/>
    </row>
    <row r="759" customFormat="false" ht="12.75" hidden="false" customHeight="false" outlineLevel="0" collapsed="false">
      <c r="X759" s="0"/>
      <c r="Y759" s="0"/>
    </row>
    <row r="760" customFormat="false" ht="12.75" hidden="false" customHeight="false" outlineLevel="0" collapsed="false">
      <c r="X760" s="0"/>
      <c r="Y760" s="0"/>
    </row>
    <row r="761" customFormat="false" ht="12.75" hidden="false" customHeight="false" outlineLevel="0" collapsed="false">
      <c r="X761" s="0"/>
      <c r="Y761" s="0"/>
    </row>
    <row r="762" customFormat="false" ht="12.75" hidden="false" customHeight="false" outlineLevel="0" collapsed="false">
      <c r="X762" s="0"/>
      <c r="Y762" s="0"/>
    </row>
    <row r="763" customFormat="false" ht="12.75" hidden="false" customHeight="false" outlineLevel="0" collapsed="false">
      <c r="X763" s="0"/>
      <c r="Y763" s="0"/>
    </row>
    <row r="764" customFormat="false" ht="12.75" hidden="false" customHeight="false" outlineLevel="0" collapsed="false">
      <c r="X764" s="0"/>
      <c r="Y764" s="0"/>
    </row>
    <row r="765" customFormat="false" ht="12.75" hidden="false" customHeight="false" outlineLevel="0" collapsed="false">
      <c r="X765" s="0"/>
      <c r="Y765" s="0"/>
    </row>
    <row r="766" customFormat="false" ht="12.75" hidden="false" customHeight="false" outlineLevel="0" collapsed="false">
      <c r="X766" s="0"/>
      <c r="Y766" s="0"/>
    </row>
    <row r="767" customFormat="false" ht="12.75" hidden="false" customHeight="false" outlineLevel="0" collapsed="false">
      <c r="X767" s="0"/>
      <c r="Y767" s="0"/>
    </row>
    <row r="768" customFormat="false" ht="12.75" hidden="false" customHeight="false" outlineLevel="0" collapsed="false">
      <c r="X768" s="0"/>
      <c r="Y768" s="0"/>
    </row>
    <row r="769" customFormat="false" ht="12.75" hidden="false" customHeight="false" outlineLevel="0" collapsed="false">
      <c r="X769" s="0"/>
      <c r="Y769" s="0"/>
    </row>
    <row r="770" customFormat="false" ht="12.75" hidden="false" customHeight="false" outlineLevel="0" collapsed="false">
      <c r="X770" s="0"/>
      <c r="Y770" s="0"/>
    </row>
    <row r="771" customFormat="false" ht="12.75" hidden="false" customHeight="false" outlineLevel="0" collapsed="false">
      <c r="X771" s="0"/>
      <c r="Y771" s="0"/>
    </row>
    <row r="772" customFormat="false" ht="12.75" hidden="false" customHeight="false" outlineLevel="0" collapsed="false">
      <c r="X772" s="0"/>
      <c r="Y772" s="0"/>
    </row>
    <row r="773" customFormat="false" ht="12.75" hidden="false" customHeight="false" outlineLevel="0" collapsed="false">
      <c r="X773" s="0"/>
      <c r="Y773" s="0"/>
    </row>
    <row r="774" customFormat="false" ht="12.75" hidden="false" customHeight="false" outlineLevel="0" collapsed="false">
      <c r="X774" s="0"/>
      <c r="Y774" s="0"/>
    </row>
    <row r="775" customFormat="false" ht="12.75" hidden="false" customHeight="false" outlineLevel="0" collapsed="false">
      <c r="X775" s="0"/>
      <c r="Y775" s="0"/>
    </row>
    <row r="776" customFormat="false" ht="12.75" hidden="false" customHeight="false" outlineLevel="0" collapsed="false">
      <c r="X776" s="0"/>
      <c r="Y776" s="0"/>
    </row>
    <row r="777" customFormat="false" ht="12.75" hidden="false" customHeight="false" outlineLevel="0" collapsed="false">
      <c r="X777" s="0"/>
      <c r="Y777" s="0"/>
    </row>
    <row r="778" customFormat="false" ht="12.75" hidden="false" customHeight="false" outlineLevel="0" collapsed="false">
      <c r="X778" s="0"/>
      <c r="Y778" s="0"/>
    </row>
    <row r="779" customFormat="false" ht="12.75" hidden="false" customHeight="false" outlineLevel="0" collapsed="false">
      <c r="X779" s="0"/>
      <c r="Y779" s="0"/>
    </row>
    <row r="780" customFormat="false" ht="12.75" hidden="false" customHeight="false" outlineLevel="0" collapsed="false">
      <c r="X780" s="0"/>
      <c r="Y780" s="0"/>
    </row>
    <row r="781" customFormat="false" ht="12.75" hidden="false" customHeight="false" outlineLevel="0" collapsed="false">
      <c r="X781" s="0"/>
      <c r="Y781" s="0"/>
    </row>
    <row r="782" customFormat="false" ht="12.75" hidden="false" customHeight="false" outlineLevel="0" collapsed="false">
      <c r="X782" s="0"/>
      <c r="Y782" s="0"/>
    </row>
    <row r="783" customFormat="false" ht="12.75" hidden="false" customHeight="false" outlineLevel="0" collapsed="false">
      <c r="X783" s="0"/>
      <c r="Y783" s="0"/>
    </row>
    <row r="784" customFormat="false" ht="12.75" hidden="false" customHeight="false" outlineLevel="0" collapsed="false">
      <c r="X784" s="0"/>
      <c r="Y784" s="0"/>
    </row>
    <row r="785" customFormat="false" ht="12.75" hidden="false" customHeight="false" outlineLevel="0" collapsed="false">
      <c r="X785" s="0"/>
      <c r="Y785" s="0"/>
    </row>
    <row r="786" customFormat="false" ht="12.75" hidden="false" customHeight="false" outlineLevel="0" collapsed="false">
      <c r="X786" s="0"/>
      <c r="Y786" s="0"/>
    </row>
    <row r="787" customFormat="false" ht="12.75" hidden="false" customHeight="false" outlineLevel="0" collapsed="false">
      <c r="X787" s="0"/>
      <c r="Y787" s="0"/>
    </row>
    <row r="788" customFormat="false" ht="12.75" hidden="false" customHeight="false" outlineLevel="0" collapsed="false">
      <c r="X788" s="0"/>
      <c r="Y788" s="0"/>
    </row>
    <row r="789" customFormat="false" ht="12.75" hidden="false" customHeight="false" outlineLevel="0" collapsed="false">
      <c r="X789" s="0"/>
      <c r="Y789" s="0"/>
    </row>
    <row r="790" customFormat="false" ht="12.75" hidden="false" customHeight="false" outlineLevel="0" collapsed="false">
      <c r="X790" s="0"/>
      <c r="Y790" s="0"/>
    </row>
    <row r="791" customFormat="false" ht="12.75" hidden="false" customHeight="false" outlineLevel="0" collapsed="false">
      <c r="X791" s="0"/>
      <c r="Y791" s="0"/>
    </row>
    <row r="792" customFormat="false" ht="12.75" hidden="false" customHeight="false" outlineLevel="0" collapsed="false">
      <c r="X792" s="0"/>
      <c r="Y792" s="0"/>
    </row>
    <row r="793" customFormat="false" ht="12.75" hidden="false" customHeight="false" outlineLevel="0" collapsed="false">
      <c r="X793" s="0"/>
      <c r="Y793" s="0"/>
    </row>
    <row r="794" customFormat="false" ht="12.75" hidden="false" customHeight="false" outlineLevel="0" collapsed="false">
      <c r="X794" s="0"/>
      <c r="Y794" s="0"/>
    </row>
    <row r="795" customFormat="false" ht="12.75" hidden="false" customHeight="false" outlineLevel="0" collapsed="false">
      <c r="X795" s="0"/>
      <c r="Y795" s="0"/>
    </row>
    <row r="796" customFormat="false" ht="12.75" hidden="false" customHeight="false" outlineLevel="0" collapsed="false">
      <c r="X796" s="0"/>
      <c r="Y796" s="0"/>
    </row>
    <row r="797" customFormat="false" ht="12.75" hidden="false" customHeight="false" outlineLevel="0" collapsed="false">
      <c r="X797" s="0"/>
      <c r="Y797" s="0"/>
    </row>
    <row r="798" customFormat="false" ht="12.75" hidden="false" customHeight="false" outlineLevel="0" collapsed="false">
      <c r="X798" s="0"/>
      <c r="Y798" s="0"/>
    </row>
    <row r="799" customFormat="false" ht="12.75" hidden="false" customHeight="false" outlineLevel="0" collapsed="false">
      <c r="X799" s="0"/>
      <c r="Y799" s="0"/>
    </row>
    <row r="800" customFormat="false" ht="12.75" hidden="false" customHeight="false" outlineLevel="0" collapsed="false">
      <c r="X800" s="0"/>
      <c r="Y800" s="0"/>
    </row>
    <row r="801" customFormat="false" ht="12.75" hidden="false" customHeight="false" outlineLevel="0" collapsed="false">
      <c r="X801" s="0"/>
      <c r="Y801" s="0"/>
    </row>
    <row r="802" customFormat="false" ht="12.75" hidden="false" customHeight="false" outlineLevel="0" collapsed="false">
      <c r="X802" s="0"/>
      <c r="Y802" s="0"/>
    </row>
    <row r="803" customFormat="false" ht="12.75" hidden="false" customHeight="false" outlineLevel="0" collapsed="false">
      <c r="X803" s="0"/>
      <c r="Y803" s="0"/>
    </row>
    <row r="804" customFormat="false" ht="12.75" hidden="false" customHeight="false" outlineLevel="0" collapsed="false">
      <c r="X804" s="0"/>
      <c r="Y804" s="0"/>
    </row>
    <row r="805" customFormat="false" ht="12.75" hidden="false" customHeight="false" outlineLevel="0" collapsed="false">
      <c r="X805" s="0"/>
      <c r="Y805" s="0"/>
    </row>
    <row r="806" customFormat="false" ht="12.75" hidden="false" customHeight="false" outlineLevel="0" collapsed="false">
      <c r="X806" s="0"/>
      <c r="Y806" s="0"/>
    </row>
    <row r="807" customFormat="false" ht="12.75" hidden="false" customHeight="false" outlineLevel="0" collapsed="false">
      <c r="X807" s="0"/>
      <c r="Y807" s="0"/>
    </row>
    <row r="808" customFormat="false" ht="12.75" hidden="false" customHeight="false" outlineLevel="0" collapsed="false">
      <c r="X808" s="0"/>
      <c r="Y808" s="0"/>
    </row>
    <row r="809" customFormat="false" ht="12.75" hidden="false" customHeight="false" outlineLevel="0" collapsed="false">
      <c r="X809" s="0"/>
      <c r="Y809" s="0"/>
    </row>
    <row r="810" customFormat="false" ht="12.75" hidden="false" customHeight="false" outlineLevel="0" collapsed="false">
      <c r="X810" s="0"/>
      <c r="Y810" s="0"/>
    </row>
    <row r="811" customFormat="false" ht="12.75" hidden="false" customHeight="false" outlineLevel="0" collapsed="false">
      <c r="X811" s="0"/>
      <c r="Y811" s="0"/>
    </row>
    <row r="812" customFormat="false" ht="12.75" hidden="false" customHeight="false" outlineLevel="0" collapsed="false">
      <c r="X812" s="0"/>
      <c r="Y812" s="0"/>
    </row>
    <row r="813" customFormat="false" ht="12.75" hidden="false" customHeight="false" outlineLevel="0" collapsed="false">
      <c r="X813" s="0"/>
      <c r="Y813" s="0"/>
    </row>
    <row r="814" customFormat="false" ht="12.75" hidden="false" customHeight="false" outlineLevel="0" collapsed="false">
      <c r="X814" s="0"/>
      <c r="Y814" s="0"/>
    </row>
    <row r="815" customFormat="false" ht="12.75" hidden="false" customHeight="false" outlineLevel="0" collapsed="false">
      <c r="X815" s="0"/>
      <c r="Y815" s="0"/>
    </row>
    <row r="816" customFormat="false" ht="12.75" hidden="false" customHeight="false" outlineLevel="0" collapsed="false">
      <c r="X816" s="0"/>
      <c r="Y816" s="0"/>
    </row>
    <row r="817" customFormat="false" ht="12.75" hidden="false" customHeight="false" outlineLevel="0" collapsed="false">
      <c r="X817" s="0"/>
      <c r="Y817" s="0"/>
    </row>
    <row r="818" customFormat="false" ht="12.75" hidden="false" customHeight="false" outlineLevel="0" collapsed="false">
      <c r="X818" s="0"/>
      <c r="Y818" s="0"/>
    </row>
    <row r="819" customFormat="false" ht="12.75" hidden="false" customHeight="false" outlineLevel="0" collapsed="false">
      <c r="X819" s="0"/>
      <c r="Y819" s="0"/>
    </row>
    <row r="820" customFormat="false" ht="12.75" hidden="false" customHeight="false" outlineLevel="0" collapsed="false">
      <c r="X820" s="0"/>
      <c r="Y820" s="0"/>
    </row>
    <row r="821" customFormat="false" ht="12.75" hidden="false" customHeight="false" outlineLevel="0" collapsed="false">
      <c r="X821" s="0"/>
      <c r="Y821" s="0"/>
    </row>
    <row r="822" customFormat="false" ht="12.75" hidden="false" customHeight="false" outlineLevel="0" collapsed="false">
      <c r="X822" s="0"/>
      <c r="Y822" s="0"/>
    </row>
    <row r="823" customFormat="false" ht="12.75" hidden="false" customHeight="false" outlineLevel="0" collapsed="false">
      <c r="X823" s="0"/>
      <c r="Y823" s="0"/>
    </row>
    <row r="824" customFormat="false" ht="12.75" hidden="false" customHeight="false" outlineLevel="0" collapsed="false">
      <c r="X824" s="0"/>
      <c r="Y824" s="0"/>
    </row>
    <row r="825" customFormat="false" ht="12.75" hidden="false" customHeight="false" outlineLevel="0" collapsed="false">
      <c r="X825" s="0"/>
      <c r="Y825" s="0"/>
    </row>
    <row r="826" customFormat="false" ht="12.75" hidden="false" customHeight="false" outlineLevel="0" collapsed="false">
      <c r="X826" s="0"/>
      <c r="Y826" s="0"/>
    </row>
    <row r="827" customFormat="false" ht="12.75" hidden="false" customHeight="false" outlineLevel="0" collapsed="false">
      <c r="X827" s="0"/>
      <c r="Y827" s="0"/>
    </row>
    <row r="828" customFormat="false" ht="12.75" hidden="false" customHeight="false" outlineLevel="0" collapsed="false">
      <c r="X828" s="0"/>
      <c r="Y828" s="0"/>
    </row>
    <row r="829" customFormat="false" ht="12.75" hidden="false" customHeight="false" outlineLevel="0" collapsed="false">
      <c r="X829" s="0"/>
      <c r="Y829" s="0"/>
    </row>
    <row r="830" customFormat="false" ht="12.75" hidden="false" customHeight="false" outlineLevel="0" collapsed="false">
      <c r="X830" s="0"/>
      <c r="Y830" s="0"/>
    </row>
    <row r="831" customFormat="false" ht="12.75" hidden="false" customHeight="false" outlineLevel="0" collapsed="false">
      <c r="X831" s="0"/>
      <c r="Y831" s="0"/>
    </row>
    <row r="832" customFormat="false" ht="12.75" hidden="false" customHeight="false" outlineLevel="0" collapsed="false">
      <c r="X832" s="0"/>
      <c r="Y832" s="0"/>
    </row>
    <row r="833" customFormat="false" ht="12.75" hidden="false" customHeight="false" outlineLevel="0" collapsed="false">
      <c r="X833" s="0"/>
      <c r="Y833" s="0"/>
    </row>
    <row r="834" customFormat="false" ht="12.75" hidden="false" customHeight="false" outlineLevel="0" collapsed="false">
      <c r="X834" s="0"/>
      <c r="Y834" s="0"/>
    </row>
    <row r="835" customFormat="false" ht="12.75" hidden="false" customHeight="false" outlineLevel="0" collapsed="false">
      <c r="X835" s="0"/>
      <c r="Y835" s="0"/>
    </row>
    <row r="836" customFormat="false" ht="12.75" hidden="false" customHeight="false" outlineLevel="0" collapsed="false">
      <c r="X836" s="0"/>
      <c r="Y836" s="0"/>
    </row>
    <row r="837" customFormat="false" ht="12.75" hidden="false" customHeight="false" outlineLevel="0" collapsed="false">
      <c r="X837" s="0"/>
      <c r="Y837" s="0"/>
    </row>
    <row r="838" customFormat="false" ht="12.75" hidden="false" customHeight="false" outlineLevel="0" collapsed="false">
      <c r="X838" s="0"/>
      <c r="Y838" s="0"/>
    </row>
    <row r="839" customFormat="false" ht="12.75" hidden="false" customHeight="false" outlineLevel="0" collapsed="false">
      <c r="X839" s="0"/>
      <c r="Y839" s="0"/>
    </row>
    <row r="840" customFormat="false" ht="12.75" hidden="false" customHeight="false" outlineLevel="0" collapsed="false">
      <c r="X840" s="0"/>
      <c r="Y840" s="0"/>
    </row>
    <row r="841" customFormat="false" ht="12.75" hidden="false" customHeight="false" outlineLevel="0" collapsed="false">
      <c r="X841" s="0"/>
      <c r="Y841" s="0"/>
    </row>
    <row r="842" customFormat="false" ht="12.75" hidden="false" customHeight="false" outlineLevel="0" collapsed="false">
      <c r="X842" s="0"/>
      <c r="Y842" s="0"/>
    </row>
    <row r="843" customFormat="false" ht="12.75" hidden="false" customHeight="false" outlineLevel="0" collapsed="false">
      <c r="X843" s="0"/>
      <c r="Y843" s="0"/>
    </row>
    <row r="844" customFormat="false" ht="12.75" hidden="false" customHeight="false" outlineLevel="0" collapsed="false">
      <c r="X844" s="0"/>
      <c r="Y844" s="0"/>
    </row>
    <row r="845" customFormat="false" ht="12.75" hidden="false" customHeight="false" outlineLevel="0" collapsed="false">
      <c r="X845" s="0"/>
      <c r="Y845" s="0"/>
    </row>
    <row r="846" customFormat="false" ht="12.75" hidden="false" customHeight="false" outlineLevel="0" collapsed="false">
      <c r="X846" s="0"/>
      <c r="Y846" s="0"/>
    </row>
    <row r="847" customFormat="false" ht="12.75" hidden="false" customHeight="false" outlineLevel="0" collapsed="false">
      <c r="X847" s="0"/>
      <c r="Y847" s="0"/>
    </row>
    <row r="848" customFormat="false" ht="12.75" hidden="false" customHeight="false" outlineLevel="0" collapsed="false">
      <c r="X848" s="0"/>
      <c r="Y848" s="0"/>
    </row>
    <row r="849" customFormat="false" ht="12.75" hidden="false" customHeight="false" outlineLevel="0" collapsed="false">
      <c r="X849" s="0"/>
      <c r="Y849" s="0"/>
    </row>
    <row r="850" customFormat="false" ht="12.75" hidden="false" customHeight="false" outlineLevel="0" collapsed="false">
      <c r="X850" s="0"/>
      <c r="Y850" s="0"/>
    </row>
    <row r="851" customFormat="false" ht="12.75" hidden="false" customHeight="false" outlineLevel="0" collapsed="false">
      <c r="X851" s="0"/>
      <c r="Y851" s="0"/>
    </row>
    <row r="852" customFormat="false" ht="12.75" hidden="false" customHeight="false" outlineLevel="0" collapsed="false">
      <c r="X852" s="0"/>
      <c r="Y852" s="0"/>
    </row>
    <row r="853" customFormat="false" ht="12.75" hidden="false" customHeight="false" outlineLevel="0" collapsed="false">
      <c r="X853" s="0"/>
      <c r="Y853" s="0"/>
    </row>
    <row r="854" customFormat="false" ht="12.75" hidden="false" customHeight="false" outlineLevel="0" collapsed="false">
      <c r="X854" s="0"/>
      <c r="Y854" s="0"/>
    </row>
    <row r="855" customFormat="false" ht="12.75" hidden="false" customHeight="false" outlineLevel="0" collapsed="false">
      <c r="X855" s="0"/>
      <c r="Y855" s="0"/>
    </row>
    <row r="856" customFormat="false" ht="12.75" hidden="false" customHeight="false" outlineLevel="0" collapsed="false">
      <c r="X856" s="0"/>
      <c r="Y856" s="0"/>
    </row>
    <row r="857" customFormat="false" ht="12.75" hidden="false" customHeight="false" outlineLevel="0" collapsed="false">
      <c r="X857" s="0"/>
      <c r="Y857" s="0"/>
    </row>
    <row r="858" customFormat="false" ht="12.75" hidden="false" customHeight="false" outlineLevel="0" collapsed="false">
      <c r="X858" s="0"/>
      <c r="Y858" s="0"/>
    </row>
    <row r="859" customFormat="false" ht="12.75" hidden="false" customHeight="false" outlineLevel="0" collapsed="false">
      <c r="X859" s="0"/>
      <c r="Y859" s="0"/>
    </row>
    <row r="860" customFormat="false" ht="12.75" hidden="false" customHeight="false" outlineLevel="0" collapsed="false">
      <c r="X860" s="0"/>
      <c r="Y860" s="0"/>
    </row>
    <row r="861" customFormat="false" ht="12.75" hidden="false" customHeight="false" outlineLevel="0" collapsed="false">
      <c r="X861" s="0"/>
      <c r="Y861" s="0"/>
    </row>
    <row r="862" customFormat="false" ht="12.75" hidden="false" customHeight="false" outlineLevel="0" collapsed="false">
      <c r="X862" s="0"/>
      <c r="Y862" s="0"/>
    </row>
    <row r="863" customFormat="false" ht="12.75" hidden="false" customHeight="false" outlineLevel="0" collapsed="false">
      <c r="X863" s="0"/>
      <c r="Y863" s="0"/>
    </row>
    <row r="864" customFormat="false" ht="12.75" hidden="false" customHeight="false" outlineLevel="0" collapsed="false">
      <c r="X864" s="0"/>
      <c r="Y864" s="0"/>
    </row>
    <row r="865" customFormat="false" ht="12.75" hidden="false" customHeight="false" outlineLevel="0" collapsed="false">
      <c r="X865" s="0"/>
      <c r="Y865" s="0"/>
    </row>
    <row r="866" customFormat="false" ht="12.75" hidden="false" customHeight="false" outlineLevel="0" collapsed="false">
      <c r="X866" s="0"/>
      <c r="Y866" s="0"/>
    </row>
    <row r="867" customFormat="false" ht="12.75" hidden="false" customHeight="false" outlineLevel="0" collapsed="false">
      <c r="X867" s="0"/>
      <c r="Y867" s="0"/>
    </row>
    <row r="868" customFormat="false" ht="12.75" hidden="false" customHeight="false" outlineLevel="0" collapsed="false">
      <c r="X868" s="0"/>
      <c r="Y868" s="0"/>
    </row>
    <row r="869" customFormat="false" ht="12.75" hidden="false" customHeight="false" outlineLevel="0" collapsed="false">
      <c r="X869" s="0"/>
      <c r="Y869" s="0"/>
    </row>
    <row r="870" customFormat="false" ht="12.75" hidden="false" customHeight="false" outlineLevel="0" collapsed="false">
      <c r="X870" s="0"/>
      <c r="Y870" s="0"/>
    </row>
    <row r="871" customFormat="false" ht="12.75" hidden="false" customHeight="false" outlineLevel="0" collapsed="false">
      <c r="X871" s="0"/>
      <c r="Y871" s="0"/>
    </row>
    <row r="872" customFormat="false" ht="12.75" hidden="false" customHeight="false" outlineLevel="0" collapsed="false">
      <c r="X872" s="0"/>
      <c r="Y872" s="0"/>
    </row>
    <row r="873" customFormat="false" ht="12.75" hidden="false" customHeight="false" outlineLevel="0" collapsed="false">
      <c r="X873" s="0"/>
      <c r="Y873" s="0"/>
    </row>
    <row r="874" customFormat="false" ht="12.75" hidden="false" customHeight="false" outlineLevel="0" collapsed="false">
      <c r="X874" s="0"/>
      <c r="Y874" s="0"/>
    </row>
    <row r="875" customFormat="false" ht="12.75" hidden="false" customHeight="false" outlineLevel="0" collapsed="false">
      <c r="X875" s="0"/>
      <c r="Y875" s="0"/>
    </row>
    <row r="876" customFormat="false" ht="12.75" hidden="false" customHeight="false" outlineLevel="0" collapsed="false">
      <c r="X876" s="0"/>
      <c r="Y876" s="0"/>
    </row>
    <row r="877" customFormat="false" ht="12.75" hidden="false" customHeight="false" outlineLevel="0" collapsed="false">
      <c r="X877" s="0"/>
      <c r="Y877" s="0"/>
    </row>
    <row r="878" customFormat="false" ht="12.75" hidden="false" customHeight="false" outlineLevel="0" collapsed="false">
      <c r="X878" s="0"/>
      <c r="Y878" s="0"/>
    </row>
    <row r="879" customFormat="false" ht="12.75" hidden="false" customHeight="false" outlineLevel="0" collapsed="false">
      <c r="X879" s="0"/>
      <c r="Y879" s="0"/>
    </row>
    <row r="880" customFormat="false" ht="12.75" hidden="false" customHeight="false" outlineLevel="0" collapsed="false">
      <c r="X880" s="0"/>
      <c r="Y880" s="0"/>
    </row>
    <row r="881" customFormat="false" ht="12.75" hidden="false" customHeight="false" outlineLevel="0" collapsed="false">
      <c r="X881" s="0"/>
      <c r="Y881" s="0"/>
    </row>
    <row r="882" customFormat="false" ht="12.75" hidden="false" customHeight="false" outlineLevel="0" collapsed="false">
      <c r="X882" s="0"/>
      <c r="Y882" s="0"/>
    </row>
    <row r="883" customFormat="false" ht="12.75" hidden="false" customHeight="false" outlineLevel="0" collapsed="false">
      <c r="X883" s="0"/>
      <c r="Y883" s="0"/>
    </row>
    <row r="884" customFormat="false" ht="12.75" hidden="false" customHeight="false" outlineLevel="0" collapsed="false">
      <c r="X884" s="0"/>
      <c r="Y884" s="0"/>
    </row>
    <row r="885" customFormat="false" ht="12.75" hidden="false" customHeight="false" outlineLevel="0" collapsed="false">
      <c r="X885" s="0"/>
      <c r="Y885" s="0"/>
    </row>
    <row r="886" customFormat="false" ht="12.75" hidden="false" customHeight="false" outlineLevel="0" collapsed="false">
      <c r="X886" s="0"/>
      <c r="Y886" s="0"/>
    </row>
    <row r="887" customFormat="false" ht="12.75" hidden="false" customHeight="false" outlineLevel="0" collapsed="false">
      <c r="X887" s="0"/>
      <c r="Y887" s="0"/>
    </row>
    <row r="888" customFormat="false" ht="12.75" hidden="false" customHeight="false" outlineLevel="0" collapsed="false">
      <c r="X888" s="0"/>
      <c r="Y888" s="0"/>
    </row>
    <row r="889" customFormat="false" ht="12.75" hidden="false" customHeight="false" outlineLevel="0" collapsed="false">
      <c r="X889" s="0"/>
      <c r="Y889" s="0"/>
    </row>
    <row r="890" customFormat="false" ht="12.75" hidden="false" customHeight="false" outlineLevel="0" collapsed="false">
      <c r="X890" s="0"/>
      <c r="Y890" s="0"/>
    </row>
    <row r="891" customFormat="false" ht="12.75" hidden="false" customHeight="false" outlineLevel="0" collapsed="false">
      <c r="X891" s="0"/>
      <c r="Y891" s="0"/>
    </row>
    <row r="892" customFormat="false" ht="12.75" hidden="false" customHeight="false" outlineLevel="0" collapsed="false">
      <c r="X892" s="0"/>
      <c r="Y892" s="0"/>
    </row>
    <row r="893" customFormat="false" ht="12.75" hidden="false" customHeight="false" outlineLevel="0" collapsed="false">
      <c r="X893" s="0"/>
      <c r="Y893" s="0"/>
    </row>
    <row r="894" customFormat="false" ht="12.75" hidden="false" customHeight="false" outlineLevel="0" collapsed="false">
      <c r="X894" s="0"/>
      <c r="Y894" s="0"/>
    </row>
    <row r="895" customFormat="false" ht="12.75" hidden="false" customHeight="false" outlineLevel="0" collapsed="false">
      <c r="X895" s="0"/>
      <c r="Y895" s="0"/>
    </row>
    <row r="896" customFormat="false" ht="12.75" hidden="false" customHeight="false" outlineLevel="0" collapsed="false">
      <c r="X896" s="0"/>
      <c r="Y896" s="0"/>
    </row>
    <row r="897" customFormat="false" ht="12.75" hidden="false" customHeight="false" outlineLevel="0" collapsed="false">
      <c r="X897" s="0"/>
      <c r="Y897" s="0"/>
    </row>
    <row r="898" customFormat="false" ht="12.75" hidden="false" customHeight="false" outlineLevel="0" collapsed="false">
      <c r="X898" s="0"/>
      <c r="Y898" s="0"/>
    </row>
    <row r="899" customFormat="false" ht="12.75" hidden="false" customHeight="false" outlineLevel="0" collapsed="false">
      <c r="X899" s="0"/>
      <c r="Y899" s="0"/>
    </row>
    <row r="900" customFormat="false" ht="12.75" hidden="false" customHeight="false" outlineLevel="0" collapsed="false">
      <c r="X900" s="0"/>
      <c r="Y900" s="0"/>
    </row>
    <row r="901" customFormat="false" ht="12.75" hidden="false" customHeight="false" outlineLevel="0" collapsed="false">
      <c r="X901" s="0"/>
      <c r="Y901" s="0"/>
    </row>
    <row r="902" customFormat="false" ht="12.75" hidden="false" customHeight="false" outlineLevel="0" collapsed="false">
      <c r="X902" s="0"/>
      <c r="Y902" s="0"/>
    </row>
    <row r="903" customFormat="false" ht="12.75" hidden="false" customHeight="false" outlineLevel="0" collapsed="false">
      <c r="X903" s="0"/>
      <c r="Y903" s="0"/>
    </row>
    <row r="904" customFormat="false" ht="12.75" hidden="false" customHeight="false" outlineLevel="0" collapsed="false">
      <c r="X904" s="0"/>
      <c r="Y904" s="0"/>
    </row>
    <row r="905" customFormat="false" ht="12.75" hidden="false" customHeight="false" outlineLevel="0" collapsed="false">
      <c r="X905" s="0"/>
      <c r="Y905" s="0"/>
    </row>
    <row r="906" customFormat="false" ht="12.75" hidden="false" customHeight="false" outlineLevel="0" collapsed="false">
      <c r="X906" s="0"/>
      <c r="Y906" s="0"/>
    </row>
    <row r="907" customFormat="false" ht="12.75" hidden="false" customHeight="false" outlineLevel="0" collapsed="false">
      <c r="X907" s="0"/>
      <c r="Y907" s="0"/>
    </row>
    <row r="908" customFormat="false" ht="12.75" hidden="false" customHeight="false" outlineLevel="0" collapsed="false">
      <c r="X908" s="0"/>
      <c r="Y908" s="0"/>
    </row>
    <row r="909" customFormat="false" ht="12.75" hidden="false" customHeight="false" outlineLevel="0" collapsed="false">
      <c r="X909" s="0"/>
      <c r="Y909" s="0"/>
    </row>
    <row r="910" customFormat="false" ht="12.75" hidden="false" customHeight="false" outlineLevel="0" collapsed="false">
      <c r="X910" s="0"/>
      <c r="Y910" s="0"/>
    </row>
    <row r="911" customFormat="false" ht="12.75" hidden="false" customHeight="false" outlineLevel="0" collapsed="false">
      <c r="X911" s="0"/>
      <c r="Y911" s="0"/>
    </row>
    <row r="912" customFormat="false" ht="12.75" hidden="false" customHeight="false" outlineLevel="0" collapsed="false">
      <c r="X912" s="0"/>
      <c r="Y912" s="0"/>
    </row>
    <row r="913" customFormat="false" ht="12.75" hidden="false" customHeight="false" outlineLevel="0" collapsed="false">
      <c r="X913" s="0"/>
      <c r="Y913" s="0"/>
    </row>
    <row r="914" customFormat="false" ht="12.75" hidden="false" customHeight="false" outlineLevel="0" collapsed="false">
      <c r="X914" s="0"/>
      <c r="Y914" s="0"/>
    </row>
    <row r="915" customFormat="false" ht="12.75" hidden="false" customHeight="false" outlineLevel="0" collapsed="false">
      <c r="X915" s="0"/>
      <c r="Y915" s="0"/>
    </row>
    <row r="916" customFormat="false" ht="12.75" hidden="false" customHeight="false" outlineLevel="0" collapsed="false">
      <c r="X916" s="0"/>
      <c r="Y916" s="0"/>
    </row>
    <row r="917" customFormat="false" ht="12.75" hidden="false" customHeight="false" outlineLevel="0" collapsed="false">
      <c r="X917" s="0"/>
      <c r="Y917" s="0"/>
    </row>
    <row r="918" customFormat="false" ht="12.75" hidden="false" customHeight="false" outlineLevel="0" collapsed="false">
      <c r="X918" s="0"/>
      <c r="Y918" s="0"/>
    </row>
    <row r="919" customFormat="false" ht="12.75" hidden="false" customHeight="false" outlineLevel="0" collapsed="false">
      <c r="X919" s="0"/>
      <c r="Y919" s="0"/>
    </row>
    <row r="920" customFormat="false" ht="12.75" hidden="false" customHeight="false" outlineLevel="0" collapsed="false">
      <c r="X920" s="0"/>
      <c r="Y920" s="0"/>
    </row>
    <row r="921" customFormat="false" ht="12.75" hidden="false" customHeight="false" outlineLevel="0" collapsed="false">
      <c r="X921" s="0"/>
      <c r="Y921" s="0"/>
    </row>
    <row r="922" customFormat="false" ht="12.75" hidden="false" customHeight="false" outlineLevel="0" collapsed="false">
      <c r="X922" s="0"/>
      <c r="Y922" s="0"/>
    </row>
    <row r="923" customFormat="false" ht="12.75" hidden="false" customHeight="false" outlineLevel="0" collapsed="false">
      <c r="X923" s="0"/>
      <c r="Y923" s="0"/>
    </row>
    <row r="924" customFormat="false" ht="12.75" hidden="false" customHeight="false" outlineLevel="0" collapsed="false">
      <c r="X924" s="0"/>
      <c r="Y924" s="0"/>
    </row>
    <row r="925" customFormat="false" ht="12.75" hidden="false" customHeight="false" outlineLevel="0" collapsed="false">
      <c r="X925" s="0"/>
      <c r="Y925" s="0"/>
    </row>
    <row r="926" customFormat="false" ht="12.75" hidden="false" customHeight="false" outlineLevel="0" collapsed="false">
      <c r="X926" s="0"/>
      <c r="Y926" s="0"/>
    </row>
    <row r="927" customFormat="false" ht="12.75" hidden="false" customHeight="false" outlineLevel="0" collapsed="false">
      <c r="X927" s="0"/>
      <c r="Y927" s="0"/>
    </row>
    <row r="928" customFormat="false" ht="12.75" hidden="false" customHeight="false" outlineLevel="0" collapsed="false">
      <c r="X928" s="0"/>
      <c r="Y928" s="0"/>
    </row>
    <row r="929" customFormat="false" ht="12.75" hidden="false" customHeight="false" outlineLevel="0" collapsed="false">
      <c r="X929" s="0"/>
      <c r="Y929" s="0"/>
    </row>
    <row r="930" customFormat="false" ht="12.75" hidden="false" customHeight="false" outlineLevel="0" collapsed="false">
      <c r="X930" s="0"/>
      <c r="Y930" s="0"/>
    </row>
    <row r="931" customFormat="false" ht="12.75" hidden="false" customHeight="false" outlineLevel="0" collapsed="false">
      <c r="X931" s="0"/>
      <c r="Y931" s="0"/>
    </row>
    <row r="932" customFormat="false" ht="12.75" hidden="false" customHeight="false" outlineLevel="0" collapsed="false">
      <c r="X932" s="0"/>
      <c r="Y932" s="0"/>
    </row>
    <row r="933" customFormat="false" ht="12.75" hidden="false" customHeight="false" outlineLevel="0" collapsed="false">
      <c r="X933" s="0"/>
      <c r="Y933" s="0"/>
    </row>
    <row r="934" customFormat="false" ht="12.75" hidden="false" customHeight="false" outlineLevel="0" collapsed="false">
      <c r="X934" s="0"/>
      <c r="Y934" s="0"/>
    </row>
    <row r="935" customFormat="false" ht="12.75" hidden="false" customHeight="false" outlineLevel="0" collapsed="false">
      <c r="X935" s="0"/>
      <c r="Y935" s="0"/>
    </row>
    <row r="936" customFormat="false" ht="12.75" hidden="false" customHeight="false" outlineLevel="0" collapsed="false">
      <c r="X936" s="0"/>
      <c r="Y936" s="0"/>
    </row>
    <row r="937" customFormat="false" ht="12.75" hidden="false" customHeight="false" outlineLevel="0" collapsed="false">
      <c r="X937" s="0"/>
      <c r="Y937" s="0"/>
    </row>
    <row r="938" customFormat="false" ht="12.75" hidden="false" customHeight="false" outlineLevel="0" collapsed="false">
      <c r="X938" s="0"/>
      <c r="Y938" s="0"/>
    </row>
    <row r="939" customFormat="false" ht="12.75" hidden="false" customHeight="false" outlineLevel="0" collapsed="false">
      <c r="X939" s="0"/>
      <c r="Y939" s="0"/>
    </row>
    <row r="940" customFormat="false" ht="12.75" hidden="false" customHeight="false" outlineLevel="0" collapsed="false">
      <c r="X940" s="0"/>
      <c r="Y940" s="0"/>
    </row>
    <row r="941" customFormat="false" ht="12.75" hidden="false" customHeight="false" outlineLevel="0" collapsed="false">
      <c r="X941" s="0"/>
      <c r="Y941" s="0"/>
    </row>
    <row r="942" customFormat="false" ht="12.75" hidden="false" customHeight="false" outlineLevel="0" collapsed="false">
      <c r="X942" s="0"/>
      <c r="Y942" s="0"/>
    </row>
    <row r="943" customFormat="false" ht="12.75" hidden="false" customHeight="false" outlineLevel="0" collapsed="false">
      <c r="X943" s="0"/>
      <c r="Y943" s="0"/>
    </row>
    <row r="944" customFormat="false" ht="12.75" hidden="false" customHeight="false" outlineLevel="0" collapsed="false">
      <c r="X944" s="0"/>
      <c r="Y944" s="0"/>
    </row>
    <row r="945" customFormat="false" ht="12.75" hidden="false" customHeight="false" outlineLevel="0" collapsed="false">
      <c r="X945" s="0"/>
      <c r="Y945" s="0"/>
    </row>
    <row r="946" customFormat="false" ht="12.75" hidden="false" customHeight="false" outlineLevel="0" collapsed="false">
      <c r="X946" s="0"/>
      <c r="Y946" s="0"/>
    </row>
    <row r="947" customFormat="false" ht="12.75" hidden="false" customHeight="false" outlineLevel="0" collapsed="false">
      <c r="X947" s="0"/>
      <c r="Y947" s="0"/>
    </row>
    <row r="948" customFormat="false" ht="12.75" hidden="false" customHeight="false" outlineLevel="0" collapsed="false">
      <c r="X948" s="0"/>
      <c r="Y948" s="0"/>
    </row>
    <row r="949" customFormat="false" ht="12.75" hidden="false" customHeight="false" outlineLevel="0" collapsed="false">
      <c r="X949" s="0"/>
      <c r="Y949" s="0"/>
    </row>
    <row r="950" customFormat="false" ht="12.75" hidden="false" customHeight="false" outlineLevel="0" collapsed="false">
      <c r="X950" s="0"/>
      <c r="Y950" s="0"/>
    </row>
    <row r="951" customFormat="false" ht="12.75" hidden="false" customHeight="false" outlineLevel="0" collapsed="false">
      <c r="X951" s="0"/>
      <c r="Y951" s="0"/>
    </row>
    <row r="952" customFormat="false" ht="12.75" hidden="false" customHeight="false" outlineLevel="0" collapsed="false">
      <c r="X952" s="0"/>
      <c r="Y952" s="0"/>
    </row>
    <row r="953" customFormat="false" ht="12.75" hidden="false" customHeight="false" outlineLevel="0" collapsed="false">
      <c r="X953" s="0"/>
      <c r="Y953" s="0"/>
    </row>
    <row r="954" customFormat="false" ht="12.75" hidden="false" customHeight="false" outlineLevel="0" collapsed="false">
      <c r="X954" s="0"/>
      <c r="Y954" s="0"/>
    </row>
    <row r="955" customFormat="false" ht="12.75" hidden="false" customHeight="false" outlineLevel="0" collapsed="false">
      <c r="X955" s="0"/>
      <c r="Y955" s="0"/>
    </row>
    <row r="956" customFormat="false" ht="12.75" hidden="false" customHeight="false" outlineLevel="0" collapsed="false">
      <c r="X956" s="0"/>
      <c r="Y956" s="0"/>
    </row>
    <row r="957" customFormat="false" ht="12.75" hidden="false" customHeight="false" outlineLevel="0" collapsed="false">
      <c r="X957" s="0"/>
      <c r="Y957" s="0"/>
    </row>
    <row r="958" customFormat="false" ht="12.75" hidden="false" customHeight="false" outlineLevel="0" collapsed="false">
      <c r="X958" s="0"/>
      <c r="Y958" s="0"/>
    </row>
    <row r="959" customFormat="false" ht="12.75" hidden="false" customHeight="false" outlineLevel="0" collapsed="false">
      <c r="X959" s="0"/>
      <c r="Y959" s="0"/>
    </row>
    <row r="960" customFormat="false" ht="12.75" hidden="false" customHeight="false" outlineLevel="0" collapsed="false">
      <c r="X960" s="0"/>
      <c r="Y960" s="0"/>
    </row>
    <row r="961" customFormat="false" ht="12.75" hidden="false" customHeight="false" outlineLevel="0" collapsed="false">
      <c r="X961" s="0"/>
      <c r="Y961" s="0"/>
    </row>
    <row r="962" customFormat="false" ht="12.75" hidden="false" customHeight="false" outlineLevel="0" collapsed="false">
      <c r="X962" s="0"/>
      <c r="Y962" s="0"/>
    </row>
    <row r="963" customFormat="false" ht="12.75" hidden="false" customHeight="false" outlineLevel="0" collapsed="false">
      <c r="X963" s="0"/>
      <c r="Y963" s="0"/>
    </row>
    <row r="964" customFormat="false" ht="12.75" hidden="false" customHeight="false" outlineLevel="0" collapsed="false">
      <c r="X964" s="0"/>
      <c r="Y964" s="0"/>
    </row>
    <row r="965" customFormat="false" ht="12.75" hidden="false" customHeight="false" outlineLevel="0" collapsed="false">
      <c r="X965" s="0"/>
      <c r="Y965" s="0"/>
    </row>
    <row r="966" customFormat="false" ht="12.75" hidden="false" customHeight="false" outlineLevel="0" collapsed="false">
      <c r="X966" s="0"/>
      <c r="Y966" s="0"/>
    </row>
    <row r="967" customFormat="false" ht="12.75" hidden="false" customHeight="false" outlineLevel="0" collapsed="false">
      <c r="X967" s="0"/>
      <c r="Y967" s="0"/>
    </row>
    <row r="968" customFormat="false" ht="12.75" hidden="false" customHeight="false" outlineLevel="0" collapsed="false">
      <c r="X968" s="0"/>
      <c r="Y968" s="0"/>
    </row>
    <row r="969" customFormat="false" ht="12.75" hidden="false" customHeight="false" outlineLevel="0" collapsed="false">
      <c r="X969" s="0"/>
      <c r="Y969" s="0"/>
    </row>
    <row r="970" customFormat="false" ht="12.75" hidden="false" customHeight="false" outlineLevel="0" collapsed="false">
      <c r="X970" s="0"/>
      <c r="Y970" s="0"/>
    </row>
    <row r="971" customFormat="false" ht="12.75" hidden="false" customHeight="false" outlineLevel="0" collapsed="false">
      <c r="X971" s="0"/>
      <c r="Y971" s="0"/>
    </row>
    <row r="972" customFormat="false" ht="12.75" hidden="false" customHeight="false" outlineLevel="0" collapsed="false">
      <c r="X972" s="0"/>
      <c r="Y972" s="0"/>
    </row>
    <row r="973" customFormat="false" ht="12.75" hidden="false" customHeight="false" outlineLevel="0" collapsed="false">
      <c r="X973" s="0"/>
      <c r="Y973" s="0"/>
    </row>
    <row r="974" customFormat="false" ht="12.75" hidden="false" customHeight="false" outlineLevel="0" collapsed="false">
      <c r="X974" s="0"/>
      <c r="Y974" s="0"/>
    </row>
    <row r="975" customFormat="false" ht="12.75" hidden="false" customHeight="false" outlineLevel="0" collapsed="false">
      <c r="X975" s="0"/>
      <c r="Y975" s="0"/>
    </row>
    <row r="976" customFormat="false" ht="12.75" hidden="false" customHeight="false" outlineLevel="0" collapsed="false">
      <c r="X976" s="0"/>
      <c r="Y976" s="0"/>
    </row>
    <row r="977" customFormat="false" ht="12.75" hidden="false" customHeight="false" outlineLevel="0" collapsed="false">
      <c r="X977" s="0"/>
      <c r="Y977" s="0"/>
    </row>
    <row r="978" customFormat="false" ht="12.75" hidden="false" customHeight="false" outlineLevel="0" collapsed="false">
      <c r="X978" s="0"/>
      <c r="Y978" s="0"/>
    </row>
    <row r="979" customFormat="false" ht="12.75" hidden="false" customHeight="false" outlineLevel="0" collapsed="false">
      <c r="X979" s="0"/>
      <c r="Y979" s="0"/>
    </row>
    <row r="980" customFormat="false" ht="12.75" hidden="false" customHeight="false" outlineLevel="0" collapsed="false">
      <c r="X980" s="0"/>
      <c r="Y980" s="0"/>
    </row>
    <row r="981" customFormat="false" ht="12.75" hidden="false" customHeight="false" outlineLevel="0" collapsed="false">
      <c r="X981" s="0"/>
      <c r="Y981" s="0"/>
    </row>
    <row r="982" customFormat="false" ht="12.75" hidden="false" customHeight="false" outlineLevel="0" collapsed="false">
      <c r="X982" s="0"/>
      <c r="Y982" s="0"/>
    </row>
    <row r="983" customFormat="false" ht="12.75" hidden="false" customHeight="false" outlineLevel="0" collapsed="false">
      <c r="X983" s="0"/>
      <c r="Y983" s="0"/>
    </row>
    <row r="984" customFormat="false" ht="12.75" hidden="false" customHeight="false" outlineLevel="0" collapsed="false">
      <c r="X984" s="0"/>
      <c r="Y984" s="0"/>
    </row>
    <row r="985" customFormat="false" ht="12.75" hidden="false" customHeight="false" outlineLevel="0" collapsed="false">
      <c r="X985" s="0"/>
      <c r="Y985" s="0"/>
    </row>
    <row r="986" customFormat="false" ht="12.75" hidden="false" customHeight="false" outlineLevel="0" collapsed="false">
      <c r="X986" s="0"/>
      <c r="Y986" s="0"/>
    </row>
    <row r="987" customFormat="false" ht="12.75" hidden="false" customHeight="false" outlineLevel="0" collapsed="false">
      <c r="X987" s="0"/>
      <c r="Y987" s="0"/>
    </row>
    <row r="988" customFormat="false" ht="12.75" hidden="false" customHeight="false" outlineLevel="0" collapsed="false">
      <c r="X988" s="0"/>
      <c r="Y988" s="0"/>
    </row>
    <row r="989" customFormat="false" ht="12.75" hidden="false" customHeight="false" outlineLevel="0" collapsed="false">
      <c r="X989" s="0"/>
      <c r="Y989" s="0"/>
    </row>
    <row r="990" customFormat="false" ht="12.75" hidden="false" customHeight="false" outlineLevel="0" collapsed="false">
      <c r="X990" s="0"/>
      <c r="Y990" s="0"/>
    </row>
    <row r="991" customFormat="false" ht="12.75" hidden="false" customHeight="false" outlineLevel="0" collapsed="false">
      <c r="X991" s="0"/>
      <c r="Y991" s="0"/>
    </row>
    <row r="992" customFormat="false" ht="12.75" hidden="false" customHeight="false" outlineLevel="0" collapsed="false">
      <c r="X992" s="0"/>
      <c r="Y992" s="0"/>
    </row>
    <row r="993" customFormat="false" ht="12.75" hidden="false" customHeight="false" outlineLevel="0" collapsed="false">
      <c r="X993" s="0"/>
      <c r="Y993" s="0"/>
    </row>
    <row r="994" customFormat="false" ht="12.75" hidden="false" customHeight="false" outlineLevel="0" collapsed="false">
      <c r="X994" s="0"/>
      <c r="Y994" s="0"/>
    </row>
    <row r="995" customFormat="false" ht="12.75" hidden="false" customHeight="false" outlineLevel="0" collapsed="false">
      <c r="X995" s="0"/>
      <c r="Y995" s="0"/>
    </row>
    <row r="996" customFormat="false" ht="12.75" hidden="false" customHeight="false" outlineLevel="0" collapsed="false">
      <c r="X996" s="0"/>
      <c r="Y996" s="0"/>
    </row>
    <row r="997" customFormat="false" ht="12.75" hidden="false" customHeight="false" outlineLevel="0" collapsed="false">
      <c r="X997" s="0"/>
      <c r="Y997" s="0"/>
    </row>
    <row r="998" customFormat="false" ht="12.75" hidden="false" customHeight="false" outlineLevel="0" collapsed="false">
      <c r="X998" s="0"/>
      <c r="Y998" s="0"/>
    </row>
    <row r="999" customFormat="false" ht="12.75" hidden="false" customHeight="false" outlineLevel="0" collapsed="false">
      <c r="X999" s="0"/>
      <c r="Y999" s="0"/>
    </row>
    <row r="1000" customFormat="false" ht="12.75" hidden="false" customHeight="false" outlineLevel="0" collapsed="false">
      <c r="X1000" s="0"/>
      <c r="Y1000" s="0"/>
    </row>
    <row r="1001" customFormat="false" ht="12.75" hidden="false" customHeight="false" outlineLevel="0" collapsed="false">
      <c r="Y1001" s="365"/>
    </row>
    <row r="1002" customFormat="false" ht="12.75" hidden="false" customHeight="false" outlineLevel="0" collapsed="false">
      <c r="Y1002" s="365"/>
    </row>
    <row r="1003" customFormat="false" ht="12.75" hidden="false" customHeight="false" outlineLevel="0" collapsed="false">
      <c r="Y1003" s="365"/>
    </row>
    <row r="1004" customFormat="false" ht="12.75" hidden="false" customHeight="false" outlineLevel="0" collapsed="false">
      <c r="Y1004" s="365"/>
    </row>
    <row r="1005" customFormat="false" ht="12.75" hidden="false" customHeight="false" outlineLevel="0" collapsed="false">
      <c r="Y1005" s="365"/>
    </row>
    <row r="1006" customFormat="false" ht="12.75" hidden="false" customHeight="false" outlineLevel="0" collapsed="false">
      <c r="Y1006" s="365"/>
    </row>
    <row r="1007" customFormat="false" ht="12.75" hidden="false" customHeight="false" outlineLevel="0" collapsed="false">
      <c r="Y1007" s="365"/>
    </row>
    <row r="1008" customFormat="false" ht="12.75" hidden="false" customHeight="false" outlineLevel="0" collapsed="false">
      <c r="Y1008" s="365"/>
    </row>
    <row r="1009" customFormat="false" ht="12.75" hidden="false" customHeight="false" outlineLevel="0" collapsed="false">
      <c r="Y1009" s="365"/>
    </row>
    <row r="1010" customFormat="false" ht="12.75" hidden="false" customHeight="false" outlineLevel="0" collapsed="false">
      <c r="Y1010" s="365"/>
    </row>
    <row r="1011" customFormat="false" ht="12.75" hidden="false" customHeight="false" outlineLevel="0" collapsed="false">
      <c r="Y1011" s="365"/>
    </row>
    <row r="1012" customFormat="false" ht="12.75" hidden="false" customHeight="false" outlineLevel="0" collapsed="false">
      <c r="Y1012" s="365"/>
    </row>
    <row r="1013" customFormat="false" ht="12.75" hidden="false" customHeight="false" outlineLevel="0" collapsed="false">
      <c r="Y1013" s="365"/>
    </row>
    <row r="1014" customFormat="false" ht="12.75" hidden="false" customHeight="false" outlineLevel="0" collapsed="false">
      <c r="Y1014" s="365"/>
    </row>
    <row r="1015" customFormat="false" ht="12.75" hidden="false" customHeight="false" outlineLevel="0" collapsed="false">
      <c r="Y1015" s="365"/>
    </row>
    <row r="1016" customFormat="false" ht="12.75" hidden="false" customHeight="false" outlineLevel="0" collapsed="false">
      <c r="Y1016" s="365"/>
    </row>
    <row r="1017" customFormat="false" ht="12.75" hidden="false" customHeight="false" outlineLevel="0" collapsed="false">
      <c r="Y1017" s="365"/>
    </row>
    <row r="1018" customFormat="false" ht="12.75" hidden="false" customHeight="false" outlineLevel="0" collapsed="false">
      <c r="Y1018" s="365"/>
    </row>
    <row r="1019" customFormat="false" ht="12.75" hidden="false" customHeight="false" outlineLevel="0" collapsed="false">
      <c r="Y1019" s="365"/>
    </row>
    <row r="1020" customFormat="false" ht="12.75" hidden="false" customHeight="false" outlineLevel="0" collapsed="false">
      <c r="Y1020" s="365"/>
    </row>
    <row r="1021" customFormat="false" ht="12.75" hidden="false" customHeight="false" outlineLevel="0" collapsed="false">
      <c r="Y1021" s="365"/>
    </row>
    <row r="1022" customFormat="false" ht="12.75" hidden="false" customHeight="false" outlineLevel="0" collapsed="false">
      <c r="Y1022" s="365"/>
    </row>
    <row r="1023" customFormat="false" ht="12.75" hidden="false" customHeight="false" outlineLevel="0" collapsed="false">
      <c r="Y1023" s="365"/>
    </row>
    <row r="1024" customFormat="false" ht="12.75" hidden="false" customHeight="false" outlineLevel="0" collapsed="false">
      <c r="Y1024" s="365"/>
    </row>
    <row r="1025" customFormat="false" ht="12.75" hidden="false" customHeight="false" outlineLevel="0" collapsed="false">
      <c r="Y1025" s="365"/>
    </row>
    <row r="1026" customFormat="false" ht="12.75" hidden="false" customHeight="false" outlineLevel="0" collapsed="false">
      <c r="Y1026" s="365"/>
    </row>
    <row r="1027" customFormat="false" ht="12.75" hidden="false" customHeight="false" outlineLevel="0" collapsed="false">
      <c r="Y1027" s="365"/>
    </row>
    <row r="1028" customFormat="false" ht="12.75" hidden="false" customHeight="false" outlineLevel="0" collapsed="false">
      <c r="Y1028" s="365"/>
    </row>
    <row r="1029" customFormat="false" ht="12.75" hidden="false" customHeight="false" outlineLevel="0" collapsed="false">
      <c r="Y1029" s="365"/>
    </row>
    <row r="1030" customFormat="false" ht="12.75" hidden="false" customHeight="false" outlineLevel="0" collapsed="false">
      <c r="Y1030" s="365"/>
    </row>
    <row r="1031" customFormat="false" ht="12.75" hidden="false" customHeight="false" outlineLevel="0" collapsed="false">
      <c r="Y1031" s="365"/>
    </row>
    <row r="1032" customFormat="false" ht="12.75" hidden="false" customHeight="false" outlineLevel="0" collapsed="false">
      <c r="Y1032" s="365"/>
    </row>
    <row r="1033" customFormat="false" ht="12.75" hidden="false" customHeight="false" outlineLevel="0" collapsed="false">
      <c r="Y1033" s="365"/>
    </row>
    <row r="1034" customFormat="false" ht="12.75" hidden="false" customHeight="false" outlineLevel="0" collapsed="false">
      <c r="Y1034" s="365"/>
    </row>
    <row r="1035" customFormat="false" ht="12.75" hidden="false" customHeight="false" outlineLevel="0" collapsed="false">
      <c r="Y1035" s="365"/>
    </row>
    <row r="1036" customFormat="false" ht="12.75" hidden="false" customHeight="false" outlineLevel="0" collapsed="false">
      <c r="Y1036" s="365"/>
    </row>
    <row r="1037" customFormat="false" ht="12.75" hidden="false" customHeight="false" outlineLevel="0" collapsed="false">
      <c r="Y1037" s="365"/>
    </row>
    <row r="1038" customFormat="false" ht="12.75" hidden="false" customHeight="false" outlineLevel="0" collapsed="false">
      <c r="Y1038" s="365"/>
    </row>
    <row r="1039" customFormat="false" ht="12.75" hidden="false" customHeight="false" outlineLevel="0" collapsed="false">
      <c r="Y1039" s="365"/>
    </row>
    <row r="1040" customFormat="false" ht="12.75" hidden="false" customHeight="false" outlineLevel="0" collapsed="false">
      <c r="Y1040" s="365"/>
    </row>
    <row r="1041" customFormat="false" ht="12.75" hidden="false" customHeight="false" outlineLevel="0" collapsed="false">
      <c r="Y1041" s="365"/>
    </row>
    <row r="1042" customFormat="false" ht="12.75" hidden="false" customHeight="false" outlineLevel="0" collapsed="false">
      <c r="Y1042" s="365"/>
    </row>
    <row r="1043" customFormat="false" ht="12.75" hidden="false" customHeight="false" outlineLevel="0" collapsed="false">
      <c r="Y1043" s="365"/>
    </row>
    <row r="1044" customFormat="false" ht="12.75" hidden="false" customHeight="false" outlineLevel="0" collapsed="false">
      <c r="Y1044" s="365"/>
    </row>
    <row r="1045" customFormat="false" ht="12.75" hidden="false" customHeight="false" outlineLevel="0" collapsed="false">
      <c r="Y1045" s="365"/>
    </row>
    <row r="1046" customFormat="false" ht="12.75" hidden="false" customHeight="false" outlineLevel="0" collapsed="false">
      <c r="Y1046" s="365"/>
    </row>
    <row r="1047" customFormat="false" ht="12.75" hidden="false" customHeight="false" outlineLevel="0" collapsed="false">
      <c r="Y1047" s="365"/>
    </row>
    <row r="1048" customFormat="false" ht="12.75" hidden="false" customHeight="false" outlineLevel="0" collapsed="false">
      <c r="Y1048" s="365"/>
    </row>
    <row r="1049" customFormat="false" ht="12.75" hidden="false" customHeight="false" outlineLevel="0" collapsed="false">
      <c r="Y1049" s="365"/>
    </row>
    <row r="1050" customFormat="false" ht="12.75" hidden="false" customHeight="false" outlineLevel="0" collapsed="false">
      <c r="Y1050" s="365"/>
    </row>
    <row r="1051" customFormat="false" ht="12.75" hidden="false" customHeight="false" outlineLevel="0" collapsed="false">
      <c r="Y1051" s="365"/>
    </row>
    <row r="1052" customFormat="false" ht="12.75" hidden="false" customHeight="false" outlineLevel="0" collapsed="false">
      <c r="Y1052" s="365"/>
    </row>
    <row r="1053" customFormat="false" ht="12.75" hidden="false" customHeight="false" outlineLevel="0" collapsed="false">
      <c r="Y1053" s="365"/>
    </row>
    <row r="1054" customFormat="false" ht="12.75" hidden="false" customHeight="false" outlineLevel="0" collapsed="false">
      <c r="Y1054" s="365"/>
    </row>
    <row r="1055" customFormat="false" ht="12.75" hidden="false" customHeight="false" outlineLevel="0" collapsed="false">
      <c r="Y1055" s="365"/>
    </row>
    <row r="1056" customFormat="false" ht="12.75" hidden="false" customHeight="false" outlineLevel="0" collapsed="false">
      <c r="Y1056" s="365"/>
    </row>
    <row r="1057" customFormat="false" ht="12.75" hidden="false" customHeight="false" outlineLevel="0" collapsed="false">
      <c r="Y1057" s="365"/>
    </row>
    <row r="1058" customFormat="false" ht="12.75" hidden="false" customHeight="false" outlineLevel="0" collapsed="false">
      <c r="Y1058" s="365"/>
    </row>
    <row r="1059" customFormat="false" ht="12.75" hidden="false" customHeight="false" outlineLevel="0" collapsed="false">
      <c r="Y1059" s="365"/>
    </row>
    <row r="1060" customFormat="false" ht="12.75" hidden="false" customHeight="false" outlineLevel="0" collapsed="false">
      <c r="Y1060" s="365"/>
    </row>
    <row r="1061" customFormat="false" ht="12.75" hidden="false" customHeight="false" outlineLevel="0" collapsed="false">
      <c r="Y1061" s="365"/>
    </row>
    <row r="1062" customFormat="false" ht="12.75" hidden="false" customHeight="false" outlineLevel="0" collapsed="false">
      <c r="Y1062" s="365"/>
    </row>
    <row r="1063" customFormat="false" ht="12.75" hidden="false" customHeight="false" outlineLevel="0" collapsed="false">
      <c r="Y1063" s="365"/>
    </row>
    <row r="1064" customFormat="false" ht="12.75" hidden="false" customHeight="false" outlineLevel="0" collapsed="false">
      <c r="Y1064" s="365"/>
    </row>
    <row r="1065" customFormat="false" ht="12.75" hidden="false" customHeight="false" outlineLevel="0" collapsed="false">
      <c r="Y1065" s="365"/>
    </row>
    <row r="1066" customFormat="false" ht="12.75" hidden="false" customHeight="false" outlineLevel="0" collapsed="false">
      <c r="Y1066" s="365"/>
    </row>
    <row r="1067" customFormat="false" ht="12.75" hidden="false" customHeight="false" outlineLevel="0" collapsed="false">
      <c r="Y1067" s="365"/>
    </row>
    <row r="1068" customFormat="false" ht="12.75" hidden="false" customHeight="false" outlineLevel="0" collapsed="false">
      <c r="Y1068" s="365"/>
    </row>
    <row r="1069" customFormat="false" ht="12.75" hidden="false" customHeight="false" outlineLevel="0" collapsed="false">
      <c r="Y1069" s="365"/>
    </row>
    <row r="1070" customFormat="false" ht="12.75" hidden="false" customHeight="false" outlineLevel="0" collapsed="false">
      <c r="Y1070" s="365"/>
    </row>
    <row r="1071" customFormat="false" ht="12.75" hidden="false" customHeight="false" outlineLevel="0" collapsed="false">
      <c r="Y1071" s="365"/>
    </row>
    <row r="1072" customFormat="false" ht="12.75" hidden="false" customHeight="false" outlineLevel="0" collapsed="false">
      <c r="Y1072" s="365"/>
    </row>
    <row r="1073" customFormat="false" ht="12.75" hidden="false" customHeight="false" outlineLevel="0" collapsed="false">
      <c r="Y1073" s="365"/>
    </row>
    <row r="1074" customFormat="false" ht="12.75" hidden="false" customHeight="false" outlineLevel="0" collapsed="false">
      <c r="Y1074" s="365"/>
    </row>
    <row r="1075" customFormat="false" ht="12.75" hidden="false" customHeight="false" outlineLevel="0" collapsed="false">
      <c r="Y1075" s="365"/>
    </row>
    <row r="1076" customFormat="false" ht="12.75" hidden="false" customHeight="false" outlineLevel="0" collapsed="false">
      <c r="Y1076" s="365"/>
    </row>
    <row r="1077" customFormat="false" ht="12.75" hidden="false" customHeight="false" outlineLevel="0" collapsed="false">
      <c r="Y1077" s="365"/>
    </row>
    <row r="1078" customFormat="false" ht="12.75" hidden="false" customHeight="false" outlineLevel="0" collapsed="false">
      <c r="Y1078" s="365"/>
    </row>
    <row r="1079" customFormat="false" ht="12.75" hidden="false" customHeight="false" outlineLevel="0" collapsed="false">
      <c r="Y1079" s="365"/>
    </row>
    <row r="1080" customFormat="false" ht="12.75" hidden="false" customHeight="false" outlineLevel="0" collapsed="false">
      <c r="Y1080" s="365"/>
    </row>
    <row r="1081" customFormat="false" ht="12.75" hidden="false" customHeight="false" outlineLevel="0" collapsed="false">
      <c r="Y1081" s="365"/>
    </row>
    <row r="1082" customFormat="false" ht="12.75" hidden="false" customHeight="false" outlineLevel="0" collapsed="false">
      <c r="Y1082" s="365"/>
    </row>
    <row r="1083" customFormat="false" ht="12.75" hidden="false" customHeight="false" outlineLevel="0" collapsed="false">
      <c r="Y1083" s="365"/>
    </row>
    <row r="1084" customFormat="false" ht="12.75" hidden="false" customHeight="false" outlineLevel="0" collapsed="false">
      <c r="Y1084" s="365"/>
    </row>
    <row r="1085" customFormat="false" ht="12.75" hidden="false" customHeight="false" outlineLevel="0" collapsed="false">
      <c r="Y1085" s="365"/>
    </row>
    <row r="1086" customFormat="false" ht="12.75" hidden="false" customHeight="false" outlineLevel="0" collapsed="false">
      <c r="Y1086" s="365"/>
    </row>
    <row r="1087" customFormat="false" ht="12.75" hidden="false" customHeight="false" outlineLevel="0" collapsed="false">
      <c r="Y1087" s="365"/>
    </row>
    <row r="1088" customFormat="false" ht="12.75" hidden="false" customHeight="false" outlineLevel="0" collapsed="false">
      <c r="Y1088" s="365"/>
    </row>
    <row r="1089" customFormat="false" ht="12.75" hidden="false" customHeight="false" outlineLevel="0" collapsed="false">
      <c r="Y1089" s="365"/>
    </row>
    <row r="1090" customFormat="false" ht="12.75" hidden="false" customHeight="false" outlineLevel="0" collapsed="false">
      <c r="Y1090" s="365"/>
    </row>
    <row r="1091" customFormat="false" ht="12.75" hidden="false" customHeight="false" outlineLevel="0" collapsed="false">
      <c r="Y1091" s="365"/>
    </row>
    <row r="1092" customFormat="false" ht="12.75" hidden="false" customHeight="false" outlineLevel="0" collapsed="false">
      <c r="Y1092" s="365"/>
    </row>
    <row r="1093" customFormat="false" ht="12.75" hidden="false" customHeight="false" outlineLevel="0" collapsed="false">
      <c r="Y1093" s="365"/>
    </row>
    <row r="1094" customFormat="false" ht="12.75" hidden="false" customHeight="false" outlineLevel="0" collapsed="false">
      <c r="Y1094" s="365"/>
    </row>
    <row r="1095" customFormat="false" ht="12.75" hidden="false" customHeight="false" outlineLevel="0" collapsed="false">
      <c r="Y1095" s="365"/>
    </row>
    <row r="1096" customFormat="false" ht="12.75" hidden="false" customHeight="false" outlineLevel="0" collapsed="false">
      <c r="Y1096" s="365"/>
    </row>
    <row r="1097" customFormat="false" ht="12.75" hidden="false" customHeight="false" outlineLevel="0" collapsed="false">
      <c r="Y1097" s="365"/>
    </row>
    <row r="1098" customFormat="false" ht="12.75" hidden="false" customHeight="false" outlineLevel="0" collapsed="false">
      <c r="Y1098" s="365"/>
    </row>
    <row r="1099" customFormat="false" ht="12.75" hidden="false" customHeight="false" outlineLevel="0" collapsed="false">
      <c r="Y1099" s="365"/>
    </row>
    <row r="1100" customFormat="false" ht="12.75" hidden="false" customHeight="false" outlineLevel="0" collapsed="false">
      <c r="Y1100" s="365"/>
    </row>
    <row r="1101" customFormat="false" ht="12.75" hidden="false" customHeight="false" outlineLevel="0" collapsed="false">
      <c r="Y1101" s="365"/>
    </row>
    <row r="1102" customFormat="false" ht="12.75" hidden="false" customHeight="false" outlineLevel="0" collapsed="false">
      <c r="Y1102" s="365"/>
    </row>
    <row r="1103" customFormat="false" ht="12.75" hidden="false" customHeight="false" outlineLevel="0" collapsed="false">
      <c r="Y1103" s="365"/>
    </row>
    <row r="1104" customFormat="false" ht="12.75" hidden="false" customHeight="false" outlineLevel="0" collapsed="false">
      <c r="Y1104" s="365"/>
    </row>
    <row r="1105" customFormat="false" ht="12.75" hidden="false" customHeight="false" outlineLevel="0" collapsed="false">
      <c r="Y1105" s="365"/>
    </row>
    <row r="1106" customFormat="false" ht="12.75" hidden="false" customHeight="false" outlineLevel="0" collapsed="false">
      <c r="Y1106" s="365"/>
    </row>
    <row r="1107" customFormat="false" ht="12.75" hidden="false" customHeight="false" outlineLevel="0" collapsed="false">
      <c r="Y1107" s="365"/>
    </row>
    <row r="1108" customFormat="false" ht="12.75" hidden="false" customHeight="false" outlineLevel="0" collapsed="false">
      <c r="Y1108" s="365"/>
    </row>
    <row r="1109" customFormat="false" ht="12.75" hidden="false" customHeight="false" outlineLevel="0" collapsed="false">
      <c r="Y1109" s="365"/>
    </row>
    <row r="1110" customFormat="false" ht="12.75" hidden="false" customHeight="false" outlineLevel="0" collapsed="false">
      <c r="Y1110" s="365"/>
    </row>
    <row r="1111" customFormat="false" ht="12.75" hidden="false" customHeight="false" outlineLevel="0" collapsed="false">
      <c r="Y1111" s="365"/>
    </row>
    <row r="1112" customFormat="false" ht="12.75" hidden="false" customHeight="false" outlineLevel="0" collapsed="false">
      <c r="Y1112" s="365"/>
    </row>
    <row r="1113" customFormat="false" ht="12.75" hidden="false" customHeight="false" outlineLevel="0" collapsed="false">
      <c r="Y1113" s="365"/>
    </row>
    <row r="1114" customFormat="false" ht="12.75" hidden="false" customHeight="false" outlineLevel="0" collapsed="false">
      <c r="Y1114" s="365"/>
    </row>
    <row r="1115" customFormat="false" ht="12.75" hidden="false" customHeight="false" outlineLevel="0" collapsed="false">
      <c r="Y1115" s="365"/>
    </row>
    <row r="1116" customFormat="false" ht="12.75" hidden="false" customHeight="false" outlineLevel="0" collapsed="false">
      <c r="Y1116" s="365"/>
    </row>
    <row r="1117" customFormat="false" ht="12.75" hidden="false" customHeight="false" outlineLevel="0" collapsed="false">
      <c r="Y1117" s="365"/>
    </row>
    <row r="1118" customFormat="false" ht="12.75" hidden="false" customHeight="false" outlineLevel="0" collapsed="false">
      <c r="Y1118" s="365"/>
    </row>
    <row r="1119" customFormat="false" ht="12.75" hidden="false" customHeight="false" outlineLevel="0" collapsed="false">
      <c r="Y1119" s="365"/>
    </row>
    <row r="1120" customFormat="false" ht="12.75" hidden="false" customHeight="false" outlineLevel="0" collapsed="false">
      <c r="Y1120" s="365"/>
    </row>
    <row r="1121" customFormat="false" ht="12.75" hidden="false" customHeight="false" outlineLevel="0" collapsed="false">
      <c r="Y1121" s="365"/>
    </row>
    <row r="1122" customFormat="false" ht="12.75" hidden="false" customHeight="false" outlineLevel="0" collapsed="false">
      <c r="Y1122" s="365"/>
    </row>
    <row r="1123" customFormat="false" ht="12.75" hidden="false" customHeight="false" outlineLevel="0" collapsed="false">
      <c r="Y1123" s="365"/>
    </row>
    <row r="1124" customFormat="false" ht="12.75" hidden="false" customHeight="false" outlineLevel="0" collapsed="false">
      <c r="Y1124" s="365"/>
    </row>
    <row r="1125" customFormat="false" ht="12.75" hidden="false" customHeight="false" outlineLevel="0" collapsed="false">
      <c r="Y1125" s="365"/>
    </row>
    <row r="1126" customFormat="false" ht="12.75" hidden="false" customHeight="false" outlineLevel="0" collapsed="false">
      <c r="Y1126" s="365"/>
    </row>
    <row r="1127" customFormat="false" ht="12.75" hidden="false" customHeight="false" outlineLevel="0" collapsed="false">
      <c r="Y1127" s="365"/>
    </row>
    <row r="1128" customFormat="false" ht="12.75" hidden="false" customHeight="false" outlineLevel="0" collapsed="false">
      <c r="Y1128" s="365"/>
    </row>
    <row r="1129" customFormat="false" ht="12.75" hidden="false" customHeight="false" outlineLevel="0" collapsed="false">
      <c r="Y1129" s="365"/>
    </row>
    <row r="1130" customFormat="false" ht="12.75" hidden="false" customHeight="false" outlineLevel="0" collapsed="false">
      <c r="Y1130" s="365"/>
    </row>
    <row r="1131" customFormat="false" ht="12.75" hidden="false" customHeight="false" outlineLevel="0" collapsed="false">
      <c r="Y1131" s="365"/>
    </row>
    <row r="1132" customFormat="false" ht="12.75" hidden="false" customHeight="false" outlineLevel="0" collapsed="false">
      <c r="Y1132" s="365"/>
    </row>
    <row r="1133" customFormat="false" ht="12.75" hidden="false" customHeight="false" outlineLevel="0" collapsed="false">
      <c r="Y1133" s="365"/>
    </row>
    <row r="1134" customFormat="false" ht="12.75" hidden="false" customHeight="false" outlineLevel="0" collapsed="false">
      <c r="Y1134" s="365"/>
    </row>
    <row r="1135" customFormat="false" ht="12.75" hidden="false" customHeight="false" outlineLevel="0" collapsed="false">
      <c r="Y1135" s="365"/>
    </row>
    <row r="1136" customFormat="false" ht="12.75" hidden="false" customHeight="false" outlineLevel="0" collapsed="false">
      <c r="Y1136" s="365"/>
    </row>
    <row r="1137" customFormat="false" ht="12.75" hidden="false" customHeight="false" outlineLevel="0" collapsed="false">
      <c r="Y1137" s="365"/>
    </row>
    <row r="1138" customFormat="false" ht="12.75" hidden="false" customHeight="false" outlineLevel="0" collapsed="false">
      <c r="Y1138" s="365"/>
    </row>
    <row r="1139" customFormat="false" ht="12.75" hidden="false" customHeight="false" outlineLevel="0" collapsed="false">
      <c r="Y1139" s="365"/>
    </row>
    <row r="1140" customFormat="false" ht="12.75" hidden="false" customHeight="false" outlineLevel="0" collapsed="false">
      <c r="Y1140" s="365"/>
    </row>
    <row r="1141" customFormat="false" ht="12.75" hidden="false" customHeight="false" outlineLevel="0" collapsed="false">
      <c r="Y1141" s="365"/>
    </row>
    <row r="1142" customFormat="false" ht="12.75" hidden="false" customHeight="false" outlineLevel="0" collapsed="false">
      <c r="Y1142" s="365"/>
    </row>
    <row r="1143" customFormat="false" ht="12.75" hidden="false" customHeight="false" outlineLevel="0" collapsed="false">
      <c r="Y1143" s="365"/>
    </row>
    <row r="1144" customFormat="false" ht="12.75" hidden="false" customHeight="false" outlineLevel="0" collapsed="false">
      <c r="Y1144" s="365"/>
    </row>
    <row r="1145" customFormat="false" ht="12.75" hidden="false" customHeight="false" outlineLevel="0" collapsed="false">
      <c r="Y1145" s="365"/>
    </row>
    <row r="1146" customFormat="false" ht="12.75" hidden="false" customHeight="false" outlineLevel="0" collapsed="false">
      <c r="Y1146" s="365"/>
    </row>
    <row r="1147" customFormat="false" ht="12.75" hidden="false" customHeight="false" outlineLevel="0" collapsed="false">
      <c r="Y1147" s="365"/>
    </row>
    <row r="1148" customFormat="false" ht="12.75" hidden="false" customHeight="false" outlineLevel="0" collapsed="false">
      <c r="Y1148" s="365"/>
    </row>
    <row r="1149" customFormat="false" ht="12.75" hidden="false" customHeight="false" outlineLevel="0" collapsed="false">
      <c r="Y1149" s="365"/>
    </row>
    <row r="1150" customFormat="false" ht="12.75" hidden="false" customHeight="false" outlineLevel="0" collapsed="false">
      <c r="Y1150" s="365"/>
    </row>
    <row r="1151" customFormat="false" ht="12.75" hidden="false" customHeight="false" outlineLevel="0" collapsed="false">
      <c r="Y1151" s="365"/>
    </row>
    <row r="1152" customFormat="false" ht="12.75" hidden="false" customHeight="false" outlineLevel="0" collapsed="false">
      <c r="Y1152" s="365"/>
    </row>
    <row r="1153" customFormat="false" ht="12.75" hidden="false" customHeight="false" outlineLevel="0" collapsed="false">
      <c r="Y1153" s="365"/>
    </row>
    <row r="1154" customFormat="false" ht="12.75" hidden="false" customHeight="false" outlineLevel="0" collapsed="false">
      <c r="Y1154" s="365"/>
    </row>
    <row r="1155" customFormat="false" ht="12.75" hidden="false" customHeight="false" outlineLevel="0" collapsed="false">
      <c r="Y1155" s="365"/>
    </row>
    <row r="1156" customFormat="false" ht="12.75" hidden="false" customHeight="false" outlineLevel="0" collapsed="false">
      <c r="Y1156" s="365"/>
    </row>
    <row r="1157" customFormat="false" ht="12.75" hidden="false" customHeight="false" outlineLevel="0" collapsed="false">
      <c r="Y1157" s="365"/>
    </row>
    <row r="1158" customFormat="false" ht="12.75" hidden="false" customHeight="false" outlineLevel="0" collapsed="false">
      <c r="Y1158" s="365"/>
    </row>
    <row r="1159" customFormat="false" ht="12.75" hidden="false" customHeight="false" outlineLevel="0" collapsed="false">
      <c r="Y1159" s="365"/>
    </row>
    <row r="1160" customFormat="false" ht="12.75" hidden="false" customHeight="false" outlineLevel="0" collapsed="false">
      <c r="Y1160" s="365"/>
    </row>
    <row r="1161" customFormat="false" ht="12.75" hidden="false" customHeight="false" outlineLevel="0" collapsed="false">
      <c r="Y1161" s="365"/>
    </row>
    <row r="1162" customFormat="false" ht="12.75" hidden="false" customHeight="false" outlineLevel="0" collapsed="false">
      <c r="Y1162" s="365"/>
    </row>
    <row r="1163" customFormat="false" ht="12.75" hidden="false" customHeight="false" outlineLevel="0" collapsed="false">
      <c r="Y1163" s="365"/>
    </row>
    <row r="1164" customFormat="false" ht="12.75" hidden="false" customHeight="false" outlineLevel="0" collapsed="false">
      <c r="Y1164" s="365"/>
    </row>
    <row r="1165" customFormat="false" ht="12.75" hidden="false" customHeight="false" outlineLevel="0" collapsed="false">
      <c r="Y1165" s="365"/>
    </row>
    <row r="1166" customFormat="false" ht="12.75" hidden="false" customHeight="false" outlineLevel="0" collapsed="false">
      <c r="Y1166" s="365"/>
    </row>
    <row r="1167" customFormat="false" ht="12.75" hidden="false" customHeight="false" outlineLevel="0" collapsed="false">
      <c r="Y1167" s="365"/>
    </row>
    <row r="1168" customFormat="false" ht="12.75" hidden="false" customHeight="false" outlineLevel="0" collapsed="false">
      <c r="Y1168" s="365"/>
    </row>
    <row r="1169" customFormat="false" ht="12.75" hidden="false" customHeight="false" outlineLevel="0" collapsed="false">
      <c r="Y1169" s="365"/>
    </row>
    <row r="1170" customFormat="false" ht="12.75" hidden="false" customHeight="false" outlineLevel="0" collapsed="false">
      <c r="Y1170" s="365"/>
    </row>
    <row r="1171" customFormat="false" ht="12.75" hidden="false" customHeight="false" outlineLevel="0" collapsed="false">
      <c r="Y1171" s="365"/>
    </row>
    <row r="1172" customFormat="false" ht="12.75" hidden="false" customHeight="false" outlineLevel="0" collapsed="false">
      <c r="Y1172" s="365"/>
    </row>
    <row r="1173" customFormat="false" ht="12.75" hidden="false" customHeight="false" outlineLevel="0" collapsed="false">
      <c r="Y1173" s="365"/>
    </row>
    <row r="1174" customFormat="false" ht="12.75" hidden="false" customHeight="false" outlineLevel="0" collapsed="false">
      <c r="Y1174" s="365"/>
    </row>
    <row r="1175" customFormat="false" ht="12.75" hidden="false" customHeight="false" outlineLevel="0" collapsed="false">
      <c r="Y1175" s="365"/>
    </row>
    <row r="1176" customFormat="false" ht="12.75" hidden="false" customHeight="false" outlineLevel="0" collapsed="false">
      <c r="Y1176" s="365"/>
    </row>
    <row r="1177" customFormat="false" ht="12.75" hidden="false" customHeight="false" outlineLevel="0" collapsed="false">
      <c r="Y1177" s="365"/>
    </row>
    <row r="1178" customFormat="false" ht="12.75" hidden="false" customHeight="false" outlineLevel="0" collapsed="false">
      <c r="Y1178" s="365"/>
    </row>
    <row r="1179" customFormat="false" ht="12.75" hidden="false" customHeight="false" outlineLevel="0" collapsed="false">
      <c r="Y1179" s="365"/>
    </row>
    <row r="1180" customFormat="false" ht="12.75" hidden="false" customHeight="false" outlineLevel="0" collapsed="false">
      <c r="Y1180" s="365"/>
    </row>
    <row r="1181" customFormat="false" ht="12.75" hidden="false" customHeight="false" outlineLevel="0" collapsed="false">
      <c r="Y1181" s="365"/>
    </row>
    <row r="1182" customFormat="false" ht="12.75" hidden="false" customHeight="false" outlineLevel="0" collapsed="false">
      <c r="Y1182" s="365"/>
    </row>
    <row r="1183" customFormat="false" ht="12.75" hidden="false" customHeight="false" outlineLevel="0" collapsed="false">
      <c r="Y1183" s="365"/>
    </row>
    <row r="1184" customFormat="false" ht="12.75" hidden="false" customHeight="false" outlineLevel="0" collapsed="false">
      <c r="Y1184" s="365"/>
    </row>
    <row r="1185" customFormat="false" ht="12.75" hidden="false" customHeight="false" outlineLevel="0" collapsed="false">
      <c r="Y1185" s="365"/>
    </row>
    <row r="1186" customFormat="false" ht="12.75" hidden="false" customHeight="false" outlineLevel="0" collapsed="false">
      <c r="Y1186" s="365"/>
    </row>
    <row r="1187" customFormat="false" ht="12.75" hidden="false" customHeight="false" outlineLevel="0" collapsed="false">
      <c r="Y1187" s="365"/>
    </row>
    <row r="1188" customFormat="false" ht="12.75" hidden="false" customHeight="false" outlineLevel="0" collapsed="false">
      <c r="Y1188" s="365"/>
    </row>
    <row r="1189" customFormat="false" ht="12.75" hidden="false" customHeight="false" outlineLevel="0" collapsed="false">
      <c r="Y1189" s="365"/>
    </row>
    <row r="1190" customFormat="false" ht="12.75" hidden="false" customHeight="false" outlineLevel="0" collapsed="false">
      <c r="Y1190" s="365"/>
    </row>
    <row r="1191" customFormat="false" ht="12.75" hidden="false" customHeight="false" outlineLevel="0" collapsed="false">
      <c r="Y1191" s="365"/>
    </row>
    <row r="1192" customFormat="false" ht="12.75" hidden="false" customHeight="false" outlineLevel="0" collapsed="false">
      <c r="Y1192" s="365"/>
    </row>
    <row r="1193" customFormat="false" ht="12.75" hidden="false" customHeight="false" outlineLevel="0" collapsed="false">
      <c r="Y1193" s="365"/>
    </row>
    <row r="1194" customFormat="false" ht="12.75" hidden="false" customHeight="false" outlineLevel="0" collapsed="false">
      <c r="Y1194" s="365"/>
    </row>
    <row r="1195" customFormat="false" ht="12.75" hidden="false" customHeight="false" outlineLevel="0" collapsed="false">
      <c r="Y1195" s="365"/>
    </row>
    <row r="1196" customFormat="false" ht="12.75" hidden="false" customHeight="false" outlineLevel="0" collapsed="false">
      <c r="Y1196" s="365"/>
    </row>
    <row r="1197" customFormat="false" ht="12.75" hidden="false" customHeight="false" outlineLevel="0" collapsed="false">
      <c r="Y1197" s="365"/>
    </row>
    <row r="1198" customFormat="false" ht="12.75" hidden="false" customHeight="false" outlineLevel="0" collapsed="false">
      <c r="Y1198" s="365"/>
    </row>
    <row r="1199" customFormat="false" ht="12.75" hidden="false" customHeight="false" outlineLevel="0" collapsed="false">
      <c r="Y1199" s="365"/>
    </row>
    <row r="1200" customFormat="false" ht="12.75" hidden="false" customHeight="false" outlineLevel="0" collapsed="false">
      <c r="Y1200" s="365"/>
    </row>
    <row r="1201" customFormat="false" ht="12.75" hidden="false" customHeight="false" outlineLevel="0" collapsed="false">
      <c r="Y1201" s="365"/>
    </row>
    <row r="1202" customFormat="false" ht="12.75" hidden="false" customHeight="false" outlineLevel="0" collapsed="false">
      <c r="Y1202" s="365"/>
    </row>
    <row r="1203" customFormat="false" ht="12.75" hidden="false" customHeight="false" outlineLevel="0" collapsed="false">
      <c r="Y1203" s="365"/>
    </row>
    <row r="1204" customFormat="false" ht="12.75" hidden="false" customHeight="false" outlineLevel="0" collapsed="false">
      <c r="Y1204" s="365"/>
    </row>
    <row r="1205" customFormat="false" ht="12.75" hidden="false" customHeight="false" outlineLevel="0" collapsed="false">
      <c r="Y1205" s="365"/>
    </row>
    <row r="1206" customFormat="false" ht="12.75" hidden="false" customHeight="false" outlineLevel="0" collapsed="false">
      <c r="Y1206" s="365"/>
    </row>
    <row r="1207" customFormat="false" ht="12.75" hidden="false" customHeight="false" outlineLevel="0" collapsed="false">
      <c r="Y1207" s="365"/>
    </row>
    <row r="1208" customFormat="false" ht="12.75" hidden="false" customHeight="false" outlineLevel="0" collapsed="false">
      <c r="Y1208" s="365"/>
    </row>
    <row r="1209" customFormat="false" ht="12.75" hidden="false" customHeight="false" outlineLevel="0" collapsed="false">
      <c r="Y1209" s="365"/>
    </row>
    <row r="1210" customFormat="false" ht="12.75" hidden="false" customHeight="false" outlineLevel="0" collapsed="false">
      <c r="Y1210" s="365"/>
    </row>
    <row r="1211" customFormat="false" ht="12.75" hidden="false" customHeight="false" outlineLevel="0" collapsed="false">
      <c r="Y1211" s="365"/>
    </row>
    <row r="1212" customFormat="false" ht="12.75" hidden="false" customHeight="false" outlineLevel="0" collapsed="false">
      <c r="Y1212" s="365"/>
    </row>
    <row r="1213" customFormat="false" ht="12.75" hidden="false" customHeight="false" outlineLevel="0" collapsed="false">
      <c r="Y1213" s="365"/>
    </row>
    <row r="1214" customFormat="false" ht="12.75" hidden="false" customHeight="false" outlineLevel="0" collapsed="false">
      <c r="Y1214" s="365"/>
    </row>
    <row r="1215" customFormat="false" ht="12.75" hidden="false" customHeight="false" outlineLevel="0" collapsed="false">
      <c r="Y1215" s="365"/>
    </row>
    <row r="1216" customFormat="false" ht="12.75" hidden="false" customHeight="false" outlineLevel="0" collapsed="false">
      <c r="Y1216" s="365"/>
    </row>
    <row r="1217" customFormat="false" ht="12.75" hidden="false" customHeight="false" outlineLevel="0" collapsed="false">
      <c r="Y1217" s="365"/>
    </row>
    <row r="1218" customFormat="false" ht="12.75" hidden="false" customHeight="false" outlineLevel="0" collapsed="false">
      <c r="Y1218" s="365"/>
    </row>
    <row r="1219" customFormat="false" ht="12.75" hidden="false" customHeight="false" outlineLevel="0" collapsed="false">
      <c r="Y1219" s="365"/>
    </row>
    <row r="1220" customFormat="false" ht="12.75" hidden="false" customHeight="false" outlineLevel="0" collapsed="false">
      <c r="Y1220" s="365"/>
    </row>
    <row r="1221" customFormat="false" ht="12.75" hidden="false" customHeight="false" outlineLevel="0" collapsed="false">
      <c r="Y1221" s="365"/>
    </row>
    <row r="1222" customFormat="false" ht="12.75" hidden="false" customHeight="false" outlineLevel="0" collapsed="false">
      <c r="Y1222" s="365"/>
    </row>
    <row r="1223" customFormat="false" ht="12.75" hidden="false" customHeight="false" outlineLevel="0" collapsed="false">
      <c r="Y1223" s="365"/>
    </row>
    <row r="1224" customFormat="false" ht="12.75" hidden="false" customHeight="false" outlineLevel="0" collapsed="false">
      <c r="Y1224" s="365"/>
    </row>
    <row r="1225" customFormat="false" ht="12.75" hidden="false" customHeight="false" outlineLevel="0" collapsed="false">
      <c r="Y1225" s="365"/>
    </row>
    <row r="1226" customFormat="false" ht="12.75" hidden="false" customHeight="false" outlineLevel="0" collapsed="false">
      <c r="Y1226" s="365"/>
    </row>
    <row r="1227" customFormat="false" ht="12.75" hidden="false" customHeight="false" outlineLevel="0" collapsed="false">
      <c r="Y1227" s="365"/>
    </row>
    <row r="1228" customFormat="false" ht="12.75" hidden="false" customHeight="false" outlineLevel="0" collapsed="false">
      <c r="Y1228" s="365"/>
    </row>
    <row r="1229" customFormat="false" ht="12.75" hidden="false" customHeight="false" outlineLevel="0" collapsed="false">
      <c r="Y1229" s="365"/>
    </row>
    <row r="1230" customFormat="false" ht="12.75" hidden="false" customHeight="false" outlineLevel="0" collapsed="false">
      <c r="Y1230" s="365"/>
    </row>
    <row r="1231" customFormat="false" ht="12.75" hidden="false" customHeight="false" outlineLevel="0" collapsed="false">
      <c r="Y1231" s="365"/>
    </row>
    <row r="1232" customFormat="false" ht="12.75" hidden="false" customHeight="false" outlineLevel="0" collapsed="false">
      <c r="Y1232" s="365"/>
    </row>
    <row r="1233" customFormat="false" ht="12.75" hidden="false" customHeight="false" outlineLevel="0" collapsed="false">
      <c r="Y1233" s="365"/>
    </row>
    <row r="1234" customFormat="false" ht="12.75" hidden="false" customHeight="false" outlineLevel="0" collapsed="false">
      <c r="Y1234" s="365"/>
    </row>
    <row r="1235" customFormat="false" ht="12.75" hidden="false" customHeight="false" outlineLevel="0" collapsed="false">
      <c r="Y1235" s="365"/>
    </row>
    <row r="1236" customFormat="false" ht="12.75" hidden="false" customHeight="false" outlineLevel="0" collapsed="false">
      <c r="Y1236" s="365"/>
    </row>
    <row r="1237" customFormat="false" ht="12.75" hidden="false" customHeight="false" outlineLevel="0" collapsed="false">
      <c r="Y1237" s="365"/>
    </row>
    <row r="1238" customFormat="false" ht="12.75" hidden="false" customHeight="false" outlineLevel="0" collapsed="false">
      <c r="Y1238" s="365"/>
    </row>
    <row r="1239" customFormat="false" ht="12.75" hidden="false" customHeight="false" outlineLevel="0" collapsed="false">
      <c r="Y1239" s="365"/>
    </row>
    <row r="1240" customFormat="false" ht="12.75" hidden="false" customHeight="false" outlineLevel="0" collapsed="false">
      <c r="Y1240" s="365"/>
    </row>
    <row r="1241" customFormat="false" ht="12.75" hidden="false" customHeight="false" outlineLevel="0" collapsed="false">
      <c r="Y1241" s="365"/>
    </row>
    <row r="1242" customFormat="false" ht="12.75" hidden="false" customHeight="false" outlineLevel="0" collapsed="false">
      <c r="Y1242" s="365"/>
    </row>
    <row r="1243" customFormat="false" ht="12.75" hidden="false" customHeight="false" outlineLevel="0" collapsed="false">
      <c r="Y1243" s="365"/>
    </row>
    <row r="1244" customFormat="false" ht="12.75" hidden="false" customHeight="false" outlineLevel="0" collapsed="false">
      <c r="Y1244" s="365"/>
    </row>
    <row r="1245" customFormat="false" ht="12.75" hidden="false" customHeight="false" outlineLevel="0" collapsed="false">
      <c r="Y1245" s="365"/>
    </row>
    <row r="1246" customFormat="false" ht="12.75" hidden="false" customHeight="false" outlineLevel="0" collapsed="false">
      <c r="Y1246" s="365"/>
    </row>
    <row r="1247" customFormat="false" ht="12.75" hidden="false" customHeight="false" outlineLevel="0" collapsed="false">
      <c r="Y1247" s="365"/>
    </row>
    <row r="1248" customFormat="false" ht="12.75" hidden="false" customHeight="false" outlineLevel="0" collapsed="false">
      <c r="Y1248" s="365"/>
    </row>
    <row r="1249" customFormat="false" ht="12.75" hidden="false" customHeight="false" outlineLevel="0" collapsed="false">
      <c r="Y1249" s="365"/>
    </row>
    <row r="1250" customFormat="false" ht="12.75" hidden="false" customHeight="false" outlineLevel="0" collapsed="false">
      <c r="Y1250" s="365"/>
    </row>
    <row r="1251" customFormat="false" ht="12.75" hidden="false" customHeight="false" outlineLevel="0" collapsed="false">
      <c r="Y1251" s="365"/>
    </row>
    <row r="1252" customFormat="false" ht="12.75" hidden="false" customHeight="false" outlineLevel="0" collapsed="false">
      <c r="Y1252" s="365"/>
    </row>
    <row r="1253" customFormat="false" ht="12.75" hidden="false" customHeight="false" outlineLevel="0" collapsed="false">
      <c r="Y1253" s="365"/>
    </row>
    <row r="1254" customFormat="false" ht="12.75" hidden="false" customHeight="false" outlineLevel="0" collapsed="false">
      <c r="Y1254" s="365"/>
    </row>
    <row r="1255" customFormat="false" ht="12.75" hidden="false" customHeight="false" outlineLevel="0" collapsed="false">
      <c r="Y1255" s="365"/>
    </row>
    <row r="1256" customFormat="false" ht="12.75" hidden="false" customHeight="false" outlineLevel="0" collapsed="false">
      <c r="Y1256" s="365"/>
    </row>
    <row r="1257" customFormat="false" ht="12.75" hidden="false" customHeight="false" outlineLevel="0" collapsed="false">
      <c r="Y1257" s="365"/>
    </row>
    <row r="1258" customFormat="false" ht="12.75" hidden="false" customHeight="false" outlineLevel="0" collapsed="false">
      <c r="Y1258" s="365"/>
    </row>
    <row r="1259" customFormat="false" ht="12.75" hidden="false" customHeight="false" outlineLevel="0" collapsed="false">
      <c r="Y1259" s="365"/>
    </row>
    <row r="1260" customFormat="false" ht="12.75" hidden="false" customHeight="false" outlineLevel="0" collapsed="false">
      <c r="Y1260" s="365"/>
    </row>
    <row r="1261" customFormat="false" ht="12.75" hidden="false" customHeight="false" outlineLevel="0" collapsed="false">
      <c r="Y1261" s="365"/>
    </row>
    <row r="1262" customFormat="false" ht="12.75" hidden="false" customHeight="false" outlineLevel="0" collapsed="false">
      <c r="Y1262" s="365"/>
    </row>
    <row r="1263" customFormat="false" ht="12.75" hidden="false" customHeight="false" outlineLevel="0" collapsed="false">
      <c r="Y1263" s="365"/>
    </row>
    <row r="1264" customFormat="false" ht="12.75" hidden="false" customHeight="false" outlineLevel="0" collapsed="false">
      <c r="Y1264" s="365"/>
    </row>
    <row r="1265" customFormat="false" ht="12.75" hidden="false" customHeight="false" outlineLevel="0" collapsed="false">
      <c r="Y1265" s="365"/>
    </row>
    <row r="1266" customFormat="false" ht="12.75" hidden="false" customHeight="false" outlineLevel="0" collapsed="false">
      <c r="Y1266" s="365"/>
    </row>
    <row r="1267" customFormat="false" ht="12.75" hidden="false" customHeight="false" outlineLevel="0" collapsed="false">
      <c r="Y1267" s="365"/>
    </row>
    <row r="1268" customFormat="false" ht="12.75" hidden="false" customHeight="false" outlineLevel="0" collapsed="false">
      <c r="Y1268" s="365"/>
    </row>
    <row r="1269" customFormat="false" ht="12.75" hidden="false" customHeight="false" outlineLevel="0" collapsed="false">
      <c r="Y1269" s="365"/>
    </row>
    <row r="1270" customFormat="false" ht="12.75" hidden="false" customHeight="false" outlineLevel="0" collapsed="false">
      <c r="Y1270" s="365"/>
    </row>
    <row r="1271" customFormat="false" ht="12.75" hidden="false" customHeight="false" outlineLevel="0" collapsed="false">
      <c r="Y1271" s="365"/>
    </row>
    <row r="1272" customFormat="false" ht="12.75" hidden="false" customHeight="false" outlineLevel="0" collapsed="false">
      <c r="Y1272" s="365"/>
    </row>
    <row r="1273" customFormat="false" ht="12.75" hidden="false" customHeight="false" outlineLevel="0" collapsed="false">
      <c r="Y1273" s="365"/>
    </row>
    <row r="1274" customFormat="false" ht="12.75" hidden="false" customHeight="false" outlineLevel="0" collapsed="false">
      <c r="Y1274" s="365"/>
    </row>
    <row r="1275" customFormat="false" ht="12.75" hidden="false" customHeight="false" outlineLevel="0" collapsed="false">
      <c r="Y1275" s="365"/>
    </row>
    <row r="1276" customFormat="false" ht="12.75" hidden="false" customHeight="false" outlineLevel="0" collapsed="false">
      <c r="Y1276" s="365"/>
    </row>
    <row r="1277" customFormat="false" ht="12.75" hidden="false" customHeight="false" outlineLevel="0" collapsed="false">
      <c r="Y1277" s="365"/>
    </row>
    <row r="1278" customFormat="false" ht="12.75" hidden="false" customHeight="false" outlineLevel="0" collapsed="false">
      <c r="Y1278" s="365"/>
    </row>
    <row r="1279" customFormat="false" ht="12.75" hidden="false" customHeight="false" outlineLevel="0" collapsed="false">
      <c r="Y1279" s="365"/>
    </row>
    <row r="1280" customFormat="false" ht="12.75" hidden="false" customHeight="false" outlineLevel="0" collapsed="false">
      <c r="Y1280" s="365"/>
    </row>
    <row r="1281" customFormat="false" ht="12.75" hidden="false" customHeight="false" outlineLevel="0" collapsed="false">
      <c r="Y1281" s="365"/>
    </row>
    <row r="1282" customFormat="false" ht="12.75" hidden="false" customHeight="false" outlineLevel="0" collapsed="false">
      <c r="Y1282" s="365"/>
    </row>
    <row r="1283" customFormat="false" ht="12.75" hidden="false" customHeight="false" outlineLevel="0" collapsed="false">
      <c r="Y1283" s="365"/>
    </row>
    <row r="1284" customFormat="false" ht="12.75" hidden="false" customHeight="false" outlineLevel="0" collapsed="false">
      <c r="Y1284" s="365"/>
    </row>
    <row r="1285" customFormat="false" ht="12.75" hidden="false" customHeight="false" outlineLevel="0" collapsed="false">
      <c r="Y1285" s="365"/>
    </row>
    <row r="1286" customFormat="false" ht="12.75" hidden="false" customHeight="false" outlineLevel="0" collapsed="false">
      <c r="Y1286" s="365"/>
    </row>
    <row r="1287" customFormat="false" ht="12.75" hidden="false" customHeight="false" outlineLevel="0" collapsed="false">
      <c r="Y1287" s="365"/>
    </row>
    <row r="1288" customFormat="false" ht="12.75" hidden="false" customHeight="false" outlineLevel="0" collapsed="false">
      <c r="Y1288" s="365"/>
    </row>
    <row r="1289" customFormat="false" ht="12.75" hidden="false" customHeight="false" outlineLevel="0" collapsed="false">
      <c r="Y1289" s="365"/>
    </row>
    <row r="1290" customFormat="false" ht="12.75" hidden="false" customHeight="false" outlineLevel="0" collapsed="false">
      <c r="Y1290" s="365"/>
    </row>
    <row r="1291" customFormat="false" ht="12.75" hidden="false" customHeight="false" outlineLevel="0" collapsed="false">
      <c r="Y1291" s="365"/>
    </row>
    <row r="1292" customFormat="false" ht="12.75" hidden="false" customHeight="false" outlineLevel="0" collapsed="false">
      <c r="Y1292" s="365"/>
    </row>
    <row r="1293" customFormat="false" ht="12.75" hidden="false" customHeight="false" outlineLevel="0" collapsed="false">
      <c r="Y1293" s="365"/>
    </row>
    <row r="1294" customFormat="false" ht="12.75" hidden="false" customHeight="false" outlineLevel="0" collapsed="false">
      <c r="Y1294" s="365"/>
    </row>
    <row r="1295" customFormat="false" ht="12.75" hidden="false" customHeight="false" outlineLevel="0" collapsed="false">
      <c r="Y1295" s="365"/>
    </row>
    <row r="1296" customFormat="false" ht="12.75" hidden="false" customHeight="false" outlineLevel="0" collapsed="false">
      <c r="Y1296" s="365"/>
    </row>
    <row r="1297" customFormat="false" ht="12.75" hidden="false" customHeight="false" outlineLevel="0" collapsed="false">
      <c r="Y1297" s="365"/>
    </row>
    <row r="1298" customFormat="false" ht="12.75" hidden="false" customHeight="false" outlineLevel="0" collapsed="false">
      <c r="Y1298" s="365"/>
    </row>
    <row r="1299" customFormat="false" ht="12.75" hidden="false" customHeight="false" outlineLevel="0" collapsed="false">
      <c r="Y1299" s="365"/>
    </row>
    <row r="1300" customFormat="false" ht="12.75" hidden="false" customHeight="false" outlineLevel="0" collapsed="false">
      <c r="Y1300" s="365"/>
    </row>
    <row r="1301" customFormat="false" ht="12.75" hidden="false" customHeight="false" outlineLevel="0" collapsed="false">
      <c r="Y1301" s="365"/>
    </row>
    <row r="1302" customFormat="false" ht="12.75" hidden="false" customHeight="false" outlineLevel="0" collapsed="false">
      <c r="Y1302" s="365"/>
    </row>
    <row r="1303" customFormat="false" ht="12.75" hidden="false" customHeight="false" outlineLevel="0" collapsed="false">
      <c r="Y1303" s="365"/>
    </row>
    <row r="1304" customFormat="false" ht="12.75" hidden="false" customHeight="false" outlineLevel="0" collapsed="false">
      <c r="Y1304" s="365"/>
    </row>
    <row r="1305" customFormat="false" ht="12.75" hidden="false" customHeight="false" outlineLevel="0" collapsed="false">
      <c r="Y1305" s="365"/>
    </row>
    <row r="1306" customFormat="false" ht="12.75" hidden="false" customHeight="false" outlineLevel="0" collapsed="false">
      <c r="Y1306" s="365"/>
    </row>
    <row r="1307" customFormat="false" ht="12.75" hidden="false" customHeight="false" outlineLevel="0" collapsed="false">
      <c r="Y1307" s="365"/>
    </row>
    <row r="1308" customFormat="false" ht="12.75" hidden="false" customHeight="false" outlineLevel="0" collapsed="false">
      <c r="Y1308" s="365"/>
    </row>
    <row r="1309" customFormat="false" ht="12.75" hidden="false" customHeight="false" outlineLevel="0" collapsed="false">
      <c r="Y1309" s="365"/>
    </row>
    <row r="1310" customFormat="false" ht="12.75" hidden="false" customHeight="false" outlineLevel="0" collapsed="false">
      <c r="Y1310" s="365"/>
    </row>
    <row r="1311" customFormat="false" ht="12.75" hidden="false" customHeight="false" outlineLevel="0" collapsed="false">
      <c r="Y1311" s="365"/>
    </row>
    <row r="1312" customFormat="false" ht="12.75" hidden="false" customHeight="false" outlineLevel="0" collapsed="false">
      <c r="Y1312" s="365"/>
    </row>
    <row r="1313" customFormat="false" ht="12.75" hidden="false" customHeight="false" outlineLevel="0" collapsed="false">
      <c r="Y1313" s="365"/>
    </row>
    <row r="1314" customFormat="false" ht="12.75" hidden="false" customHeight="false" outlineLevel="0" collapsed="false">
      <c r="Y1314" s="365"/>
    </row>
    <row r="1315" customFormat="false" ht="12.75" hidden="false" customHeight="false" outlineLevel="0" collapsed="false">
      <c r="Y1315" s="365"/>
    </row>
    <row r="1316" customFormat="false" ht="12.75" hidden="false" customHeight="false" outlineLevel="0" collapsed="false">
      <c r="Y1316" s="365"/>
    </row>
    <row r="1317" customFormat="false" ht="12.75" hidden="false" customHeight="false" outlineLevel="0" collapsed="false">
      <c r="Y1317" s="365"/>
    </row>
    <row r="1318" customFormat="false" ht="12.75" hidden="false" customHeight="false" outlineLevel="0" collapsed="false">
      <c r="Y1318" s="365"/>
    </row>
    <row r="1319" customFormat="false" ht="12.75" hidden="false" customHeight="false" outlineLevel="0" collapsed="false">
      <c r="Y1319" s="365"/>
    </row>
    <row r="1320" customFormat="false" ht="12.75" hidden="false" customHeight="false" outlineLevel="0" collapsed="false">
      <c r="Y1320" s="365"/>
    </row>
    <row r="1321" customFormat="false" ht="12.75" hidden="false" customHeight="false" outlineLevel="0" collapsed="false">
      <c r="Y1321" s="365"/>
    </row>
    <row r="1322" customFormat="false" ht="12.75" hidden="false" customHeight="false" outlineLevel="0" collapsed="false">
      <c r="Y1322" s="365"/>
    </row>
    <row r="1323" customFormat="false" ht="12.75" hidden="false" customHeight="false" outlineLevel="0" collapsed="false">
      <c r="Y1323" s="365"/>
    </row>
    <row r="1324" customFormat="false" ht="12.75" hidden="false" customHeight="false" outlineLevel="0" collapsed="false">
      <c r="Y1324" s="365"/>
    </row>
    <row r="1325" customFormat="false" ht="12.75" hidden="false" customHeight="false" outlineLevel="0" collapsed="false">
      <c r="Y1325" s="365"/>
    </row>
    <row r="1326" customFormat="false" ht="12.75" hidden="false" customHeight="false" outlineLevel="0" collapsed="false">
      <c r="Y1326" s="365"/>
    </row>
    <row r="1327" customFormat="false" ht="12.75" hidden="false" customHeight="false" outlineLevel="0" collapsed="false">
      <c r="Y1327" s="365"/>
    </row>
    <row r="1328" customFormat="false" ht="12.75" hidden="false" customHeight="false" outlineLevel="0" collapsed="false">
      <c r="Y1328" s="365"/>
    </row>
    <row r="1329" customFormat="false" ht="12.75" hidden="false" customHeight="false" outlineLevel="0" collapsed="false">
      <c r="Y1329" s="365"/>
    </row>
    <row r="1330" customFormat="false" ht="12.75" hidden="false" customHeight="false" outlineLevel="0" collapsed="false">
      <c r="Y1330" s="365"/>
    </row>
    <row r="1331" customFormat="false" ht="12.75" hidden="false" customHeight="false" outlineLevel="0" collapsed="false">
      <c r="Y1331" s="365"/>
    </row>
    <row r="1332" customFormat="false" ht="12.75" hidden="false" customHeight="false" outlineLevel="0" collapsed="false">
      <c r="Y1332" s="365"/>
    </row>
    <row r="1333" customFormat="false" ht="12.75" hidden="false" customHeight="false" outlineLevel="0" collapsed="false">
      <c r="Y1333" s="365"/>
    </row>
    <row r="1334" customFormat="false" ht="12.75" hidden="false" customHeight="false" outlineLevel="0" collapsed="false">
      <c r="Y1334" s="365"/>
    </row>
    <row r="1335" customFormat="false" ht="12.75" hidden="false" customHeight="false" outlineLevel="0" collapsed="false">
      <c r="Y1335" s="365"/>
    </row>
    <row r="1336" customFormat="false" ht="12.75" hidden="false" customHeight="false" outlineLevel="0" collapsed="false">
      <c r="Y1336" s="365"/>
    </row>
    <row r="1337" customFormat="false" ht="12.75" hidden="false" customHeight="false" outlineLevel="0" collapsed="false">
      <c r="Y1337" s="365"/>
    </row>
    <row r="1338" customFormat="false" ht="12.75" hidden="false" customHeight="false" outlineLevel="0" collapsed="false">
      <c r="Y1338" s="365"/>
    </row>
    <row r="1339" customFormat="false" ht="12.75" hidden="false" customHeight="false" outlineLevel="0" collapsed="false">
      <c r="Y1339" s="365"/>
    </row>
    <row r="1340" customFormat="false" ht="12.75" hidden="false" customHeight="false" outlineLevel="0" collapsed="false">
      <c r="Y1340" s="365"/>
    </row>
    <row r="1341" customFormat="false" ht="12.75" hidden="false" customHeight="false" outlineLevel="0" collapsed="false">
      <c r="Y1341" s="365"/>
    </row>
    <row r="1342" customFormat="false" ht="12.75" hidden="false" customHeight="false" outlineLevel="0" collapsed="false">
      <c r="Y1342" s="365"/>
    </row>
    <row r="1343" customFormat="false" ht="12.75" hidden="false" customHeight="false" outlineLevel="0" collapsed="false">
      <c r="Y1343" s="365"/>
    </row>
    <row r="1344" customFormat="false" ht="12.75" hidden="false" customHeight="false" outlineLevel="0" collapsed="false">
      <c r="Y1344" s="365"/>
    </row>
    <row r="1345" customFormat="false" ht="12.75" hidden="false" customHeight="false" outlineLevel="0" collapsed="false">
      <c r="Y1345" s="365"/>
    </row>
    <row r="1346" customFormat="false" ht="12.75" hidden="false" customHeight="false" outlineLevel="0" collapsed="false">
      <c r="Y1346" s="365"/>
    </row>
    <row r="1347" customFormat="false" ht="12.75" hidden="false" customHeight="false" outlineLevel="0" collapsed="false">
      <c r="Y1347" s="365"/>
    </row>
    <row r="1348" customFormat="false" ht="12.75" hidden="false" customHeight="false" outlineLevel="0" collapsed="false">
      <c r="Y1348" s="365"/>
    </row>
    <row r="1349" customFormat="false" ht="12.75" hidden="false" customHeight="false" outlineLevel="0" collapsed="false">
      <c r="Y1349" s="365"/>
    </row>
    <row r="1350" customFormat="false" ht="12.75" hidden="false" customHeight="false" outlineLevel="0" collapsed="false">
      <c r="Y1350" s="365"/>
    </row>
    <row r="1351" customFormat="false" ht="12.75" hidden="false" customHeight="false" outlineLevel="0" collapsed="false">
      <c r="Y1351" s="365"/>
    </row>
    <row r="1352" customFormat="false" ht="12.75" hidden="false" customHeight="false" outlineLevel="0" collapsed="false">
      <c r="Y1352" s="365"/>
    </row>
    <row r="1353" customFormat="false" ht="12.75" hidden="false" customHeight="false" outlineLevel="0" collapsed="false">
      <c r="Y1353" s="365"/>
    </row>
    <row r="1354" customFormat="false" ht="12.75" hidden="false" customHeight="false" outlineLevel="0" collapsed="false">
      <c r="Y1354" s="365"/>
    </row>
    <row r="1355" customFormat="false" ht="12.75" hidden="false" customHeight="false" outlineLevel="0" collapsed="false">
      <c r="Y1355" s="365"/>
    </row>
    <row r="1356" customFormat="false" ht="12.75" hidden="false" customHeight="false" outlineLevel="0" collapsed="false">
      <c r="Y1356" s="365"/>
    </row>
    <row r="1357" customFormat="false" ht="12.75" hidden="false" customHeight="false" outlineLevel="0" collapsed="false">
      <c r="Y1357" s="365"/>
    </row>
    <row r="1358" customFormat="false" ht="12.75" hidden="false" customHeight="false" outlineLevel="0" collapsed="false">
      <c r="Y1358" s="365"/>
    </row>
    <row r="1359" customFormat="false" ht="12.75" hidden="false" customHeight="false" outlineLevel="0" collapsed="false">
      <c r="Y1359" s="365"/>
    </row>
    <row r="1360" customFormat="false" ht="12.75" hidden="false" customHeight="false" outlineLevel="0" collapsed="false">
      <c r="Y1360" s="365"/>
    </row>
    <row r="1361" customFormat="false" ht="12.75" hidden="false" customHeight="false" outlineLevel="0" collapsed="false">
      <c r="Y1361" s="365"/>
    </row>
    <row r="1362" customFormat="false" ht="12.75" hidden="false" customHeight="false" outlineLevel="0" collapsed="false">
      <c r="Y1362" s="365"/>
    </row>
    <row r="1363" customFormat="false" ht="12.75" hidden="false" customHeight="false" outlineLevel="0" collapsed="false">
      <c r="Y1363" s="365"/>
    </row>
    <row r="1364" customFormat="false" ht="12.75" hidden="false" customHeight="false" outlineLevel="0" collapsed="false">
      <c r="Y1364" s="365"/>
    </row>
    <row r="1365" customFormat="false" ht="12.75" hidden="false" customHeight="false" outlineLevel="0" collapsed="false">
      <c r="Y1365" s="365"/>
    </row>
    <row r="1366" customFormat="false" ht="12.75" hidden="false" customHeight="false" outlineLevel="0" collapsed="false">
      <c r="Y1366" s="365"/>
    </row>
    <row r="1367" customFormat="false" ht="12.75" hidden="false" customHeight="false" outlineLevel="0" collapsed="false">
      <c r="Y1367" s="3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P1000"/>
  <sheetViews>
    <sheetView showFormulas="false" showGridLines="true" showRowColHeaders="true" showZeros="true" rightToLeft="false" tabSelected="false" showOutlineSymbols="true" defaultGridColor="true" view="normal" topLeftCell="AG1" colorId="64" zoomScale="75" zoomScaleNormal="75" zoomScalePageLayoutView="100" workbookViewId="0">
      <selection pane="topLeft" activeCell="AP37" activeCellId="0" sqref="AP3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372" width="15.99"/>
    <col collapsed="false" customWidth="true" hidden="false" outlineLevel="0" max="2" min="2" style="0" width="14.41"/>
    <col collapsed="false" customWidth="true" hidden="false" outlineLevel="0" max="3" min="3" style="0" width="15.85"/>
    <col collapsed="false" customWidth="true" hidden="false" outlineLevel="0" max="4" min="4" style="0" width="14.56"/>
    <col collapsed="false" customWidth="true" hidden="false" outlineLevel="0" max="6" min="6" style="0" width="23.56"/>
    <col collapsed="false" customWidth="true" hidden="false" outlineLevel="0" max="7" min="7" style="0" width="20.85"/>
    <col collapsed="false" customWidth="true" hidden="false" outlineLevel="0" max="8" min="8" style="0" width="15.85"/>
    <col collapsed="false" customWidth="true" hidden="false" outlineLevel="0" max="9" min="9" style="0" width="18.41"/>
    <col collapsed="false" customWidth="true" hidden="false" outlineLevel="0" max="10" min="10" style="0" width="15.85"/>
    <col collapsed="false" customWidth="true" hidden="false" outlineLevel="0" max="11" min="11" style="0" width="12.14"/>
    <col collapsed="false" customWidth="true" hidden="false" outlineLevel="0" max="12" min="12" style="0" width="18.28"/>
    <col collapsed="false" customWidth="false" hidden="true" outlineLevel="0" max="15" min="14" style="0" width="9.06"/>
    <col collapsed="false" customWidth="true" hidden="true" outlineLevel="0" max="16" min="16" style="373" width="11.99"/>
    <col collapsed="false" customWidth="false" hidden="true" outlineLevel="0" max="18" min="17" style="0" width="9.06"/>
    <col collapsed="false" customWidth="true" hidden="false" outlineLevel="0" max="19" min="19" style="0" width="16.99"/>
    <col collapsed="false" customWidth="true" hidden="false" outlineLevel="0" max="20" min="20" style="0" width="15.85"/>
    <col collapsed="false" customWidth="true" hidden="false" outlineLevel="0" max="21" min="21" style="0" width="12.42"/>
    <col collapsed="false" customWidth="true" hidden="false" outlineLevel="0" max="23" min="23" style="0" width="9.7"/>
    <col collapsed="false" customWidth="true" hidden="false" outlineLevel="0" max="24" min="24" style="0" width="9.85"/>
    <col collapsed="false" customWidth="true" hidden="false" outlineLevel="0" max="25" min="25" style="0" width="12.42"/>
    <col collapsed="false" customWidth="true" hidden="false" outlineLevel="0" max="27" min="27" style="0" width="19.28"/>
    <col collapsed="false" customWidth="true" hidden="false" outlineLevel="0" max="28" min="28" style="0" width="16.84"/>
    <col collapsed="false" customWidth="true" hidden="false" outlineLevel="0" max="29" min="29" style="0" width="12.7"/>
    <col collapsed="false" customWidth="true" hidden="false" outlineLevel="0" max="31" min="31" style="0" width="15.7"/>
    <col collapsed="false" customWidth="true" hidden="false" outlineLevel="0" max="32" min="32" style="0" width="18.56"/>
    <col collapsed="false" customWidth="true" hidden="false" outlineLevel="0" max="35" min="35" style="0" width="15.99"/>
    <col collapsed="false" customWidth="true" hidden="false" outlineLevel="0" max="36" min="36" style="0" width="17.42"/>
    <col collapsed="false" customWidth="true" hidden="false" outlineLevel="0" max="38" min="38" style="0" width="22.56"/>
    <col collapsed="false" customWidth="true" hidden="false" outlineLevel="0" max="39" min="39" style="0" width="16.84"/>
    <col collapsed="false" customWidth="true" hidden="false" outlineLevel="0" max="41" min="41" style="0" width="22.56"/>
    <col collapsed="false" customWidth="true" hidden="false" outlineLevel="0" max="42" min="42" style="0" width="16.84"/>
  </cols>
  <sheetData>
    <row r="1" customFormat="false" ht="15.75" hidden="false" customHeight="false" outlineLevel="0" collapsed="false">
      <c r="A1" s="374" t="s">
        <v>142</v>
      </c>
      <c r="S1" s="374" t="s">
        <v>143</v>
      </c>
      <c r="AA1" s="374" t="s">
        <v>144</v>
      </c>
      <c r="AI1" s="374" t="s">
        <v>145</v>
      </c>
      <c r="AL1" s="375" t="s">
        <v>146</v>
      </c>
      <c r="AO1" s="375" t="s">
        <v>147</v>
      </c>
    </row>
    <row r="2" customFormat="false" ht="12.75" hidden="false" customHeight="false" outlineLevel="0" collapsed="false">
      <c r="S2" s="372"/>
    </row>
    <row r="3" customFormat="false" ht="12.75" hidden="false" customHeight="false" outlineLevel="0" collapsed="false">
      <c r="A3" s="376" t="s">
        <v>148</v>
      </c>
      <c r="B3" s="358" t="s">
        <v>133</v>
      </c>
      <c r="C3" s="376" t="s">
        <v>148</v>
      </c>
      <c r="D3" s="358" t="s">
        <v>133</v>
      </c>
      <c r="H3" s="376" t="s">
        <v>148</v>
      </c>
      <c r="I3" s="358" t="s">
        <v>133</v>
      </c>
      <c r="J3" s="376" t="s">
        <v>148</v>
      </c>
      <c r="K3" s="358" t="s">
        <v>133</v>
      </c>
      <c r="L3" s="377"/>
      <c r="M3" s="377"/>
      <c r="O3" s="378"/>
      <c r="S3" s="376" t="s">
        <v>148</v>
      </c>
      <c r="T3" s="358" t="s">
        <v>133</v>
      </c>
      <c r="AA3" s="376" t="s">
        <v>148</v>
      </c>
      <c r="AB3" s="358" t="s">
        <v>133</v>
      </c>
      <c r="AI3" s="376" t="s">
        <v>148</v>
      </c>
      <c r="AJ3" s="358" t="s">
        <v>133</v>
      </c>
      <c r="AL3" s="376" t="s">
        <v>148</v>
      </c>
      <c r="AM3" s="358" t="s">
        <v>133</v>
      </c>
      <c r="AO3" s="376" t="s">
        <v>148</v>
      </c>
      <c r="AP3" s="358" t="s">
        <v>133</v>
      </c>
    </row>
    <row r="4" customFormat="false" ht="12.75" hidden="false" customHeight="false" outlineLevel="0" collapsed="false">
      <c r="A4" s="376" t="s">
        <v>149</v>
      </c>
      <c r="B4" s="359" t="s">
        <v>134</v>
      </c>
      <c r="C4" s="376" t="s">
        <v>149</v>
      </c>
      <c r="D4" s="359" t="s">
        <v>134</v>
      </c>
      <c r="H4" s="376" t="s">
        <v>149</v>
      </c>
      <c r="I4" s="359" t="s">
        <v>134</v>
      </c>
      <c r="J4" s="376" t="s">
        <v>149</v>
      </c>
      <c r="K4" s="359" t="s">
        <v>134</v>
      </c>
      <c r="L4" s="379"/>
      <c r="M4" s="377"/>
      <c r="O4" s="378"/>
      <c r="P4" s="380"/>
      <c r="S4" s="376" t="s">
        <v>149</v>
      </c>
      <c r="T4" s="359" t="s">
        <v>134</v>
      </c>
      <c r="AA4" s="376" t="s">
        <v>149</v>
      </c>
      <c r="AB4" s="359" t="s">
        <v>134</v>
      </c>
      <c r="AI4" s="376" t="s">
        <v>149</v>
      </c>
      <c r="AJ4" s="359" t="s">
        <v>134</v>
      </c>
      <c r="AL4" s="376" t="s">
        <v>149</v>
      </c>
      <c r="AM4" s="359" t="s">
        <v>134</v>
      </c>
      <c r="AO4" s="376" t="s">
        <v>149</v>
      </c>
      <c r="AP4" s="359" t="s">
        <v>134</v>
      </c>
    </row>
    <row r="5" customFormat="false" ht="12.75" hidden="false" customHeight="false" outlineLevel="0" collapsed="false">
      <c r="A5" s="376" t="s">
        <v>150</v>
      </c>
      <c r="B5" s="359" t="s">
        <v>134</v>
      </c>
      <c r="C5" s="376" t="s">
        <v>150</v>
      </c>
      <c r="D5" s="359" t="s">
        <v>134</v>
      </c>
      <c r="H5" s="376" t="s">
        <v>150</v>
      </c>
      <c r="I5" s="359" t="s">
        <v>134</v>
      </c>
      <c r="J5" s="376" t="s">
        <v>150</v>
      </c>
      <c r="K5" s="359" t="s">
        <v>134</v>
      </c>
      <c r="L5" s="381"/>
      <c r="M5" s="381"/>
      <c r="O5" s="372"/>
      <c r="S5" s="376" t="s">
        <v>150</v>
      </c>
      <c r="T5" s="359" t="s">
        <v>134</v>
      </c>
      <c r="AA5" s="376" t="s">
        <v>150</v>
      </c>
      <c r="AB5" s="359" t="s">
        <v>134</v>
      </c>
      <c r="AI5" s="376" t="s">
        <v>150</v>
      </c>
      <c r="AJ5" s="359" t="s">
        <v>134</v>
      </c>
      <c r="AL5" s="376" t="s">
        <v>150</v>
      </c>
      <c r="AM5" s="359" t="s">
        <v>134</v>
      </c>
      <c r="AO5" s="376" t="s">
        <v>150</v>
      </c>
      <c r="AP5" s="359" t="s">
        <v>134</v>
      </c>
    </row>
    <row r="6" customFormat="false" ht="12.75" hidden="false" customHeight="false" outlineLevel="0" collapsed="false">
      <c r="B6" s="377" t="s">
        <v>151</v>
      </c>
      <c r="C6" s="372"/>
      <c r="D6" s="377" t="s">
        <v>152</v>
      </c>
      <c r="H6" s="372"/>
      <c r="I6" s="377" t="s">
        <v>153</v>
      </c>
      <c r="J6" s="372"/>
      <c r="K6" s="377" t="s">
        <v>154</v>
      </c>
      <c r="L6" s="381"/>
      <c r="M6" s="381"/>
      <c r="O6" s="372"/>
      <c r="S6" s="372"/>
      <c r="T6" s="377" t="s">
        <v>155</v>
      </c>
      <c r="U6" s="377" t="s">
        <v>156</v>
      </c>
      <c r="AA6" s="372"/>
      <c r="AB6" s="377" t="s">
        <v>157</v>
      </c>
      <c r="AC6" s="377" t="s">
        <v>158</v>
      </c>
      <c r="AI6" s="372"/>
      <c r="AJ6" s="377" t="s">
        <v>157</v>
      </c>
      <c r="AL6" s="372"/>
      <c r="AM6" s="377" t="s">
        <v>157</v>
      </c>
      <c r="AO6" s="372"/>
      <c r="AP6" s="377" t="s">
        <v>157</v>
      </c>
    </row>
    <row r="7" customFormat="false" ht="12.75" hidden="false" customHeight="false" outlineLevel="0" collapsed="false">
      <c r="A7" s="376" t="s">
        <v>159</v>
      </c>
      <c r="B7" s="382" t="n">
        <f aca="false">Interest!X5</f>
        <v>37188</v>
      </c>
      <c r="C7" s="376" t="s">
        <v>159</v>
      </c>
      <c r="D7" s="382" t="n">
        <f aca="false">B7</f>
        <v>37188</v>
      </c>
      <c r="H7" s="376" t="s">
        <v>159</v>
      </c>
      <c r="I7" s="382" t="n">
        <f aca="false">TradeDate</f>
        <v>37189</v>
      </c>
      <c r="J7" s="376" t="s">
        <v>159</v>
      </c>
      <c r="K7" s="382" t="n">
        <f aca="false">I7</f>
        <v>37189</v>
      </c>
      <c r="L7" s="381"/>
      <c r="M7" s="381"/>
      <c r="O7" s="372"/>
      <c r="S7" s="376" t="s">
        <v>159</v>
      </c>
      <c r="T7" s="382" t="n">
        <f aca="false">B7</f>
        <v>37188</v>
      </c>
      <c r="U7" s="382" t="n">
        <f aca="false">T7</f>
        <v>37188</v>
      </c>
      <c r="AA7" s="376" t="s">
        <v>159</v>
      </c>
      <c r="AB7" s="382" t="n">
        <f aca="false">TradeDate</f>
        <v>37189</v>
      </c>
      <c r="AC7" s="382" t="n">
        <f aca="false">AB7</f>
        <v>37189</v>
      </c>
      <c r="AI7" s="376" t="s">
        <v>159</v>
      </c>
      <c r="AJ7" s="382" t="n">
        <f aca="false">TradeDate</f>
        <v>37189</v>
      </c>
      <c r="AL7" s="376" t="s">
        <v>159</v>
      </c>
      <c r="AM7" s="382" t="n">
        <f aca="false">TradeDate</f>
        <v>37189</v>
      </c>
      <c r="AO7" s="376" t="s">
        <v>159</v>
      </c>
      <c r="AP7" s="382" t="n">
        <f aca="false">TradeDate</f>
        <v>37189</v>
      </c>
    </row>
    <row r="8" customFormat="false" ht="12.75" hidden="false" customHeight="false" outlineLevel="0" collapsed="false">
      <c r="A8" s="376" t="s">
        <v>160</v>
      </c>
      <c r="B8" s="362" t="n">
        <f aca="false">DATE(YEAR(TradeDate),MONTH(TradeDate)+1,1)</f>
        <v>37196</v>
      </c>
      <c r="C8" s="376" t="s">
        <v>160</v>
      </c>
      <c r="D8" s="362" t="n">
        <f aca="false">B8</f>
        <v>37196</v>
      </c>
      <c r="H8" s="376" t="s">
        <v>160</v>
      </c>
      <c r="I8" s="362" t="n">
        <f aca="false">D8</f>
        <v>37196</v>
      </c>
      <c r="J8" s="376" t="s">
        <v>160</v>
      </c>
      <c r="K8" s="362" t="n">
        <f aca="false">I8</f>
        <v>37196</v>
      </c>
      <c r="L8" s="381"/>
      <c r="M8" s="381"/>
      <c r="O8" s="372"/>
      <c r="S8" s="376" t="s">
        <v>160</v>
      </c>
      <c r="T8" s="362" t="n">
        <f aca="false">B8</f>
        <v>37196</v>
      </c>
      <c r="U8" s="362" t="n">
        <f aca="false">T8</f>
        <v>37196</v>
      </c>
      <c r="AA8" s="376" t="s">
        <v>160</v>
      </c>
      <c r="AB8" s="362" t="n">
        <f aca="false">T8</f>
        <v>37196</v>
      </c>
      <c r="AC8" s="362" t="n">
        <f aca="false">AB8</f>
        <v>37196</v>
      </c>
      <c r="AI8" s="376" t="s">
        <v>160</v>
      </c>
      <c r="AJ8" s="362" t="n">
        <f aca="false">AB8</f>
        <v>37196</v>
      </c>
      <c r="AL8" s="376" t="s">
        <v>160</v>
      </c>
      <c r="AM8" s="362" t="n">
        <f aca="false">AJ8</f>
        <v>37196</v>
      </c>
      <c r="AO8" s="376" t="s">
        <v>160</v>
      </c>
      <c r="AP8" s="362" t="n">
        <f aca="false">AM8</f>
        <v>37196</v>
      </c>
    </row>
    <row r="9" customFormat="false" ht="12.75" hidden="false" customHeight="false" outlineLevel="0" collapsed="false">
      <c r="A9" s="376" t="s">
        <v>161</v>
      </c>
      <c r="B9" s="383" t="s">
        <v>162</v>
      </c>
      <c r="C9" s="376" t="s">
        <v>161</v>
      </c>
      <c r="D9" s="383" t="s">
        <v>163</v>
      </c>
      <c r="H9" s="376" t="s">
        <v>161</v>
      </c>
      <c r="I9" s="383" t="s">
        <v>162</v>
      </c>
      <c r="J9" s="376" t="s">
        <v>161</v>
      </c>
      <c r="K9" s="383" t="s">
        <v>163</v>
      </c>
      <c r="L9" s="381"/>
      <c r="M9" s="381"/>
      <c r="O9" s="372"/>
      <c r="S9" s="376" t="s">
        <v>161</v>
      </c>
      <c r="T9" s="383" t="s">
        <v>164</v>
      </c>
      <c r="U9" s="383" t="s">
        <v>164</v>
      </c>
      <c r="AA9" s="376" t="s">
        <v>161</v>
      </c>
      <c r="AB9" s="383" t="s">
        <v>164</v>
      </c>
      <c r="AC9" s="383" t="s">
        <v>164</v>
      </c>
      <c r="AI9" s="376" t="s">
        <v>161</v>
      </c>
      <c r="AJ9" s="383" t="s">
        <v>164</v>
      </c>
      <c r="AL9" s="376" t="s">
        <v>161</v>
      </c>
      <c r="AM9" s="383" t="s">
        <v>164</v>
      </c>
      <c r="AO9" s="376" t="s">
        <v>161</v>
      </c>
      <c r="AP9" s="383" t="s">
        <v>164</v>
      </c>
    </row>
    <row r="10" customFormat="false" ht="12.75" hidden="false" customHeight="false" outlineLevel="0" collapsed="false">
      <c r="A10" s="376" t="s">
        <v>165</v>
      </c>
      <c r="B10" s="383" t="s">
        <v>166</v>
      </c>
      <c r="C10" s="376" t="s">
        <v>165</v>
      </c>
      <c r="D10" s="383" t="s">
        <v>167</v>
      </c>
      <c r="H10" s="376" t="s">
        <v>165</v>
      </c>
      <c r="I10" s="383" t="s">
        <v>166</v>
      </c>
      <c r="J10" s="376" t="s">
        <v>165</v>
      </c>
      <c r="K10" s="383" t="s">
        <v>167</v>
      </c>
      <c r="L10" s="381"/>
      <c r="M10" s="381"/>
      <c r="O10" s="372"/>
      <c r="S10" s="376" t="s">
        <v>165</v>
      </c>
      <c r="T10" s="383" t="s">
        <v>166</v>
      </c>
      <c r="U10" s="383" t="s">
        <v>168</v>
      </c>
      <c r="W10" s="375" t="s">
        <v>169</v>
      </c>
      <c r="Y10" s="375" t="s">
        <v>170</v>
      </c>
      <c r="AA10" s="376" t="s">
        <v>165</v>
      </c>
      <c r="AB10" s="383" t="s">
        <v>166</v>
      </c>
      <c r="AC10" s="383" t="s">
        <v>168</v>
      </c>
      <c r="AH10" s="375"/>
      <c r="AI10" s="376" t="s">
        <v>165</v>
      </c>
      <c r="AJ10" s="383" t="s">
        <v>166</v>
      </c>
      <c r="AL10" s="376" t="s">
        <v>165</v>
      </c>
      <c r="AM10" s="383" t="s">
        <v>166</v>
      </c>
      <c r="AO10" s="376" t="s">
        <v>165</v>
      </c>
      <c r="AP10" s="383" t="s">
        <v>166</v>
      </c>
    </row>
    <row r="11" customFormat="false" ht="12.75" hidden="false" customHeight="false" outlineLevel="0" collapsed="false">
      <c r="A11" s="376" t="s">
        <v>171</v>
      </c>
      <c r="B11" s="383" t="s">
        <v>172</v>
      </c>
      <c r="C11" s="376" t="s">
        <v>171</v>
      </c>
      <c r="D11" s="383" t="s">
        <v>173</v>
      </c>
      <c r="F11" s="316" t="s">
        <v>174</v>
      </c>
      <c r="G11" s="316" t="s">
        <v>175</v>
      </c>
      <c r="H11" s="376" t="s">
        <v>171</v>
      </c>
      <c r="I11" s="383" t="s">
        <v>172</v>
      </c>
      <c r="J11" s="376" t="s">
        <v>171</v>
      </c>
      <c r="K11" s="383" t="s">
        <v>173</v>
      </c>
      <c r="L11" s="316" t="s">
        <v>176</v>
      </c>
      <c r="M11" s="381"/>
      <c r="O11" s="372"/>
      <c r="S11" s="376" t="s">
        <v>171</v>
      </c>
      <c r="T11" s="383" t="s">
        <v>177</v>
      </c>
      <c r="U11" s="383" t="s">
        <v>177</v>
      </c>
      <c r="W11" s="0" t="s">
        <v>43</v>
      </c>
      <c r="X11" s="0" t="s">
        <v>108</v>
      </c>
      <c r="Y11" s="384" t="s">
        <v>43</v>
      </c>
      <c r="AA11" s="376" t="s">
        <v>171</v>
      </c>
      <c r="AB11" s="383" t="s">
        <v>177</v>
      </c>
      <c r="AC11" s="383" t="s">
        <v>177</v>
      </c>
      <c r="AI11" s="376" t="s">
        <v>171</v>
      </c>
      <c r="AJ11" s="383" t="s">
        <v>177</v>
      </c>
      <c r="AL11" s="376" t="s">
        <v>171</v>
      </c>
      <c r="AM11" s="383" t="s">
        <v>177</v>
      </c>
      <c r="AO11" s="376" t="s">
        <v>171</v>
      </c>
      <c r="AP11" s="383" t="s">
        <v>177</v>
      </c>
    </row>
    <row r="12" customFormat="false" ht="12.75" hidden="false" customHeight="false" outlineLevel="0" collapsed="false">
      <c r="A12" s="367" t="n">
        <v>37196</v>
      </c>
      <c r="B12" s="0" t="n">
        <v>-0.62273603281013</v>
      </c>
      <c r="C12" s="367" t="n">
        <v>37196</v>
      </c>
      <c r="D12" s="0" t="n">
        <v>1.57256434885833</v>
      </c>
      <c r="F12" s="385" t="n">
        <f aca="false">(B12+T12)*D12/1.055056</f>
        <v>3.515</v>
      </c>
      <c r="G12" s="0" t="n">
        <f aca="false">K12-D12</f>
        <v>0.000486590034479928</v>
      </c>
      <c r="H12" s="367" t="n">
        <v>37196</v>
      </c>
      <c r="I12" s="0" t="n">
        <v>-0.62070792135588</v>
      </c>
      <c r="J12" s="367" t="n">
        <v>37196</v>
      </c>
      <c r="K12" s="0" t="n">
        <v>1.57305093889281</v>
      </c>
      <c r="L12" s="385" t="n">
        <f aca="false">IF(H12="",F12,(I12+AB12)*K12/1.055056)</f>
        <v>3.455</v>
      </c>
      <c r="M12" s="381"/>
      <c r="O12" s="372"/>
      <c r="S12" s="367" t="n">
        <v>37196</v>
      </c>
      <c r="T12" s="0" t="n">
        <v>2.981</v>
      </c>
      <c r="U12" s="0" t="n">
        <v>1.15</v>
      </c>
      <c r="W12" s="0" t="n">
        <f aca="false">AB12-T12</f>
        <v>-0.0430000000000002</v>
      </c>
      <c r="X12" s="0" t="n">
        <f aca="false">AC12-U12</f>
        <v>0</v>
      </c>
      <c r="Y12" s="385" t="n">
        <f aca="false">I12-B12</f>
        <v>0.00202811145424986</v>
      </c>
      <c r="AA12" s="367" t="n">
        <v>37196</v>
      </c>
      <c r="AB12" s="0" t="n">
        <v>2.938</v>
      </c>
      <c r="AC12" s="0" t="n">
        <v>1.15</v>
      </c>
      <c r="AI12" s="367" t="n">
        <v>37165</v>
      </c>
      <c r="AJ12" s="0" t="n">
        <v>0</v>
      </c>
      <c r="AL12" s="367" t="n">
        <v>37165</v>
      </c>
      <c r="AM12" s="0" t="n">
        <v>16.58338515</v>
      </c>
      <c r="AO12" s="367" t="n">
        <v>37165</v>
      </c>
      <c r="AP12" s="0" t="n">
        <v>-8.085834149372</v>
      </c>
    </row>
    <row r="13" customFormat="false" ht="12.75" hidden="false" customHeight="false" outlineLevel="0" collapsed="false">
      <c r="A13" s="367" t="n">
        <v>37226</v>
      </c>
      <c r="B13" s="0" t="n">
        <v>-0.345</v>
      </c>
      <c r="C13" s="367" t="n">
        <v>37226</v>
      </c>
      <c r="D13" s="0" t="n">
        <v>1.57303657134507</v>
      </c>
      <c r="F13" s="385" t="n">
        <f aca="false">(B13+T13)*D13/1.055056</f>
        <v>4.21342691821208</v>
      </c>
      <c r="G13" s="0" t="n">
        <f aca="false">K13-D13</f>
        <v>0.00045783956304013</v>
      </c>
      <c r="H13" s="367" t="n">
        <v>37226</v>
      </c>
      <c r="I13" s="0" t="n">
        <v>-0.355</v>
      </c>
      <c r="J13" s="367" t="n">
        <v>37226</v>
      </c>
      <c r="K13" s="0" t="n">
        <v>1.57349441090811</v>
      </c>
      <c r="L13" s="385" t="n">
        <f aca="false">IF(H13="",F13,(I13+AB13)*K13/1.055056)</f>
        <v>4.09832524640918</v>
      </c>
      <c r="M13" s="381"/>
      <c r="O13" s="372"/>
      <c r="S13" s="367" t="n">
        <v>37226</v>
      </c>
      <c r="T13" s="0" t="n">
        <v>3.171</v>
      </c>
      <c r="U13" s="0" t="n">
        <v>0.805</v>
      </c>
      <c r="W13" s="0" t="n">
        <f aca="false">AB13-T13</f>
        <v>-0.0680000000000001</v>
      </c>
      <c r="X13" s="0" t="n">
        <f aca="false">AC13-U13</f>
        <v>-0.01</v>
      </c>
      <c r="Y13" s="385" t="n">
        <f aca="false">I13-B13</f>
        <v>-0.01</v>
      </c>
      <c r="AA13" s="367" t="n">
        <v>37226</v>
      </c>
      <c r="AB13" s="0" t="n">
        <v>3.103</v>
      </c>
      <c r="AC13" s="0" t="n">
        <v>0.795</v>
      </c>
      <c r="AI13" s="367" t="n">
        <v>37196</v>
      </c>
      <c r="AJ13" s="0" t="n">
        <v>1.03736852</v>
      </c>
      <c r="AL13" s="367" t="n">
        <v>37196</v>
      </c>
      <c r="AM13" s="0" t="n">
        <v>0.0104309</v>
      </c>
      <c r="AO13" s="367" t="n">
        <v>37166</v>
      </c>
      <c r="AP13" s="0" t="n">
        <v>-8.085834149372</v>
      </c>
    </row>
    <row r="14" customFormat="false" ht="12.75" hidden="false" customHeight="false" outlineLevel="0" collapsed="false">
      <c r="A14" s="367" t="n">
        <v>37257</v>
      </c>
      <c r="B14" s="0" t="n">
        <v>-0.43</v>
      </c>
      <c r="C14" s="367" t="n">
        <v>37257</v>
      </c>
      <c r="D14" s="0" t="n">
        <v>1.57339393805869</v>
      </c>
      <c r="F14" s="385" t="n">
        <f aca="false">(B14+T14)*D14/1.055056</f>
        <v>4.31877440118626</v>
      </c>
      <c r="G14" s="0" t="n">
        <f aca="false">K14-D14</f>
        <v>0.000340680872630061</v>
      </c>
      <c r="H14" s="367" t="n">
        <v>37257</v>
      </c>
      <c r="I14" s="0" t="n">
        <v>-0.44</v>
      </c>
      <c r="J14" s="367" t="n">
        <v>37257</v>
      </c>
      <c r="K14" s="0" t="n">
        <v>1.57373461893132</v>
      </c>
      <c r="L14" s="385" t="n">
        <f aca="false">IF(H14="",F14,(I14+AB14)*K14/1.055056)</f>
        <v>4.19143086167655</v>
      </c>
      <c r="M14" s="381"/>
      <c r="O14" s="372"/>
      <c r="S14" s="367" t="n">
        <v>37257</v>
      </c>
      <c r="T14" s="0" t="n">
        <v>3.326</v>
      </c>
      <c r="U14" s="0" t="n">
        <v>0.7925</v>
      </c>
      <c r="W14" s="0" t="n">
        <f aca="false">AB14-T14</f>
        <v>-0.0760000000000001</v>
      </c>
      <c r="X14" s="0" t="n">
        <f aca="false">AC14-U14</f>
        <v>-0.00749999999999995</v>
      </c>
      <c r="Y14" s="385" t="n">
        <f aca="false">I14-B14</f>
        <v>-0.01</v>
      </c>
      <c r="AA14" s="367" t="n">
        <v>37257</v>
      </c>
      <c r="AB14" s="0" t="n">
        <v>3.25</v>
      </c>
      <c r="AC14" s="0" t="n">
        <v>0.785</v>
      </c>
      <c r="AI14" s="367" t="n">
        <v>37226</v>
      </c>
      <c r="AJ14" s="0" t="n">
        <v>147.8965795</v>
      </c>
      <c r="AL14" s="367" t="n">
        <v>37226</v>
      </c>
      <c r="AM14" s="0" t="n">
        <v>0.01075417</v>
      </c>
      <c r="AO14" s="367" t="n">
        <v>37167</v>
      </c>
      <c r="AP14" s="0" t="n">
        <v>-10.455334149372</v>
      </c>
    </row>
    <row r="15" customFormat="false" ht="12.75" hidden="false" customHeight="false" outlineLevel="0" collapsed="false">
      <c r="A15" s="367" t="n">
        <v>37288</v>
      </c>
      <c r="B15" s="0" t="n">
        <v>-0.445</v>
      </c>
      <c r="C15" s="367" t="n">
        <v>37288</v>
      </c>
      <c r="D15" s="0" t="n">
        <v>1.57358703703584</v>
      </c>
      <c r="F15" s="385" t="n">
        <f aca="false">(B15+T15)*D15/1.055056</f>
        <v>4.28947498380662</v>
      </c>
      <c r="G15" s="0" t="n">
        <f aca="false">K15-D15</f>
        <v>0.000217188572620097</v>
      </c>
      <c r="H15" s="367" t="n">
        <v>37288</v>
      </c>
      <c r="I15" s="0" t="n">
        <v>-0.47</v>
      </c>
      <c r="J15" s="367" t="n">
        <v>37288</v>
      </c>
      <c r="K15" s="0" t="n">
        <v>1.57380422560846</v>
      </c>
      <c r="L15" s="385" t="n">
        <f aca="false">IF(H15="",F15,(I15+AB15)*K15/1.055056)</f>
        <v>4.14388254153363</v>
      </c>
      <c r="M15" s="381"/>
      <c r="O15" s="372"/>
      <c r="S15" s="367" t="n">
        <v>37288</v>
      </c>
      <c r="T15" s="0" t="n">
        <v>3.321</v>
      </c>
      <c r="U15" s="0" t="n">
        <v>0.7325</v>
      </c>
      <c r="W15" s="0" t="n">
        <f aca="false">AB15-T15</f>
        <v>-0.073</v>
      </c>
      <c r="X15" s="0" t="n">
        <f aca="false">AC15-U15</f>
        <v>-0.00750000000000006</v>
      </c>
      <c r="Y15" s="385" t="n">
        <f aca="false">I15-B15</f>
        <v>-0.025</v>
      </c>
      <c r="AA15" s="367" t="n">
        <v>37288</v>
      </c>
      <c r="AB15" s="0" t="n">
        <v>3.248</v>
      </c>
      <c r="AC15" s="0" t="n">
        <v>0.725</v>
      </c>
      <c r="AI15" s="367" t="n">
        <v>37257</v>
      </c>
      <c r="AJ15" s="0" t="n">
        <v>-95.61530495</v>
      </c>
      <c r="AL15" s="367" t="n">
        <v>37257</v>
      </c>
      <c r="AM15" s="0" t="n">
        <v>-23.13273505</v>
      </c>
      <c r="AO15" s="367" t="n">
        <v>37168</v>
      </c>
      <c r="AP15" s="0" t="n">
        <v>-11.403134149372</v>
      </c>
    </row>
    <row r="16" customFormat="false" ht="12.75" hidden="false" customHeight="false" outlineLevel="0" collapsed="false">
      <c r="A16" s="367" t="n">
        <v>37316</v>
      </c>
      <c r="B16" s="0" t="n">
        <v>-0.46</v>
      </c>
      <c r="C16" s="367" t="n">
        <v>37316</v>
      </c>
      <c r="D16" s="0" t="n">
        <v>1.57368940122104</v>
      </c>
      <c r="F16" s="385" t="n">
        <f aca="false">(B16+T16)*D16/1.055056</f>
        <v>4.17788630444273</v>
      </c>
      <c r="G16" s="0" t="n">
        <f aca="false">K16-D16</f>
        <v>0.000439718486610063</v>
      </c>
      <c r="H16" s="367" t="n">
        <v>37316</v>
      </c>
      <c r="I16" s="0" t="n">
        <v>-0.5</v>
      </c>
      <c r="J16" s="367" t="n">
        <v>37316</v>
      </c>
      <c r="K16" s="0" t="n">
        <v>1.57412911970765</v>
      </c>
      <c r="L16" s="385" t="n">
        <f aca="false">IF(H16="",F16,(I16+AB16)*K16/1.055056)</f>
        <v>4.02090313463183</v>
      </c>
      <c r="M16" s="381"/>
      <c r="O16" s="372"/>
      <c r="S16" s="367" t="n">
        <v>37316</v>
      </c>
      <c r="T16" s="0" t="n">
        <v>3.261</v>
      </c>
      <c r="U16" s="0" t="n">
        <v>0.6575</v>
      </c>
      <c r="W16" s="0" t="n">
        <f aca="false">AB16-T16</f>
        <v>-0.0660000000000003</v>
      </c>
      <c r="X16" s="0" t="n">
        <f aca="false">AC16-U16</f>
        <v>-0.00749999999999995</v>
      </c>
      <c r="Y16" s="385" t="n">
        <f aca="false">I16-B16</f>
        <v>-0.04</v>
      </c>
      <c r="AA16" s="367" t="n">
        <v>37316</v>
      </c>
      <c r="AB16" s="0" t="n">
        <v>3.195</v>
      </c>
      <c r="AC16" s="0" t="n">
        <v>0.65</v>
      </c>
      <c r="AI16" s="367" t="n">
        <v>37288</v>
      </c>
      <c r="AJ16" s="0" t="n">
        <v>-86.18238975</v>
      </c>
      <c r="AL16" s="367" t="n">
        <v>37288</v>
      </c>
      <c r="AM16" s="0" t="n">
        <v>-20.85057819</v>
      </c>
      <c r="AO16" s="367" t="n">
        <v>37169</v>
      </c>
      <c r="AP16" s="0" t="n">
        <v>-11.403134149372</v>
      </c>
    </row>
    <row r="17" customFormat="false" ht="12.75" hidden="false" customHeight="false" outlineLevel="0" collapsed="false">
      <c r="A17" s="367" t="n">
        <v>37347</v>
      </c>
      <c r="B17" s="0" t="n">
        <v>-0.475</v>
      </c>
      <c r="C17" s="367" t="n">
        <v>37347</v>
      </c>
      <c r="D17" s="0" t="n">
        <v>1.57378230651724</v>
      </c>
      <c r="F17" s="385" t="n">
        <f aca="false">(B17+T17)*D17/1.055056</f>
        <v>3.98421746400907</v>
      </c>
      <c r="G17" s="0" t="n">
        <f aca="false">K17-D17</f>
        <v>0.00066250440412996</v>
      </c>
      <c r="H17" s="367" t="n">
        <v>37347</v>
      </c>
      <c r="I17" s="0" t="n">
        <v>-0.48</v>
      </c>
      <c r="J17" s="367" t="n">
        <v>37347</v>
      </c>
      <c r="K17" s="0" t="n">
        <v>1.57444481092137</v>
      </c>
      <c r="L17" s="385" t="n">
        <f aca="false">IF(H17="",F17,(I17+AB17)*K17/1.055056)</f>
        <v>3.90232668271578</v>
      </c>
      <c r="M17" s="381"/>
      <c r="O17" s="372"/>
      <c r="S17" s="367" t="n">
        <v>37347</v>
      </c>
      <c r="T17" s="0" t="n">
        <v>3.146</v>
      </c>
      <c r="U17" s="0" t="n">
        <v>0.5325</v>
      </c>
      <c r="W17" s="0" t="n">
        <f aca="false">AB17-T17</f>
        <v>-0.0510000000000002</v>
      </c>
      <c r="X17" s="0" t="n">
        <f aca="false">AC17-U17</f>
        <v>-0.01</v>
      </c>
      <c r="Y17" s="385" t="n">
        <f aca="false">I17-B17</f>
        <v>-0.005</v>
      </c>
      <c r="AA17" s="367" t="n">
        <v>37347</v>
      </c>
      <c r="AB17" s="0" t="n">
        <v>3.095</v>
      </c>
      <c r="AC17" s="0" t="n">
        <v>0.5225</v>
      </c>
      <c r="AI17" s="367" t="n">
        <v>37316</v>
      </c>
      <c r="AJ17" s="0" t="n">
        <v>-95.25123486</v>
      </c>
      <c r="AL17" s="367" t="n">
        <v>37316</v>
      </c>
      <c r="AM17" s="0" t="n">
        <v>-23.04465357</v>
      </c>
      <c r="AO17" s="367" t="n">
        <v>37170</v>
      </c>
      <c r="AP17" s="0" t="n">
        <v>-11.403134149372</v>
      </c>
    </row>
    <row r="18" customFormat="false" ht="12.75" hidden="false" customHeight="false" outlineLevel="0" collapsed="false">
      <c r="A18" s="367" t="n">
        <v>37377</v>
      </c>
      <c r="B18" s="0" t="n">
        <v>-0.475</v>
      </c>
      <c r="C18" s="367" t="n">
        <v>37377</v>
      </c>
      <c r="D18" s="0" t="n">
        <v>1.57389051296331</v>
      </c>
      <c r="F18" s="385" t="n">
        <f aca="false">(B18+T18)*D18/1.055056</f>
        <v>4.02924420648184</v>
      </c>
      <c r="G18" s="0" t="n">
        <f aca="false">K18-D18</f>
        <v>0.000711781977289716</v>
      </c>
      <c r="H18" s="367" t="n">
        <v>37377</v>
      </c>
      <c r="I18" s="0" t="n">
        <v>-0.48</v>
      </c>
      <c r="J18" s="367" t="n">
        <v>37377</v>
      </c>
      <c r="K18" s="0" t="n">
        <v>1.5746022949406</v>
      </c>
      <c r="L18" s="385" t="n">
        <f aca="false">IF(H18="",F18,(I18+AB18)*K18/1.055056)</f>
        <v>3.94749005751153</v>
      </c>
      <c r="M18" s="381"/>
      <c r="O18" s="372"/>
      <c r="S18" s="367" t="n">
        <v>37377</v>
      </c>
      <c r="T18" s="0" t="n">
        <v>3.176</v>
      </c>
      <c r="U18" s="0" t="n">
        <v>0.475</v>
      </c>
      <c r="W18" s="0" t="n">
        <f aca="false">AB18-T18</f>
        <v>-0.0510000000000002</v>
      </c>
      <c r="X18" s="0" t="n">
        <f aca="false">AC18-U18</f>
        <v>-0.005</v>
      </c>
      <c r="Y18" s="385" t="n">
        <f aca="false">I18-B18</f>
        <v>-0.005</v>
      </c>
      <c r="AA18" s="367" t="n">
        <v>37377</v>
      </c>
      <c r="AB18" s="0" t="n">
        <v>3.125</v>
      </c>
      <c r="AC18" s="0" t="n">
        <v>0.47</v>
      </c>
      <c r="AI18" s="367" t="n">
        <v>37347</v>
      </c>
      <c r="AJ18" s="0" t="n">
        <v>-100.90525693</v>
      </c>
      <c r="AL18" s="367" t="n">
        <v>37347</v>
      </c>
      <c r="AM18" s="0" t="n">
        <v>-66.77553763</v>
      </c>
      <c r="AO18" s="367" t="n">
        <v>37171</v>
      </c>
      <c r="AP18" s="0" t="n">
        <v>-11.403134149372</v>
      </c>
    </row>
    <row r="19" customFormat="false" ht="12.75" hidden="false" customHeight="false" outlineLevel="0" collapsed="false">
      <c r="A19" s="367" t="n">
        <v>37408</v>
      </c>
      <c r="B19" s="0" t="n">
        <v>-0.475</v>
      </c>
      <c r="C19" s="367" t="n">
        <v>37408</v>
      </c>
      <c r="D19" s="0" t="n">
        <v>1.57395768368057</v>
      </c>
      <c r="F19" s="385" t="n">
        <f aca="false">(B19+T19)*D19/1.055056</f>
        <v>4.09654823951226</v>
      </c>
      <c r="G19" s="0" t="n">
        <f aca="false">K19-D19</f>
        <v>0.000768120078110224</v>
      </c>
      <c r="H19" s="367" t="n">
        <v>37408</v>
      </c>
      <c r="I19" s="0" t="n">
        <v>-0.48</v>
      </c>
      <c r="J19" s="367" t="n">
        <v>37408</v>
      </c>
      <c r="K19" s="0" t="n">
        <v>1.57472580375868</v>
      </c>
      <c r="L19" s="385" t="n">
        <f aca="false">IF(H19="",F19,(I19+AB19)*K19/1.055056)</f>
        <v>4.0075017658703</v>
      </c>
      <c r="M19" s="381"/>
      <c r="O19" s="372"/>
      <c r="S19" s="367" t="n">
        <v>37408</v>
      </c>
      <c r="T19" s="0" t="n">
        <v>3.221</v>
      </c>
      <c r="U19" s="0" t="n">
        <v>0.4625</v>
      </c>
      <c r="W19" s="0" t="n">
        <f aca="false">AB19-T19</f>
        <v>-0.0560000000000001</v>
      </c>
      <c r="X19" s="0" t="n">
        <f aca="false">AC19-U19</f>
        <v>-0.005</v>
      </c>
      <c r="Y19" s="385" t="n">
        <f aca="false">I19-B19</f>
        <v>-0.005</v>
      </c>
      <c r="AA19" s="367" t="n">
        <v>37408</v>
      </c>
      <c r="AB19" s="0" t="n">
        <v>3.165</v>
      </c>
      <c r="AC19" s="0" t="n">
        <v>0.4575</v>
      </c>
      <c r="AI19" s="367" t="n">
        <v>37377</v>
      </c>
      <c r="AJ19" s="0" t="n">
        <v>-104.06365207</v>
      </c>
      <c r="AL19" s="367" t="n">
        <v>37377</v>
      </c>
      <c r="AM19" s="0" t="n">
        <v>-68.86565213</v>
      </c>
      <c r="AO19" s="367" t="n">
        <v>37172</v>
      </c>
      <c r="AP19" s="0" t="n">
        <v>-11.403134149372</v>
      </c>
    </row>
    <row r="20" customFormat="false" ht="12.75" hidden="false" customHeight="false" outlineLevel="0" collapsed="false">
      <c r="A20" s="367" t="n">
        <v>37438</v>
      </c>
      <c r="B20" s="0" t="n">
        <v>-0.475</v>
      </c>
      <c r="C20" s="367" t="n">
        <v>37438</v>
      </c>
      <c r="D20" s="0" t="n">
        <v>1.57401522293999</v>
      </c>
      <c r="F20" s="385" t="n">
        <f aca="false">(B20+T20)*D20/1.055056</f>
        <v>4.15637313195775</v>
      </c>
      <c r="G20" s="0" t="n">
        <f aca="false">K20-D20</f>
        <v>0.000814598210350015</v>
      </c>
      <c r="H20" s="367" t="n">
        <v>37438</v>
      </c>
      <c r="I20" s="0" t="n">
        <v>-0.48</v>
      </c>
      <c r="J20" s="367" t="n">
        <v>37438</v>
      </c>
      <c r="K20" s="0" t="n">
        <v>1.57482982115034</v>
      </c>
      <c r="L20" s="385" t="n">
        <f aca="false">IF(H20="",F20,(I20+AB20)*K20/1.055056)</f>
        <v>4.06000924456041</v>
      </c>
      <c r="M20" s="381"/>
      <c r="O20" s="372"/>
      <c r="S20" s="367" t="n">
        <v>37438</v>
      </c>
      <c r="T20" s="0" t="n">
        <v>3.261</v>
      </c>
      <c r="U20" s="0" t="n">
        <v>0.4625</v>
      </c>
      <c r="W20" s="0" t="n">
        <f aca="false">AB20-T20</f>
        <v>-0.0609999999999999</v>
      </c>
      <c r="X20" s="0" t="n">
        <f aca="false">AC20-U20</f>
        <v>-0.005</v>
      </c>
      <c r="Y20" s="385" t="n">
        <f aca="false">I20-B20</f>
        <v>-0.005</v>
      </c>
      <c r="AA20" s="367" t="n">
        <v>37438</v>
      </c>
      <c r="AB20" s="0" t="n">
        <v>3.2</v>
      </c>
      <c r="AC20" s="0" t="n">
        <v>0.4575</v>
      </c>
      <c r="AI20" s="367" t="n">
        <v>37408</v>
      </c>
      <c r="AJ20" s="0" t="n">
        <v>-100.50429989</v>
      </c>
      <c r="AL20" s="367" t="n">
        <v>37408</v>
      </c>
      <c r="AM20" s="0" t="n">
        <v>-66.51019848</v>
      </c>
      <c r="AO20" s="367" t="n">
        <v>37173</v>
      </c>
      <c r="AP20" s="0" t="n">
        <v>-11.403134149372</v>
      </c>
    </row>
    <row r="21" customFormat="false" ht="12.75" hidden="false" customHeight="false" outlineLevel="0" collapsed="false">
      <c r="A21" s="367" t="n">
        <v>37469</v>
      </c>
      <c r="B21" s="0" t="n">
        <v>-0.475</v>
      </c>
      <c r="C21" s="367" t="n">
        <v>37469</v>
      </c>
      <c r="D21" s="0" t="n">
        <v>1.57404170849875</v>
      </c>
      <c r="F21" s="385" t="n">
        <f aca="false">(B21+T21)*D21/1.055056</f>
        <v>4.21611920904432</v>
      </c>
      <c r="G21" s="0" t="n">
        <f aca="false">K21-D21</f>
        <v>0.000843319279539845</v>
      </c>
      <c r="H21" s="367" t="n">
        <v>37469</v>
      </c>
      <c r="I21" s="0" t="n">
        <v>-0.48</v>
      </c>
      <c r="J21" s="367" t="n">
        <v>37469</v>
      </c>
      <c r="K21" s="0" t="n">
        <v>1.57488502777829</v>
      </c>
      <c r="L21" s="385" t="n">
        <f aca="false">IF(H21="",F21,(I21+AB21)*K21/1.055056)</f>
        <v>4.11239616809836</v>
      </c>
      <c r="M21" s="381"/>
      <c r="O21" s="372"/>
      <c r="S21" s="367" t="n">
        <v>37469</v>
      </c>
      <c r="T21" s="0" t="n">
        <v>3.301</v>
      </c>
      <c r="U21" s="0" t="n">
        <v>0.4625</v>
      </c>
      <c r="W21" s="0" t="n">
        <f aca="false">AB21-T21</f>
        <v>-0.0660000000000003</v>
      </c>
      <c r="X21" s="0" t="n">
        <f aca="false">AC21-U21</f>
        <v>-0.005</v>
      </c>
      <c r="Y21" s="385" t="n">
        <f aca="false">I21-B21</f>
        <v>-0.005</v>
      </c>
      <c r="AA21" s="367" t="n">
        <v>37469</v>
      </c>
      <c r="AB21" s="0" t="n">
        <v>3.235</v>
      </c>
      <c r="AC21" s="0" t="n">
        <v>0.4575</v>
      </c>
      <c r="AI21" s="367" t="n">
        <v>37438</v>
      </c>
      <c r="AJ21" s="0" t="n">
        <v>-317.03236051</v>
      </c>
      <c r="AL21" s="367" t="n">
        <v>37438</v>
      </c>
      <c r="AM21" s="0" t="n">
        <v>-68.58873185</v>
      </c>
      <c r="AO21" s="367" t="n">
        <v>37174</v>
      </c>
      <c r="AP21" s="0" t="n">
        <v>-11.403134149372</v>
      </c>
    </row>
    <row r="22" customFormat="false" ht="12.75" hidden="false" customHeight="false" outlineLevel="0" collapsed="false">
      <c r="A22" s="367" t="n">
        <v>37500</v>
      </c>
      <c r="B22" s="0" t="n">
        <v>-0.475</v>
      </c>
      <c r="C22" s="367" t="n">
        <v>37500</v>
      </c>
      <c r="D22" s="0" t="n">
        <v>1.57403260373161</v>
      </c>
      <c r="F22" s="385" t="n">
        <f aca="false">(B22+T22)*D22/1.055056</f>
        <v>4.21609482164504</v>
      </c>
      <c r="G22" s="0" t="n">
        <f aca="false">K22-D22</f>
        <v>0.000869419942870042</v>
      </c>
      <c r="H22" s="367" t="n">
        <v>37500</v>
      </c>
      <c r="I22" s="0" t="n">
        <v>-0.48</v>
      </c>
      <c r="J22" s="367" t="n">
        <v>37500</v>
      </c>
      <c r="K22" s="0" t="n">
        <v>1.57490202367448</v>
      </c>
      <c r="L22" s="385" t="n">
        <f aca="false">IF(H22="",F22,(I22+AB22)*K22/1.055056)</f>
        <v>4.11244054839098</v>
      </c>
      <c r="M22" s="381"/>
      <c r="O22" s="372"/>
      <c r="S22" s="367" t="n">
        <v>37500</v>
      </c>
      <c r="T22" s="0" t="n">
        <v>3.301</v>
      </c>
      <c r="U22" s="0" t="n">
        <v>0.4625</v>
      </c>
      <c r="W22" s="0" t="n">
        <f aca="false">AB22-T22</f>
        <v>-0.0660000000000003</v>
      </c>
      <c r="X22" s="0" t="n">
        <f aca="false">AC22-U22</f>
        <v>-0.005</v>
      </c>
      <c r="Y22" s="385" t="n">
        <f aca="false">I22-B22</f>
        <v>-0.005</v>
      </c>
      <c r="AA22" s="367" t="n">
        <v>37500</v>
      </c>
      <c r="AB22" s="0" t="n">
        <v>3.235</v>
      </c>
      <c r="AC22" s="0" t="n">
        <v>0.4575</v>
      </c>
      <c r="AI22" s="367" t="n">
        <v>37469</v>
      </c>
      <c r="AJ22" s="0" t="n">
        <v>-316.33235584</v>
      </c>
      <c r="AL22" s="367" t="n">
        <v>37469</v>
      </c>
      <c r="AM22" s="0" t="n">
        <v>-68.43728851</v>
      </c>
      <c r="AO22" s="367" t="n">
        <v>37175</v>
      </c>
      <c r="AP22" s="0" t="n">
        <v>-11.403134149372</v>
      </c>
    </row>
    <row r="23" customFormat="false" ht="12.75" hidden="false" customHeight="false" outlineLevel="0" collapsed="false">
      <c r="A23" s="367" t="n">
        <v>37530</v>
      </c>
      <c r="B23" s="0" t="n">
        <v>-0.475</v>
      </c>
      <c r="C23" s="367" t="n">
        <v>37530</v>
      </c>
      <c r="D23" s="0" t="n">
        <v>1.57403671664563</v>
      </c>
      <c r="F23" s="385" t="n">
        <f aca="false">(B23+T23)*D23/1.055056</f>
        <v>4.26086280040104</v>
      </c>
      <c r="G23" s="0" t="n">
        <f aca="false">K23-D23</f>
        <v>0.000898956029170117</v>
      </c>
      <c r="H23" s="367" t="n">
        <v>37530</v>
      </c>
      <c r="I23" s="0" t="n">
        <v>-0.48</v>
      </c>
      <c r="J23" s="367" t="n">
        <v>37530</v>
      </c>
      <c r="K23" s="0" t="n">
        <v>1.5749356726748</v>
      </c>
      <c r="L23" s="385" t="n">
        <f aca="false">IF(H23="",F23,(I23+AB23)*K23/1.055056)</f>
        <v>4.15731093742827</v>
      </c>
      <c r="M23" s="381"/>
      <c r="O23" s="372"/>
      <c r="S23" s="367" t="n">
        <v>37530</v>
      </c>
      <c r="T23" s="0" t="n">
        <v>3.331</v>
      </c>
      <c r="U23" s="0" t="n">
        <v>0.4625</v>
      </c>
      <c r="W23" s="0" t="n">
        <f aca="false">AB23-T23</f>
        <v>-0.0659999999999998</v>
      </c>
      <c r="X23" s="0" t="n">
        <f aca="false">AC23-U23</f>
        <v>-0.005</v>
      </c>
      <c r="Y23" s="385" t="n">
        <f aca="false">I23-B23</f>
        <v>-0.005</v>
      </c>
      <c r="AA23" s="367" t="n">
        <v>37530</v>
      </c>
      <c r="AB23" s="0" t="n">
        <v>3.265</v>
      </c>
      <c r="AC23" s="0" t="n">
        <v>0.4575</v>
      </c>
      <c r="AI23" s="367" t="n">
        <v>37500</v>
      </c>
      <c r="AJ23" s="0" t="n">
        <v>-305.44349646</v>
      </c>
      <c r="AL23" s="367" t="n">
        <v>37500</v>
      </c>
      <c r="AM23" s="0" t="n">
        <v>-66.08152569</v>
      </c>
      <c r="AO23" s="367" t="n">
        <v>37176</v>
      </c>
      <c r="AP23" s="0" t="n">
        <v>-11.403134149372</v>
      </c>
    </row>
    <row r="24" customFormat="false" ht="12.75" hidden="false" customHeight="false" outlineLevel="0" collapsed="false">
      <c r="A24" s="367" t="n">
        <v>37561</v>
      </c>
      <c r="B24" s="0" t="n">
        <v>-0.4</v>
      </c>
      <c r="C24" s="367" t="n">
        <v>37561</v>
      </c>
      <c r="D24" s="0" t="n">
        <v>1.57402812948233</v>
      </c>
      <c r="F24" s="385" t="n">
        <f aca="false">(B24+T24)*D24/1.055056</f>
        <v>4.63381220539205</v>
      </c>
      <c r="G24" s="0" t="n">
        <f aca="false">K24-D24</f>
        <v>0.000939949122829908</v>
      </c>
      <c r="H24" s="367" t="n">
        <v>37561</v>
      </c>
      <c r="I24" s="0" t="n">
        <v>-0.405</v>
      </c>
      <c r="J24" s="367" t="n">
        <v>37561</v>
      </c>
      <c r="K24" s="0" t="n">
        <v>1.57496807860516</v>
      </c>
      <c r="L24" s="385" t="n">
        <f aca="false">IF(H24="",F24,(I24+AB24)*K24/1.055056)</f>
        <v>4.52014238297913</v>
      </c>
      <c r="M24" s="381"/>
      <c r="O24" s="372"/>
      <c r="S24" s="367" t="n">
        <v>37561</v>
      </c>
      <c r="T24" s="0" t="n">
        <v>3.506</v>
      </c>
      <c r="U24" s="0" t="n">
        <v>0.46</v>
      </c>
      <c r="W24" s="0" t="n">
        <f aca="false">AB24-T24</f>
        <v>-0.073</v>
      </c>
      <c r="X24" s="0" t="n">
        <f aca="false">AC24-U24</f>
        <v>-0.005</v>
      </c>
      <c r="Y24" s="385" t="n">
        <f aca="false">I24-B24</f>
        <v>-0.005</v>
      </c>
      <c r="AA24" s="367" t="n">
        <v>37561</v>
      </c>
      <c r="AB24" s="0" t="n">
        <v>3.433</v>
      </c>
      <c r="AC24" s="0" t="n">
        <v>0.455</v>
      </c>
      <c r="AI24" s="367" t="n">
        <v>37530</v>
      </c>
      <c r="AJ24" s="0" t="n">
        <v>-102.94844159</v>
      </c>
      <c r="AL24" s="367" t="n">
        <v>37530</v>
      </c>
      <c r="AM24" s="0" t="n">
        <v>-68.12764516</v>
      </c>
      <c r="AO24" s="367" t="n">
        <v>37177</v>
      </c>
      <c r="AP24" s="0" t="n">
        <v>-11.403134149372</v>
      </c>
    </row>
    <row r="25" customFormat="false" ht="12.75" hidden="false" customHeight="false" outlineLevel="0" collapsed="false">
      <c r="A25" s="367" t="n">
        <v>37591</v>
      </c>
      <c r="B25" s="0" t="n">
        <v>-0.4</v>
      </c>
      <c r="C25" s="367" t="n">
        <v>37591</v>
      </c>
      <c r="D25" s="0" t="n">
        <v>1.57399647259966</v>
      </c>
      <c r="F25" s="385" t="n">
        <f aca="false">(B25+T25)*D25/1.055056</f>
        <v>4.93209112920497</v>
      </c>
      <c r="G25" s="0" t="n">
        <f aca="false">K25-D25</f>
        <v>0.000980226180169908</v>
      </c>
      <c r="H25" s="367" t="n">
        <v>37591</v>
      </c>
      <c r="I25" s="0" t="n">
        <v>-0.405</v>
      </c>
      <c r="J25" s="367" t="n">
        <v>37591</v>
      </c>
      <c r="K25" s="0" t="n">
        <v>1.57497669877983</v>
      </c>
      <c r="L25" s="385" t="n">
        <f aca="false">IF(H25="",F25,(I25+AB25)*K25/1.055056)</f>
        <v>4.80230437054973</v>
      </c>
      <c r="M25" s="381"/>
      <c r="O25" s="372"/>
      <c r="S25" s="367" t="n">
        <v>37591</v>
      </c>
      <c r="T25" s="0" t="n">
        <v>3.706</v>
      </c>
      <c r="U25" s="0" t="n">
        <v>0.4575</v>
      </c>
      <c r="W25" s="0" t="n">
        <f aca="false">AB25-T25</f>
        <v>-0.0839999999999996</v>
      </c>
      <c r="X25" s="0" t="n">
        <f aca="false">AC25-U25</f>
        <v>-0.005</v>
      </c>
      <c r="Y25" s="385" t="n">
        <f aca="false">I25-B25</f>
        <v>-0.005</v>
      </c>
      <c r="AA25" s="367" t="n">
        <v>37591</v>
      </c>
      <c r="AB25" s="0" t="n">
        <v>3.622</v>
      </c>
      <c r="AC25" s="0" t="n">
        <v>0.4525</v>
      </c>
      <c r="AI25" s="367" t="n">
        <v>37561</v>
      </c>
      <c r="AJ25" s="0" t="n">
        <v>-90.60639904</v>
      </c>
      <c r="AL25" s="367" t="n">
        <v>37561</v>
      </c>
      <c r="AM25" s="0" t="n">
        <v>-211.90206227</v>
      </c>
      <c r="AO25" s="367" t="n">
        <v>37178</v>
      </c>
      <c r="AP25" s="0" t="n">
        <v>-11.403134149372</v>
      </c>
    </row>
    <row r="26" customFormat="false" ht="12.75" hidden="false" customHeight="false" outlineLevel="0" collapsed="false">
      <c r="A26" s="367" t="n">
        <v>37622</v>
      </c>
      <c r="B26" s="0" t="n">
        <v>-0.4</v>
      </c>
      <c r="C26" s="367" t="n">
        <v>37622</v>
      </c>
      <c r="D26" s="0" t="n">
        <v>1.5740107984995</v>
      </c>
      <c r="F26" s="385" t="n">
        <f aca="false">(B26+T26)*D26/1.055056</f>
        <v>5.11862029091516</v>
      </c>
      <c r="G26" s="0" t="n">
        <f aca="false">K26-D26</f>
        <v>0.00103447536141998</v>
      </c>
      <c r="H26" s="367" t="n">
        <v>37622</v>
      </c>
      <c r="I26" s="0" t="n">
        <v>-0.405</v>
      </c>
      <c r="J26" s="367" t="n">
        <v>37622</v>
      </c>
      <c r="K26" s="0" t="n">
        <v>1.57504527386092</v>
      </c>
      <c r="L26" s="385" t="n">
        <f aca="false">IF(H26="",F26,(I26+AB26)*K26/1.055056)</f>
        <v>4.98912029811043</v>
      </c>
      <c r="M26" s="381"/>
      <c r="O26" s="372"/>
      <c r="S26" s="367" t="n">
        <v>37622</v>
      </c>
      <c r="T26" s="0" t="n">
        <v>3.831</v>
      </c>
      <c r="U26" s="0" t="n">
        <v>0.4575</v>
      </c>
      <c r="W26" s="0" t="n">
        <f aca="false">AB26-T26</f>
        <v>-0.0840000000000001</v>
      </c>
      <c r="X26" s="0" t="n">
        <f aca="false">AC26-U26</f>
        <v>-0.005</v>
      </c>
      <c r="Y26" s="385" t="n">
        <f aca="false">I26-B26</f>
        <v>-0.005</v>
      </c>
      <c r="AA26" s="367" t="n">
        <v>37622</v>
      </c>
      <c r="AB26" s="0" t="n">
        <v>3.747</v>
      </c>
      <c r="AC26" s="0" t="n">
        <v>0.4525</v>
      </c>
      <c r="AI26" s="367" t="n">
        <v>37591</v>
      </c>
      <c r="AJ26" s="0" t="n">
        <v>-93.39071722</v>
      </c>
      <c r="AL26" s="367" t="n">
        <v>37591</v>
      </c>
      <c r="AM26" s="0" t="n">
        <v>-218.41377406</v>
      </c>
      <c r="AO26" s="367" t="n">
        <v>37179</v>
      </c>
      <c r="AP26" s="0" t="n">
        <v>-11.403134149372</v>
      </c>
    </row>
    <row r="27" customFormat="false" ht="12.75" hidden="false" customHeight="false" outlineLevel="0" collapsed="false">
      <c r="A27" s="367" t="n">
        <v>37653</v>
      </c>
      <c r="B27" s="0" t="n">
        <v>-0.4</v>
      </c>
      <c r="C27" s="367" t="n">
        <v>37653</v>
      </c>
      <c r="D27" s="0" t="n">
        <v>1.57404968453717</v>
      </c>
      <c r="F27" s="385" t="n">
        <f aca="false">(B27+T27)*D27/1.055056</f>
        <v>4.99342622016832</v>
      </c>
      <c r="G27" s="0" t="n">
        <f aca="false">K27-D27</f>
        <v>0.00109978442010972</v>
      </c>
      <c r="H27" s="367" t="n">
        <v>37653</v>
      </c>
      <c r="I27" s="0" t="n">
        <v>-0.405</v>
      </c>
      <c r="J27" s="367" t="n">
        <v>37653</v>
      </c>
      <c r="K27" s="0" t="n">
        <v>1.57514946895728</v>
      </c>
      <c r="L27" s="385" t="n">
        <f aca="false">IF(H27="",F27,(I27+AB27)*K27/1.055056)</f>
        <v>4.85209863183675</v>
      </c>
      <c r="M27" s="381"/>
      <c r="O27" s="372"/>
      <c r="S27" s="367" t="n">
        <v>37653</v>
      </c>
      <c r="T27" s="0" t="n">
        <v>3.747</v>
      </c>
      <c r="U27" s="0" t="n">
        <v>0.45</v>
      </c>
      <c r="W27" s="0" t="n">
        <f aca="false">AB27-T27</f>
        <v>-0.0920000000000005</v>
      </c>
      <c r="X27" s="0" t="n">
        <f aca="false">AC27-U27</f>
        <v>-0.005</v>
      </c>
      <c r="Y27" s="385" t="n">
        <f aca="false">I27-B27</f>
        <v>-0.005</v>
      </c>
      <c r="AA27" s="367" t="n">
        <v>37653</v>
      </c>
      <c r="AB27" s="0" t="n">
        <v>3.655</v>
      </c>
      <c r="AC27" s="0" t="n">
        <v>0.445</v>
      </c>
      <c r="AI27" s="367" t="n">
        <v>37622</v>
      </c>
      <c r="AJ27" s="0" t="n">
        <v>-371.02064608</v>
      </c>
      <c r="AL27" s="367" t="n">
        <v>37622</v>
      </c>
      <c r="AM27" s="0" t="n">
        <v>-405.56912731</v>
      </c>
      <c r="AO27" s="367" t="n">
        <v>37180</v>
      </c>
      <c r="AP27" s="0" t="n">
        <v>-11.403134149372</v>
      </c>
    </row>
    <row r="28" customFormat="false" ht="12.75" hidden="false" customHeight="false" outlineLevel="0" collapsed="false">
      <c r="A28" s="367" t="n">
        <v>37681</v>
      </c>
      <c r="B28" s="0" t="n">
        <v>-0.4</v>
      </c>
      <c r="C28" s="367" t="n">
        <v>37681</v>
      </c>
      <c r="D28" s="0" t="n">
        <v>1.57407692898406</v>
      </c>
      <c r="F28" s="385" t="n">
        <f aca="false">(B28+T28)*D28/1.055056</f>
        <v>4.85177864782169</v>
      </c>
      <c r="G28" s="0" t="n">
        <f aca="false">K28-D28</f>
        <v>0.00116181742482002</v>
      </c>
      <c r="H28" s="367" t="n">
        <v>37681</v>
      </c>
      <c r="I28" s="0" t="n">
        <v>-0.405</v>
      </c>
      <c r="J28" s="367" t="n">
        <v>37681</v>
      </c>
      <c r="K28" s="0" t="n">
        <v>1.57523874640888</v>
      </c>
      <c r="L28" s="385" t="n">
        <f aca="false">IF(H28="",F28,(I28+AB28)*K28/1.055056)</f>
        <v>4.71053502839661</v>
      </c>
      <c r="M28" s="381"/>
      <c r="O28" s="372"/>
      <c r="S28" s="367" t="n">
        <v>37681</v>
      </c>
      <c r="T28" s="0" t="n">
        <v>3.652</v>
      </c>
      <c r="U28" s="0" t="n">
        <v>0.43</v>
      </c>
      <c r="W28" s="0" t="n">
        <f aca="false">AB28-T28</f>
        <v>-0.0920000000000001</v>
      </c>
      <c r="X28" s="0" t="n">
        <f aca="false">AC28-U28</f>
        <v>-0.005</v>
      </c>
      <c r="Y28" s="385" t="n">
        <f aca="false">I28-B28</f>
        <v>-0.005</v>
      </c>
      <c r="AA28" s="367" t="n">
        <v>37681</v>
      </c>
      <c r="AB28" s="0" t="n">
        <v>3.56</v>
      </c>
      <c r="AC28" s="0" t="n">
        <v>0.425</v>
      </c>
      <c r="AI28" s="367" t="n">
        <v>37653</v>
      </c>
      <c r="AJ28" s="0" t="n">
        <v>-334.11575957</v>
      </c>
      <c r="AL28" s="367" t="n">
        <v>37653</v>
      </c>
      <c r="AM28" s="0" t="n">
        <v>-365.22775341</v>
      </c>
      <c r="AO28" s="367" t="n">
        <v>37181</v>
      </c>
      <c r="AP28" s="0" t="n">
        <v>-11.403134149372</v>
      </c>
    </row>
    <row r="29" customFormat="false" ht="12.75" hidden="false" customHeight="false" outlineLevel="0" collapsed="false">
      <c r="A29" s="367" t="n">
        <v>37712</v>
      </c>
      <c r="B29" s="0" t="n">
        <v>-0.415</v>
      </c>
      <c r="C29" s="367" t="n">
        <v>37712</v>
      </c>
      <c r="D29" s="0" t="n">
        <v>1.57409416102792</v>
      </c>
      <c r="F29" s="385" t="n">
        <f aca="false">(B29+T29)*D29/1.055056</f>
        <v>4.64295831606937</v>
      </c>
      <c r="G29" s="0" t="n">
        <f aca="false">K29-D29</f>
        <v>0.00122413234605023</v>
      </c>
      <c r="H29" s="367" t="n">
        <v>37712</v>
      </c>
      <c r="I29" s="0" t="n">
        <v>-0.42</v>
      </c>
      <c r="J29" s="367" t="n">
        <v>37712</v>
      </c>
      <c r="K29" s="0" t="n">
        <v>1.57531829337397</v>
      </c>
      <c r="L29" s="385" t="n">
        <f aca="false">IF(H29="",F29,(I29+AB29)*K29/1.055056)</f>
        <v>4.50173702108942</v>
      </c>
      <c r="M29" s="381"/>
      <c r="O29" s="372"/>
      <c r="S29" s="367" t="n">
        <v>37712</v>
      </c>
      <c r="T29" s="0" t="n">
        <v>3.527</v>
      </c>
      <c r="U29" s="0" t="n">
        <v>0.3825</v>
      </c>
      <c r="W29" s="0" t="n">
        <f aca="false">AB29-T29</f>
        <v>-0.0920000000000001</v>
      </c>
      <c r="X29" s="0" t="n">
        <f aca="false">AC29-U29</f>
        <v>-0.005</v>
      </c>
      <c r="Y29" s="385" t="n">
        <f aca="false">I29-B29</f>
        <v>-0.005</v>
      </c>
      <c r="AA29" s="367" t="n">
        <v>37712</v>
      </c>
      <c r="AB29" s="0" t="n">
        <v>3.435</v>
      </c>
      <c r="AC29" s="0" t="n">
        <v>0.3775</v>
      </c>
      <c r="AI29" s="367" t="n">
        <v>37681</v>
      </c>
      <c r="AJ29" s="0" t="n">
        <v>-368.88560057</v>
      </c>
      <c r="AL29" s="367" t="n">
        <v>37681</v>
      </c>
      <c r="AM29" s="0" t="n">
        <v>-403.23527187</v>
      </c>
      <c r="AO29" s="367" t="n">
        <v>37182</v>
      </c>
      <c r="AP29" s="0" t="n">
        <v>-11.403134149372</v>
      </c>
    </row>
    <row r="30" customFormat="false" ht="12.75" hidden="false" customHeight="false" outlineLevel="0" collapsed="false">
      <c r="A30" s="367" t="n">
        <v>37742</v>
      </c>
      <c r="B30" s="0" t="n">
        <v>-0.415</v>
      </c>
      <c r="C30" s="367" t="n">
        <v>37742</v>
      </c>
      <c r="D30" s="0" t="n">
        <v>1.57411656269848</v>
      </c>
      <c r="F30" s="385" t="n">
        <f aca="false">(B30+T30)*D30/1.055056</f>
        <v>4.64153241776263</v>
      </c>
      <c r="G30" s="0" t="n">
        <f aca="false">K30-D30</f>
        <v>0.00127384777736994</v>
      </c>
      <c r="H30" s="367" t="n">
        <v>37742</v>
      </c>
      <c r="I30" s="0" t="n">
        <v>-0.42</v>
      </c>
      <c r="J30" s="367" t="n">
        <v>37742</v>
      </c>
      <c r="K30" s="0" t="n">
        <v>1.57539041047585</v>
      </c>
      <c r="L30" s="385" t="n">
        <f aca="false">IF(H30="",F30,(I30+AB30)*K30/1.055056)</f>
        <v>4.50194310783948</v>
      </c>
      <c r="M30" s="381"/>
      <c r="O30" s="372"/>
      <c r="S30" s="367" t="n">
        <v>37742</v>
      </c>
      <c r="T30" s="0" t="n">
        <v>3.526</v>
      </c>
      <c r="U30" s="0" t="n">
        <v>0.365</v>
      </c>
      <c r="W30" s="0" t="n">
        <f aca="false">AB30-T30</f>
        <v>-0.0910000000000002</v>
      </c>
      <c r="X30" s="0" t="n">
        <f aca="false">AC30-U30</f>
        <v>-0.005</v>
      </c>
      <c r="Y30" s="385" t="n">
        <f aca="false">I30-B30</f>
        <v>-0.005</v>
      </c>
      <c r="AA30" s="367" t="n">
        <v>37742</v>
      </c>
      <c r="AB30" s="0" t="n">
        <v>3.435</v>
      </c>
      <c r="AC30" s="0" t="n">
        <v>0.36</v>
      </c>
      <c r="AI30" s="367" t="n">
        <v>37712</v>
      </c>
      <c r="AJ30" s="0" t="n">
        <v>-355.85398974</v>
      </c>
      <c r="AL30" s="367" t="n">
        <v>37712</v>
      </c>
      <c r="AM30" s="0" t="n">
        <v>-345.76905885</v>
      </c>
      <c r="AO30" s="367" t="n">
        <v>37183</v>
      </c>
      <c r="AP30" s="0" t="n">
        <v>-9.981434149372</v>
      </c>
    </row>
    <row r="31" customFormat="false" ht="12.75" hidden="false" customHeight="false" outlineLevel="0" collapsed="false">
      <c r="A31" s="367" t="n">
        <v>37773</v>
      </c>
      <c r="B31" s="0" t="n">
        <v>-0.415</v>
      </c>
      <c r="C31" s="367" t="n">
        <v>37773</v>
      </c>
      <c r="D31" s="0" t="n">
        <v>1.57413191468929</v>
      </c>
      <c r="F31" s="385" t="n">
        <f aca="false">(B31+T31)*D31/1.055056</f>
        <v>4.6714174649423</v>
      </c>
      <c r="G31" s="0" t="n">
        <f aca="false">K31-D31</f>
        <v>0.00132610867620997</v>
      </c>
      <c r="H31" s="367" t="n">
        <v>37773</v>
      </c>
      <c r="I31" s="0" t="n">
        <v>-0.42</v>
      </c>
      <c r="J31" s="367" t="n">
        <v>37773</v>
      </c>
      <c r="K31" s="0" t="n">
        <v>1.5754580233655</v>
      </c>
      <c r="L31" s="385" t="n">
        <f aca="false">IF(H31="",F31,(I31+AB31)*K31/1.055056)</f>
        <v>4.5320012406112</v>
      </c>
      <c r="M31" s="381"/>
      <c r="O31" s="372"/>
      <c r="S31" s="367" t="n">
        <v>37773</v>
      </c>
      <c r="T31" s="0" t="n">
        <v>3.546</v>
      </c>
      <c r="U31" s="0" t="n">
        <v>0.36</v>
      </c>
      <c r="W31" s="0" t="n">
        <f aca="false">AB31-T31</f>
        <v>-0.0910000000000002</v>
      </c>
      <c r="X31" s="0" t="n">
        <f aca="false">AC31-U31</f>
        <v>-0.005</v>
      </c>
      <c r="Y31" s="385" t="n">
        <f aca="false">I31-B31</f>
        <v>-0.005</v>
      </c>
      <c r="AA31" s="367" t="n">
        <v>37773</v>
      </c>
      <c r="AB31" s="0" t="n">
        <v>3.455</v>
      </c>
      <c r="AC31" s="0" t="n">
        <v>0.355</v>
      </c>
      <c r="AI31" s="367" t="n">
        <v>37742</v>
      </c>
      <c r="AJ31" s="0" t="n">
        <v>-366.55265518</v>
      </c>
      <c r="AL31" s="367" t="n">
        <v>37742</v>
      </c>
      <c r="AM31" s="0" t="n">
        <v>-356.16452328</v>
      </c>
      <c r="AO31" s="367" t="n">
        <v>37184</v>
      </c>
      <c r="AP31" s="0" t="n">
        <v>-6.664134149372</v>
      </c>
    </row>
    <row r="32" customFormat="false" ht="12.75" hidden="false" customHeight="false" outlineLevel="0" collapsed="false">
      <c r="A32" s="367" t="n">
        <v>37803</v>
      </c>
      <c r="B32" s="0" t="n">
        <v>-0.415</v>
      </c>
      <c r="C32" s="367" t="n">
        <v>37803</v>
      </c>
      <c r="D32" s="0" t="n">
        <v>1.5741329153275</v>
      </c>
      <c r="F32" s="385" t="n">
        <f aca="false">(B32+T32)*D32/1.055056</f>
        <v>4.70872018241078</v>
      </c>
      <c r="G32" s="0" t="n">
        <f aca="false">K32-D32</f>
        <v>0.00136625386864009</v>
      </c>
      <c r="H32" s="367" t="n">
        <v>37803</v>
      </c>
      <c r="I32" s="0" t="n">
        <v>-0.42</v>
      </c>
      <c r="J32" s="367" t="n">
        <v>37803</v>
      </c>
      <c r="K32" s="0" t="n">
        <v>1.57549916919614</v>
      </c>
      <c r="L32" s="385" t="n">
        <f aca="false">IF(H32="",F32,(I32+AB32)*K32/1.055056)</f>
        <v>4.56945172364328</v>
      </c>
      <c r="M32" s="381"/>
      <c r="O32" s="372"/>
      <c r="S32" s="367" t="n">
        <v>37803</v>
      </c>
      <c r="T32" s="0" t="n">
        <v>3.571</v>
      </c>
      <c r="U32" s="0" t="n">
        <v>0.36</v>
      </c>
      <c r="W32" s="0" t="n">
        <f aca="false">AB32-T32</f>
        <v>-0.0910000000000002</v>
      </c>
      <c r="X32" s="0" t="n">
        <f aca="false">AC32-U32</f>
        <v>-0.005</v>
      </c>
      <c r="Y32" s="385" t="n">
        <f aca="false">I32-B32</f>
        <v>-0.005</v>
      </c>
      <c r="AA32" s="367" t="n">
        <v>37803</v>
      </c>
      <c r="AB32" s="0" t="n">
        <v>3.48</v>
      </c>
      <c r="AC32" s="0" t="n">
        <v>0.355</v>
      </c>
      <c r="AI32" s="367" t="n">
        <v>37773</v>
      </c>
      <c r="AJ32" s="0" t="n">
        <v>-353.53452243</v>
      </c>
      <c r="AL32" s="367" t="n">
        <v>37773</v>
      </c>
      <c r="AM32" s="0" t="n">
        <v>-343.51532546</v>
      </c>
      <c r="AO32" s="367" t="n">
        <v>37185</v>
      </c>
      <c r="AP32" s="0" t="n">
        <v>-6.664134149372</v>
      </c>
    </row>
    <row r="33" customFormat="false" ht="12.75" hidden="false" customHeight="false" outlineLevel="0" collapsed="false">
      <c r="A33" s="367" t="n">
        <v>37834</v>
      </c>
      <c r="B33" s="0" t="n">
        <v>-0.415</v>
      </c>
      <c r="C33" s="367" t="n">
        <v>37834</v>
      </c>
      <c r="D33" s="0" t="n">
        <v>1.57411599946731</v>
      </c>
      <c r="F33" s="385" t="n">
        <f aca="false">(B33+T33)*D33/1.055056</f>
        <v>4.75641274614976</v>
      </c>
      <c r="G33" s="0" t="n">
        <f aca="false">K33-D33</f>
        <v>0.00139050249133987</v>
      </c>
      <c r="H33" s="367" t="n">
        <v>37834</v>
      </c>
      <c r="I33" s="0" t="n">
        <v>-0.42</v>
      </c>
      <c r="J33" s="367" t="n">
        <v>37834</v>
      </c>
      <c r="K33" s="0" t="n">
        <v>1.57550650195865</v>
      </c>
      <c r="L33" s="385" t="n">
        <f aca="false">IF(H33="",F33,(I33+AB33)*K33/1.055056)</f>
        <v>4.61725832946891</v>
      </c>
      <c r="M33" s="381"/>
      <c r="O33" s="372"/>
      <c r="S33" s="367" t="n">
        <v>37834</v>
      </c>
      <c r="T33" s="0" t="n">
        <v>3.603</v>
      </c>
      <c r="U33" s="0" t="n">
        <v>0.36</v>
      </c>
      <c r="W33" s="0" t="n">
        <f aca="false">AB33-T33</f>
        <v>-0.0910000000000002</v>
      </c>
      <c r="X33" s="0" t="n">
        <f aca="false">AC33-U33</f>
        <v>-0.005</v>
      </c>
      <c r="Y33" s="385" t="n">
        <f aca="false">I33-B33</f>
        <v>-0.005</v>
      </c>
      <c r="AA33" s="367" t="n">
        <v>37834</v>
      </c>
      <c r="AB33" s="0" t="n">
        <v>3.512</v>
      </c>
      <c r="AC33" s="0" t="n">
        <v>0.355</v>
      </c>
      <c r="AI33" s="367" t="n">
        <v>37803</v>
      </c>
      <c r="AJ33" s="0" t="n">
        <v>-364.09477695</v>
      </c>
      <c r="AL33" s="367" t="n">
        <v>37803</v>
      </c>
      <c r="AM33" s="0" t="n">
        <v>-353.7763015</v>
      </c>
      <c r="AO33" s="367" t="n">
        <v>37186</v>
      </c>
      <c r="AP33" s="0" t="n">
        <v>-6.664134149372</v>
      </c>
    </row>
    <row r="34" customFormat="false" ht="12.75" hidden="false" customHeight="false" outlineLevel="0" collapsed="false">
      <c r="A34" s="367" t="n">
        <v>37865</v>
      </c>
      <c r="B34" s="0" t="n">
        <v>-0.415</v>
      </c>
      <c r="C34" s="367" t="n">
        <v>37865</v>
      </c>
      <c r="D34" s="0" t="n">
        <v>1.57408961934222</v>
      </c>
      <c r="F34" s="385" t="n">
        <f aca="false">(B34+T34)*D34/1.055056</f>
        <v>4.75633303489388</v>
      </c>
      <c r="G34" s="0" t="n">
        <f aca="false">K34-D34</f>
        <v>0.00141285476987019</v>
      </c>
      <c r="H34" s="367" t="n">
        <v>37865</v>
      </c>
      <c r="I34" s="0" t="n">
        <v>-0.42</v>
      </c>
      <c r="J34" s="367" t="n">
        <v>37865</v>
      </c>
      <c r="K34" s="0" t="n">
        <v>1.57550247411209</v>
      </c>
      <c r="L34" s="385" t="n">
        <f aca="false">IF(H34="",F34,(I34+AB34)*K34/1.055056)</f>
        <v>4.62471296530719</v>
      </c>
      <c r="M34" s="381"/>
      <c r="O34" s="372"/>
      <c r="S34" s="367" t="n">
        <v>37865</v>
      </c>
      <c r="T34" s="0" t="n">
        <v>3.603</v>
      </c>
      <c r="U34" s="0" t="n">
        <v>0.36</v>
      </c>
      <c r="W34" s="0" t="n">
        <f aca="false">AB34-T34</f>
        <v>-0.0859999999999999</v>
      </c>
      <c r="X34" s="0" t="n">
        <f aca="false">AC34-U34</f>
        <v>-0.005</v>
      </c>
      <c r="Y34" s="385" t="n">
        <f aca="false">I34-B34</f>
        <v>-0.005</v>
      </c>
      <c r="AA34" s="367" t="n">
        <v>37865</v>
      </c>
      <c r="AB34" s="0" t="n">
        <v>3.517</v>
      </c>
      <c r="AC34" s="0" t="n">
        <v>0.355</v>
      </c>
      <c r="AI34" s="367" t="n">
        <v>37834</v>
      </c>
      <c r="AJ34" s="0" t="n">
        <v>-362.79871715</v>
      </c>
      <c r="AL34" s="367" t="n">
        <v>37834</v>
      </c>
      <c r="AM34" s="0" t="n">
        <v>-352.51697211</v>
      </c>
      <c r="AO34" s="367" t="n">
        <v>37187</v>
      </c>
      <c r="AP34" s="0" t="n">
        <v>-7.848884149372</v>
      </c>
    </row>
    <row r="35" customFormat="false" ht="12.75" hidden="false" customHeight="false" outlineLevel="0" collapsed="false">
      <c r="A35" s="367" t="n">
        <v>37895</v>
      </c>
      <c r="B35" s="0" t="n">
        <v>-0.415</v>
      </c>
      <c r="C35" s="367" t="n">
        <v>37895</v>
      </c>
      <c r="D35" s="0" t="n">
        <v>1.57408146417529</v>
      </c>
      <c r="F35" s="385" t="n">
        <f aca="false">(B35+T35)*D35/1.055056</f>
        <v>4.77868751019231</v>
      </c>
      <c r="G35" s="0" t="n">
        <f aca="false">K35-D35</f>
        <v>0.00142095460864011</v>
      </c>
      <c r="H35" s="367" t="n">
        <v>37895</v>
      </c>
      <c r="I35" s="0" t="n">
        <v>-0.42</v>
      </c>
      <c r="J35" s="367" t="n">
        <v>37895</v>
      </c>
      <c r="K35" s="0" t="n">
        <v>1.57550241878393</v>
      </c>
      <c r="L35" s="385" t="n">
        <f aca="false">IF(H35="",F35,(I35+AB35)*K35/1.055056)</f>
        <v>4.65457856203795</v>
      </c>
      <c r="M35" s="381"/>
      <c r="O35" s="372"/>
      <c r="S35" s="367" t="n">
        <v>37895</v>
      </c>
      <c r="T35" s="0" t="n">
        <v>3.618</v>
      </c>
      <c r="U35" s="0" t="n">
        <v>0.36</v>
      </c>
      <c r="W35" s="0" t="n">
        <f aca="false">AB35-T35</f>
        <v>-0.081</v>
      </c>
      <c r="X35" s="0" t="n">
        <f aca="false">AC35-U35</f>
        <v>-0.005</v>
      </c>
      <c r="Y35" s="385" t="n">
        <f aca="false">I35-B35</f>
        <v>-0.005</v>
      </c>
      <c r="AA35" s="367" t="n">
        <v>37895</v>
      </c>
      <c r="AB35" s="0" t="n">
        <v>3.537</v>
      </c>
      <c r="AC35" s="0" t="n">
        <v>0.355</v>
      </c>
      <c r="AI35" s="367" t="n">
        <v>37865</v>
      </c>
      <c r="AJ35" s="0" t="n">
        <v>-349.81113524</v>
      </c>
      <c r="AL35" s="367" t="n">
        <v>37865</v>
      </c>
      <c r="AM35" s="0" t="n">
        <v>-339.89745933</v>
      </c>
      <c r="AO35" s="367" t="n">
        <v>37188</v>
      </c>
      <c r="AP35" s="0" t="n">
        <v>-7.848884149372</v>
      </c>
    </row>
    <row r="36" customFormat="false" ht="12.75" hidden="false" customHeight="false" outlineLevel="0" collapsed="false">
      <c r="A36" s="367" t="n">
        <v>37926</v>
      </c>
      <c r="B36" s="0" t="n">
        <v>-0.395</v>
      </c>
      <c r="C36" s="367" t="n">
        <v>37926</v>
      </c>
      <c r="D36" s="0" t="n">
        <v>1.5740127800215</v>
      </c>
      <c r="F36" s="385" t="n">
        <f aca="false">(B36+T36)*D36/1.055056</f>
        <v>5.05149231240124</v>
      </c>
      <c r="G36" s="0" t="n">
        <f aca="false">K36-D36</f>
        <v>0.00146178065869984</v>
      </c>
      <c r="H36" s="367" t="n">
        <v>37926</v>
      </c>
      <c r="I36" s="0" t="n">
        <v>-0.395</v>
      </c>
      <c r="J36" s="367" t="n">
        <v>37926</v>
      </c>
      <c r="K36" s="0" t="n">
        <v>1.5754745606802</v>
      </c>
      <c r="L36" s="385" t="n">
        <f aca="false">IF(H36="",F36,(I36+AB36)*K36/1.055056)</f>
        <v>4.94269573923229</v>
      </c>
      <c r="M36" s="381"/>
      <c r="O36" s="372"/>
      <c r="S36" s="367" t="n">
        <v>37926</v>
      </c>
      <c r="T36" s="0" t="n">
        <v>3.781</v>
      </c>
      <c r="U36" s="0" t="n">
        <v>0.36</v>
      </c>
      <c r="W36" s="0" t="n">
        <f aca="false">AB36-T36</f>
        <v>-0.0760000000000001</v>
      </c>
      <c r="X36" s="0" t="n">
        <f aca="false">AC36-U36</f>
        <v>-0.0025</v>
      </c>
      <c r="Y36" s="385" t="n">
        <f aca="false">I36-B36</f>
        <v>0</v>
      </c>
      <c r="AA36" s="367" t="n">
        <v>37926</v>
      </c>
      <c r="AB36" s="0" t="n">
        <v>3.705</v>
      </c>
      <c r="AC36" s="0" t="n">
        <v>0.3575</v>
      </c>
      <c r="AI36" s="367" t="n">
        <v>37895</v>
      </c>
      <c r="AJ36" s="0" t="n">
        <v>-360.15781757</v>
      </c>
      <c r="AL36" s="367" t="n">
        <v>37895</v>
      </c>
      <c r="AM36" s="0" t="n">
        <v>-349.95091587</v>
      </c>
      <c r="AO36" s="367" t="n">
        <v>37189</v>
      </c>
      <c r="AP36" s="0" t="n">
        <v>-7.848884149372</v>
      </c>
    </row>
    <row r="37" customFormat="false" ht="12.75" hidden="false" customHeight="false" outlineLevel="0" collapsed="false">
      <c r="A37" s="367" t="n">
        <v>37956</v>
      </c>
      <c r="B37" s="0" t="n">
        <v>-0.395</v>
      </c>
      <c r="C37" s="367" t="n">
        <v>37956</v>
      </c>
      <c r="D37" s="0" t="n">
        <v>1.57368138563158</v>
      </c>
      <c r="F37" s="385" t="n">
        <f aca="false">(B37+T37)*D37/1.055056</f>
        <v>5.26968837240523</v>
      </c>
      <c r="G37" s="0" t="n">
        <f aca="false">K37-D37</f>
        <v>0.0015611596859102</v>
      </c>
      <c r="H37" s="367" t="n">
        <v>37956</v>
      </c>
      <c r="I37" s="0" t="n">
        <v>-0.395</v>
      </c>
      <c r="J37" s="367" t="n">
        <v>37956</v>
      </c>
      <c r="K37" s="0" t="n">
        <v>1.57524254531749</v>
      </c>
      <c r="L37" s="385" t="n">
        <f aca="false">IF(H37="",F37,(I37+AB37)*K37/1.055056)</f>
        <v>5.16891017338336</v>
      </c>
      <c r="M37" s="381"/>
      <c r="O37" s="372"/>
      <c r="S37" s="367" t="n">
        <v>37956</v>
      </c>
      <c r="T37" s="0" t="n">
        <v>3.928</v>
      </c>
      <c r="U37" s="0" t="n">
        <v>0.36</v>
      </c>
      <c r="W37" s="0" t="n">
        <f aca="false">AB37-T37</f>
        <v>-0.0710000000000002</v>
      </c>
      <c r="X37" s="0" t="n">
        <f aca="false">AC37-U37</f>
        <v>-0.0025</v>
      </c>
      <c r="Y37" s="385" t="n">
        <f aca="false">I37-B37</f>
        <v>0</v>
      </c>
      <c r="AA37" s="367" t="n">
        <v>37956</v>
      </c>
      <c r="AB37" s="0" t="n">
        <v>3.857</v>
      </c>
      <c r="AC37" s="0" t="n">
        <v>0.3575</v>
      </c>
      <c r="AI37" s="367" t="n">
        <v>37926</v>
      </c>
      <c r="AJ37" s="0" t="n">
        <v>-347.21657543</v>
      </c>
      <c r="AL37" s="367" t="n">
        <v>37926</v>
      </c>
      <c r="AM37" s="0" t="n">
        <v>-421.72053694</v>
      </c>
      <c r="AO37" s="367" t="n">
        <v>37190</v>
      </c>
      <c r="AP37" s="0" t="n">
        <v>-7.848884149372</v>
      </c>
    </row>
    <row r="38" customFormat="false" ht="12.75" hidden="false" customHeight="false" outlineLevel="0" collapsed="false">
      <c r="A38" s="367" t="n">
        <v>37987</v>
      </c>
      <c r="B38" s="0" t="n">
        <v>-0.395</v>
      </c>
      <c r="C38" s="367" t="n">
        <v>37987</v>
      </c>
      <c r="D38" s="0" t="n">
        <v>1.57332452665351</v>
      </c>
      <c r="F38" s="385" t="n">
        <f aca="false">(B38+T38)*D38/1.055056</f>
        <v>5.32814232963273</v>
      </c>
      <c r="G38" s="0" t="n">
        <f aca="false">K38-D38</f>
        <v>0.00166165361996007</v>
      </c>
      <c r="H38" s="367" t="n">
        <v>37987</v>
      </c>
      <c r="I38" s="0" t="n">
        <v>-0.395</v>
      </c>
      <c r="J38" s="367" t="n">
        <v>37987</v>
      </c>
      <c r="K38" s="0" t="n">
        <v>1.57498618027347</v>
      </c>
      <c r="L38" s="385" t="n">
        <f aca="false">IF(H38="",F38,(I38+AB38)*K38/1.055056)</f>
        <v>5.24270888476102</v>
      </c>
      <c r="M38" s="381"/>
      <c r="O38" s="372"/>
      <c r="S38" s="367" t="n">
        <v>37987</v>
      </c>
      <c r="T38" s="0" t="n">
        <v>3.968</v>
      </c>
      <c r="U38" s="0" t="n">
        <v>0.355</v>
      </c>
      <c r="W38" s="0" t="n">
        <f aca="false">AB38-T38</f>
        <v>-0.0609999999999999</v>
      </c>
      <c r="X38" s="0" t="n">
        <f aca="false">AC38-U38</f>
        <v>-0.0025</v>
      </c>
      <c r="Y38" s="385" t="n">
        <f aca="false">I38-B38</f>
        <v>0</v>
      </c>
      <c r="AA38" s="367" t="n">
        <v>37987</v>
      </c>
      <c r="AB38" s="0" t="n">
        <v>3.907</v>
      </c>
      <c r="AC38" s="0" t="n">
        <v>0.3525</v>
      </c>
      <c r="AI38" s="367" t="n">
        <v>37956</v>
      </c>
      <c r="AJ38" s="0" t="n">
        <v>-357.4977945</v>
      </c>
      <c r="AL38" s="367" t="n">
        <v>37956</v>
      </c>
      <c r="AM38" s="0" t="n">
        <v>-434.20784756</v>
      </c>
      <c r="AO38" s="367" t="n">
        <v>37191</v>
      </c>
      <c r="AP38" s="0" t="n">
        <v>-7.848884149372</v>
      </c>
    </row>
    <row r="39" customFormat="false" ht="12.75" hidden="false" customHeight="false" outlineLevel="0" collapsed="false">
      <c r="A39" s="367" t="n">
        <v>38018</v>
      </c>
      <c r="B39" s="0" t="n">
        <v>-0.395</v>
      </c>
      <c r="C39" s="367" t="n">
        <v>38018</v>
      </c>
      <c r="D39" s="0" t="n">
        <v>1.57295599759712</v>
      </c>
      <c r="F39" s="385" t="n">
        <f aca="false">(B39+T39)*D39/1.055056</f>
        <v>5.1971882133494</v>
      </c>
      <c r="G39" s="0" t="n">
        <f aca="false">K39-D39</f>
        <v>0.00175872867174998</v>
      </c>
      <c r="H39" s="367" t="n">
        <v>38018</v>
      </c>
      <c r="I39" s="0" t="n">
        <v>-0.395</v>
      </c>
      <c r="J39" s="367" t="n">
        <v>38018</v>
      </c>
      <c r="K39" s="0" t="n">
        <v>1.57471472626887</v>
      </c>
      <c r="L39" s="385" t="n">
        <f aca="false">IF(H39="",F39,(I39+AB39)*K39/1.055056)</f>
        <v>5.11046164634352</v>
      </c>
      <c r="M39" s="381"/>
      <c r="O39" s="372"/>
      <c r="S39" s="367" t="n">
        <v>38018</v>
      </c>
      <c r="T39" s="0" t="n">
        <v>3.881</v>
      </c>
      <c r="U39" s="0" t="n">
        <v>0.35</v>
      </c>
      <c r="W39" s="0" t="n">
        <f aca="false">AB39-T39</f>
        <v>-0.0619999999999998</v>
      </c>
      <c r="X39" s="0" t="n">
        <f aca="false">AC39-U39</f>
        <v>-0.0025</v>
      </c>
      <c r="Y39" s="385" t="n">
        <f aca="false">I39-B39</f>
        <v>0</v>
      </c>
      <c r="AA39" s="367" t="n">
        <v>38018</v>
      </c>
      <c r="AB39" s="0" t="n">
        <v>3.819</v>
      </c>
      <c r="AC39" s="0" t="n">
        <v>0.3475</v>
      </c>
      <c r="AI39" s="367" t="n">
        <v>37987</v>
      </c>
      <c r="AJ39" s="0" t="n">
        <v>-209.06924005</v>
      </c>
      <c r="AL39" s="367" t="n">
        <v>37987</v>
      </c>
      <c r="AM39" s="0" t="n">
        <v>-187.44138762</v>
      </c>
      <c r="AO39" s="367" t="n">
        <v>37192</v>
      </c>
      <c r="AP39" s="0" t="n">
        <v>-7.848884149372</v>
      </c>
    </row>
    <row r="40" customFormat="false" ht="12.75" hidden="false" customHeight="false" outlineLevel="0" collapsed="false">
      <c r="A40" s="367" t="n">
        <v>38047</v>
      </c>
      <c r="B40" s="0" t="n">
        <v>-0.395</v>
      </c>
      <c r="C40" s="367" t="n">
        <v>38047</v>
      </c>
      <c r="D40" s="0" t="n">
        <v>1.57258444623648</v>
      </c>
      <c r="F40" s="385" t="n">
        <f aca="false">(B40+T40)*D40/1.055056</f>
        <v>4.98877798102992</v>
      </c>
      <c r="G40" s="0" t="n">
        <f aca="false">K40-D40</f>
        <v>0.00185295786541984</v>
      </c>
      <c r="H40" s="367" t="n">
        <v>38047</v>
      </c>
      <c r="I40" s="0" t="n">
        <v>-0.395</v>
      </c>
      <c r="J40" s="367" t="n">
        <v>38047</v>
      </c>
      <c r="K40" s="0" t="n">
        <v>1.5744374041019</v>
      </c>
      <c r="L40" s="385" t="n">
        <f aca="false">IF(H40="",F40,(I40+AB40)*K40/1.055056)</f>
        <v>4.90213493167637</v>
      </c>
      <c r="M40" s="381"/>
      <c r="O40" s="372"/>
      <c r="S40" s="367" t="n">
        <v>38047</v>
      </c>
      <c r="T40" s="0" t="n">
        <v>3.742</v>
      </c>
      <c r="U40" s="0" t="n">
        <v>0.3375</v>
      </c>
      <c r="W40" s="0" t="n">
        <f aca="false">AB40-T40</f>
        <v>-0.0619999999999998</v>
      </c>
      <c r="X40" s="0" t="n">
        <f aca="false">AC40-U40</f>
        <v>-0.0025</v>
      </c>
      <c r="Y40" s="385" t="n">
        <f aca="false">I40-B40</f>
        <v>0</v>
      </c>
      <c r="AA40" s="367" t="n">
        <v>38047</v>
      </c>
      <c r="AB40" s="0" t="n">
        <v>3.68</v>
      </c>
      <c r="AC40" s="0" t="n">
        <v>0.335</v>
      </c>
      <c r="AI40" s="367" t="n">
        <v>38018</v>
      </c>
      <c r="AJ40" s="0" t="n">
        <v>-194.82160343</v>
      </c>
      <c r="AL40" s="367" t="n">
        <v>38018</v>
      </c>
      <c r="AM40" s="0" t="n">
        <v>-174.66764445</v>
      </c>
      <c r="AO40" s="367" t="n">
        <v>37193</v>
      </c>
      <c r="AP40" s="0" t="n">
        <v>-7.848884149372</v>
      </c>
    </row>
    <row r="41" customFormat="false" ht="12.75" hidden="false" customHeight="false" outlineLevel="0" collapsed="false">
      <c r="A41" s="367" t="n">
        <v>38078</v>
      </c>
      <c r="B41" s="0" t="n">
        <v>-0.43</v>
      </c>
      <c r="C41" s="367" t="n">
        <v>38078</v>
      </c>
      <c r="D41" s="0" t="n">
        <v>1.57228497349251</v>
      </c>
      <c r="F41" s="385" t="n">
        <f aca="false">(B41+T41)*D41/1.055056</f>
        <v>4.70617289157101</v>
      </c>
      <c r="G41" s="0" t="n">
        <f aca="false">K41-D41</f>
        <v>0.00195184304680995</v>
      </c>
      <c r="H41" s="367" t="n">
        <v>38078</v>
      </c>
      <c r="I41" s="0" t="n">
        <v>-0.43</v>
      </c>
      <c r="J41" s="367" t="n">
        <v>38078</v>
      </c>
      <c r="K41" s="0" t="n">
        <v>1.57423681653932</v>
      </c>
      <c r="L41" s="385" t="n">
        <f aca="false">IF(H41="",F41,(I41+AB41)*K41/1.055056)</f>
        <v>4.61950567932483</v>
      </c>
      <c r="M41" s="381"/>
      <c r="O41" s="372"/>
      <c r="S41" s="367" t="n">
        <v>38078</v>
      </c>
      <c r="T41" s="0" t="n">
        <v>3.588</v>
      </c>
      <c r="U41" s="0" t="n">
        <v>0.31</v>
      </c>
      <c r="W41" s="0" t="n">
        <f aca="false">AB41-T41</f>
        <v>-0.0619999999999998</v>
      </c>
      <c r="X41" s="0" t="n">
        <f aca="false">AC41-U41</f>
        <v>-0.0025</v>
      </c>
      <c r="Y41" s="385" t="n">
        <f aca="false">I41-B41</f>
        <v>0</v>
      </c>
      <c r="AA41" s="367" t="n">
        <v>38078</v>
      </c>
      <c r="AB41" s="0" t="n">
        <v>3.526</v>
      </c>
      <c r="AC41" s="0" t="n">
        <v>0.3075</v>
      </c>
      <c r="AI41" s="367" t="n">
        <v>38047</v>
      </c>
      <c r="AJ41" s="0" t="n">
        <v>-207.48597316</v>
      </c>
      <c r="AL41" s="367" t="n">
        <v>38047</v>
      </c>
      <c r="AM41" s="0" t="n">
        <v>-186.02190696</v>
      </c>
      <c r="AO41" s="367" t="n">
        <v>37194</v>
      </c>
      <c r="AP41" s="0" t="n">
        <v>-7.848884149372</v>
      </c>
    </row>
    <row r="42" customFormat="false" ht="12.75" hidden="false" customHeight="false" outlineLevel="0" collapsed="false">
      <c r="A42" s="367" t="n">
        <v>38108</v>
      </c>
      <c r="B42" s="0" t="n">
        <v>-0.43</v>
      </c>
      <c r="C42" s="367" t="n">
        <v>38108</v>
      </c>
      <c r="D42" s="0" t="n">
        <v>1.57211003460257</v>
      </c>
      <c r="F42" s="385" t="n">
        <f aca="false">(B42+T42)*D42/1.055056</f>
        <v>4.71309962641597</v>
      </c>
      <c r="G42" s="0" t="n">
        <f aca="false">K42-D42</f>
        <v>0.00204494010744005</v>
      </c>
      <c r="H42" s="367" t="n">
        <v>38108</v>
      </c>
      <c r="I42" s="0" t="n">
        <v>-0.43</v>
      </c>
      <c r="J42" s="367" t="n">
        <v>38108</v>
      </c>
      <c r="K42" s="0" t="n">
        <v>1.57415497471001</v>
      </c>
      <c r="L42" s="385" t="n">
        <f aca="false">IF(H42="",F42,(I42+AB42)*K42/1.055056)</f>
        <v>4.62672557340629</v>
      </c>
      <c r="M42" s="381"/>
      <c r="O42" s="372"/>
      <c r="S42" s="367" t="n">
        <v>38108</v>
      </c>
      <c r="T42" s="0" t="n">
        <v>3.593</v>
      </c>
      <c r="U42" s="0" t="n">
        <v>0.305</v>
      </c>
      <c r="W42" s="0" t="n">
        <f aca="false">AB42-T42</f>
        <v>-0.0619999999999998</v>
      </c>
      <c r="X42" s="0" t="n">
        <f aca="false">AC42-U42</f>
        <v>-0.0025</v>
      </c>
      <c r="Y42" s="385" t="n">
        <f aca="false">I42-B42</f>
        <v>0</v>
      </c>
      <c r="AA42" s="367" t="n">
        <v>38108</v>
      </c>
      <c r="AB42" s="0" t="n">
        <v>3.531</v>
      </c>
      <c r="AC42" s="0" t="n">
        <v>0.3025</v>
      </c>
      <c r="AI42" s="367" t="n">
        <v>38078</v>
      </c>
      <c r="AJ42" s="0" t="n">
        <v>-199.98211487</v>
      </c>
      <c r="AL42" s="367" t="n">
        <v>38078</v>
      </c>
      <c r="AM42" s="0" t="n">
        <v>-179.29430989</v>
      </c>
      <c r="AO42" s="367" t="n">
        <v>37195</v>
      </c>
      <c r="AP42" s="0" t="n">
        <v>-7.848884149372</v>
      </c>
    </row>
    <row r="43" customFormat="false" ht="12.75" hidden="false" customHeight="false" outlineLevel="0" collapsed="false">
      <c r="A43" s="367" t="n">
        <v>38139</v>
      </c>
      <c r="B43" s="0" t="n">
        <v>-0.43</v>
      </c>
      <c r="C43" s="367" t="n">
        <v>38139</v>
      </c>
      <c r="D43" s="0" t="n">
        <v>1.57191788529486</v>
      </c>
      <c r="F43" s="385" t="n">
        <f aca="false">(B43+T43)*D43/1.055056</f>
        <v>4.76913941139508</v>
      </c>
      <c r="G43" s="0" t="n">
        <f aca="false">K43-D43</f>
        <v>0.00214411339595988</v>
      </c>
      <c r="H43" s="367" t="n">
        <v>38139</v>
      </c>
      <c r="I43" s="0" t="n">
        <v>-0.43</v>
      </c>
      <c r="J43" s="367" t="n">
        <v>38139</v>
      </c>
      <c r="K43" s="0" t="n">
        <v>1.57406199869082</v>
      </c>
      <c r="L43" s="385" t="n">
        <f aca="false">IF(H43="",F43,(I43+AB43)*K43/1.055056)</f>
        <v>4.68314536279637</v>
      </c>
      <c r="O43" s="372"/>
      <c r="S43" s="367" t="n">
        <v>38139</v>
      </c>
      <c r="T43" s="0" t="n">
        <v>3.631</v>
      </c>
      <c r="U43" s="0" t="n">
        <v>0.305</v>
      </c>
      <c r="W43" s="0" t="n">
        <f aca="false">AB43-T43</f>
        <v>-0.0620000000000003</v>
      </c>
      <c r="X43" s="0" t="n">
        <f aca="false">AC43-U43</f>
        <v>-0.0025</v>
      </c>
      <c r="Y43" s="385" t="n">
        <f aca="false">I43-B43</f>
        <v>0</v>
      </c>
      <c r="AA43" s="367" t="n">
        <v>38139</v>
      </c>
      <c r="AB43" s="0" t="n">
        <v>3.569</v>
      </c>
      <c r="AC43" s="0" t="n">
        <v>0.3025</v>
      </c>
      <c r="AI43" s="367" t="n">
        <v>38108</v>
      </c>
      <c r="AJ43" s="0" t="n">
        <v>-205.82484128</v>
      </c>
      <c r="AL43" s="367" t="n">
        <v>38108</v>
      </c>
      <c r="AM43" s="0" t="n">
        <v>-184.53261632</v>
      </c>
      <c r="AO43" s="367" t="n">
        <v>37196</v>
      </c>
      <c r="AP43" s="0" t="n">
        <v>-205.25684876214</v>
      </c>
    </row>
    <row r="44" customFormat="false" ht="12.75" hidden="false" customHeight="false" outlineLevel="0" collapsed="false">
      <c r="A44" s="367" t="n">
        <v>38169</v>
      </c>
      <c r="B44" s="0" t="n">
        <v>-0.43</v>
      </c>
      <c r="C44" s="367" t="n">
        <v>38169</v>
      </c>
      <c r="D44" s="0" t="n">
        <v>1.57179729932457</v>
      </c>
      <c r="F44" s="385" t="n">
        <f aca="false">(B44+T44)*D44/1.055056</f>
        <v>4.83581348630552</v>
      </c>
      <c r="G44" s="0" t="n">
        <f aca="false">K44-D44</f>
        <v>0.00223851862965985</v>
      </c>
      <c r="H44" s="367" t="n">
        <v>38169</v>
      </c>
      <c r="I44" s="0" t="n">
        <v>-0.43</v>
      </c>
      <c r="J44" s="367" t="n">
        <v>38169</v>
      </c>
      <c r="K44" s="0" t="n">
        <v>1.57403581795423</v>
      </c>
      <c r="L44" s="385" t="n">
        <f aca="false">IF(H44="",F44,(I44+AB44)*K44/1.055056)</f>
        <v>4.75020287488652</v>
      </c>
      <c r="O44" s="372"/>
      <c r="S44" s="367" t="n">
        <v>38169</v>
      </c>
      <c r="T44" s="0" t="n">
        <v>3.676</v>
      </c>
      <c r="U44" s="0" t="n">
        <v>0.305</v>
      </c>
      <c r="W44" s="0" t="n">
        <f aca="false">AB44-T44</f>
        <v>-0.0619999999999998</v>
      </c>
      <c r="X44" s="0" t="n">
        <f aca="false">AC44-U44</f>
        <v>-0.0025</v>
      </c>
      <c r="Y44" s="385" t="n">
        <f aca="false">I44-B44</f>
        <v>0</v>
      </c>
      <c r="AA44" s="367" t="n">
        <v>38169</v>
      </c>
      <c r="AB44" s="0" t="n">
        <v>3.614</v>
      </c>
      <c r="AC44" s="0" t="n">
        <v>0.3025</v>
      </c>
      <c r="AI44" s="367" t="n">
        <v>38139</v>
      </c>
      <c r="AJ44" s="0" t="n">
        <v>-198.34959002</v>
      </c>
      <c r="AL44" s="367" t="n">
        <v>38139</v>
      </c>
      <c r="AM44" s="0" t="n">
        <v>-177.83066691</v>
      </c>
      <c r="AO44" s="367" t="n">
        <v>37226</v>
      </c>
      <c r="AP44" s="0" t="n">
        <v>0.421706900286</v>
      </c>
    </row>
    <row r="45" customFormat="false" ht="12.75" hidden="false" customHeight="false" outlineLevel="0" collapsed="false">
      <c r="A45" s="367" t="n">
        <v>38200</v>
      </c>
      <c r="B45" s="0" t="n">
        <v>-0.43</v>
      </c>
      <c r="C45" s="367" t="n">
        <v>38200</v>
      </c>
      <c r="D45" s="0" t="n">
        <v>1.57175259731999</v>
      </c>
      <c r="F45" s="385" t="n">
        <f aca="false">(B45+T45)*D45/1.055056</f>
        <v>4.89228584037136</v>
      </c>
      <c r="G45" s="0" t="n">
        <f aca="false">K45-D45</f>
        <v>0.00233374663955988</v>
      </c>
      <c r="H45" s="367" t="n">
        <v>38200</v>
      </c>
      <c r="I45" s="0" t="n">
        <v>-0.43</v>
      </c>
      <c r="J45" s="367" t="n">
        <v>38200</v>
      </c>
      <c r="K45" s="0" t="n">
        <v>1.57408634395955</v>
      </c>
      <c r="L45" s="385" t="n">
        <f aca="false">IF(H45="",F45,(I45+AB45)*K45/1.055056)</f>
        <v>4.80704929429118</v>
      </c>
      <c r="O45" s="372"/>
      <c r="S45" s="367" t="n">
        <v>38200</v>
      </c>
      <c r="T45" s="0" t="n">
        <v>3.714</v>
      </c>
      <c r="U45" s="0" t="n">
        <v>0.305</v>
      </c>
      <c r="W45" s="0" t="n">
        <f aca="false">AB45-T45</f>
        <v>-0.0619999999999998</v>
      </c>
      <c r="X45" s="0" t="n">
        <f aca="false">AC45-U45</f>
        <v>-0.0025</v>
      </c>
      <c r="Y45" s="385" t="n">
        <f aca="false">I45-B45</f>
        <v>0</v>
      </c>
      <c r="AA45" s="367" t="n">
        <v>38200</v>
      </c>
      <c r="AB45" s="0" t="n">
        <v>3.652</v>
      </c>
      <c r="AC45" s="0" t="n">
        <v>0.3025</v>
      </c>
      <c r="AI45" s="367" t="n">
        <v>38169</v>
      </c>
      <c r="AJ45" s="0" t="n">
        <v>-204.11329247</v>
      </c>
      <c r="AL45" s="367" t="n">
        <v>38169</v>
      </c>
      <c r="AM45" s="0" t="n">
        <v>-182.99812429</v>
      </c>
      <c r="AO45" s="367" t="n">
        <v>37257</v>
      </c>
      <c r="AP45" s="0" t="n">
        <v>26.046969690238</v>
      </c>
    </row>
    <row r="46" customFormat="false" ht="12.75" hidden="false" customHeight="false" outlineLevel="0" collapsed="false">
      <c r="A46" s="367" t="n">
        <v>38231</v>
      </c>
      <c r="B46" s="0" t="n">
        <v>-0.43</v>
      </c>
      <c r="C46" s="367" t="n">
        <v>38231</v>
      </c>
      <c r="D46" s="0" t="n">
        <v>1.57170652917929</v>
      </c>
      <c r="F46" s="385" t="n">
        <f aca="false">(B46+T46)*D46/1.055056</f>
        <v>4.88320430635882</v>
      </c>
      <c r="G46" s="0" t="n">
        <f aca="false">K46-D46</f>
        <v>0.0024314219783601</v>
      </c>
      <c r="H46" s="367" t="n">
        <v>38231</v>
      </c>
      <c r="I46" s="0" t="n">
        <v>-0.43</v>
      </c>
      <c r="J46" s="367" t="n">
        <v>38231</v>
      </c>
      <c r="K46" s="0" t="n">
        <v>1.57413795115765</v>
      </c>
      <c r="L46" s="385" t="n">
        <f aca="false">IF(H46="",F46,(I46+AB46)*K46/1.055056)</f>
        <v>4.79825492762754</v>
      </c>
      <c r="O46" s="372"/>
      <c r="S46" s="367" t="n">
        <v>38231</v>
      </c>
      <c r="T46" s="0" t="n">
        <v>3.708</v>
      </c>
      <c r="U46" s="0" t="n">
        <v>0.305</v>
      </c>
      <c r="W46" s="0" t="n">
        <f aca="false">AB46-T46</f>
        <v>-0.0619999999999998</v>
      </c>
      <c r="X46" s="0" t="n">
        <f aca="false">AC46-U46</f>
        <v>-0.0025</v>
      </c>
      <c r="Y46" s="385" t="n">
        <f aca="false">I46-B46</f>
        <v>0</v>
      </c>
      <c r="AA46" s="367" t="n">
        <v>38231</v>
      </c>
      <c r="AB46" s="0" t="n">
        <v>3.646</v>
      </c>
      <c r="AC46" s="0" t="n">
        <v>0.3025</v>
      </c>
      <c r="AI46" s="367" t="n">
        <v>38200</v>
      </c>
      <c r="AJ46" s="0" t="n">
        <v>-203.22465589</v>
      </c>
      <c r="AL46" s="367" t="n">
        <v>38200</v>
      </c>
      <c r="AM46" s="0" t="n">
        <v>-182.20141563</v>
      </c>
      <c r="AO46" s="367" t="n">
        <v>37288</v>
      </c>
      <c r="AP46" s="0" t="n">
        <v>23.47730934339</v>
      </c>
    </row>
    <row r="47" customFormat="false" ht="12.75" hidden="false" customHeight="false" outlineLevel="0" collapsed="false">
      <c r="A47" s="367" t="n">
        <v>38261</v>
      </c>
      <c r="B47" s="0" t="n">
        <v>-0.43</v>
      </c>
      <c r="C47" s="367" t="n">
        <v>38261</v>
      </c>
      <c r="D47" s="0" t="n">
        <v>1.57174703608594</v>
      </c>
      <c r="F47" s="385" t="n">
        <f aca="false">(B47+T47)*D47/1.055056</f>
        <v>4.8833301590529</v>
      </c>
      <c r="G47" s="0" t="n">
        <f aca="false">K47-D47</f>
        <v>0.00252434385644995</v>
      </c>
      <c r="H47" s="367" t="n">
        <v>38261</v>
      </c>
      <c r="I47" s="0" t="n">
        <v>-0.43</v>
      </c>
      <c r="J47" s="367" t="n">
        <v>38261</v>
      </c>
      <c r="K47" s="0" t="n">
        <v>1.57427137994239</v>
      </c>
      <c r="L47" s="385" t="n">
        <f aca="false">IF(H47="",F47,(I47+AB47)*K47/1.055056)</f>
        <v>4.79866164250497</v>
      </c>
      <c r="S47" s="367" t="n">
        <v>38261</v>
      </c>
      <c r="T47" s="0" t="n">
        <v>3.708</v>
      </c>
      <c r="U47" s="0" t="n">
        <v>0.305</v>
      </c>
      <c r="W47" s="0" t="n">
        <f aca="false">AB47-T47</f>
        <v>-0.0619999999999998</v>
      </c>
      <c r="X47" s="0" t="n">
        <f aca="false">AC47-U47</f>
        <v>-0.0025</v>
      </c>
      <c r="Y47" s="385" t="n">
        <f aca="false">I47-B47</f>
        <v>0</v>
      </c>
      <c r="AA47" s="367" t="n">
        <v>38261</v>
      </c>
      <c r="AB47" s="0" t="n">
        <v>3.646</v>
      </c>
      <c r="AC47" s="0" t="n">
        <v>0.3025</v>
      </c>
      <c r="AI47" s="367" t="n">
        <v>38231</v>
      </c>
      <c r="AJ47" s="0" t="n">
        <v>-195.79702829</v>
      </c>
      <c r="AL47" s="367" t="n">
        <v>38231</v>
      </c>
      <c r="AM47" s="0" t="n">
        <v>-175.54216329</v>
      </c>
      <c r="AO47" s="367" t="n">
        <v>37316</v>
      </c>
      <c r="AP47" s="0" t="n">
        <v>25.94779179398</v>
      </c>
    </row>
    <row r="48" customFormat="false" ht="12.75" hidden="false" customHeight="false" outlineLevel="0" collapsed="false">
      <c r="A48" s="367" t="n">
        <v>38292</v>
      </c>
      <c r="B48" s="0" t="n">
        <v>-0.39</v>
      </c>
      <c r="C48" s="367" t="n">
        <v>38292</v>
      </c>
      <c r="D48" s="0" t="n">
        <v>1.57173734894206</v>
      </c>
      <c r="F48" s="385" t="n">
        <f aca="false">(B48+T48)*D48/1.055056</f>
        <v>5.16336730129318</v>
      </c>
      <c r="G48" s="0" t="n">
        <f aca="false">K48-D48</f>
        <v>0.00260577946848994</v>
      </c>
      <c r="H48" s="367" t="n">
        <v>38292</v>
      </c>
      <c r="I48" s="0" t="n">
        <v>-0.39</v>
      </c>
      <c r="J48" s="367" t="n">
        <v>38292</v>
      </c>
      <c r="K48" s="0" t="n">
        <v>1.57434312841055</v>
      </c>
      <c r="L48" s="385" t="n">
        <f aca="false">IF(H48="",F48,(I48+AB48)*K48/1.055056)</f>
        <v>5.0809040963114</v>
      </c>
      <c r="S48" s="367" t="n">
        <v>38292</v>
      </c>
      <c r="T48" s="0" t="n">
        <v>3.856</v>
      </c>
      <c r="U48" s="0" t="n">
        <v>0.305</v>
      </c>
      <c r="W48" s="0" t="n">
        <f aca="false">AB48-T48</f>
        <v>-0.0610000000000004</v>
      </c>
      <c r="X48" s="0" t="n">
        <f aca="false">AC48-U48</f>
        <v>-0.0025</v>
      </c>
      <c r="Y48" s="385" t="n">
        <f aca="false">I48-B48</f>
        <v>0</v>
      </c>
      <c r="AA48" s="367" t="n">
        <v>38292</v>
      </c>
      <c r="AB48" s="0" t="n">
        <v>3.795</v>
      </c>
      <c r="AC48" s="0" t="n">
        <v>0.3025</v>
      </c>
      <c r="AI48" s="367" t="n">
        <v>38261</v>
      </c>
      <c r="AJ48" s="0" t="n">
        <v>-201.43996748</v>
      </c>
      <c r="AL48" s="367" t="n">
        <v>38261</v>
      </c>
      <c r="AM48" s="0" t="n">
        <v>-180.60135015</v>
      </c>
      <c r="AO48" s="367" t="n">
        <v>37347</v>
      </c>
      <c r="AP48" s="0" t="n">
        <v>25.06261365083</v>
      </c>
    </row>
    <row r="49" customFormat="false" ht="12.75" hidden="false" customHeight="false" outlineLevel="0" collapsed="false">
      <c r="A49" s="367" t="n">
        <v>38322</v>
      </c>
      <c r="B49" s="0" t="n">
        <v>-0.39</v>
      </c>
      <c r="C49" s="367" t="n">
        <v>38322</v>
      </c>
      <c r="D49" s="0" t="n">
        <v>1.57124942893911</v>
      </c>
      <c r="F49" s="385" t="n">
        <f aca="false">(B49+T49)*D49/1.055056</f>
        <v>5.38813146780996</v>
      </c>
      <c r="G49" s="0" t="n">
        <f aca="false">K49-D49</f>
        <v>0.00264185555359009</v>
      </c>
      <c r="H49" s="367" t="n">
        <v>38322</v>
      </c>
      <c r="I49" s="0" t="n">
        <v>-0.39</v>
      </c>
      <c r="J49" s="367" t="n">
        <v>38322</v>
      </c>
      <c r="K49" s="0" t="n">
        <v>1.5738912844927</v>
      </c>
      <c r="L49" s="385" t="n">
        <f aca="false">IF(H49="",F49,(I49+AB49)*K49/1.055056)</f>
        <v>5.30619350910334</v>
      </c>
      <c r="S49" s="367" t="n">
        <v>38322</v>
      </c>
      <c r="T49" s="0" t="n">
        <v>4.008</v>
      </c>
      <c r="U49" s="0" t="n">
        <v>0.3</v>
      </c>
      <c r="W49" s="0" t="n">
        <f aca="false">AB49-T49</f>
        <v>-0.0609999999999999</v>
      </c>
      <c r="X49" s="0" t="n">
        <f aca="false">AC49-U49</f>
        <v>-0.0025</v>
      </c>
      <c r="Y49" s="385" t="n">
        <f aca="false">I49-B49</f>
        <v>0</v>
      </c>
      <c r="AA49" s="367" t="n">
        <v>38322</v>
      </c>
      <c r="AB49" s="0" t="n">
        <v>3.947</v>
      </c>
      <c r="AC49" s="0" t="n">
        <v>0.2975</v>
      </c>
      <c r="AI49" s="367" t="n">
        <v>38292</v>
      </c>
      <c r="AJ49" s="0" t="n">
        <v>-194.06420142</v>
      </c>
      <c r="AL49" s="367" t="n">
        <v>38292</v>
      </c>
      <c r="AM49" s="0" t="n">
        <v>-173.98859437</v>
      </c>
      <c r="AO49" s="367" t="n">
        <v>37377</v>
      </c>
      <c r="AP49" s="0" t="n">
        <v>25.847088498924</v>
      </c>
    </row>
    <row r="50" customFormat="false" ht="12.75" hidden="false" customHeight="false" outlineLevel="0" collapsed="false">
      <c r="A50" s="367" t="n">
        <v>38353</v>
      </c>
      <c r="B50" s="0" t="n">
        <v>-0.39</v>
      </c>
      <c r="C50" s="367" t="n">
        <v>38353</v>
      </c>
      <c r="D50" s="0" t="n">
        <v>1.57077796200096</v>
      </c>
      <c r="F50" s="385" t="n">
        <f aca="false">(B50+T50)*D50/1.055056</f>
        <v>5.468399264522</v>
      </c>
      <c r="G50" s="0" t="n">
        <f aca="false">K50-D50</f>
        <v>0.00267772172191005</v>
      </c>
      <c r="H50" s="367" t="n">
        <v>38353</v>
      </c>
      <c r="I50" s="0" t="n">
        <v>-0.39</v>
      </c>
      <c r="J50" s="367" t="n">
        <v>38353</v>
      </c>
      <c r="K50" s="0" t="n">
        <v>1.57345568372287</v>
      </c>
      <c r="L50" s="385" t="n">
        <f aca="false">IF(H50="",F50,(I50+AB50)*K50/1.055056)</f>
        <v>5.39420581279631</v>
      </c>
      <c r="S50" s="367" t="n">
        <v>38353</v>
      </c>
      <c r="T50" s="0" t="n">
        <v>4.063</v>
      </c>
      <c r="U50" s="0" t="n">
        <v>0.3</v>
      </c>
      <c r="W50" s="0" t="n">
        <f aca="false">AB50-T50</f>
        <v>-0.0560000000000001</v>
      </c>
      <c r="X50" s="0" t="n">
        <f aca="false">AC50-U50</f>
        <v>-0.0025</v>
      </c>
      <c r="Y50" s="385" t="n">
        <f aca="false">I50-B50</f>
        <v>0</v>
      </c>
      <c r="AA50" s="367" t="n">
        <v>38353</v>
      </c>
      <c r="AB50" s="0" t="n">
        <v>4.007</v>
      </c>
      <c r="AC50" s="0" t="n">
        <v>0.2975</v>
      </c>
      <c r="AI50" s="367" t="n">
        <v>38322</v>
      </c>
      <c r="AJ50" s="0" t="n">
        <v>-199.70573602</v>
      </c>
      <c r="AL50" s="367" t="n">
        <v>38322</v>
      </c>
      <c r="AM50" s="0" t="n">
        <v>-179.04652196</v>
      </c>
      <c r="AO50" s="367" t="n">
        <v>37408</v>
      </c>
      <c r="AP50" s="0" t="n">
        <v>24.963024883272</v>
      </c>
    </row>
    <row r="51" customFormat="false" ht="12.75" hidden="false" customHeight="false" outlineLevel="0" collapsed="false">
      <c r="A51" s="367" t="n">
        <v>38384</v>
      </c>
      <c r="B51" s="0" t="n">
        <v>-0.39</v>
      </c>
      <c r="C51" s="367" t="n">
        <v>38384</v>
      </c>
      <c r="D51" s="0" t="n">
        <v>1.57033283308777</v>
      </c>
      <c r="F51" s="385" t="n">
        <f aca="false">(B51+T51)*D51/1.055056</f>
        <v>5.33735985526147</v>
      </c>
      <c r="G51" s="0" t="n">
        <f aca="false">K51-D51</f>
        <v>0.0027121832091801</v>
      </c>
      <c r="H51" s="367" t="n">
        <v>38384</v>
      </c>
      <c r="I51" s="0" t="n">
        <v>-0.39</v>
      </c>
      <c r="J51" s="367" t="n">
        <v>38384</v>
      </c>
      <c r="K51" s="0" t="n">
        <v>1.57304501629695</v>
      </c>
      <c r="L51" s="385" t="n">
        <f aca="false">IF(H51="",F51,(I51+AB51)*K51/1.055056)</f>
        <v>5.26159356708264</v>
      </c>
      <c r="S51" s="367" t="n">
        <v>38384</v>
      </c>
      <c r="T51" s="0" t="n">
        <v>3.976</v>
      </c>
      <c r="U51" s="0" t="n">
        <v>0.2975</v>
      </c>
      <c r="W51" s="0" t="n">
        <f aca="false">AB51-T51</f>
        <v>-0.0569999999999999</v>
      </c>
      <c r="X51" s="0" t="n">
        <f aca="false">AC51-U51</f>
        <v>-0.0025</v>
      </c>
      <c r="Y51" s="385" t="n">
        <f aca="false">I51-B51</f>
        <v>0</v>
      </c>
      <c r="AA51" s="367" t="n">
        <v>38384</v>
      </c>
      <c r="AB51" s="0" t="n">
        <v>3.919</v>
      </c>
      <c r="AC51" s="0" t="n">
        <v>0.295</v>
      </c>
      <c r="AI51" s="367" t="n">
        <v>38353</v>
      </c>
      <c r="AJ51" s="0" t="n">
        <v>-191.98640453</v>
      </c>
      <c r="AL51" s="367" t="n">
        <v>38353</v>
      </c>
      <c r="AM51" s="0" t="n">
        <v>-164.5597753</v>
      </c>
      <c r="AO51" s="367" t="n">
        <v>37438</v>
      </c>
      <c r="AP51" s="0" t="n">
        <v>-4.73856339593</v>
      </c>
    </row>
    <row r="52" customFormat="false" ht="12.75" hidden="false" customHeight="false" outlineLevel="0" collapsed="false">
      <c r="A52" s="367" t="n">
        <v>38412</v>
      </c>
      <c r="B52" s="0" t="n">
        <v>-0.39</v>
      </c>
      <c r="C52" s="367" t="n">
        <v>38412</v>
      </c>
      <c r="D52" s="0" t="n">
        <v>1.5699132379225</v>
      </c>
      <c r="F52" s="385" t="n">
        <f aca="false">(B52+T52)*D52/1.055056</f>
        <v>5.12910303445396</v>
      </c>
      <c r="G52" s="0" t="n">
        <f aca="false">K52-D52</f>
        <v>0.00274224197609008</v>
      </c>
      <c r="H52" s="367" t="n">
        <v>38412</v>
      </c>
      <c r="I52" s="0" t="n">
        <v>-0.39</v>
      </c>
      <c r="J52" s="367" t="n">
        <v>38412</v>
      </c>
      <c r="K52" s="0" t="n">
        <v>1.57265547989859</v>
      </c>
      <c r="L52" s="385" t="n">
        <f aca="false">IF(H52="",F52,(I52+AB52)*K52/1.055056)</f>
        <v>5.05309867614252</v>
      </c>
      <c r="S52" s="367" t="n">
        <v>38412</v>
      </c>
      <c r="T52" s="0" t="n">
        <v>3.837</v>
      </c>
      <c r="U52" s="0" t="n">
        <v>0.2825</v>
      </c>
      <c r="W52" s="0" t="n">
        <f aca="false">AB52-T52</f>
        <v>-0.0570000000000004</v>
      </c>
      <c r="X52" s="0" t="n">
        <f aca="false">AC52-U52</f>
        <v>-0.00249999999999995</v>
      </c>
      <c r="Y52" s="385" t="n">
        <f aca="false">I52-B52</f>
        <v>0</v>
      </c>
      <c r="AA52" s="367" t="n">
        <v>38412</v>
      </c>
      <c r="AB52" s="0" t="n">
        <v>3.78</v>
      </c>
      <c r="AC52" s="0" t="n">
        <v>0.28</v>
      </c>
      <c r="AI52" s="367" t="n">
        <v>38384</v>
      </c>
      <c r="AJ52" s="0" t="n">
        <v>-172.64793559</v>
      </c>
      <c r="AL52" s="367" t="n">
        <v>38384</v>
      </c>
      <c r="AM52" s="0" t="n">
        <v>-147.98394478</v>
      </c>
      <c r="AO52" s="367" t="n">
        <v>37469</v>
      </c>
      <c r="AP52" s="0" t="n">
        <v>-4.728100698076</v>
      </c>
    </row>
    <row r="53" customFormat="false" ht="12.75" hidden="false" customHeight="false" outlineLevel="0" collapsed="false">
      <c r="A53" s="367" t="n">
        <v>38443</v>
      </c>
      <c r="B53" s="0" t="n">
        <v>-0.44</v>
      </c>
      <c r="C53" s="367" t="n">
        <v>38443</v>
      </c>
      <c r="D53" s="0" t="n">
        <v>1.56958385776938</v>
      </c>
      <c r="F53" s="385" t="n">
        <f aca="false">(B53+T53)*D53/1.055056</f>
        <v>4.82454054642228</v>
      </c>
      <c r="G53" s="0" t="n">
        <f aca="false">K53-D53</f>
        <v>0.00277428397632007</v>
      </c>
      <c r="H53" s="367" t="n">
        <v>38443</v>
      </c>
      <c r="I53" s="0" t="n">
        <v>-0.44</v>
      </c>
      <c r="J53" s="367" t="n">
        <v>38443</v>
      </c>
      <c r="K53" s="0" t="n">
        <v>1.5723581417457</v>
      </c>
      <c r="L53" s="385" t="n">
        <f aca="false">IF(H53="",F53,(I53+AB53)*K53/1.055056)</f>
        <v>4.74812051644823</v>
      </c>
      <c r="S53" s="367" t="n">
        <v>38443</v>
      </c>
      <c r="T53" s="0" t="n">
        <v>3.683</v>
      </c>
      <c r="U53" s="0" t="n">
        <v>0.27</v>
      </c>
      <c r="W53" s="0" t="n">
        <f aca="false">AB53-T53</f>
        <v>-0.0569999999999999</v>
      </c>
      <c r="X53" s="0" t="n">
        <f aca="false">AC53-U53</f>
        <v>0</v>
      </c>
      <c r="Y53" s="385" t="n">
        <f aca="false">I53-B53</f>
        <v>0</v>
      </c>
      <c r="AA53" s="367" t="n">
        <v>38443</v>
      </c>
      <c r="AB53" s="0" t="n">
        <v>3.626</v>
      </c>
      <c r="AC53" s="0" t="n">
        <v>0.27</v>
      </c>
      <c r="AI53" s="367" t="n">
        <v>38412</v>
      </c>
      <c r="AJ53" s="0" t="n">
        <v>-190.3804119</v>
      </c>
      <c r="AL53" s="367" t="n">
        <v>38412</v>
      </c>
      <c r="AM53" s="0" t="n">
        <v>-163.1832102</v>
      </c>
      <c r="AO53" s="367" t="n">
        <v>37500</v>
      </c>
      <c r="AP53" s="0" t="n">
        <v>-4.56534901256</v>
      </c>
    </row>
    <row r="54" customFormat="false" ht="12.75" hidden="false" customHeight="false" outlineLevel="0" collapsed="false">
      <c r="A54" s="367" t="n">
        <v>38473</v>
      </c>
      <c r="B54" s="0" t="n">
        <v>-0.44</v>
      </c>
      <c r="C54" s="367" t="n">
        <v>38473</v>
      </c>
      <c r="D54" s="0" t="n">
        <v>1.56939049710643</v>
      </c>
      <c r="F54" s="385" t="n">
        <f aca="false">(B54+T54)*D54/1.055056</f>
        <v>4.83138367499136</v>
      </c>
      <c r="G54" s="0" t="n">
        <f aca="false">K54-D54</f>
        <v>0.00280423010613995</v>
      </c>
      <c r="H54" s="367" t="n">
        <v>38473</v>
      </c>
      <c r="I54" s="0" t="n">
        <v>-0.44</v>
      </c>
      <c r="J54" s="367" t="n">
        <v>38473</v>
      </c>
      <c r="K54" s="0" t="n">
        <v>1.57219472721257</v>
      </c>
      <c r="L54" s="385" t="n">
        <f aca="false">IF(H54="",F54,(I54+AB54)*K54/1.055056)</f>
        <v>4.75507781059518</v>
      </c>
      <c r="S54" s="367" t="n">
        <v>38473</v>
      </c>
      <c r="T54" s="0" t="n">
        <v>3.688</v>
      </c>
      <c r="U54" s="0" t="n">
        <v>0.2625</v>
      </c>
      <c r="W54" s="0" t="n">
        <f aca="false">AB54-T54</f>
        <v>-0.0569999999999999</v>
      </c>
      <c r="X54" s="0" t="n">
        <f aca="false">AC54-U54</f>
        <v>0</v>
      </c>
      <c r="Y54" s="385" t="n">
        <f aca="false">I54-B54</f>
        <v>0</v>
      </c>
      <c r="AA54" s="367" t="n">
        <v>38473</v>
      </c>
      <c r="AB54" s="0" t="n">
        <v>3.631</v>
      </c>
      <c r="AC54" s="0" t="n">
        <v>0.2625</v>
      </c>
      <c r="AI54" s="367" t="n">
        <v>38443</v>
      </c>
      <c r="AJ54" s="0" t="n">
        <v>-183.41219875</v>
      </c>
      <c r="AL54" s="367" t="n">
        <v>38443</v>
      </c>
      <c r="AM54" s="0" t="n">
        <v>-157.21045606</v>
      </c>
      <c r="AO54" s="367" t="n">
        <v>37530</v>
      </c>
      <c r="AP54" s="0" t="n">
        <v>25.570095133674</v>
      </c>
    </row>
    <row r="55" customFormat="false" ht="12.75" hidden="false" customHeight="false" outlineLevel="0" collapsed="false">
      <c r="A55" s="367" t="n">
        <v>38504</v>
      </c>
      <c r="B55" s="0" t="n">
        <v>-0.44</v>
      </c>
      <c r="C55" s="367" t="n">
        <v>38504</v>
      </c>
      <c r="D55" s="0" t="n">
        <v>1.569184694171</v>
      </c>
      <c r="F55" s="385" t="n">
        <f aca="false">(B55+T55)*D55/1.055056</f>
        <v>4.88726750527546</v>
      </c>
      <c r="G55" s="0" t="n">
        <f aca="false">K55-D55</f>
        <v>0.00283397746632996</v>
      </c>
      <c r="H55" s="367" t="n">
        <v>38504</v>
      </c>
      <c r="I55" s="0" t="n">
        <v>-0.44</v>
      </c>
      <c r="J55" s="367" t="n">
        <v>38504</v>
      </c>
      <c r="K55" s="0" t="n">
        <v>1.57201867163733</v>
      </c>
      <c r="L55" s="385" t="n">
        <f aca="false">IF(H55="",F55,(I55+AB55)*K55/1.055056)</f>
        <v>4.81116480141048</v>
      </c>
      <c r="S55" s="367" t="n">
        <v>38504</v>
      </c>
      <c r="T55" s="0" t="n">
        <v>3.726</v>
      </c>
      <c r="U55" s="0" t="n">
        <v>0.2575</v>
      </c>
      <c r="W55" s="0" t="n">
        <f aca="false">AB55-T55</f>
        <v>-0.0569999999999999</v>
      </c>
      <c r="X55" s="0" t="n">
        <f aca="false">AC55-U55</f>
        <v>0</v>
      </c>
      <c r="Y55" s="385" t="n">
        <f aca="false">I55-B55</f>
        <v>0</v>
      </c>
      <c r="AA55" s="367" t="n">
        <v>38504</v>
      </c>
      <c r="AB55" s="0" t="n">
        <v>3.669</v>
      </c>
      <c r="AC55" s="0" t="n">
        <v>0.2575</v>
      </c>
      <c r="AI55" s="367" t="n">
        <v>38473</v>
      </c>
      <c r="AJ55" s="0" t="n">
        <v>-188.69221153</v>
      </c>
      <c r="AL55" s="367" t="n">
        <v>38473</v>
      </c>
      <c r="AM55" s="0" t="n">
        <v>-161.7361813</v>
      </c>
      <c r="AO55" s="367" t="n">
        <v>37561</v>
      </c>
      <c r="AP55" s="0" t="n">
        <v>24.682472424764</v>
      </c>
    </row>
    <row r="56" customFormat="false" ht="12.75" hidden="false" customHeight="false" outlineLevel="0" collapsed="false">
      <c r="A56" s="367" t="n">
        <v>38534</v>
      </c>
      <c r="B56" s="0" t="n">
        <v>-0.44</v>
      </c>
      <c r="C56" s="367" t="n">
        <v>38534</v>
      </c>
      <c r="D56" s="0" t="n">
        <v>1.56905883228744</v>
      </c>
      <c r="F56" s="385" t="n">
        <f aca="false">(B56+T56)*D56/1.055056</f>
        <v>4.95379863282088</v>
      </c>
      <c r="G56" s="0" t="n">
        <f aca="false">K56-D56</f>
        <v>0.00286472015815997</v>
      </c>
      <c r="H56" s="367" t="n">
        <v>38534</v>
      </c>
      <c r="I56" s="0" t="n">
        <v>-0.44</v>
      </c>
      <c r="J56" s="367" t="n">
        <v>38534</v>
      </c>
      <c r="K56" s="0" t="n">
        <v>1.5719235524456</v>
      </c>
      <c r="L56" s="385" t="n">
        <f aca="false">IF(H56="",F56,(I56+AB56)*K56/1.055056)</f>
        <v>4.87791900212585</v>
      </c>
      <c r="S56" s="367" t="n">
        <v>38534</v>
      </c>
      <c r="T56" s="0" t="n">
        <v>3.771</v>
      </c>
      <c r="U56" s="0" t="n">
        <v>0.2575</v>
      </c>
      <c r="W56" s="0" t="n">
        <f aca="false">AB56-T56</f>
        <v>-0.0570000000000004</v>
      </c>
      <c r="X56" s="0" t="n">
        <f aca="false">AC56-U56</f>
        <v>0</v>
      </c>
      <c r="Y56" s="385" t="n">
        <f aca="false">I56-B56</f>
        <v>0</v>
      </c>
      <c r="AA56" s="367" t="n">
        <v>38534</v>
      </c>
      <c r="AB56" s="0" t="n">
        <v>3.714</v>
      </c>
      <c r="AC56" s="0" t="n">
        <v>0.2575</v>
      </c>
      <c r="AI56" s="367" t="n">
        <v>38504</v>
      </c>
      <c r="AJ56" s="0" t="n">
        <v>-181.76494881</v>
      </c>
      <c r="AL56" s="367" t="n">
        <v>38504</v>
      </c>
      <c r="AM56" s="0" t="n">
        <v>-155.79852754</v>
      </c>
      <c r="AO56" s="367" t="n">
        <v>37591</v>
      </c>
      <c r="AP56" s="0" t="n">
        <v>25.44096034081</v>
      </c>
    </row>
    <row r="57" customFormat="false" ht="12.75" hidden="false" customHeight="false" outlineLevel="0" collapsed="false">
      <c r="A57" s="367" t="n">
        <v>38565</v>
      </c>
      <c r="B57" s="0" t="n">
        <v>-0.44</v>
      </c>
      <c r="C57" s="367" t="n">
        <v>38565</v>
      </c>
      <c r="D57" s="0" t="n">
        <v>1.56900429638635</v>
      </c>
      <c r="F57" s="385" t="n">
        <f aca="false">(B57+T57)*D57/1.055056</f>
        <v>5.01013735244917</v>
      </c>
      <c r="G57" s="0" t="n">
        <f aca="false">K57-D57</f>
        <v>0.00289850740501008</v>
      </c>
      <c r="H57" s="367" t="n">
        <v>38565</v>
      </c>
      <c r="I57" s="0" t="n">
        <v>-0.44</v>
      </c>
      <c r="J57" s="367" t="n">
        <v>38565</v>
      </c>
      <c r="K57" s="0" t="n">
        <v>1.57190280379136</v>
      </c>
      <c r="L57" s="385" t="n">
        <f aca="false">IF(H57="",F57,(I57+AB57)*K57/1.055056)</f>
        <v>4.93446991075069</v>
      </c>
      <c r="S57" s="367" t="n">
        <v>38565</v>
      </c>
      <c r="T57" s="0" t="n">
        <v>3.809</v>
      </c>
      <c r="U57" s="0" t="n">
        <v>0.2575</v>
      </c>
      <c r="W57" s="0" t="n">
        <f aca="false">AB57-T57</f>
        <v>-0.0569999999999999</v>
      </c>
      <c r="X57" s="0" t="n">
        <f aca="false">AC57-U57</f>
        <v>0</v>
      </c>
      <c r="Y57" s="385" t="n">
        <f aca="false">I57-B57</f>
        <v>0</v>
      </c>
      <c r="AA57" s="367" t="n">
        <v>38565</v>
      </c>
      <c r="AB57" s="0" t="n">
        <v>3.752</v>
      </c>
      <c r="AC57" s="0" t="n">
        <v>0.2575</v>
      </c>
      <c r="AI57" s="367" t="n">
        <v>38534</v>
      </c>
      <c r="AJ57" s="0" t="n">
        <v>-186.97680008</v>
      </c>
      <c r="AL57" s="367" t="n">
        <v>38534</v>
      </c>
      <c r="AM57" s="0" t="n">
        <v>-160.26582864</v>
      </c>
      <c r="AO57" s="367" t="n">
        <v>37622</v>
      </c>
      <c r="AP57" s="0" t="n">
        <v>23.730024877986</v>
      </c>
    </row>
    <row r="58" customFormat="false" ht="12.75" hidden="false" customHeight="false" outlineLevel="0" collapsed="false">
      <c r="A58" s="367" t="n">
        <v>38596</v>
      </c>
      <c r="B58" s="0" t="n">
        <v>-0.44</v>
      </c>
      <c r="C58" s="367" t="n">
        <v>38596</v>
      </c>
      <c r="D58" s="0" t="n">
        <v>1.56895086269772</v>
      </c>
      <c r="F58" s="385" t="n">
        <f aca="false">(B58+T58)*D58/1.055056</f>
        <v>5.00104425855351</v>
      </c>
      <c r="G58" s="0" t="n">
        <f aca="false">K58-D58</f>
        <v>0.0029313738922403</v>
      </c>
      <c r="H58" s="367" t="n">
        <v>38596</v>
      </c>
      <c r="I58" s="0" t="n">
        <v>-0.44</v>
      </c>
      <c r="J58" s="367" t="n">
        <v>38596</v>
      </c>
      <c r="K58" s="0" t="n">
        <v>1.57188223658996</v>
      </c>
      <c r="L58" s="385" t="n">
        <f aca="false">IF(H58="",F58,(I58+AB58)*K58/1.055056)</f>
        <v>4.92546620669084</v>
      </c>
      <c r="S58" s="367" t="n">
        <v>38596</v>
      </c>
      <c r="T58" s="0" t="n">
        <v>3.803</v>
      </c>
      <c r="U58" s="0" t="n">
        <v>0.2575</v>
      </c>
      <c r="W58" s="0" t="n">
        <f aca="false">AB58-T58</f>
        <v>-0.0570000000000004</v>
      </c>
      <c r="X58" s="0" t="n">
        <f aca="false">AC58-U58</f>
        <v>0</v>
      </c>
      <c r="Y58" s="385" t="n">
        <f aca="false">I58-B58</f>
        <v>0</v>
      </c>
      <c r="AA58" s="367" t="n">
        <v>38596</v>
      </c>
      <c r="AB58" s="0" t="n">
        <v>3.746</v>
      </c>
      <c r="AC58" s="0" t="n">
        <v>0.2575</v>
      </c>
      <c r="AI58" s="367" t="n">
        <v>38565</v>
      </c>
      <c r="AJ58" s="0" t="n">
        <v>-186.09493811</v>
      </c>
      <c r="AL58" s="367" t="n">
        <v>38565</v>
      </c>
      <c r="AM58" s="0" t="n">
        <v>-159.50994694</v>
      </c>
      <c r="AO58" s="367" t="n">
        <v>37653</v>
      </c>
      <c r="AP58" s="0" t="n">
        <v>21.369633662496</v>
      </c>
    </row>
    <row r="59" customFormat="false" ht="12.75" hidden="false" customHeight="false" outlineLevel="0" collapsed="false">
      <c r="A59" s="367" t="n">
        <v>38626</v>
      </c>
      <c r="B59" s="0" t="n">
        <v>-0.44</v>
      </c>
      <c r="C59" s="367" t="n">
        <v>38626</v>
      </c>
      <c r="D59" s="0" t="n">
        <v>1.56895341119564</v>
      </c>
      <c r="F59" s="385" t="n">
        <f aca="false">(B59+T59)*D59/1.055056</f>
        <v>5.00105238191237</v>
      </c>
      <c r="G59" s="0" t="n">
        <f aca="false">K59-D59</f>
        <v>0.0029615394743403</v>
      </c>
      <c r="H59" s="367" t="n">
        <v>38626</v>
      </c>
      <c r="I59" s="0" t="n">
        <v>-0.44</v>
      </c>
      <c r="J59" s="367" t="n">
        <v>38626</v>
      </c>
      <c r="K59" s="0" t="n">
        <v>1.57191495066998</v>
      </c>
      <c r="L59" s="385" t="n">
        <f aca="false">IF(H59="",F59,(I59+AB59)*K59/1.055056)</f>
        <v>4.9255687157032</v>
      </c>
      <c r="S59" s="367" t="n">
        <v>38626</v>
      </c>
      <c r="T59" s="0" t="n">
        <v>3.803</v>
      </c>
      <c r="U59" s="0" t="n">
        <v>0.2575</v>
      </c>
      <c r="W59" s="0" t="n">
        <f aca="false">AB59-T59</f>
        <v>-0.0570000000000004</v>
      </c>
      <c r="X59" s="0" t="n">
        <f aca="false">AC59-U59</f>
        <v>0</v>
      </c>
      <c r="Y59" s="385" t="n">
        <f aca="false">I59-B59</f>
        <v>0</v>
      </c>
      <c r="AA59" s="367" t="n">
        <v>38626</v>
      </c>
      <c r="AB59" s="0" t="n">
        <v>3.746</v>
      </c>
      <c r="AC59" s="0" t="n">
        <v>0.2575</v>
      </c>
      <c r="AI59" s="367" t="n">
        <v>38596</v>
      </c>
      <c r="AJ59" s="0" t="n">
        <v>-179.23205202</v>
      </c>
      <c r="AL59" s="367" t="n">
        <v>38596</v>
      </c>
      <c r="AM59" s="0" t="n">
        <v>-153.62747316</v>
      </c>
      <c r="AO59" s="367" t="n">
        <v>37681</v>
      </c>
      <c r="AP59" s="0" t="n">
        <v>23.593469986394</v>
      </c>
    </row>
    <row r="60" customFormat="false" ht="12.75" hidden="false" customHeight="false" outlineLevel="0" collapsed="false">
      <c r="A60" s="367" t="n">
        <v>38657</v>
      </c>
      <c r="B60" s="0" t="n">
        <v>-0.395</v>
      </c>
      <c r="C60" s="367" t="n">
        <v>38657</v>
      </c>
      <c r="D60" s="0" t="n">
        <v>1.56907849343463</v>
      </c>
      <c r="F60" s="385" t="n">
        <f aca="false">(B60+T60)*D60/1.055056</f>
        <v>5.28848053814541</v>
      </c>
      <c r="G60" s="0" t="n">
        <f aca="false">K60-D60</f>
        <v>0.00299202847555979</v>
      </c>
      <c r="H60" s="367" t="n">
        <v>38657</v>
      </c>
      <c r="I60" s="0" t="n">
        <v>-0.395</v>
      </c>
      <c r="J60" s="367" t="n">
        <v>38657</v>
      </c>
      <c r="K60" s="0" t="n">
        <v>1.57207052191019</v>
      </c>
      <c r="L60" s="385" t="n">
        <f aca="false">IF(H60="",F60,(I60+AB60)*K60/1.055056)</f>
        <v>5.21512301402548</v>
      </c>
      <c r="S60" s="367" t="n">
        <v>38657</v>
      </c>
      <c r="T60" s="0" t="n">
        <v>3.951</v>
      </c>
      <c r="U60" s="0" t="n">
        <v>0.2575</v>
      </c>
      <c r="W60" s="0" t="n">
        <f aca="false">AB60-T60</f>
        <v>-0.0560000000000001</v>
      </c>
      <c r="X60" s="0" t="n">
        <f aca="false">AC60-U60</f>
        <v>0</v>
      </c>
      <c r="Y60" s="385" t="n">
        <f aca="false">I60-B60</f>
        <v>0</v>
      </c>
      <c r="AA60" s="367" t="n">
        <v>38657</v>
      </c>
      <c r="AB60" s="0" t="n">
        <v>3.895</v>
      </c>
      <c r="AC60" s="0" t="n">
        <v>0.2575</v>
      </c>
      <c r="AI60" s="367" t="n">
        <v>38626</v>
      </c>
      <c r="AJ60" s="0" t="n">
        <v>-184.34045448</v>
      </c>
      <c r="AL60" s="367" t="n">
        <v>38626</v>
      </c>
      <c r="AM60" s="0" t="n">
        <v>-158.00610384</v>
      </c>
      <c r="AO60" s="367" t="n">
        <v>37712</v>
      </c>
      <c r="AP60" s="0" t="n">
        <v>22.75998416335</v>
      </c>
    </row>
    <row r="61" customFormat="false" ht="12.75" hidden="false" customHeight="false" outlineLevel="0" collapsed="false">
      <c r="A61" s="367" t="n">
        <v>38687</v>
      </c>
      <c r="B61" s="0" t="n">
        <v>-0.395</v>
      </c>
      <c r="C61" s="367" t="n">
        <v>38687</v>
      </c>
      <c r="D61" s="0" t="n">
        <v>1.56920758260148</v>
      </c>
      <c r="F61" s="385" t="n">
        <f aca="false">(B61+T61)*D61/1.055056</f>
        <v>5.51498850893819</v>
      </c>
      <c r="G61" s="0" t="n">
        <f aca="false">K61-D61</f>
        <v>0.00302064685493009</v>
      </c>
      <c r="H61" s="367" t="n">
        <v>38687</v>
      </c>
      <c r="I61" s="0" t="n">
        <v>-0.395</v>
      </c>
      <c r="J61" s="367" t="n">
        <v>38687</v>
      </c>
      <c r="K61" s="0" t="n">
        <v>1.57222822945641</v>
      </c>
      <c r="L61" s="385" t="n">
        <f aca="false">IF(H61="",F61,(I61+AB61)*K61/1.055056)</f>
        <v>5.44215424960837</v>
      </c>
      <c r="S61" s="367" t="n">
        <v>38687</v>
      </c>
      <c r="T61" s="0" t="n">
        <v>4.103</v>
      </c>
      <c r="U61" s="0" t="n">
        <v>0.2575</v>
      </c>
      <c r="W61" s="0" t="n">
        <f aca="false">AB61-T61</f>
        <v>-0.0559999999999992</v>
      </c>
      <c r="X61" s="0" t="n">
        <f aca="false">AC61-U61</f>
        <v>0</v>
      </c>
      <c r="Y61" s="385" t="n">
        <f aca="false">I61-B61</f>
        <v>0</v>
      </c>
      <c r="AA61" s="367" t="n">
        <v>38687</v>
      </c>
      <c r="AB61" s="0" t="n">
        <v>4.047</v>
      </c>
      <c r="AC61" s="0" t="n">
        <v>0.2575</v>
      </c>
      <c r="AI61" s="367" t="n">
        <v>38657</v>
      </c>
      <c r="AJ61" s="0" t="n">
        <v>-177.52194307</v>
      </c>
      <c r="AL61" s="367" t="n">
        <v>38657</v>
      </c>
      <c r="AM61" s="0" t="n">
        <v>-139.48152671</v>
      </c>
      <c r="AO61" s="367" t="n">
        <v>37742</v>
      </c>
      <c r="AP61" s="0" t="n">
        <v>23.444257671268</v>
      </c>
    </row>
    <row r="62" customFormat="false" ht="12.75" hidden="false" customHeight="false" outlineLevel="0" collapsed="false">
      <c r="A62" s="367" t="n">
        <v>38718</v>
      </c>
      <c r="B62" s="0" t="n">
        <v>-0.395</v>
      </c>
      <c r="C62" s="367" t="n">
        <v>38718</v>
      </c>
      <c r="D62" s="0" t="n">
        <v>1.56948091388307</v>
      </c>
      <c r="F62" s="385" t="n">
        <f aca="false">(B62+T62)*D62/1.055056</f>
        <v>5.60148502186301</v>
      </c>
      <c r="G62" s="0" t="n">
        <f aca="false">K62-D62</f>
        <v>0.00301795357150003</v>
      </c>
      <c r="H62" s="367" t="n">
        <v>38718</v>
      </c>
      <c r="I62" s="0" t="n">
        <v>-0.395</v>
      </c>
      <c r="J62" s="367" t="n">
        <v>38718</v>
      </c>
      <c r="K62" s="0" t="n">
        <v>1.57249886745457</v>
      </c>
      <c r="L62" s="385" t="n">
        <f aca="false">IF(H62="",F62,(I62+AB62)*K62/1.055056)</f>
        <v>5.5362436147086</v>
      </c>
      <c r="S62" s="367" t="n">
        <v>38718</v>
      </c>
      <c r="T62" s="0" t="n">
        <v>4.1605</v>
      </c>
      <c r="U62" s="0" t="n">
        <v>0.2575</v>
      </c>
      <c r="W62" s="0" t="n">
        <f aca="false">AB62-T62</f>
        <v>-0.0509999999999993</v>
      </c>
      <c r="X62" s="0" t="n">
        <f aca="false">AC62-U62</f>
        <v>0</v>
      </c>
      <c r="Y62" s="385" t="n">
        <f aca="false">I62-B62</f>
        <v>0</v>
      </c>
      <c r="AA62" s="367" t="n">
        <v>38718</v>
      </c>
      <c r="AB62" s="0" t="n">
        <v>4.1095</v>
      </c>
      <c r="AC62" s="0" t="n">
        <v>0.2575</v>
      </c>
      <c r="AI62" s="367" t="n">
        <v>38687</v>
      </c>
      <c r="AJ62" s="0" t="n">
        <v>-182.56137928</v>
      </c>
      <c r="AL62" s="367" t="n">
        <v>38687</v>
      </c>
      <c r="AM62" s="0" t="n">
        <v>-143.44108372</v>
      </c>
      <c r="AO62" s="367" t="n">
        <v>37773</v>
      </c>
      <c r="AP62" s="0" t="n">
        <v>22.61163389128</v>
      </c>
    </row>
    <row r="63" customFormat="false" ht="12.75" hidden="false" customHeight="false" outlineLevel="0" collapsed="false">
      <c r="A63" s="367" t="n">
        <v>38749</v>
      </c>
      <c r="B63" s="0" t="n">
        <v>-0.395</v>
      </c>
      <c r="C63" s="367" t="n">
        <v>38749</v>
      </c>
      <c r="D63" s="0" t="n">
        <v>1.57001223873161</v>
      </c>
      <c r="F63" s="385" t="n">
        <f aca="false">(B63+T63)*D63/1.055056</f>
        <v>5.47391799124807</v>
      </c>
      <c r="G63" s="0" t="n">
        <f aca="false">K63-D63</f>
        <v>0.0029548940014299</v>
      </c>
      <c r="H63" s="367" t="n">
        <v>38749</v>
      </c>
      <c r="I63" s="0" t="n">
        <v>-0.395</v>
      </c>
      <c r="J63" s="367" t="n">
        <v>38749</v>
      </c>
      <c r="K63" s="0" t="n">
        <v>1.57296713273304</v>
      </c>
      <c r="L63" s="385" t="n">
        <f aca="false">IF(H63="",F63,(I63+AB63)*K63/1.055056)</f>
        <v>5.40669434310252</v>
      </c>
      <c r="S63" s="367" t="n">
        <v>38749</v>
      </c>
      <c r="T63" s="0" t="n">
        <v>4.0735</v>
      </c>
      <c r="U63" s="0" t="n">
        <v>0.25</v>
      </c>
      <c r="W63" s="0" t="n">
        <f aca="false">AB63-T63</f>
        <v>-0.0519999999999996</v>
      </c>
      <c r="X63" s="0" t="n">
        <f aca="false">AC63-U63</f>
        <v>0</v>
      </c>
      <c r="Y63" s="385" t="n">
        <f aca="false">I63-B63</f>
        <v>0</v>
      </c>
      <c r="AA63" s="367" t="n">
        <v>38749</v>
      </c>
      <c r="AB63" s="0" t="n">
        <v>4.0215</v>
      </c>
      <c r="AC63" s="0" t="n">
        <v>0.25</v>
      </c>
      <c r="AI63" s="367" t="n">
        <v>38718</v>
      </c>
      <c r="AJ63" s="0" t="n">
        <v>-181.64817286</v>
      </c>
      <c r="AL63" s="367" t="n">
        <v>38718</v>
      </c>
      <c r="AM63" s="0" t="n">
        <v>-116.77382541</v>
      </c>
      <c r="AO63" s="367" t="n">
        <v>37803</v>
      </c>
      <c r="AP63" s="0" t="n">
        <v>23.28705479555</v>
      </c>
    </row>
    <row r="64" customFormat="false" ht="12.75" hidden="false" customHeight="false" outlineLevel="0" collapsed="false">
      <c r="A64" s="367" t="n">
        <v>38777</v>
      </c>
      <c r="B64" s="0" t="n">
        <v>-0.395</v>
      </c>
      <c r="C64" s="367" t="n">
        <v>38777</v>
      </c>
      <c r="D64" s="0" t="n">
        <v>1.57051237937649</v>
      </c>
      <c r="F64" s="385" t="n">
        <f aca="false">(B64+T64)*D64/1.055056</f>
        <v>5.26875214851447</v>
      </c>
      <c r="G64" s="0" t="n">
        <f aca="false">K64-D64</f>
        <v>0.00289404219697986</v>
      </c>
      <c r="H64" s="367" t="n">
        <v>38777</v>
      </c>
      <c r="I64" s="0" t="n">
        <v>-0.395</v>
      </c>
      <c r="J64" s="367" t="n">
        <v>38777</v>
      </c>
      <c r="K64" s="0" t="n">
        <v>1.57340642157347</v>
      </c>
      <c r="L64" s="385" t="n">
        <f aca="false">IF(H64="",F64,(I64+AB64)*K64/1.055056)</f>
        <v>5.20091340671725</v>
      </c>
      <c r="S64" s="367" t="n">
        <v>38777</v>
      </c>
      <c r="T64" s="0" t="n">
        <v>3.9345</v>
      </c>
      <c r="U64" s="0" t="n">
        <v>0.2425</v>
      </c>
      <c r="W64" s="0" t="n">
        <f aca="false">AB64-T64</f>
        <v>-0.0520000000000005</v>
      </c>
      <c r="X64" s="0" t="n">
        <f aca="false">AC64-U64</f>
        <v>0</v>
      </c>
      <c r="Y64" s="385" t="n">
        <f aca="false">I64-B64</f>
        <v>0</v>
      </c>
      <c r="AA64" s="367" t="n">
        <v>38777</v>
      </c>
      <c r="AB64" s="0" t="n">
        <v>3.8825</v>
      </c>
      <c r="AC64" s="0" t="n">
        <v>0.2425</v>
      </c>
      <c r="AI64" s="367" t="n">
        <v>38749</v>
      </c>
      <c r="AJ64" s="0" t="n">
        <v>-163.23912108</v>
      </c>
      <c r="AL64" s="367" t="n">
        <v>38749</v>
      </c>
      <c r="AM64" s="0" t="n">
        <v>-104.93943498</v>
      </c>
      <c r="AO64" s="367" t="n">
        <v>37834</v>
      </c>
      <c r="AP64" s="0" t="n">
        <v>23.204160406588</v>
      </c>
    </row>
    <row r="65" customFormat="false" ht="12.75" hidden="false" customHeight="false" outlineLevel="0" collapsed="false">
      <c r="A65" s="367" t="n">
        <v>38808</v>
      </c>
      <c r="B65" s="0" t="n">
        <v>-0.44</v>
      </c>
      <c r="C65" s="367" t="n">
        <v>38808</v>
      </c>
      <c r="D65" s="0" t="n">
        <v>1.57108852196588</v>
      </c>
      <c r="F65" s="385" t="n">
        <f aca="false">(B65+T65)*D65/1.055056</f>
        <v>4.97435321691647</v>
      </c>
      <c r="G65" s="0" t="n">
        <f aca="false">K65-D65</f>
        <v>0.00282235337040992</v>
      </c>
      <c r="H65" s="367" t="n">
        <v>38808</v>
      </c>
      <c r="I65" s="0" t="n">
        <v>-0.44</v>
      </c>
      <c r="J65" s="367" t="n">
        <v>38808</v>
      </c>
      <c r="K65" s="0" t="n">
        <v>1.57391087533629</v>
      </c>
      <c r="L65" s="385" t="n">
        <f aca="false">IF(H65="",F65,(I65+AB65)*K65/1.055056)</f>
        <v>4.90571677099926</v>
      </c>
      <c r="S65" s="367" t="n">
        <v>38808</v>
      </c>
      <c r="T65" s="0" t="n">
        <v>3.7805</v>
      </c>
      <c r="U65" s="0" t="n">
        <v>0.24</v>
      </c>
      <c r="W65" s="0" t="n">
        <f aca="false">AB65-T65</f>
        <v>-0.0519999999999996</v>
      </c>
      <c r="X65" s="0" t="n">
        <f aca="false">AC65-U65</f>
        <v>0</v>
      </c>
      <c r="Y65" s="385" t="n">
        <f aca="false">I65-B65</f>
        <v>0</v>
      </c>
      <c r="AA65" s="367" t="n">
        <v>38808</v>
      </c>
      <c r="AB65" s="0" t="n">
        <v>3.7285</v>
      </c>
      <c r="AC65" s="0" t="n">
        <v>0.24</v>
      </c>
      <c r="AI65" s="367" t="n">
        <v>38777</v>
      </c>
      <c r="AJ65" s="0" t="n">
        <v>-179.8938414</v>
      </c>
      <c r="AL65" s="367" t="n">
        <v>38777</v>
      </c>
      <c r="AM65" s="0" t="n">
        <v>-115.6460409</v>
      </c>
      <c r="AO65" s="367" t="n">
        <v>37865</v>
      </c>
      <c r="AP65" s="0" t="n">
        <v>22.37349061108</v>
      </c>
    </row>
    <row r="66" customFormat="false" ht="12.75" hidden="false" customHeight="false" outlineLevel="0" collapsed="false">
      <c r="A66" s="367" t="n">
        <v>38838</v>
      </c>
      <c r="B66" s="0" t="n">
        <v>-0.44</v>
      </c>
      <c r="C66" s="367" t="n">
        <v>38838</v>
      </c>
      <c r="D66" s="0" t="n">
        <v>1.57166852095346</v>
      </c>
      <c r="F66" s="385" t="n">
        <f aca="false">(B66+T66)*D66/1.055056</f>
        <v>4.98363787026452</v>
      </c>
      <c r="G66" s="0" t="n">
        <f aca="false">K66-D66</f>
        <v>0.00274865215535014</v>
      </c>
      <c r="H66" s="367" t="n">
        <v>38838</v>
      </c>
      <c r="I66" s="0" t="n">
        <v>-0.44</v>
      </c>
      <c r="J66" s="367" t="n">
        <v>38838</v>
      </c>
      <c r="K66" s="0" t="n">
        <v>1.57441717310881</v>
      </c>
      <c r="L66" s="385" t="n">
        <f aca="false">IF(H66="",F66,(I66+AB66)*K66/1.055056)</f>
        <v>4.91475614529832</v>
      </c>
      <c r="S66" s="367" t="n">
        <v>38838</v>
      </c>
      <c r="T66" s="0" t="n">
        <v>3.7855</v>
      </c>
      <c r="U66" s="0" t="n">
        <v>0.2375</v>
      </c>
      <c r="W66" s="0" t="n">
        <f aca="false">AB66-T66</f>
        <v>-0.052</v>
      </c>
      <c r="X66" s="0" t="n">
        <f aca="false">AC66-U66</f>
        <v>0</v>
      </c>
      <c r="Y66" s="385" t="n">
        <f aca="false">I66-B66</f>
        <v>0</v>
      </c>
      <c r="AA66" s="367" t="n">
        <v>38838</v>
      </c>
      <c r="AB66" s="0" t="n">
        <v>3.7335</v>
      </c>
      <c r="AC66" s="0" t="n">
        <v>0.2375</v>
      </c>
      <c r="AI66" s="367" t="n">
        <v>38808</v>
      </c>
      <c r="AJ66" s="0" t="n">
        <v>-173.1907513</v>
      </c>
      <c r="AL66" s="367" t="n">
        <v>38808</v>
      </c>
      <c r="AM66" s="0" t="n">
        <v>-111.33691156</v>
      </c>
      <c r="AO66" s="367" t="n">
        <v>37895</v>
      </c>
      <c r="AP66" s="0" t="n">
        <v>23.035251717492</v>
      </c>
    </row>
    <row r="67" customFormat="false" ht="12.75" hidden="false" customHeight="false" outlineLevel="0" collapsed="false">
      <c r="A67" s="367" t="n">
        <v>38869</v>
      </c>
      <c r="B67" s="0" t="n">
        <v>-0.44</v>
      </c>
      <c r="C67" s="367" t="n">
        <v>38869</v>
      </c>
      <c r="D67" s="0" t="n">
        <v>1.57229105881956</v>
      </c>
      <c r="F67" s="385" t="n">
        <f aca="false">(B67+T67)*D67/1.055056</f>
        <v>5.04224116778255</v>
      </c>
      <c r="G67" s="0" t="n">
        <f aca="false">K67-D67</f>
        <v>0.00266801903953029</v>
      </c>
      <c r="H67" s="367" t="n">
        <v>38869</v>
      </c>
      <c r="I67" s="0" t="n">
        <v>-0.44</v>
      </c>
      <c r="J67" s="367" t="n">
        <v>38869</v>
      </c>
      <c r="K67" s="0" t="n">
        <v>1.57495907785909</v>
      </c>
      <c r="L67" s="385" t="n">
        <f aca="false">IF(H67="",F67,(I67+AB67)*K67/1.055056)</f>
        <v>4.97317314710078</v>
      </c>
      <c r="S67" s="367" t="n">
        <v>38869</v>
      </c>
      <c r="T67" s="0" t="n">
        <v>3.8235</v>
      </c>
      <c r="U67" s="0" t="n">
        <v>0.2375</v>
      </c>
      <c r="W67" s="0" t="n">
        <f aca="false">AB67-T67</f>
        <v>-0.052</v>
      </c>
      <c r="X67" s="0" t="n">
        <f aca="false">AC67-U67</f>
        <v>0</v>
      </c>
      <c r="Y67" s="385" t="n">
        <f aca="false">I67-B67</f>
        <v>0</v>
      </c>
      <c r="AA67" s="367" t="n">
        <v>38869</v>
      </c>
      <c r="AB67" s="0" t="n">
        <v>3.7715</v>
      </c>
      <c r="AC67" s="0" t="n">
        <v>0.2375</v>
      </c>
      <c r="AI67" s="367" t="n">
        <v>38838</v>
      </c>
      <c r="AJ67" s="0" t="n">
        <v>-178.05844266</v>
      </c>
      <c r="AL67" s="367" t="n">
        <v>38838</v>
      </c>
      <c r="AM67" s="0" t="n">
        <v>-114.46614171</v>
      </c>
      <c r="AO67" s="367" t="n">
        <v>37926</v>
      </c>
      <c r="AP67" s="0" t="n">
        <v>22.20754575893</v>
      </c>
    </row>
    <row r="68" customFormat="false" ht="12.75" hidden="false" customHeight="false" outlineLevel="0" collapsed="false">
      <c r="A68" s="367" t="n">
        <v>38899</v>
      </c>
      <c r="B68" s="0" t="n">
        <v>-0.44</v>
      </c>
      <c r="C68" s="367" t="n">
        <v>38899</v>
      </c>
      <c r="D68" s="0" t="n">
        <v>1.5729159879968</v>
      </c>
      <c r="F68" s="385" t="n">
        <f aca="false">(B68+T68)*D68/1.055056</f>
        <v>5.1113329196242</v>
      </c>
      <c r="G68" s="0" t="n">
        <f aca="false">K68-D68</f>
        <v>0.00258564998530009</v>
      </c>
      <c r="H68" s="367" t="n">
        <v>38899</v>
      </c>
      <c r="I68" s="0" t="n">
        <v>-0.44</v>
      </c>
      <c r="J68" s="367" t="n">
        <v>38899</v>
      </c>
      <c r="K68" s="0" t="n">
        <v>1.5755016379821</v>
      </c>
      <c r="L68" s="385" t="n">
        <f aca="false">IF(H68="",F68,(I68+AB68)*K68/1.055056)</f>
        <v>5.04208428808192</v>
      </c>
      <c r="S68" s="367" t="n">
        <v>38899</v>
      </c>
      <c r="T68" s="0" t="n">
        <v>3.8685</v>
      </c>
      <c r="U68" s="0" t="n">
        <v>0.2375</v>
      </c>
      <c r="W68" s="0" t="n">
        <f aca="false">AB68-T68</f>
        <v>-0.052</v>
      </c>
      <c r="X68" s="0" t="n">
        <f aca="false">AC68-U68</f>
        <v>0</v>
      </c>
      <c r="Y68" s="385" t="n">
        <f aca="false">I68-B68</f>
        <v>0</v>
      </c>
      <c r="AA68" s="367" t="n">
        <v>38899</v>
      </c>
      <c r="AB68" s="0" t="n">
        <v>3.8165</v>
      </c>
      <c r="AC68" s="0" t="n">
        <v>0.2375</v>
      </c>
      <c r="AI68" s="367" t="n">
        <v>38869</v>
      </c>
      <c r="AJ68" s="0" t="n">
        <v>-171.40414928</v>
      </c>
      <c r="AL68" s="367" t="n">
        <v>38869</v>
      </c>
      <c r="AM68" s="0" t="n">
        <v>-110.18838168</v>
      </c>
      <c r="AO68" s="367" t="n">
        <v>37956</v>
      </c>
      <c r="AP68" s="0" t="n">
        <v>22.865119901974</v>
      </c>
    </row>
    <row r="69" customFormat="false" ht="12.75" hidden="false" customHeight="false" outlineLevel="0" collapsed="false">
      <c r="A69" s="367" t="n">
        <v>38930</v>
      </c>
      <c r="B69" s="0" t="n">
        <v>-0.44</v>
      </c>
      <c r="C69" s="367" t="n">
        <v>38930</v>
      </c>
      <c r="D69" s="0" t="n">
        <v>1.57358498832638</v>
      </c>
      <c r="F69" s="385" t="n">
        <f aca="false">(B69+T69)*D69/1.055056</f>
        <v>5.17018277895524</v>
      </c>
      <c r="G69" s="0" t="n">
        <f aca="false">K69-D69</f>
        <v>0.0024960469198998</v>
      </c>
      <c r="H69" s="367" t="n">
        <v>38930</v>
      </c>
      <c r="I69" s="0" t="n">
        <v>-0.44</v>
      </c>
      <c r="J69" s="367" t="n">
        <v>38930</v>
      </c>
      <c r="K69" s="0" t="n">
        <v>1.57608103524628</v>
      </c>
      <c r="L69" s="385" t="n">
        <f aca="false">IF(H69="",F69,(I69+AB69)*K69/1.055056)</f>
        <v>5.10070431792097</v>
      </c>
      <c r="S69" s="367" t="n">
        <v>38930</v>
      </c>
      <c r="T69" s="0" t="n">
        <v>3.9065</v>
      </c>
      <c r="U69" s="0" t="n">
        <v>0.2375</v>
      </c>
      <c r="W69" s="0" t="n">
        <f aca="false">AB69-T69</f>
        <v>-0.052</v>
      </c>
      <c r="X69" s="0" t="n">
        <f aca="false">AC69-U69</f>
        <v>0</v>
      </c>
      <c r="Y69" s="385" t="n">
        <f aca="false">I69-B69</f>
        <v>0</v>
      </c>
      <c r="AA69" s="367" t="n">
        <v>38930</v>
      </c>
      <c r="AB69" s="0" t="n">
        <v>3.8545</v>
      </c>
      <c r="AC69" s="0" t="n">
        <v>0.2375</v>
      </c>
      <c r="AI69" s="367" t="n">
        <v>38899</v>
      </c>
      <c r="AJ69" s="0" t="n">
        <v>-176.20213996</v>
      </c>
      <c r="AL69" s="367" t="n">
        <v>38899</v>
      </c>
      <c r="AM69" s="0" t="n">
        <v>-113.27280426</v>
      </c>
      <c r="AO69" s="367" t="n">
        <v>37987</v>
      </c>
      <c r="AP69" s="0" t="n">
        <v>7.937001769354</v>
      </c>
    </row>
    <row r="70" customFormat="false" ht="12.75" hidden="false" customHeight="false" outlineLevel="0" collapsed="false">
      <c r="A70" s="367" t="n">
        <v>38961</v>
      </c>
      <c r="B70" s="0" t="n">
        <v>-0.44</v>
      </c>
      <c r="C70" s="367" t="n">
        <v>38961</v>
      </c>
      <c r="D70" s="0" t="n">
        <v>1.57427762904488</v>
      </c>
      <c r="F70" s="385" t="n">
        <f aca="false">(B70+T70)*D70/1.055056</f>
        <v>5.16350576207311</v>
      </c>
      <c r="G70" s="0" t="n">
        <f aca="false">K70-D70</f>
        <v>0.00240187462292996</v>
      </c>
      <c r="H70" s="367" t="n">
        <v>38961</v>
      </c>
      <c r="I70" s="0" t="n">
        <v>-0.44</v>
      </c>
      <c r="J70" s="367" t="n">
        <v>38961</v>
      </c>
      <c r="K70" s="0" t="n">
        <v>1.57667950366781</v>
      </c>
      <c r="L70" s="385" t="n">
        <f aca="false">IF(H70="",F70,(I70+AB70)*K70/1.055056)</f>
        <v>5.09367473219595</v>
      </c>
      <c r="S70" s="367" t="n">
        <v>38961</v>
      </c>
      <c r="T70" s="0" t="n">
        <v>3.9005</v>
      </c>
      <c r="U70" s="0" t="n">
        <v>0.2375</v>
      </c>
      <c r="W70" s="0" t="n">
        <f aca="false">AB70-T70</f>
        <v>-0.052</v>
      </c>
      <c r="X70" s="0" t="n">
        <f aca="false">AC70-U70</f>
        <v>0</v>
      </c>
      <c r="Y70" s="385" t="n">
        <f aca="false">I70-B70</f>
        <v>0</v>
      </c>
      <c r="AA70" s="367" t="n">
        <v>38961</v>
      </c>
      <c r="AB70" s="0" t="n">
        <v>3.8485</v>
      </c>
      <c r="AC70" s="0" t="n">
        <v>0.2375</v>
      </c>
      <c r="AI70" s="367" t="n">
        <v>38930</v>
      </c>
      <c r="AJ70" s="0" t="n">
        <v>-175.25110414</v>
      </c>
      <c r="AL70" s="367" t="n">
        <v>38930</v>
      </c>
      <c r="AM70" s="0" t="n">
        <v>-112.66142408</v>
      </c>
      <c r="AO70" s="367" t="n">
        <v>38018</v>
      </c>
      <c r="AP70" s="0" t="n">
        <v>7.396111511782</v>
      </c>
    </row>
    <row r="71" customFormat="false" ht="12.75" hidden="false" customHeight="false" outlineLevel="0" collapsed="false">
      <c r="A71" s="367" t="n">
        <v>38991</v>
      </c>
      <c r="B71" s="0" t="n">
        <v>-0.44</v>
      </c>
      <c r="C71" s="367" t="n">
        <v>38991</v>
      </c>
      <c r="D71" s="0" t="n">
        <v>1.5749704545922</v>
      </c>
      <c r="F71" s="385" t="n">
        <f aca="false">(B71+T71)*D71/1.055056</f>
        <v>5.16577817491802</v>
      </c>
      <c r="G71" s="0" t="n">
        <f aca="false">K71-D71</f>
        <v>0.0023063823556797</v>
      </c>
      <c r="H71" s="367" t="n">
        <v>38991</v>
      </c>
      <c r="I71" s="0" t="n">
        <v>-0.44</v>
      </c>
      <c r="J71" s="367" t="n">
        <v>38991</v>
      </c>
      <c r="K71" s="0" t="n">
        <v>1.57727683694788</v>
      </c>
      <c r="L71" s="385" t="n">
        <f aca="false">IF(H71="",F71,(I71+AB71)*K71/1.055056)</f>
        <v>5.09560449752132</v>
      </c>
      <c r="S71" s="367" t="n">
        <v>38991</v>
      </c>
      <c r="T71" s="0" t="n">
        <v>3.9005</v>
      </c>
      <c r="U71" s="0" t="n">
        <v>0.2375</v>
      </c>
      <c r="W71" s="0" t="n">
        <f aca="false">AB71-T71</f>
        <v>-0.052</v>
      </c>
      <c r="X71" s="0" t="n">
        <f aca="false">AC71-U71</f>
        <v>0</v>
      </c>
      <c r="Y71" s="385" t="n">
        <f aca="false">I71-B71</f>
        <v>0</v>
      </c>
      <c r="AA71" s="367" t="n">
        <v>38991</v>
      </c>
      <c r="AB71" s="0" t="n">
        <v>3.8485</v>
      </c>
      <c r="AC71" s="0" t="n">
        <v>0.2375</v>
      </c>
      <c r="AI71" s="367" t="n">
        <v>38961</v>
      </c>
      <c r="AJ71" s="0" t="n">
        <v>-168.6726636</v>
      </c>
      <c r="AL71" s="367" t="n">
        <v>38961</v>
      </c>
      <c r="AM71" s="0" t="n">
        <v>-108.4324266</v>
      </c>
      <c r="AO71" s="367" t="n">
        <v>38047</v>
      </c>
      <c r="AP71" s="0" t="n">
        <v>7.876895402138</v>
      </c>
    </row>
    <row r="72" customFormat="false" ht="12.75" hidden="false" customHeight="false" outlineLevel="0" collapsed="false">
      <c r="A72" s="367" t="n">
        <v>39022</v>
      </c>
      <c r="B72" s="0" t="n">
        <v>-0.4</v>
      </c>
      <c r="C72" s="367" t="n">
        <v>39022</v>
      </c>
      <c r="D72" s="0" t="n">
        <v>1.57548297461449</v>
      </c>
      <c r="F72" s="385" t="n">
        <f aca="false">(B72+T72)*D72/1.055056</f>
        <v>5.44819387111297</v>
      </c>
      <c r="G72" s="0" t="n">
        <f aca="false">K72-D72</f>
        <v>0.00217042469167006</v>
      </c>
      <c r="H72" s="367" t="n">
        <v>39022</v>
      </c>
      <c r="I72" s="0" t="n">
        <v>-0.4</v>
      </c>
      <c r="J72" s="367" t="n">
        <v>39022</v>
      </c>
      <c r="K72" s="0" t="n">
        <v>1.57765339930616</v>
      </c>
      <c r="L72" s="385" t="n">
        <f aca="false">IF(H72="",F72,(I72+AB72)*K72/1.055056)</f>
        <v>5.37943777771408</v>
      </c>
      <c r="S72" s="367" t="n">
        <v>39022</v>
      </c>
      <c r="T72" s="0" t="n">
        <v>4.0485</v>
      </c>
      <c r="U72" s="0" t="n">
        <v>0.2375</v>
      </c>
      <c r="W72" s="0" t="n">
        <f aca="false">AB72-T72</f>
        <v>-0.0509999999999997</v>
      </c>
      <c r="X72" s="0" t="n">
        <f aca="false">AC72-U72</f>
        <v>0</v>
      </c>
      <c r="Y72" s="385" t="n">
        <f aca="false">I72-B72</f>
        <v>0</v>
      </c>
      <c r="AA72" s="367" t="n">
        <v>39022</v>
      </c>
      <c r="AB72" s="0" t="n">
        <v>3.9975</v>
      </c>
      <c r="AC72" s="0" t="n">
        <v>0.2375</v>
      </c>
      <c r="AI72" s="367" t="n">
        <v>38991</v>
      </c>
      <c r="AJ72" s="0" t="n">
        <v>-173.3652949</v>
      </c>
      <c r="AL72" s="367" t="n">
        <v>38991</v>
      </c>
      <c r="AM72" s="0" t="n">
        <v>-111.44911814</v>
      </c>
      <c r="AO72" s="367" t="n">
        <v>38078</v>
      </c>
      <c r="AP72" s="0" t="n">
        <v>7.592022624802</v>
      </c>
    </row>
    <row r="73" customFormat="false" ht="12.75" hidden="false" customHeight="false" outlineLevel="0" collapsed="false">
      <c r="A73" s="367" t="n">
        <v>39052</v>
      </c>
      <c r="B73" s="0" t="n">
        <v>-0.4</v>
      </c>
      <c r="C73" s="367" t="n">
        <v>39052</v>
      </c>
      <c r="D73" s="0" t="n">
        <v>1.57548565660315</v>
      </c>
      <c r="F73" s="385" t="n">
        <f aca="false">(B73+T73)*D73/1.055056</f>
        <v>5.67518050029598</v>
      </c>
      <c r="G73" s="0" t="n">
        <f aca="false">K73-D73</f>
        <v>0.00216518075631988</v>
      </c>
      <c r="H73" s="367" t="n">
        <v>39052</v>
      </c>
      <c r="I73" s="0" t="n">
        <v>-0.4</v>
      </c>
      <c r="J73" s="367" t="n">
        <v>39052</v>
      </c>
      <c r="K73" s="0" t="n">
        <v>1.57765083735947</v>
      </c>
      <c r="L73" s="385" t="n">
        <f aca="false">IF(H73="",F73,(I73+AB73)*K73/1.055056)</f>
        <v>5.60671833028705</v>
      </c>
      <c r="S73" s="367" t="n">
        <v>39052</v>
      </c>
      <c r="T73" s="0" t="n">
        <v>4.2005</v>
      </c>
      <c r="U73" s="0" t="n">
        <v>0.24</v>
      </c>
      <c r="W73" s="0" t="n">
        <f aca="false">AB73-T73</f>
        <v>-0.0509999999999993</v>
      </c>
      <c r="X73" s="0" t="n">
        <f aca="false">AC73-U73</f>
        <v>0</v>
      </c>
      <c r="Y73" s="385" t="n">
        <f aca="false">I73-B73</f>
        <v>0</v>
      </c>
      <c r="AA73" s="367" t="n">
        <v>39052</v>
      </c>
      <c r="AB73" s="0" t="n">
        <v>4.1495</v>
      </c>
      <c r="AC73" s="0" t="n">
        <v>0.24</v>
      </c>
      <c r="AI73" s="367" t="n">
        <v>39022</v>
      </c>
      <c r="AJ73" s="0" t="n">
        <v>-166.87365366</v>
      </c>
      <c r="AL73" s="367" t="n">
        <v>39022</v>
      </c>
      <c r="AM73" s="0" t="n">
        <v>-107.27592021</v>
      </c>
      <c r="AO73" s="367" t="n">
        <v>38108</v>
      </c>
      <c r="AP73" s="0" t="n">
        <v>7.813833017326</v>
      </c>
    </row>
    <row r="74" customFormat="false" ht="12.75" hidden="false" customHeight="false" outlineLevel="0" collapsed="false">
      <c r="A74" s="367" t="n">
        <v>39083</v>
      </c>
      <c r="B74" s="0" t="n">
        <v>-0.4</v>
      </c>
      <c r="C74" s="367" t="n">
        <v>39083</v>
      </c>
      <c r="D74" s="0" t="n">
        <v>1.57548687585739</v>
      </c>
      <c r="F74" s="385" t="n">
        <f aca="false">(B74+T74)*D74/1.055056</f>
        <v>5.76478128577768</v>
      </c>
      <c r="G74" s="0" t="n">
        <f aca="false">K74-D74</f>
        <v>0.00215866159880007</v>
      </c>
      <c r="H74" s="367" t="n">
        <v>39083</v>
      </c>
      <c r="I74" s="0" t="n">
        <v>-0.4</v>
      </c>
      <c r="J74" s="367" t="n">
        <v>39083</v>
      </c>
      <c r="K74" s="0" t="n">
        <v>1.57764553745619</v>
      </c>
      <c r="L74" s="385" t="n">
        <f aca="false">IF(H74="",F74,(I74+AB74)*K74/1.055056)</f>
        <v>5.7038952459648</v>
      </c>
      <c r="S74" s="367" t="n">
        <v>39083</v>
      </c>
      <c r="T74" s="0" t="n">
        <v>4.2605</v>
      </c>
      <c r="U74" s="0" t="n">
        <v>0.2425</v>
      </c>
      <c r="W74" s="0" t="n">
        <f aca="false">AB74-T74</f>
        <v>-0.0460000000000003</v>
      </c>
      <c r="X74" s="0" t="n">
        <f aca="false">AC74-U74</f>
        <v>0</v>
      </c>
      <c r="Y74" s="385" t="n">
        <f aca="false">I74-B74</f>
        <v>0</v>
      </c>
      <c r="AA74" s="367" t="n">
        <v>39083</v>
      </c>
      <c r="AB74" s="0" t="n">
        <v>4.2145</v>
      </c>
      <c r="AC74" s="0" t="n">
        <v>0.2425</v>
      </c>
      <c r="AI74" s="367" t="n">
        <v>39052</v>
      </c>
      <c r="AJ74" s="0" t="n">
        <v>-171.63525008</v>
      </c>
      <c r="AL74" s="367" t="n">
        <v>39052</v>
      </c>
      <c r="AM74" s="0" t="n">
        <v>-110.33694648</v>
      </c>
      <c r="AO74" s="367" t="n">
        <v>38139</v>
      </c>
      <c r="AP74" s="0" t="n">
        <v>7.530046257664</v>
      </c>
    </row>
    <row r="75" customFormat="false" ht="12.75" hidden="false" customHeight="false" outlineLevel="0" collapsed="false">
      <c r="A75" s="367" t="n">
        <v>39114</v>
      </c>
      <c r="B75" s="0" t="n">
        <v>-0.4</v>
      </c>
      <c r="C75" s="367" t="n">
        <v>39114</v>
      </c>
      <c r="D75" s="0" t="n">
        <v>1.57548651795996</v>
      </c>
      <c r="F75" s="385" t="n">
        <f aca="false">(B75+T75)*D75/1.055056</f>
        <v>5.63486523513625</v>
      </c>
      <c r="G75" s="0" t="n">
        <f aca="false">K75-D75</f>
        <v>0.00215102430115</v>
      </c>
      <c r="H75" s="367" t="n">
        <v>39114</v>
      </c>
      <c r="I75" s="0" t="n">
        <v>-0.4</v>
      </c>
      <c r="J75" s="367" t="n">
        <v>39114</v>
      </c>
      <c r="K75" s="0" t="n">
        <v>1.57763754226111</v>
      </c>
      <c r="L75" s="385" t="n">
        <f aca="false">IF(H75="",F75,(I75+AB75)*K75/1.055056)</f>
        <v>5.57227891338093</v>
      </c>
      <c r="S75" s="367" t="n">
        <v>39114</v>
      </c>
      <c r="T75" s="0" t="n">
        <v>4.1735</v>
      </c>
      <c r="U75" s="0" t="n">
        <v>0.2375</v>
      </c>
      <c r="W75" s="0" t="n">
        <f aca="false">AB75-T75</f>
        <v>-0.0469999999999997</v>
      </c>
      <c r="X75" s="0" t="n">
        <f aca="false">AC75-U75</f>
        <v>0</v>
      </c>
      <c r="Y75" s="385" t="n">
        <f aca="false">I75-B75</f>
        <v>0</v>
      </c>
      <c r="AA75" s="367" t="n">
        <v>39114</v>
      </c>
      <c r="AB75" s="0" t="n">
        <v>4.1265</v>
      </c>
      <c r="AC75" s="0" t="n">
        <v>0.2375</v>
      </c>
      <c r="AI75" s="367" t="n">
        <v>39083</v>
      </c>
      <c r="AJ75" s="0" t="n">
        <v>-170.80644784</v>
      </c>
      <c r="AL75" s="367" t="n">
        <v>39083</v>
      </c>
      <c r="AM75" s="0" t="n">
        <v>-97.60368448</v>
      </c>
      <c r="AO75" s="367" t="n">
        <v>38169</v>
      </c>
      <c r="AP75" s="0" t="n">
        <v>7.74885661676</v>
      </c>
    </row>
    <row r="76" customFormat="false" ht="12.75" hidden="false" customHeight="false" outlineLevel="0" collapsed="false">
      <c r="A76" s="367" t="n">
        <v>39142</v>
      </c>
      <c r="B76" s="0" t="n">
        <v>-0.4</v>
      </c>
      <c r="C76" s="367" t="n">
        <v>39142</v>
      </c>
      <c r="D76" s="0" t="n">
        <v>1.57548483946517</v>
      </c>
      <c r="F76" s="385" t="n">
        <f aca="false">(B76+T76)*D76/1.055056</f>
        <v>5.42729452184165</v>
      </c>
      <c r="G76" s="0" t="n">
        <f aca="false">K76-D76</f>
        <v>0.00214316531108016</v>
      </c>
      <c r="H76" s="367" t="n">
        <v>39142</v>
      </c>
      <c r="I76" s="0" t="n">
        <v>-0.4</v>
      </c>
      <c r="J76" s="367" t="n">
        <v>39142</v>
      </c>
      <c r="K76" s="0" t="n">
        <v>1.57762800477625</v>
      </c>
      <c r="L76" s="385" t="n">
        <f aca="false">IF(H76="",F76,(I76+AB76)*K76/1.055056)</f>
        <v>5.3643981619315</v>
      </c>
      <c r="S76" s="367" t="n">
        <v>39142</v>
      </c>
      <c r="T76" s="0" t="n">
        <v>4.0345</v>
      </c>
      <c r="U76" s="0" t="n">
        <v>0.2325</v>
      </c>
      <c r="W76" s="0" t="n">
        <f aca="false">AB76-T76</f>
        <v>-0.0470000000000006</v>
      </c>
      <c r="X76" s="0" t="n">
        <f aca="false">AC76-U76</f>
        <v>0</v>
      </c>
      <c r="Y76" s="385" t="n">
        <f aca="false">I76-B76</f>
        <v>0</v>
      </c>
      <c r="AA76" s="367" t="n">
        <v>39142</v>
      </c>
      <c r="AB76" s="0" t="n">
        <v>3.9875</v>
      </c>
      <c r="AC76" s="0" t="n">
        <v>0.2325</v>
      </c>
      <c r="AI76" s="367" t="n">
        <v>39114</v>
      </c>
      <c r="AJ76" s="0" t="n">
        <v>-153.52710156</v>
      </c>
      <c r="AL76" s="367" t="n">
        <v>39114</v>
      </c>
      <c r="AM76" s="0" t="n">
        <v>-87.72977232</v>
      </c>
      <c r="AO76" s="367" t="n">
        <v>38200</v>
      </c>
      <c r="AP76" s="0" t="n">
        <v>7.715120851032</v>
      </c>
    </row>
    <row r="77" customFormat="false" ht="12.75" hidden="false" customHeight="false" outlineLevel="0" collapsed="false">
      <c r="A77" s="367" t="n">
        <v>39173</v>
      </c>
      <c r="B77" s="0" t="n">
        <v>-0.45</v>
      </c>
      <c r="C77" s="367" t="n">
        <v>39173</v>
      </c>
      <c r="D77" s="0" t="n">
        <v>1.57548148110145</v>
      </c>
      <c r="F77" s="385" t="n">
        <f aca="false">(B77+T77)*D77/1.055056</f>
        <v>5.12265625797922</v>
      </c>
      <c r="G77" s="0" t="n">
        <f aca="false">K77-D77</f>
        <v>0.00213340087685987</v>
      </c>
      <c r="H77" s="367" t="n">
        <v>39173</v>
      </c>
      <c r="I77" s="0" t="n">
        <v>-0.45</v>
      </c>
      <c r="J77" s="367" t="n">
        <v>39173</v>
      </c>
      <c r="K77" s="0" t="n">
        <v>1.57761488197831</v>
      </c>
      <c r="L77" s="385" t="n">
        <f aca="false">IF(H77="",F77,(I77+AB77)*K77/1.055056)</f>
        <v>5.05931434272078</v>
      </c>
      <c r="S77" s="367" t="n">
        <v>39173</v>
      </c>
      <c r="T77" s="0" t="n">
        <v>3.8805</v>
      </c>
      <c r="U77" s="0" t="n">
        <v>0.2325</v>
      </c>
      <c r="W77" s="0" t="n">
        <f aca="false">AB77-T77</f>
        <v>-0.0469999999999997</v>
      </c>
      <c r="X77" s="0" t="n">
        <f aca="false">AC77-U77</f>
        <v>0</v>
      </c>
      <c r="Y77" s="385" t="n">
        <f aca="false">I77-B77</f>
        <v>0</v>
      </c>
      <c r="AA77" s="367" t="n">
        <v>39173</v>
      </c>
      <c r="AB77" s="0" t="n">
        <v>3.8335</v>
      </c>
      <c r="AC77" s="0" t="n">
        <v>0.2325</v>
      </c>
      <c r="AI77" s="367" t="n">
        <v>39142</v>
      </c>
      <c r="AJ77" s="0" t="n">
        <v>-169.22574998</v>
      </c>
      <c r="AL77" s="367" t="n">
        <v>39142</v>
      </c>
      <c r="AM77" s="0" t="n">
        <v>-96.70042857</v>
      </c>
      <c r="AO77" s="367" t="n">
        <v>38231</v>
      </c>
      <c r="AP77" s="0" t="n">
        <v>7.433142057782</v>
      </c>
    </row>
    <row r="78" customFormat="false" ht="12.75" hidden="false" customHeight="false" outlineLevel="0" collapsed="false">
      <c r="A78" s="367" t="n">
        <v>39203</v>
      </c>
      <c r="B78" s="0" t="n">
        <v>-0.45</v>
      </c>
      <c r="C78" s="367" t="n">
        <v>39203</v>
      </c>
      <c r="D78" s="0" t="n">
        <v>1.57547673062735</v>
      </c>
      <c r="F78" s="385" t="n">
        <f aca="false">(B78+T78)*D78/1.055056</f>
        <v>5.1301071299251</v>
      </c>
      <c r="G78" s="0" t="n">
        <f aca="false">K78-D78</f>
        <v>0.00212288775556013</v>
      </c>
      <c r="H78" s="367" t="n">
        <v>39203</v>
      </c>
      <c r="I78" s="0" t="n">
        <v>-0.45</v>
      </c>
      <c r="J78" s="367" t="n">
        <v>39203</v>
      </c>
      <c r="K78" s="0" t="n">
        <v>1.57759961838291</v>
      </c>
      <c r="L78" s="385" t="n">
        <f aca="false">IF(H78="",F78,(I78+AB78)*K78/1.055056)</f>
        <v>5.06674177189693</v>
      </c>
      <c r="S78" s="367" t="n">
        <v>39203</v>
      </c>
      <c r="T78" s="0" t="n">
        <v>3.8855</v>
      </c>
      <c r="U78" s="0" t="n">
        <v>0.2325</v>
      </c>
      <c r="W78" s="0" t="n">
        <f aca="false">AB78-T78</f>
        <v>-0.0470000000000002</v>
      </c>
      <c r="X78" s="0" t="n">
        <f aca="false">AC78-U78</f>
        <v>0</v>
      </c>
      <c r="Y78" s="385" t="n">
        <f aca="false">I78-B78</f>
        <v>0</v>
      </c>
      <c r="AA78" s="367" t="n">
        <v>39203</v>
      </c>
      <c r="AB78" s="0" t="n">
        <v>3.8385</v>
      </c>
      <c r="AC78" s="0" t="n">
        <v>0.2325</v>
      </c>
      <c r="AI78" s="367" t="n">
        <v>39173</v>
      </c>
      <c r="AJ78" s="0" t="n">
        <v>-162.96153692</v>
      </c>
      <c r="AL78" s="367" t="n">
        <v>39173</v>
      </c>
      <c r="AM78" s="0" t="n">
        <v>-93.12087824</v>
      </c>
      <c r="AO78" s="367" t="n">
        <v>38261</v>
      </c>
      <c r="AP78" s="0" t="n">
        <v>7.647367822976</v>
      </c>
    </row>
    <row r="79" customFormat="false" ht="12.75" hidden="false" customHeight="false" outlineLevel="0" collapsed="false">
      <c r="A79" s="367" t="n">
        <v>39234</v>
      </c>
      <c r="B79" s="0" t="n">
        <v>-0.45</v>
      </c>
      <c r="C79" s="367" t="n">
        <v>39234</v>
      </c>
      <c r="D79" s="0" t="n">
        <v>1.57547027178215</v>
      </c>
      <c r="F79" s="385" t="n">
        <f aca="false">(B79+T79)*D79/1.055056</f>
        <v>5.18682988299701</v>
      </c>
      <c r="G79" s="0" t="n">
        <f aca="false">K79-D79</f>
        <v>0.00211092542492009</v>
      </c>
      <c r="H79" s="367" t="n">
        <v>39234</v>
      </c>
      <c r="I79" s="0" t="n">
        <v>-0.45</v>
      </c>
      <c r="J79" s="367" t="n">
        <v>39234</v>
      </c>
      <c r="K79" s="0" t="n">
        <v>1.57758119720707</v>
      </c>
      <c r="L79" s="385" t="n">
        <f aca="false">IF(H79="",F79,(I79+AB79)*K79/1.055056)</f>
        <v>5.12350242283824</v>
      </c>
      <c r="S79" s="367" t="n">
        <v>39234</v>
      </c>
      <c r="T79" s="0" t="n">
        <v>3.9235</v>
      </c>
      <c r="U79" s="0" t="n">
        <v>0.2325</v>
      </c>
      <c r="W79" s="0" t="n">
        <f aca="false">AB79-T79</f>
        <v>-0.0470000000000002</v>
      </c>
      <c r="X79" s="0" t="n">
        <f aca="false">AC79-U79</f>
        <v>0</v>
      </c>
      <c r="Y79" s="385" t="n">
        <f aca="false">I79-B79</f>
        <v>0</v>
      </c>
      <c r="AA79" s="367" t="n">
        <v>39234</v>
      </c>
      <c r="AB79" s="0" t="n">
        <v>3.8765</v>
      </c>
      <c r="AC79" s="0" t="n">
        <v>0.2325</v>
      </c>
      <c r="AI79" s="367" t="n">
        <v>39203</v>
      </c>
      <c r="AJ79" s="0" t="n">
        <v>-167.58727398</v>
      </c>
      <c r="AL79" s="367" t="n">
        <v>39203</v>
      </c>
      <c r="AM79" s="0" t="n">
        <v>-95.76415657</v>
      </c>
      <c r="AO79" s="367" t="n">
        <v>38292</v>
      </c>
      <c r="AP79" s="0" t="n">
        <v>7.367357866232</v>
      </c>
    </row>
    <row r="80" customFormat="false" ht="12.75" hidden="false" customHeight="false" outlineLevel="0" collapsed="false">
      <c r="A80" s="367" t="n">
        <v>39264</v>
      </c>
      <c r="B80" s="0" t="n">
        <v>-0.45</v>
      </c>
      <c r="C80" s="367" t="n">
        <v>39264</v>
      </c>
      <c r="D80" s="0" t="n">
        <v>1.57546252168859</v>
      </c>
      <c r="F80" s="385" t="n">
        <f aca="false">(B80+T80)*D80/1.055056</f>
        <v>5.25400062419559</v>
      </c>
      <c r="G80" s="0" t="n">
        <f aca="false">K80-D80</f>
        <v>0.00209828599377016</v>
      </c>
      <c r="H80" s="367" t="n">
        <v>39264</v>
      </c>
      <c r="I80" s="0" t="n">
        <v>-0.45</v>
      </c>
      <c r="J80" s="367" t="n">
        <v>39264</v>
      </c>
      <c r="K80" s="0" t="n">
        <v>1.57756080768236</v>
      </c>
      <c r="L80" s="385" t="n">
        <f aca="false">IF(H80="",F80,(I80+AB80)*K80/1.055056)</f>
        <v>5.19072195586709</v>
      </c>
      <c r="S80" s="367" t="n">
        <v>39264</v>
      </c>
      <c r="T80" s="0" t="n">
        <v>3.9685</v>
      </c>
      <c r="U80" s="0" t="n">
        <v>0.2325</v>
      </c>
      <c r="W80" s="0" t="n">
        <f aca="false">AB80-T80</f>
        <v>-0.0470000000000002</v>
      </c>
      <c r="X80" s="0" t="n">
        <f aca="false">AC80-U80</f>
        <v>0</v>
      </c>
      <c r="Y80" s="385" t="n">
        <f aca="false">I80-B80</f>
        <v>0</v>
      </c>
      <c r="AA80" s="367" t="n">
        <v>39264</v>
      </c>
      <c r="AB80" s="0" t="n">
        <v>3.9215</v>
      </c>
      <c r="AC80" s="0" t="n">
        <v>0.2325</v>
      </c>
      <c r="AI80" s="367" t="n">
        <v>39234</v>
      </c>
      <c r="AJ80" s="0" t="n">
        <v>-161.37397612</v>
      </c>
      <c r="AL80" s="367" t="n">
        <v>39234</v>
      </c>
      <c r="AM80" s="0" t="n">
        <v>-92.21370064</v>
      </c>
      <c r="AO80" s="367" t="n">
        <v>38322</v>
      </c>
      <c r="AP80" s="0" t="n">
        <v>7.581530308198</v>
      </c>
    </row>
    <row r="81" customFormat="false" ht="12.75" hidden="false" customHeight="false" outlineLevel="0" collapsed="false">
      <c r="A81" s="367" t="n">
        <v>39295</v>
      </c>
      <c r="B81" s="0" t="n">
        <v>-0.45</v>
      </c>
      <c r="C81" s="367" t="n">
        <v>39295</v>
      </c>
      <c r="D81" s="0" t="n">
        <v>1.57545296412006</v>
      </c>
      <c r="F81" s="385" t="n">
        <f aca="false">(B81+T81)*D81/1.055056</f>
        <v>5.31071191187292</v>
      </c>
      <c r="G81" s="0" t="n">
        <f aca="false">K81-D81</f>
        <v>0.00208412720293016</v>
      </c>
      <c r="H81" s="367" t="n">
        <v>39295</v>
      </c>
      <c r="I81" s="0" t="n">
        <v>-0.45</v>
      </c>
      <c r="J81" s="367" t="n">
        <v>39295</v>
      </c>
      <c r="K81" s="0" t="n">
        <v>1.57753709132299</v>
      </c>
      <c r="L81" s="385" t="n">
        <f aca="false">IF(H81="",F81,(I81+AB81)*K81/1.055056)</f>
        <v>5.24746214608327</v>
      </c>
      <c r="S81" s="367" t="n">
        <v>39295</v>
      </c>
      <c r="T81" s="0" t="n">
        <v>4.0065</v>
      </c>
      <c r="U81" s="0" t="n">
        <v>0.2325</v>
      </c>
      <c r="W81" s="0" t="n">
        <f aca="false">AB81-T81</f>
        <v>-0.0469999999999997</v>
      </c>
      <c r="X81" s="0" t="n">
        <f aca="false">AC81-U81</f>
        <v>0</v>
      </c>
      <c r="Y81" s="385" t="n">
        <f aca="false">I81-B81</f>
        <v>0</v>
      </c>
      <c r="AA81" s="367" t="n">
        <v>39295</v>
      </c>
      <c r="AB81" s="0" t="n">
        <v>3.9595</v>
      </c>
      <c r="AC81" s="0" t="n">
        <v>0.2325</v>
      </c>
      <c r="AI81" s="367" t="n">
        <v>39264</v>
      </c>
      <c r="AJ81" s="0" t="n">
        <v>-165.94496198</v>
      </c>
      <c r="AL81" s="367" t="n">
        <v>39264</v>
      </c>
      <c r="AM81" s="0" t="n">
        <v>-94.82569256</v>
      </c>
      <c r="AO81" s="367" t="n">
        <v>38353</v>
      </c>
      <c r="AP81" s="0" t="n">
        <v>7.548780169168</v>
      </c>
    </row>
    <row r="82" customFormat="false" ht="12.75" hidden="false" customHeight="false" outlineLevel="0" collapsed="false">
      <c r="A82" s="367" t="n">
        <v>39326</v>
      </c>
      <c r="B82" s="0" t="n">
        <v>-0.45</v>
      </c>
      <c r="C82" s="367" t="n">
        <v>39326</v>
      </c>
      <c r="D82" s="0" t="n">
        <v>1.5754418324754</v>
      </c>
      <c r="F82" s="385" t="n">
        <f aca="false">(B82+T82)*D82/1.055056</f>
        <v>5.30171500489444</v>
      </c>
      <c r="G82" s="0" t="n">
        <f aca="false">K82-D82</f>
        <v>0.00206885275038005</v>
      </c>
      <c r="H82" s="367" t="n">
        <v>39326</v>
      </c>
      <c r="I82" s="0" t="n">
        <v>-0.45</v>
      </c>
      <c r="J82" s="367" t="n">
        <v>39326</v>
      </c>
      <c r="K82" s="0" t="n">
        <v>1.57751068522578</v>
      </c>
      <c r="L82" s="385" t="n">
        <f aca="false">IF(H82="",F82,(I82+AB82)*K82/1.055056)</f>
        <v>5.23840316124312</v>
      </c>
      <c r="S82" s="367" t="n">
        <v>39326</v>
      </c>
      <c r="T82" s="0" t="n">
        <v>4.0005</v>
      </c>
      <c r="U82" s="0" t="n">
        <v>0.2325</v>
      </c>
      <c r="W82" s="0" t="n">
        <f aca="false">AB82-T82</f>
        <v>-0.0470000000000006</v>
      </c>
      <c r="X82" s="0" t="n">
        <f aca="false">AC82-U82</f>
        <v>0</v>
      </c>
      <c r="Y82" s="385" t="n">
        <f aca="false">I82-B82</f>
        <v>0</v>
      </c>
      <c r="AA82" s="367" t="n">
        <v>39326</v>
      </c>
      <c r="AB82" s="0" t="n">
        <v>3.9535</v>
      </c>
      <c r="AC82" s="0" t="n">
        <v>0.2325</v>
      </c>
      <c r="AI82" s="367" t="n">
        <v>39295</v>
      </c>
      <c r="AJ82" s="0" t="n">
        <v>-165.10901246</v>
      </c>
      <c r="AL82" s="367" t="n">
        <v>39295</v>
      </c>
      <c r="AM82" s="0" t="n">
        <v>-94.34800712</v>
      </c>
      <c r="AO82" s="367" t="n">
        <v>38384</v>
      </c>
      <c r="AP82" s="0" t="n">
        <v>6.788404188132</v>
      </c>
    </row>
    <row r="83" customFormat="false" ht="12.75" hidden="false" customHeight="false" outlineLevel="0" collapsed="false">
      <c r="A83" s="367" t="n">
        <v>39356</v>
      </c>
      <c r="B83" s="0" t="n">
        <v>-0.45</v>
      </c>
      <c r="C83" s="367" t="n">
        <v>39356</v>
      </c>
      <c r="D83" s="0" t="n">
        <v>1.57542956162627</v>
      </c>
      <c r="F83" s="385" t="n">
        <f aca="false">(B83+T83)*D83/1.055056</f>
        <v>5.3016737107358</v>
      </c>
      <c r="G83" s="0" t="n">
        <f aca="false">K83-D83</f>
        <v>0.00205300913779993</v>
      </c>
      <c r="H83" s="367" t="n">
        <v>39356</v>
      </c>
      <c r="I83" s="0" t="n">
        <v>-0.45</v>
      </c>
      <c r="J83" s="367" t="n">
        <v>39356</v>
      </c>
      <c r="K83" s="0" t="n">
        <v>1.57748257076407</v>
      </c>
      <c r="L83" s="385" t="n">
        <f aca="false">IF(H83="",F83,(I83+AB83)*K83/1.055056)</f>
        <v>5.23830980220189</v>
      </c>
      <c r="S83" s="367" t="n">
        <v>39356</v>
      </c>
      <c r="T83" s="0" t="n">
        <v>4.0005</v>
      </c>
      <c r="U83" s="0" t="n">
        <v>0.2325</v>
      </c>
      <c r="W83" s="0" t="n">
        <f aca="false">AB83-T83</f>
        <v>-0.0470000000000006</v>
      </c>
      <c r="X83" s="0" t="n">
        <f aca="false">AC83-U83</f>
        <v>0</v>
      </c>
      <c r="Y83" s="385" t="n">
        <f aca="false">I83-B83</f>
        <v>0</v>
      </c>
      <c r="AA83" s="367" t="n">
        <v>39356</v>
      </c>
      <c r="AB83" s="0" t="n">
        <v>3.9535</v>
      </c>
      <c r="AC83" s="0" t="n">
        <v>0.2325</v>
      </c>
      <c r="AI83" s="367" t="n">
        <v>39326</v>
      </c>
      <c r="AJ83" s="0" t="n">
        <v>-158.97313516</v>
      </c>
      <c r="AL83" s="367" t="n">
        <v>39326</v>
      </c>
      <c r="AM83" s="0" t="n">
        <v>-90.84179153</v>
      </c>
      <c r="AO83" s="367" t="n">
        <v>38412</v>
      </c>
      <c r="AP83" s="0" t="n">
        <v>7.485633591282</v>
      </c>
    </row>
    <row r="84" customFormat="false" ht="12.75" hidden="false" customHeight="false" outlineLevel="0" collapsed="false">
      <c r="A84" s="367" t="n">
        <v>39387</v>
      </c>
      <c r="B84" s="0" t="n">
        <v>-0.41</v>
      </c>
      <c r="C84" s="367" t="n">
        <v>39387</v>
      </c>
      <c r="D84" s="0" t="n">
        <v>1.57541533397553</v>
      </c>
      <c r="F84" s="385" t="n">
        <f aca="false">(B84+T84)*D84/1.055056</f>
        <v>5.58234844981453</v>
      </c>
      <c r="G84" s="0" t="n">
        <f aca="false">K84-D84</f>
        <v>0.00203554051956001</v>
      </c>
      <c r="H84" s="367" t="n">
        <v>39387</v>
      </c>
      <c r="I84" s="0" t="n">
        <v>-0.41</v>
      </c>
      <c r="J84" s="367" t="n">
        <v>39387</v>
      </c>
      <c r="K84" s="0" t="n">
        <v>1.57745087449509</v>
      </c>
      <c r="L84" s="385" t="n">
        <f aca="false">IF(H84="",F84,(I84+AB84)*K84/1.055056)</f>
        <v>5.52078501432447</v>
      </c>
      <c r="S84" s="367" t="n">
        <v>39387</v>
      </c>
      <c r="T84" s="0" t="n">
        <v>4.1485</v>
      </c>
      <c r="U84" s="0" t="n">
        <v>0.2325</v>
      </c>
      <c r="W84" s="0" t="n">
        <f aca="false">AB84-T84</f>
        <v>-0.0460000000000003</v>
      </c>
      <c r="X84" s="0" t="n">
        <f aca="false">AC84-U84</f>
        <v>0</v>
      </c>
      <c r="Y84" s="385" t="n">
        <f aca="false">I84-B84</f>
        <v>0</v>
      </c>
      <c r="AA84" s="367" t="n">
        <v>39387</v>
      </c>
      <c r="AB84" s="0" t="n">
        <v>4.1025</v>
      </c>
      <c r="AC84" s="0" t="n">
        <v>0.2325</v>
      </c>
      <c r="AI84" s="367" t="n">
        <v>39356</v>
      </c>
      <c r="AJ84" s="0" t="n">
        <v>-163.46172864</v>
      </c>
      <c r="AL84" s="367" t="n">
        <v>39356</v>
      </c>
      <c r="AM84" s="0" t="n">
        <v>-93.40670208</v>
      </c>
      <c r="AO84" s="367" t="n">
        <v>38443</v>
      </c>
      <c r="AP84" s="0" t="n">
        <v>7.211647993508</v>
      </c>
    </row>
    <row r="85" customFormat="false" ht="12.75" hidden="false" customHeight="false" outlineLevel="0" collapsed="false">
      <c r="A85" s="367" t="n">
        <v>39417</v>
      </c>
      <c r="B85" s="0" t="n">
        <v>-0.41</v>
      </c>
      <c r="C85" s="367" t="n">
        <v>39417</v>
      </c>
      <c r="D85" s="0" t="n">
        <v>1.57540006788005</v>
      </c>
      <c r="F85" s="385" t="n">
        <f aca="false">(B85+T85)*D85/1.055056</f>
        <v>5.80925937967969</v>
      </c>
      <c r="G85" s="0" t="n">
        <f aca="false">K85-D85</f>
        <v>0.00201757428983984</v>
      </c>
      <c r="H85" s="367" t="n">
        <v>39417</v>
      </c>
      <c r="I85" s="0" t="n">
        <v>-0.41</v>
      </c>
      <c r="J85" s="367" t="n">
        <v>39417</v>
      </c>
      <c r="K85" s="0" t="n">
        <v>1.57741764216989</v>
      </c>
      <c r="L85" s="385" t="n">
        <f aca="false">IF(H85="",F85,(I85+AB85)*K85/1.055056)</f>
        <v>5.74792439957892</v>
      </c>
      <c r="S85" s="367" t="n">
        <v>39417</v>
      </c>
      <c r="T85" s="0" t="n">
        <v>4.3005</v>
      </c>
      <c r="U85" s="0" t="n">
        <v>0.2325</v>
      </c>
      <c r="W85" s="0" t="n">
        <f aca="false">AB85-T85</f>
        <v>-0.0460000000000003</v>
      </c>
      <c r="X85" s="0" t="n">
        <f aca="false">AC85-U85</f>
        <v>0</v>
      </c>
      <c r="Y85" s="385" t="n">
        <f aca="false">I85-B85</f>
        <v>0</v>
      </c>
      <c r="AA85" s="367" t="n">
        <v>39417</v>
      </c>
      <c r="AB85" s="0" t="n">
        <v>4.2545</v>
      </c>
      <c r="AC85" s="0" t="n">
        <v>0.2325</v>
      </c>
      <c r="AI85" s="367" t="n">
        <v>39387</v>
      </c>
      <c r="AJ85" s="0" t="n">
        <v>-157.37758008</v>
      </c>
      <c r="AL85" s="367" t="n">
        <v>39387</v>
      </c>
      <c r="AM85" s="0" t="n">
        <v>-89.93004576</v>
      </c>
      <c r="AO85" s="367" t="n">
        <v>38473</v>
      </c>
      <c r="AP85" s="0" t="n">
        <v>7.419254655232</v>
      </c>
    </row>
    <row r="86" customFormat="false" ht="12.75" hidden="false" customHeight="false" outlineLevel="0" collapsed="false">
      <c r="A86" s="367" t="n">
        <v>39448</v>
      </c>
      <c r="B86" s="0" t="n">
        <v>-0.41</v>
      </c>
      <c r="C86" s="367" t="n">
        <v>39448</v>
      </c>
      <c r="D86" s="0" t="n">
        <v>1.57538274606828</v>
      </c>
      <c r="F86" s="385" t="n">
        <f aca="false">(B86+T86)*D86/1.055056</f>
        <v>5.90251891388506</v>
      </c>
      <c r="G86" s="0" t="n">
        <f aca="false">K86-D86</f>
        <v>0.00199791311222008</v>
      </c>
      <c r="H86" s="367" t="n">
        <v>39448</v>
      </c>
      <c r="I86" s="0" t="n">
        <v>-0.41</v>
      </c>
      <c r="J86" s="367" t="n">
        <v>39448</v>
      </c>
      <c r="K86" s="0" t="n">
        <v>1.5773806591805</v>
      </c>
      <c r="L86" s="385" t="n">
        <f aca="false">IF(H86="",F86,(I86+AB86)*K86/1.055056)</f>
        <v>5.84870674041389</v>
      </c>
      <c r="S86" s="367" t="n">
        <v>39448</v>
      </c>
      <c r="T86" s="0" t="n">
        <v>4.363</v>
      </c>
      <c r="U86" s="0" t="n">
        <v>0.2325</v>
      </c>
      <c r="W86" s="0" t="n">
        <f aca="false">AB86-T86</f>
        <v>-0.0410000000000004</v>
      </c>
      <c r="X86" s="0" t="n">
        <f aca="false">AC86-U86</f>
        <v>0</v>
      </c>
      <c r="Y86" s="385" t="n">
        <f aca="false">I86-B86</f>
        <v>0</v>
      </c>
      <c r="AA86" s="367" t="n">
        <v>39448</v>
      </c>
      <c r="AB86" s="0" t="n">
        <v>4.322</v>
      </c>
      <c r="AC86" s="0" t="n">
        <v>0.2325</v>
      </c>
      <c r="AI86" s="367" t="n">
        <v>39417</v>
      </c>
      <c r="AJ86" s="0" t="n">
        <v>-161.81168318</v>
      </c>
      <c r="AL86" s="367" t="n">
        <v>39417</v>
      </c>
      <c r="AM86" s="0" t="n">
        <v>-92.46381896</v>
      </c>
      <c r="AO86" s="367" t="n">
        <v>38504</v>
      </c>
      <c r="AP86" s="0" t="n">
        <v>7.146879208532</v>
      </c>
    </row>
    <row r="87" customFormat="false" ht="12.75" hidden="false" customHeight="false" outlineLevel="0" collapsed="false">
      <c r="A87" s="367" t="n">
        <v>39479</v>
      </c>
      <c r="B87" s="0" t="n">
        <v>-0.41</v>
      </c>
      <c r="C87" s="367" t="n">
        <v>39479</v>
      </c>
      <c r="D87" s="0" t="n">
        <v>1.57536385253216</v>
      </c>
      <c r="F87" s="385" t="n">
        <f aca="false">(B87+T87)*D87/1.055056</f>
        <v>5.77254349900795</v>
      </c>
      <c r="G87" s="0" t="n">
        <f aca="false">K87-D87</f>
        <v>0.00197713832038016</v>
      </c>
      <c r="H87" s="367" t="n">
        <v>39479</v>
      </c>
      <c r="I87" s="0" t="n">
        <v>-0.41</v>
      </c>
      <c r="J87" s="367" t="n">
        <v>39479</v>
      </c>
      <c r="K87" s="0" t="n">
        <v>1.57734099085254</v>
      </c>
      <c r="L87" s="385" t="n">
        <f aca="false">IF(H87="",F87,(I87+AB87)*K87/1.055056)</f>
        <v>5.71699696416125</v>
      </c>
      <c r="S87" s="367" t="n">
        <v>39479</v>
      </c>
      <c r="T87" s="0" t="n">
        <v>4.276</v>
      </c>
      <c r="U87" s="0" t="n">
        <v>0.2325</v>
      </c>
      <c r="W87" s="0" t="n">
        <f aca="false">AB87-T87</f>
        <v>-0.0419999999999998</v>
      </c>
      <c r="X87" s="0" t="n">
        <f aca="false">AC87-U87</f>
        <v>0</v>
      </c>
      <c r="Y87" s="385" t="n">
        <f aca="false">I87-B87</f>
        <v>0</v>
      </c>
      <c r="AA87" s="367" t="n">
        <v>39479</v>
      </c>
      <c r="AB87" s="0" t="n">
        <v>4.234</v>
      </c>
      <c r="AC87" s="0" t="n">
        <v>0.2325</v>
      </c>
      <c r="AI87" s="367" t="n">
        <v>39448</v>
      </c>
      <c r="AJ87" s="0" t="n">
        <v>-160.97221252</v>
      </c>
      <c r="AL87" s="367" t="n">
        <v>39448</v>
      </c>
      <c r="AM87" s="0" t="n">
        <v>-91.98412145</v>
      </c>
      <c r="AO87" s="367" t="n">
        <v>38534</v>
      </c>
      <c r="AP87" s="0" t="n">
        <v>7.351805795152</v>
      </c>
    </row>
    <row r="88" customFormat="false" ht="12.75" hidden="false" customHeight="false" outlineLevel="0" collapsed="false">
      <c r="A88" s="367" t="n">
        <v>39508</v>
      </c>
      <c r="B88" s="0" t="n">
        <v>-0.41</v>
      </c>
      <c r="C88" s="367" t="n">
        <v>39508</v>
      </c>
      <c r="D88" s="0" t="n">
        <v>1.57534475547481</v>
      </c>
      <c r="F88" s="385" t="n">
        <f aca="false">(B88+T88)*D88/1.055056</f>
        <v>5.56492726798826</v>
      </c>
      <c r="G88" s="0" t="n">
        <f aca="false">K88-D88</f>
        <v>0.00195669606559989</v>
      </c>
      <c r="H88" s="367" t="n">
        <v>39508</v>
      </c>
      <c r="I88" s="0" t="n">
        <v>-0.41</v>
      </c>
      <c r="J88" s="367" t="n">
        <v>39508</v>
      </c>
      <c r="K88" s="0" t="n">
        <v>1.57730145154041</v>
      </c>
      <c r="L88" s="385" t="n">
        <f aca="false">IF(H88="",F88,(I88+AB88)*K88/1.055056)</f>
        <v>5.50904961341048</v>
      </c>
      <c r="S88" s="367" t="n">
        <v>39508</v>
      </c>
      <c r="T88" s="0" t="n">
        <v>4.137</v>
      </c>
      <c r="U88" s="0" t="n">
        <v>0.2225</v>
      </c>
      <c r="W88" s="0" t="n">
        <f aca="false">AB88-T88</f>
        <v>-0.0420000000000007</v>
      </c>
      <c r="X88" s="0" t="n">
        <f aca="false">AC88-U88</f>
        <v>0</v>
      </c>
      <c r="Y88" s="385" t="n">
        <f aca="false">I88-B88</f>
        <v>0</v>
      </c>
      <c r="AA88" s="367" t="n">
        <v>39508</v>
      </c>
      <c r="AB88" s="0" t="n">
        <v>4.095</v>
      </c>
      <c r="AC88" s="0" t="n">
        <v>0.2225</v>
      </c>
      <c r="AI88" s="367" t="n">
        <v>39479</v>
      </c>
      <c r="AJ88" s="0" t="n">
        <v>-149.80108374</v>
      </c>
      <c r="AL88" s="367" t="n">
        <v>39479</v>
      </c>
      <c r="AM88" s="0" t="n">
        <v>-85.60061928</v>
      </c>
      <c r="AO88" s="367" t="n">
        <v>38565</v>
      </c>
      <c r="AP88" s="0" t="n">
        <v>7.317131555776</v>
      </c>
    </row>
    <row r="89" customFormat="false" ht="12.75" hidden="false" customHeight="false" outlineLevel="0" collapsed="false">
      <c r="A89" s="367" t="n">
        <v>39539</v>
      </c>
      <c r="B89" s="0" t="n">
        <v>-0.465</v>
      </c>
      <c r="C89" s="367" t="n">
        <v>39539</v>
      </c>
      <c r="D89" s="0" t="n">
        <v>1.57532282128743</v>
      </c>
      <c r="F89" s="385" t="n">
        <f aca="false">(B89+T89)*D89/1.055056</f>
        <v>5.25278817929018</v>
      </c>
      <c r="G89" s="0" t="n">
        <f aca="false">K89-D89</f>
        <v>0.00193376715242</v>
      </c>
      <c r="H89" s="367" t="n">
        <v>39539</v>
      </c>
      <c r="I89" s="0" t="n">
        <v>-0.465</v>
      </c>
      <c r="J89" s="367" t="n">
        <v>39539</v>
      </c>
      <c r="K89" s="0" t="n">
        <v>1.57725658843985</v>
      </c>
      <c r="L89" s="385" t="n">
        <f aca="false">IF(H89="",F89,(I89+AB89)*K89/1.055056)</f>
        <v>5.19644824674417</v>
      </c>
      <c r="S89" s="367" t="n">
        <v>39539</v>
      </c>
      <c r="T89" s="0" t="n">
        <v>3.983</v>
      </c>
      <c r="U89" s="0" t="n">
        <v>0.2225</v>
      </c>
      <c r="W89" s="0" t="n">
        <f aca="false">AB89-T89</f>
        <v>-0.0419999999999998</v>
      </c>
      <c r="X89" s="0" t="n">
        <f aca="false">AC89-U89</f>
        <v>0</v>
      </c>
      <c r="Y89" s="385" t="n">
        <f aca="false">I89-B89</f>
        <v>0</v>
      </c>
      <c r="AA89" s="367" t="n">
        <v>39539</v>
      </c>
      <c r="AB89" s="0" t="n">
        <v>3.941</v>
      </c>
      <c r="AC89" s="0" t="n">
        <v>0.2225</v>
      </c>
      <c r="AI89" s="367" t="n">
        <v>39508</v>
      </c>
      <c r="AJ89" s="0" t="n">
        <v>-159.34591974</v>
      </c>
      <c r="AL89" s="367" t="n">
        <v>39508</v>
      </c>
      <c r="AM89" s="0" t="n">
        <v>-91.05481129</v>
      </c>
      <c r="AO89" s="367" t="n">
        <v>38596</v>
      </c>
      <c r="AP89" s="0" t="n">
        <v>7.047287351146</v>
      </c>
    </row>
    <row r="90" customFormat="false" ht="12.75" hidden="false" customHeight="false" outlineLevel="0" collapsed="false">
      <c r="A90" s="367" t="n">
        <v>39569</v>
      </c>
      <c r="B90" s="0" t="n">
        <v>-0.465</v>
      </c>
      <c r="C90" s="367" t="n">
        <v>39569</v>
      </c>
      <c r="D90" s="0" t="n">
        <v>1.57530009954005</v>
      </c>
      <c r="F90" s="385" t="n">
        <f aca="false">(B90+T90)*D90/1.055056</f>
        <v>5.26017789641459</v>
      </c>
      <c r="G90" s="0" t="n">
        <f aca="false">K90-D90</f>
        <v>0.00191051882471016</v>
      </c>
      <c r="H90" s="367" t="n">
        <v>39569</v>
      </c>
      <c r="I90" s="0" t="n">
        <v>-0.465</v>
      </c>
      <c r="J90" s="367" t="n">
        <v>39569</v>
      </c>
      <c r="K90" s="0" t="n">
        <v>1.57721061836476</v>
      </c>
      <c r="L90" s="385" t="n">
        <f aca="false">IF(H90="",F90,(I90+AB90)*K90/1.055056)</f>
        <v>5.20377132827805</v>
      </c>
      <c r="S90" s="367" t="n">
        <v>39569</v>
      </c>
      <c r="T90" s="0" t="n">
        <v>3.988</v>
      </c>
      <c r="U90" s="0" t="n">
        <v>0.2225</v>
      </c>
      <c r="W90" s="0" t="n">
        <f aca="false">AB90-T90</f>
        <v>-0.0419999999999998</v>
      </c>
      <c r="X90" s="0" t="n">
        <f aca="false">AC90-U90</f>
        <v>0</v>
      </c>
      <c r="Y90" s="385" t="n">
        <f aca="false">I90-B90</f>
        <v>0</v>
      </c>
      <c r="AA90" s="367" t="n">
        <v>39569</v>
      </c>
      <c r="AB90" s="0" t="n">
        <v>3.946</v>
      </c>
      <c r="AC90" s="0" t="n">
        <v>0.2225</v>
      </c>
      <c r="AI90" s="367" t="n">
        <v>39539</v>
      </c>
      <c r="AJ90" s="0" t="n">
        <v>-153.3919289</v>
      </c>
      <c r="AL90" s="367" t="n">
        <v>39539</v>
      </c>
      <c r="AM90" s="0" t="n">
        <v>-87.6525308</v>
      </c>
      <c r="AO90" s="367" t="n">
        <v>38626</v>
      </c>
      <c r="AP90" s="0" t="n">
        <v>7.248146406676</v>
      </c>
    </row>
    <row r="91" customFormat="false" ht="12.75" hidden="false" customHeight="false" outlineLevel="0" collapsed="false">
      <c r="A91" s="367" t="n">
        <v>39600</v>
      </c>
      <c r="B91" s="0" t="n">
        <v>-0.465</v>
      </c>
      <c r="C91" s="367" t="n">
        <v>39600</v>
      </c>
      <c r="D91" s="0" t="n">
        <v>1.5752750759392</v>
      </c>
      <c r="F91" s="385" t="n">
        <f aca="false">(B91+T91)*D91/1.055056</f>
        <v>5.31683109277564</v>
      </c>
      <c r="G91" s="0" t="n">
        <f aca="false">K91-D91</f>
        <v>0.00188540164843998</v>
      </c>
      <c r="H91" s="367" t="n">
        <v>39600</v>
      </c>
      <c r="I91" s="0" t="n">
        <v>-0.465</v>
      </c>
      <c r="J91" s="367" t="n">
        <v>39600</v>
      </c>
      <c r="K91" s="0" t="n">
        <v>1.57716047758764</v>
      </c>
      <c r="L91" s="385" t="n">
        <f aca="false">IF(H91="",F91,(I91+AB91)*K91/1.055056)</f>
        <v>5.26041055700447</v>
      </c>
      <c r="S91" s="367" t="n">
        <v>39600</v>
      </c>
      <c r="T91" s="0" t="n">
        <v>4.026</v>
      </c>
      <c r="U91" s="0" t="n">
        <v>0.2225</v>
      </c>
      <c r="W91" s="0" t="n">
        <f aca="false">AB91-T91</f>
        <v>-0.0419999999999998</v>
      </c>
      <c r="X91" s="0" t="n">
        <f aca="false">AC91-U91</f>
        <v>0</v>
      </c>
      <c r="Y91" s="385" t="n">
        <f aca="false">I91-B91</f>
        <v>0</v>
      </c>
      <c r="AA91" s="367" t="n">
        <v>39600</v>
      </c>
      <c r="AB91" s="0" t="n">
        <v>3.984</v>
      </c>
      <c r="AC91" s="0" t="n">
        <v>0.2225</v>
      </c>
      <c r="AI91" s="367" t="n">
        <v>39569</v>
      </c>
      <c r="AJ91" s="0" t="n">
        <v>-157.69082252</v>
      </c>
      <c r="AL91" s="367" t="n">
        <v>39569</v>
      </c>
      <c r="AM91" s="0" t="n">
        <v>-90.10904145</v>
      </c>
      <c r="AO91" s="367" t="n">
        <v>38657</v>
      </c>
      <c r="AP91" s="0" t="n">
        <v>6.98004698811</v>
      </c>
    </row>
    <row r="92" customFormat="false" ht="12.75" hidden="false" customHeight="false" outlineLevel="0" collapsed="false">
      <c r="A92" s="367" t="n">
        <v>39630</v>
      </c>
      <c r="B92" s="0" t="n">
        <v>-0.465</v>
      </c>
      <c r="C92" s="367" t="n">
        <v>39630</v>
      </c>
      <c r="D92" s="0" t="n">
        <v>1.57524936538364</v>
      </c>
      <c r="F92" s="385" t="n">
        <f aca="false">(B92+T92)*D92/1.055056</f>
        <v>5.38393148000998</v>
      </c>
      <c r="G92" s="0" t="n">
        <f aca="false">K92-D92</f>
        <v>0.00186003652971989</v>
      </c>
      <c r="H92" s="367" t="n">
        <v>39630</v>
      </c>
      <c r="I92" s="0" t="n">
        <v>-0.465</v>
      </c>
      <c r="J92" s="367" t="n">
        <v>39630</v>
      </c>
      <c r="K92" s="0" t="n">
        <v>1.57710940191336</v>
      </c>
      <c r="L92" s="385" t="n">
        <f aca="false">IF(H92="",F92,(I92+AB92)*K92/1.055056)</f>
        <v>5.32750669956781</v>
      </c>
      <c r="S92" s="367" t="n">
        <v>39630</v>
      </c>
      <c r="T92" s="0" t="n">
        <v>4.071</v>
      </c>
      <c r="U92" s="0" t="n">
        <v>0.22</v>
      </c>
      <c r="W92" s="0" t="n">
        <f aca="false">AB92-T92</f>
        <v>-0.0420000000000007</v>
      </c>
      <c r="X92" s="0" t="n">
        <f aca="false">AC92-U92</f>
        <v>0</v>
      </c>
      <c r="Y92" s="385" t="n">
        <f aca="false">I92-B92</f>
        <v>0</v>
      </c>
      <c r="AA92" s="367" t="n">
        <v>39630</v>
      </c>
      <c r="AB92" s="0" t="n">
        <v>4.029</v>
      </c>
      <c r="AC92" s="0" t="n">
        <v>0.22</v>
      </c>
      <c r="AI92" s="367" t="n">
        <v>39600</v>
      </c>
      <c r="AJ92" s="0" t="n">
        <v>-151.78953146</v>
      </c>
      <c r="AL92" s="367" t="n">
        <v>39600</v>
      </c>
      <c r="AM92" s="0" t="n">
        <v>-86.73687513</v>
      </c>
      <c r="AO92" s="367" t="n">
        <v>38687</v>
      </c>
      <c r="AP92" s="0" t="n">
        <v>7.178194330972</v>
      </c>
    </row>
    <row r="93" customFormat="false" ht="12.75" hidden="false" customHeight="false" outlineLevel="0" collapsed="false">
      <c r="A93" s="367" t="n">
        <v>39661</v>
      </c>
      <c r="B93" s="0" t="n">
        <v>-0.465</v>
      </c>
      <c r="C93" s="367" t="n">
        <v>39661</v>
      </c>
      <c r="D93" s="0" t="n">
        <v>1.57522125433465</v>
      </c>
      <c r="F93" s="385" t="n">
        <f aca="false">(B93+T93)*D93/1.055056</f>
        <v>5.44057021693205</v>
      </c>
      <c r="G93" s="0" t="n">
        <f aca="false">K93-D93</f>
        <v>0.00183273293199004</v>
      </c>
      <c r="H93" s="367" t="n">
        <v>39661</v>
      </c>
      <c r="I93" s="0" t="n">
        <v>-0.465</v>
      </c>
      <c r="J93" s="367" t="n">
        <v>39661</v>
      </c>
      <c r="K93" s="0" t="n">
        <v>1.57705398726664</v>
      </c>
      <c r="L93" s="385" t="n">
        <f aca="false">IF(H93="",F93,(I93+AB93)*K93/1.055056)</f>
        <v>5.38412033307658</v>
      </c>
      <c r="S93" s="367" t="n">
        <v>39661</v>
      </c>
      <c r="T93" s="0" t="n">
        <v>4.109</v>
      </c>
      <c r="U93" s="0" t="n">
        <v>0.22</v>
      </c>
      <c r="W93" s="0" t="n">
        <f aca="false">AB93-T93</f>
        <v>-0.0419999999999998</v>
      </c>
      <c r="X93" s="0" t="n">
        <f aca="false">AC93-U93</f>
        <v>0</v>
      </c>
      <c r="Y93" s="385" t="n">
        <f aca="false">I93-B93</f>
        <v>0</v>
      </c>
      <c r="AA93" s="367" t="n">
        <v>39661</v>
      </c>
      <c r="AB93" s="0" t="n">
        <v>4.067</v>
      </c>
      <c r="AC93" s="0" t="n">
        <v>0.22</v>
      </c>
      <c r="AI93" s="367" t="n">
        <v>39630</v>
      </c>
      <c r="AJ93" s="0" t="n">
        <v>-156.0344226</v>
      </c>
      <c r="AL93" s="367" t="n">
        <v>39630</v>
      </c>
      <c r="AM93" s="0" t="n">
        <v>-89.1625272</v>
      </c>
      <c r="AO93" s="367" t="n">
        <v>38718</v>
      </c>
      <c r="AP93" s="0" t="n">
        <v>7.1422876483</v>
      </c>
    </row>
    <row r="94" customFormat="false" ht="12.75" hidden="false" customHeight="false" outlineLevel="0" collapsed="false">
      <c r="A94" s="367" t="n">
        <v>39692</v>
      </c>
      <c r="B94" s="0" t="n">
        <v>-0.465</v>
      </c>
      <c r="C94" s="367" t="n">
        <v>39692</v>
      </c>
      <c r="D94" s="0" t="n">
        <v>1.57519157501879</v>
      </c>
      <c r="F94" s="385" t="n">
        <f aca="false">(B94+T94)*D94/1.055056</f>
        <v>5.43150974916816</v>
      </c>
      <c r="G94" s="0" t="n">
        <f aca="false">K94-D94</f>
        <v>0.00180431892933997</v>
      </c>
      <c r="H94" s="367" t="n">
        <v>39692</v>
      </c>
      <c r="I94" s="0" t="n">
        <v>-0.465</v>
      </c>
      <c r="J94" s="367" t="n">
        <v>39692</v>
      </c>
      <c r="K94" s="0" t="n">
        <v>1.57699589394813</v>
      </c>
      <c r="L94" s="385" t="n">
        <f aca="false">IF(H94="",F94,(I94+AB94)*K94/1.055056)</f>
        <v>5.37495377936098</v>
      </c>
      <c r="S94" s="367" t="n">
        <v>39692</v>
      </c>
      <c r="T94" s="0" t="n">
        <v>4.103</v>
      </c>
      <c r="U94" s="0" t="n">
        <v>0.22</v>
      </c>
      <c r="W94" s="0" t="n">
        <f aca="false">AB94-T94</f>
        <v>-0.0419999999999998</v>
      </c>
      <c r="X94" s="0" t="n">
        <f aca="false">AC94-U94</f>
        <v>0</v>
      </c>
      <c r="Y94" s="385" t="n">
        <f aca="false">I94-B94</f>
        <v>0</v>
      </c>
      <c r="AA94" s="367" t="n">
        <v>39692</v>
      </c>
      <c r="AB94" s="0" t="n">
        <v>4.061</v>
      </c>
      <c r="AC94" s="0" t="n">
        <v>0.22</v>
      </c>
      <c r="AI94" s="367" t="n">
        <v>39661</v>
      </c>
      <c r="AJ94" s="0" t="n">
        <v>-155.19227752</v>
      </c>
      <c r="AL94" s="367" t="n">
        <v>39661</v>
      </c>
      <c r="AM94" s="0" t="n">
        <v>-88.68130145</v>
      </c>
      <c r="AO94" s="367" t="n">
        <v>38749</v>
      </c>
      <c r="AP94" s="0" t="n">
        <v>6.418455745436</v>
      </c>
    </row>
    <row r="95" customFormat="false" ht="12.75" hidden="false" customHeight="false" outlineLevel="0" collapsed="false">
      <c r="A95" s="367" t="n">
        <v>39722</v>
      </c>
      <c r="B95" s="0" t="n">
        <v>-0.465</v>
      </c>
      <c r="C95" s="367" t="n">
        <v>39722</v>
      </c>
      <c r="D95" s="0" t="n">
        <v>1.57516136039189</v>
      </c>
      <c r="F95" s="385" t="n">
        <f aca="false">(B95+T95)*D95/1.055056</f>
        <v>5.43140556435459</v>
      </c>
      <c r="G95" s="0" t="n">
        <f aca="false">K95-D95</f>
        <v>0.00177576472653018</v>
      </c>
      <c r="H95" s="367" t="n">
        <v>39722</v>
      </c>
      <c r="I95" s="0" t="n">
        <v>-0.465</v>
      </c>
      <c r="J95" s="367" t="n">
        <v>39722</v>
      </c>
      <c r="K95" s="0" t="n">
        <v>1.57693712511842</v>
      </c>
      <c r="L95" s="385" t="n">
        <f aca="false">IF(H95="",F95,(I95+AB95)*K95/1.055056)</f>
        <v>5.37475347462679</v>
      </c>
      <c r="S95" s="367" t="n">
        <v>39722</v>
      </c>
      <c r="T95" s="0" t="n">
        <v>4.103</v>
      </c>
      <c r="U95" s="0" t="n">
        <v>0.22</v>
      </c>
      <c r="W95" s="0" t="n">
        <f aca="false">AB95-T95</f>
        <v>-0.0419999999999998</v>
      </c>
      <c r="X95" s="0" t="n">
        <f aca="false">AC95-U95</f>
        <v>0</v>
      </c>
      <c r="Y95" s="385" t="n">
        <f aca="false">I95-B95</f>
        <v>0</v>
      </c>
      <c r="AA95" s="367" t="n">
        <v>39722</v>
      </c>
      <c r="AB95" s="0" t="n">
        <v>4.061</v>
      </c>
      <c r="AC95" s="0" t="n">
        <v>0.22</v>
      </c>
      <c r="AI95" s="367" t="n">
        <v>39692</v>
      </c>
      <c r="AJ95" s="0" t="n">
        <v>-149.37092422</v>
      </c>
      <c r="AL95" s="367" t="n">
        <v>39692</v>
      </c>
      <c r="AM95" s="0" t="n">
        <v>-85.35481385</v>
      </c>
      <c r="AO95" s="367" t="n">
        <v>38777</v>
      </c>
      <c r="AP95" s="0" t="n">
        <v>7.073308479818</v>
      </c>
    </row>
    <row r="96" customFormat="false" ht="12.75" hidden="false" customHeight="false" outlineLevel="0" collapsed="false">
      <c r="A96" s="367" t="n">
        <v>39753</v>
      </c>
      <c r="B96" s="0" t="n">
        <v>-0.44</v>
      </c>
      <c r="C96" s="367" t="n">
        <v>39753</v>
      </c>
      <c r="D96" s="0" t="n">
        <v>1.5752731311407</v>
      </c>
      <c r="F96" s="385" t="n">
        <f aca="false">(B96+T96)*D96/1.055056</f>
        <v>5.69009218731253</v>
      </c>
      <c r="G96" s="0" t="n">
        <f aca="false">K96-D96</f>
        <v>0.00168493520603996</v>
      </c>
      <c r="H96" s="367" t="n">
        <v>39753</v>
      </c>
      <c r="I96" s="0" t="n">
        <v>-0.44</v>
      </c>
      <c r="J96" s="367" t="n">
        <v>39753</v>
      </c>
      <c r="K96" s="0" t="n">
        <v>1.57695806634674</v>
      </c>
      <c r="L96" s="385" t="n">
        <f aca="false">IF(H96="",F96,(I96+AB96)*K96/1.055056)</f>
        <v>5.63489701980484</v>
      </c>
      <c r="S96" s="367" t="n">
        <v>39753</v>
      </c>
      <c r="T96" s="0" t="n">
        <v>4.251</v>
      </c>
      <c r="U96" s="0" t="n">
        <v>0.22</v>
      </c>
      <c r="W96" s="0" t="n">
        <f aca="false">AB96-T96</f>
        <v>-0.0410000000000004</v>
      </c>
      <c r="X96" s="0" t="n">
        <f aca="false">AC96-U96</f>
        <v>0</v>
      </c>
      <c r="Y96" s="385" t="n">
        <f aca="false">I96-B96</f>
        <v>0</v>
      </c>
      <c r="AA96" s="367" t="n">
        <v>39753</v>
      </c>
      <c r="AB96" s="0" t="n">
        <v>4.21</v>
      </c>
      <c r="AC96" s="0" t="n">
        <v>0.22</v>
      </c>
      <c r="AI96" s="367" t="n">
        <v>39722</v>
      </c>
      <c r="AJ96" s="0" t="n">
        <v>-153.53468522</v>
      </c>
      <c r="AL96" s="367" t="n">
        <v>39722</v>
      </c>
      <c r="AM96" s="0" t="n">
        <v>-87.73410585</v>
      </c>
      <c r="AO96" s="367" t="n">
        <v>38808</v>
      </c>
      <c r="AP96" s="0" t="n">
        <v>6.809747355124</v>
      </c>
    </row>
    <row r="97" customFormat="false" ht="12.75" hidden="false" customHeight="false" outlineLevel="0" collapsed="false">
      <c r="A97" s="367" t="n">
        <v>39783</v>
      </c>
      <c r="B97" s="0" t="n">
        <v>-0.44</v>
      </c>
      <c r="C97" s="367" t="n">
        <v>39783</v>
      </c>
      <c r="D97" s="0" t="n">
        <v>1.57611916437241</v>
      </c>
      <c r="F97" s="385" t="n">
        <f aca="false">(B97+T97)*D97/1.055056</f>
        <v>5.92021679267059</v>
      </c>
      <c r="G97" s="0" t="n">
        <f aca="false">K97-D97</f>
        <v>0.00162906164997012</v>
      </c>
      <c r="H97" s="367" t="n">
        <v>39783</v>
      </c>
      <c r="I97" s="0" t="n">
        <v>-0.44</v>
      </c>
      <c r="J97" s="367" t="n">
        <v>39783</v>
      </c>
      <c r="K97" s="0" t="n">
        <v>1.57774822602238</v>
      </c>
      <c r="L97" s="385" t="n">
        <f aca="false">IF(H97="",F97,(I97+AB97)*K97/1.055056)</f>
        <v>5.86502379253781</v>
      </c>
      <c r="S97" s="367" t="n">
        <v>39783</v>
      </c>
      <c r="T97" s="0" t="n">
        <v>4.403</v>
      </c>
      <c r="U97" s="0" t="n">
        <v>0.2225</v>
      </c>
      <c r="W97" s="0" t="n">
        <f aca="false">AB97-T97</f>
        <v>-0.0410000000000004</v>
      </c>
      <c r="X97" s="0" t="n">
        <f aca="false">AC97-U97</f>
        <v>0</v>
      </c>
      <c r="Y97" s="385" t="n">
        <f aca="false">I97-B97</f>
        <v>0</v>
      </c>
      <c r="AA97" s="367" t="n">
        <v>39783</v>
      </c>
      <c r="AB97" s="0" t="n">
        <v>4.362</v>
      </c>
      <c r="AC97" s="0" t="n">
        <v>0.2225</v>
      </c>
      <c r="AI97" s="367" t="n">
        <v>39753</v>
      </c>
      <c r="AJ97" s="0" t="n">
        <v>-147.76661424</v>
      </c>
      <c r="AL97" s="367" t="n">
        <v>39753</v>
      </c>
      <c r="AM97" s="0" t="n">
        <v>-84.43806529</v>
      </c>
      <c r="AO97" s="367" t="n">
        <v>38838</v>
      </c>
      <c r="AP97" s="0" t="n">
        <v>7.001141803068</v>
      </c>
    </row>
    <row r="98" customFormat="false" ht="12.75" hidden="false" customHeight="false" outlineLevel="0" collapsed="false">
      <c r="A98" s="367" t="n">
        <v>39814</v>
      </c>
      <c r="B98" s="0" t="n">
        <v>-0.44</v>
      </c>
      <c r="C98" s="367" t="n">
        <v>39814</v>
      </c>
      <c r="D98" s="0" t="n">
        <v>1.57701353417946</v>
      </c>
      <c r="F98" s="385" t="n">
        <f aca="false">(B98+T98)*D98/1.055056</f>
        <v>6.02073303755902</v>
      </c>
      <c r="G98" s="0" t="n">
        <f aca="false">K98-D98</f>
        <v>0.00156958544542984</v>
      </c>
      <c r="H98" s="367" t="n">
        <v>39814</v>
      </c>
      <c r="I98" s="0" t="n">
        <v>-0.44</v>
      </c>
      <c r="J98" s="367" t="n">
        <v>39814</v>
      </c>
      <c r="K98" s="0" t="n">
        <v>1.57858311962489</v>
      </c>
      <c r="L98" s="385" t="n">
        <f aca="false">IF(H98="",F98,(I98+AB98)*K98/1.055056)</f>
        <v>5.97286192727453</v>
      </c>
      <c r="S98" s="367" t="n">
        <v>39814</v>
      </c>
      <c r="T98" s="0" t="n">
        <v>4.468</v>
      </c>
      <c r="U98" s="0" t="n">
        <v>0.225</v>
      </c>
      <c r="W98" s="0" t="n">
        <f aca="false">AB98-T98</f>
        <v>-0.0359999999999996</v>
      </c>
      <c r="X98" s="0" t="n">
        <f aca="false">AC98-U98</f>
        <v>0</v>
      </c>
      <c r="Y98" s="385" t="n">
        <f aca="false">I98-B98</f>
        <v>0</v>
      </c>
      <c r="AA98" s="367" t="n">
        <v>39814</v>
      </c>
      <c r="AB98" s="0" t="n">
        <v>4.432</v>
      </c>
      <c r="AC98" s="0" t="n">
        <v>0.225</v>
      </c>
      <c r="AI98" s="367" t="n">
        <v>39783</v>
      </c>
      <c r="AJ98" s="0" t="n">
        <v>-151.87680844</v>
      </c>
      <c r="AL98" s="367" t="n">
        <v>39783</v>
      </c>
      <c r="AM98" s="0" t="n">
        <v>-86.78674768</v>
      </c>
      <c r="AO98" s="367" t="n">
        <v>38869</v>
      </c>
      <c r="AP98" s="0" t="n">
        <v>6.739499319392</v>
      </c>
    </row>
    <row r="99" customFormat="false" ht="12.75" hidden="false" customHeight="false" outlineLevel="0" collapsed="false">
      <c r="A99" s="367" t="n">
        <v>39845</v>
      </c>
      <c r="B99" s="0" t="n">
        <v>-0.44</v>
      </c>
      <c r="C99" s="367" t="n">
        <v>39845</v>
      </c>
      <c r="D99" s="0" t="n">
        <v>1.57792839921734</v>
      </c>
      <c r="F99" s="385" t="n">
        <f aca="false">(B99+T99)*D99/1.055056</f>
        <v>5.89410971675014</v>
      </c>
      <c r="G99" s="0" t="n">
        <f aca="false">K99-D99</f>
        <v>0.00150833592894983</v>
      </c>
      <c r="H99" s="367" t="n">
        <v>39845</v>
      </c>
      <c r="I99" s="0" t="n">
        <v>-0.44</v>
      </c>
      <c r="J99" s="367" t="n">
        <v>39845</v>
      </c>
      <c r="K99" s="0" t="n">
        <v>1.57943673514629</v>
      </c>
      <c r="L99" s="385" t="n">
        <f aca="false">IF(H99="",F99,(I99+AB99)*K99/1.055056)</f>
        <v>5.84435424660977</v>
      </c>
      <c r="S99" s="367" t="n">
        <v>39845</v>
      </c>
      <c r="T99" s="0" t="n">
        <v>4.381</v>
      </c>
      <c r="U99" s="0" t="n">
        <v>0.22</v>
      </c>
      <c r="W99" s="0" t="n">
        <f aca="false">AB99-T99</f>
        <v>-0.0369999999999999</v>
      </c>
      <c r="X99" s="0" t="n">
        <f aca="false">AC99-U99</f>
        <v>0</v>
      </c>
      <c r="Y99" s="385" t="n">
        <f aca="false">I99-B99</f>
        <v>0</v>
      </c>
      <c r="AA99" s="367" t="n">
        <v>39845</v>
      </c>
      <c r="AB99" s="0" t="n">
        <v>4.344</v>
      </c>
      <c r="AC99" s="0" t="n">
        <v>0.22</v>
      </c>
      <c r="AI99" s="367" t="n">
        <v>39814</v>
      </c>
      <c r="AJ99" s="0" t="n">
        <v>-151.03429964</v>
      </c>
      <c r="AL99" s="367" t="n">
        <v>39814</v>
      </c>
      <c r="AM99" s="0" t="n">
        <v>-86.30531407</v>
      </c>
      <c r="AO99" s="367" t="n">
        <v>38899</v>
      </c>
      <c r="AP99" s="0" t="n">
        <v>6.928153194158</v>
      </c>
    </row>
    <row r="100" customFormat="false" ht="12.75" hidden="false" customHeight="false" outlineLevel="0" collapsed="false">
      <c r="A100" s="367" t="n">
        <v>39873</v>
      </c>
      <c r="B100" s="0" t="n">
        <v>-0.44</v>
      </c>
      <c r="C100" s="367" t="n">
        <v>39873</v>
      </c>
      <c r="D100" s="0" t="n">
        <v>1.57877237060378</v>
      </c>
      <c r="F100" s="385" t="n">
        <f aca="false">(B100+T100)*D100/1.055056</f>
        <v>5.68926441159102</v>
      </c>
      <c r="G100" s="0" t="n">
        <f aca="false">K100-D100</f>
        <v>0.00145148562241015</v>
      </c>
      <c r="H100" s="367" t="n">
        <v>39873</v>
      </c>
      <c r="I100" s="0" t="n">
        <v>-0.44</v>
      </c>
      <c r="J100" s="367" t="n">
        <v>39873</v>
      </c>
      <c r="K100" s="0" t="n">
        <v>1.58022385622619</v>
      </c>
      <c r="L100" s="385" t="n">
        <f aca="false">IF(H100="",F100,(I100+AB100)*K100/1.055056)</f>
        <v>5.6390777538743</v>
      </c>
      <c r="S100" s="367" t="n">
        <v>39873</v>
      </c>
      <c r="T100" s="0" t="n">
        <v>4.242</v>
      </c>
      <c r="U100" s="0" t="n">
        <v>0.205</v>
      </c>
      <c r="W100" s="0" t="n">
        <f aca="false">AB100-T100</f>
        <v>-0.0369999999999999</v>
      </c>
      <c r="X100" s="0" t="n">
        <f aca="false">AC100-U100</f>
        <v>0</v>
      </c>
      <c r="Y100" s="385" t="n">
        <f aca="false">I100-B100</f>
        <v>0</v>
      </c>
      <c r="AA100" s="367" t="n">
        <v>39873</v>
      </c>
      <c r="AB100" s="0" t="n">
        <v>4.205</v>
      </c>
      <c r="AC100" s="0" t="n">
        <v>0.205</v>
      </c>
      <c r="AI100" s="367" t="n">
        <v>39845</v>
      </c>
      <c r="AJ100" s="0" t="n">
        <v>-135.6571748</v>
      </c>
      <c r="AL100" s="367" t="n">
        <v>39845</v>
      </c>
      <c r="AM100" s="0" t="n">
        <v>-77.5183856</v>
      </c>
      <c r="AO100" s="367" t="n">
        <v>38930</v>
      </c>
      <c r="AP100" s="0" t="n">
        <v>6.890759081556</v>
      </c>
    </row>
    <row r="101" customFormat="false" ht="12.75" hidden="false" customHeight="false" outlineLevel="0" collapsed="false">
      <c r="A101" s="367" t="n">
        <v>39904</v>
      </c>
      <c r="B101" s="0" t="n">
        <v>-0.53</v>
      </c>
      <c r="C101" s="367" t="n">
        <v>39904</v>
      </c>
      <c r="D101" s="0" t="n">
        <v>1.57972632838975</v>
      </c>
      <c r="F101" s="385" t="n">
        <f aca="false">(B101+T101)*D101/1.055056</f>
        <v>5.32736298017426</v>
      </c>
      <c r="G101" s="0" t="n">
        <f aca="false">K101-D101</f>
        <v>0.00138684781099996</v>
      </c>
      <c r="H101" s="367" t="n">
        <v>39904</v>
      </c>
      <c r="I101" s="0" t="n">
        <v>-0.53</v>
      </c>
      <c r="J101" s="367" t="n">
        <v>39904</v>
      </c>
      <c r="K101" s="0" t="n">
        <v>1.58111317620075</v>
      </c>
      <c r="L101" s="385" t="n">
        <f aca="false">IF(H101="",F101,(I101+AB101)*K101/1.055056)</f>
        <v>5.27659147325151</v>
      </c>
      <c r="S101" s="367" t="n">
        <v>39904</v>
      </c>
      <c r="T101" s="0" t="n">
        <v>4.088</v>
      </c>
      <c r="U101" s="0" t="n">
        <v>0.195</v>
      </c>
      <c r="W101" s="0" t="n">
        <f aca="false">AB101-T101</f>
        <v>-0.0369999999999999</v>
      </c>
      <c r="X101" s="0" t="n">
        <f aca="false">AC101-U101</f>
        <v>0</v>
      </c>
      <c r="Y101" s="385" t="n">
        <f aca="false">I101-B101</f>
        <v>0</v>
      </c>
      <c r="AA101" s="367" t="n">
        <v>39904</v>
      </c>
      <c r="AB101" s="0" t="n">
        <v>4.051</v>
      </c>
      <c r="AC101" s="0" t="n">
        <v>0.195</v>
      </c>
      <c r="AI101" s="367" t="n">
        <v>39873</v>
      </c>
      <c r="AJ101" s="0" t="n">
        <v>-149.4310825</v>
      </c>
      <c r="AL101" s="367" t="n">
        <v>39873</v>
      </c>
      <c r="AM101" s="0" t="n">
        <v>-85.38919001</v>
      </c>
      <c r="AO101" s="367" t="n">
        <v>38961</v>
      </c>
      <c r="AP101" s="0" t="n">
        <v>6.63209908753</v>
      </c>
    </row>
    <row r="102" customFormat="false" ht="12.75" hidden="false" customHeight="false" outlineLevel="0" collapsed="false">
      <c r="A102" s="367" t="n">
        <v>39934</v>
      </c>
      <c r="B102" s="0" t="n">
        <v>-0.53</v>
      </c>
      <c r="C102" s="367" t="n">
        <v>39934</v>
      </c>
      <c r="D102" s="0" t="n">
        <v>1.58066911436498</v>
      </c>
      <c r="F102" s="385" t="n">
        <f aca="false">(B102+T102)*D102/1.055056</f>
        <v>5.33803329347677</v>
      </c>
      <c r="G102" s="0" t="n">
        <f aca="false">K102-D102</f>
        <v>0.00132259318688011</v>
      </c>
      <c r="H102" s="367" t="n">
        <v>39934</v>
      </c>
      <c r="I102" s="0" t="n">
        <v>-0.53</v>
      </c>
      <c r="J102" s="367" t="n">
        <v>39934</v>
      </c>
      <c r="K102" s="0" t="n">
        <v>1.58199170755186</v>
      </c>
      <c r="L102" s="385" t="n">
        <f aca="false">IF(H102="",F102,(I102+AB102)*K102/1.055056)</f>
        <v>5.28702055703949</v>
      </c>
      <c r="S102" s="367" t="n">
        <v>39934</v>
      </c>
      <c r="T102" s="0" t="n">
        <v>4.093</v>
      </c>
      <c r="U102" s="0" t="n">
        <v>0.195</v>
      </c>
      <c r="W102" s="0" t="n">
        <f aca="false">AB102-T102</f>
        <v>-0.0369999999999999</v>
      </c>
      <c r="X102" s="0" t="n">
        <f aca="false">AC102-U102</f>
        <v>0</v>
      </c>
      <c r="Y102" s="385" t="n">
        <f aca="false">I102-B102</f>
        <v>0</v>
      </c>
      <c r="AA102" s="367" t="n">
        <v>39934</v>
      </c>
      <c r="AB102" s="0" t="n">
        <v>4.056</v>
      </c>
      <c r="AC102" s="0" t="n">
        <v>0.195</v>
      </c>
      <c r="AI102" s="367" t="n">
        <v>39904</v>
      </c>
      <c r="AJ102" s="0" t="n">
        <v>-143.79575994</v>
      </c>
      <c r="AL102" s="367" t="n">
        <v>39904</v>
      </c>
      <c r="AM102" s="0" t="n">
        <v>-82.16900568</v>
      </c>
      <c r="AO102" s="367" t="n">
        <v>38991</v>
      </c>
      <c r="AP102" s="0" t="n">
        <v>6.816610289622</v>
      </c>
    </row>
    <row r="103" customFormat="false" ht="12.75" hidden="false" customHeight="false" outlineLevel="0" collapsed="false">
      <c r="A103" s="367" t="n">
        <v>39965</v>
      </c>
      <c r="B103" s="0" t="n">
        <v>-0.53</v>
      </c>
      <c r="C103" s="367" t="n">
        <v>39965</v>
      </c>
      <c r="D103" s="0" t="n">
        <v>1.58166361311537</v>
      </c>
      <c r="F103" s="385" t="n">
        <f aca="false">(B103+T103)*D103/1.055056</f>
        <v>5.39835863767274</v>
      </c>
      <c r="G103" s="0" t="n">
        <f aca="false">K103-D103</f>
        <v>0.00125443309639994</v>
      </c>
      <c r="H103" s="367" t="n">
        <v>39965</v>
      </c>
      <c r="I103" s="0" t="n">
        <v>-0.53</v>
      </c>
      <c r="J103" s="367" t="n">
        <v>39965</v>
      </c>
      <c r="K103" s="0" t="n">
        <v>1.58291804621177</v>
      </c>
      <c r="L103" s="385" t="n">
        <f aca="false">IF(H103="",F103,(I103+AB103)*K103/1.055056)</f>
        <v>5.34712841469908</v>
      </c>
      <c r="S103" s="367" t="n">
        <v>39965</v>
      </c>
      <c r="T103" s="0" t="n">
        <v>4.131</v>
      </c>
      <c r="U103" s="0" t="n">
        <v>0.195</v>
      </c>
      <c r="W103" s="0" t="n">
        <f aca="false">AB103-T103</f>
        <v>-0.0369999999999999</v>
      </c>
      <c r="X103" s="0" t="n">
        <f aca="false">AC103-U103</f>
        <v>0</v>
      </c>
      <c r="Y103" s="385" t="n">
        <f aca="false">I103-B103</f>
        <v>0</v>
      </c>
      <c r="AA103" s="367" t="n">
        <v>39965</v>
      </c>
      <c r="AB103" s="0" t="n">
        <v>4.094</v>
      </c>
      <c r="AC103" s="0" t="n">
        <v>0.195</v>
      </c>
      <c r="AI103" s="367" t="n">
        <v>39934</v>
      </c>
      <c r="AJ103" s="0" t="n">
        <v>-147.77420532</v>
      </c>
      <c r="AL103" s="367" t="n">
        <v>39934</v>
      </c>
      <c r="AM103" s="0" t="n">
        <v>-84.44240304</v>
      </c>
      <c r="AO103" s="367" t="n">
        <v>39022</v>
      </c>
      <c r="AP103" s="0" t="n">
        <v>6.561363190704</v>
      </c>
    </row>
    <row r="104" customFormat="false" ht="12.75" hidden="false" customHeight="false" outlineLevel="0" collapsed="false">
      <c r="A104" s="367" t="n">
        <v>39995</v>
      </c>
      <c r="B104" s="0" t="n">
        <v>-0.53</v>
      </c>
      <c r="C104" s="367" t="n">
        <v>39995</v>
      </c>
      <c r="D104" s="0" t="n">
        <v>1.58264569497245</v>
      </c>
      <c r="F104" s="385" t="n">
        <f aca="false">(B104+T104)*D104/1.055056</f>
        <v>5.46921320182962</v>
      </c>
      <c r="G104" s="0" t="n">
        <f aca="false">K104-D104</f>
        <v>0.00118676004509011</v>
      </c>
      <c r="H104" s="367" t="n">
        <v>39995</v>
      </c>
      <c r="I104" s="0" t="n">
        <v>-0.53</v>
      </c>
      <c r="J104" s="367" t="n">
        <v>39995</v>
      </c>
      <c r="K104" s="0" t="n">
        <v>1.58383245501754</v>
      </c>
      <c r="L104" s="385" t="n">
        <f aca="false">IF(H104="",F104,(I104+AB104)*K104/1.055056)</f>
        <v>5.41777055450924</v>
      </c>
      <c r="S104" s="367" t="n">
        <v>39995</v>
      </c>
      <c r="T104" s="0" t="n">
        <v>4.176</v>
      </c>
      <c r="U104" s="0" t="n">
        <v>0.195</v>
      </c>
      <c r="W104" s="0" t="n">
        <f aca="false">AB104-T104</f>
        <v>-0.0369999999999999</v>
      </c>
      <c r="X104" s="0" t="n">
        <f aca="false">AC104-U104</f>
        <v>0</v>
      </c>
      <c r="Y104" s="385" t="n">
        <f aca="false">I104-B104</f>
        <v>0</v>
      </c>
      <c r="AA104" s="367" t="n">
        <v>39995</v>
      </c>
      <c r="AB104" s="0" t="n">
        <v>4.139</v>
      </c>
      <c r="AC104" s="0" t="n">
        <v>0.195</v>
      </c>
      <c r="AI104" s="367" t="n">
        <v>39965</v>
      </c>
      <c r="AJ104" s="0" t="n">
        <v>-142.1928151</v>
      </c>
      <c r="AL104" s="367" t="n">
        <v>39965</v>
      </c>
      <c r="AM104" s="0" t="n">
        <v>-81.2530372</v>
      </c>
      <c r="AO104" s="367" t="n">
        <v>39052</v>
      </c>
      <c r="AP104" s="0" t="n">
        <v>6.748586058074</v>
      </c>
    </row>
    <row r="105" customFormat="false" ht="12.75" hidden="false" customHeight="false" outlineLevel="0" collapsed="false">
      <c r="A105" s="367" t="n">
        <v>40026</v>
      </c>
      <c r="B105" s="0" t="n">
        <v>-0.53</v>
      </c>
      <c r="C105" s="367" t="n">
        <v>40026</v>
      </c>
      <c r="D105" s="0" t="n">
        <v>1.58368086577574</v>
      </c>
      <c r="F105" s="385" t="n">
        <f aca="false">(B105+T105)*D105/1.055056</f>
        <v>5.52982998960987</v>
      </c>
      <c r="G105" s="0" t="n">
        <f aca="false">K105-D105</f>
        <v>0.00111505722881988</v>
      </c>
      <c r="H105" s="367" t="n">
        <v>40026</v>
      </c>
      <c r="I105" s="0" t="n">
        <v>-0.53</v>
      </c>
      <c r="J105" s="367" t="n">
        <v>40026</v>
      </c>
      <c r="K105" s="0" t="n">
        <v>1.58479592300456</v>
      </c>
      <c r="L105" s="385" t="n">
        <f aca="false">IF(H105="",F105,(I105+AB105)*K105/1.055056)</f>
        <v>5.47814592893423</v>
      </c>
      <c r="S105" s="367" t="n">
        <v>40026</v>
      </c>
      <c r="T105" s="0" t="n">
        <v>4.214</v>
      </c>
      <c r="U105" s="0" t="n">
        <v>0.195</v>
      </c>
      <c r="W105" s="0" t="n">
        <f aca="false">AB105-T105</f>
        <v>-0.0369999999999999</v>
      </c>
      <c r="X105" s="0" t="n">
        <f aca="false">AC105-U105</f>
        <v>0</v>
      </c>
      <c r="Y105" s="385" t="n">
        <f aca="false">I105-B105</f>
        <v>0</v>
      </c>
      <c r="AA105" s="367" t="n">
        <v>40026</v>
      </c>
      <c r="AB105" s="0" t="n">
        <v>4.177</v>
      </c>
      <c r="AC105" s="0" t="n">
        <v>0.195</v>
      </c>
      <c r="AI105" s="367" t="n">
        <v>39995</v>
      </c>
      <c r="AJ105" s="0" t="n">
        <v>-146.11840838</v>
      </c>
      <c r="AL105" s="367" t="n">
        <v>39995</v>
      </c>
      <c r="AM105" s="0" t="n">
        <v>-83.49623335</v>
      </c>
      <c r="AO105" s="367" t="n">
        <v>39083</v>
      </c>
      <c r="AP105" s="0" t="n">
        <v>5.328505279594</v>
      </c>
    </row>
    <row r="106" customFormat="false" ht="12.75" hidden="false" customHeight="false" outlineLevel="0" collapsed="false">
      <c r="A106" s="367" t="n">
        <v>40057</v>
      </c>
      <c r="B106" s="0" t="n">
        <v>-0.53</v>
      </c>
      <c r="C106" s="367" t="n">
        <v>40057</v>
      </c>
      <c r="D106" s="0" t="n">
        <v>1.58473675817135</v>
      </c>
      <c r="F106" s="385" t="n">
        <f aca="false">(B106+T106)*D106/1.055056</f>
        <v>5.52450466757615</v>
      </c>
      <c r="G106" s="0" t="n">
        <f aca="false">K106-D106</f>
        <v>0.00104154584889016</v>
      </c>
      <c r="H106" s="367" t="n">
        <v>40057</v>
      </c>
      <c r="I106" s="0" t="n">
        <v>-0.53</v>
      </c>
      <c r="J106" s="367" t="n">
        <v>40057</v>
      </c>
      <c r="K106" s="0" t="n">
        <v>1.58577830402024</v>
      </c>
      <c r="L106" s="385" t="n">
        <f aca="false">IF(H106="",F106,(I106+AB106)*K106/1.055056)</f>
        <v>5.47252354845401</v>
      </c>
      <c r="S106" s="367" t="n">
        <v>40057</v>
      </c>
      <c r="T106" s="0" t="n">
        <v>4.208</v>
      </c>
      <c r="U106" s="0" t="n">
        <v>0.195</v>
      </c>
      <c r="W106" s="0" t="n">
        <f aca="false">AB106-T106</f>
        <v>-0.0369999999999999</v>
      </c>
      <c r="X106" s="0" t="n">
        <f aca="false">AC106-U106</f>
        <v>0</v>
      </c>
      <c r="Y106" s="385" t="n">
        <f aca="false">I106-B106</f>
        <v>0</v>
      </c>
      <c r="AA106" s="367" t="n">
        <v>40057</v>
      </c>
      <c r="AB106" s="0" t="n">
        <v>4.171</v>
      </c>
      <c r="AC106" s="0" t="n">
        <v>0.195</v>
      </c>
      <c r="AI106" s="367" t="n">
        <v>40026</v>
      </c>
      <c r="AJ106" s="0" t="n">
        <v>-145.2774743</v>
      </c>
      <c r="AL106" s="367" t="n">
        <v>40026</v>
      </c>
      <c r="AM106" s="0" t="n">
        <v>-83.0156996</v>
      </c>
      <c r="AO106" s="367" t="n">
        <v>39114</v>
      </c>
      <c r="AP106" s="0" t="n">
        <v>4.789456028742</v>
      </c>
    </row>
    <row r="107" customFormat="false" ht="12.75" hidden="false" customHeight="false" outlineLevel="0" collapsed="false">
      <c r="A107" s="367" t="n">
        <v>40087</v>
      </c>
      <c r="B107" s="0" t="n">
        <v>-0.53</v>
      </c>
      <c r="C107" s="367" t="n">
        <v>40087</v>
      </c>
      <c r="D107" s="0" t="n">
        <v>1.58577835335794</v>
      </c>
      <c r="F107" s="385" t="n">
        <f aca="false">(B107+T107)*D107/1.055056</f>
        <v>5.52813574222648</v>
      </c>
      <c r="G107" s="0" t="n">
        <f aca="false">K107-D107</f>
        <v>0.000968678463119987</v>
      </c>
      <c r="H107" s="367" t="n">
        <v>40087</v>
      </c>
      <c r="I107" s="0" t="n">
        <v>-0.53</v>
      </c>
      <c r="J107" s="367" t="n">
        <v>40087</v>
      </c>
      <c r="K107" s="0" t="n">
        <v>1.58674703182106</v>
      </c>
      <c r="L107" s="385" t="n">
        <f aca="false">IF(H107="",F107,(I107+AB107)*K107/1.055056)</f>
        <v>5.47586662969594</v>
      </c>
      <c r="S107" s="367" t="n">
        <v>40087</v>
      </c>
      <c r="T107" s="0" t="n">
        <v>4.208</v>
      </c>
      <c r="U107" s="0" t="n">
        <v>0.195</v>
      </c>
      <c r="W107" s="0" t="n">
        <f aca="false">AB107-T107</f>
        <v>-0.0369999999999999</v>
      </c>
      <c r="X107" s="0" t="n">
        <f aca="false">AC107-U107</f>
        <v>0</v>
      </c>
      <c r="Y107" s="385" t="n">
        <f aca="false">I107-B107</f>
        <v>0</v>
      </c>
      <c r="AA107" s="367" t="n">
        <v>40087</v>
      </c>
      <c r="AB107" s="0" t="n">
        <v>4.171</v>
      </c>
      <c r="AC107" s="0" t="n">
        <v>0.195</v>
      </c>
      <c r="AI107" s="367" t="n">
        <v>40057</v>
      </c>
      <c r="AJ107" s="0" t="n">
        <v>-139.77771066</v>
      </c>
      <c r="AL107" s="367" t="n">
        <v>40057</v>
      </c>
      <c r="AM107" s="0" t="n">
        <v>-79.87297752</v>
      </c>
      <c r="AO107" s="367" t="n">
        <v>39142</v>
      </c>
      <c r="AP107" s="0" t="n">
        <v>5.279193577182</v>
      </c>
    </row>
    <row r="108" customFormat="false" ht="12.75" hidden="false" customHeight="false" outlineLevel="0" collapsed="false">
      <c r="A108" s="367" t="n">
        <v>40118</v>
      </c>
      <c r="B108" s="0" t="n">
        <v>-0.47</v>
      </c>
      <c r="C108" s="367" t="n">
        <v>40118</v>
      </c>
      <c r="D108" s="0" t="n">
        <v>1.58687512704896</v>
      </c>
      <c r="F108" s="385" t="n">
        <f aca="false">(B108+T108)*D108/1.055056</f>
        <v>5.84480515130217</v>
      </c>
      <c r="G108" s="0" t="n">
        <f aca="false">K108-D108</f>
        <v>0.00089159159012997</v>
      </c>
      <c r="H108" s="367" t="n">
        <v>40118</v>
      </c>
      <c r="I108" s="0" t="n">
        <v>-0.47</v>
      </c>
      <c r="J108" s="367" t="n">
        <v>40118</v>
      </c>
      <c r="K108" s="0" t="n">
        <v>1.58776671863909</v>
      </c>
      <c r="L108" s="385" t="n">
        <f aca="false">IF(H108="",F108,(I108+AB108)*K108/1.055056)</f>
        <v>5.79391223476337</v>
      </c>
      <c r="S108" s="367" t="n">
        <v>40118</v>
      </c>
      <c r="T108" s="0" t="n">
        <v>4.356</v>
      </c>
      <c r="U108" s="0" t="n">
        <v>0.195</v>
      </c>
      <c r="W108" s="0" t="n">
        <f aca="false">AB108-T108</f>
        <v>-0.0359999999999996</v>
      </c>
      <c r="X108" s="0" t="n">
        <f aca="false">AC108-U108</f>
        <v>0</v>
      </c>
      <c r="Y108" s="385" t="n">
        <f aca="false">I108-B108</f>
        <v>0</v>
      </c>
      <c r="AA108" s="367" t="n">
        <v>40118</v>
      </c>
      <c r="AB108" s="0" t="n">
        <v>4.32</v>
      </c>
      <c r="AC108" s="0" t="n">
        <v>0.195</v>
      </c>
      <c r="AI108" s="367" t="n">
        <v>40087</v>
      </c>
      <c r="AJ108" s="0" t="n">
        <v>-143.62402754</v>
      </c>
      <c r="AL108" s="367" t="n">
        <v>40087</v>
      </c>
      <c r="AM108" s="0" t="n">
        <v>-82.07087289</v>
      </c>
      <c r="AO108" s="367" t="n">
        <v>39173</v>
      </c>
      <c r="AP108" s="0" t="n">
        <v>5.083774182802</v>
      </c>
    </row>
    <row r="109" customFormat="false" ht="12.75" hidden="false" customHeight="false" outlineLevel="0" collapsed="false">
      <c r="A109" s="367" t="n">
        <v>40148</v>
      </c>
      <c r="B109" s="0" t="n">
        <v>-0.47</v>
      </c>
      <c r="C109" s="367" t="n">
        <v>40148</v>
      </c>
      <c r="D109" s="0" t="n">
        <v>1.58795635488385</v>
      </c>
      <c r="F109" s="385" t="n">
        <f aca="false">(B109+T109)*D109/1.055056</f>
        <v>6.07756153324656</v>
      </c>
      <c r="G109" s="0" t="n">
        <f aca="false">K109-D109</f>
        <v>0.000815253038680019</v>
      </c>
      <c r="H109" s="367" t="n">
        <v>40148</v>
      </c>
      <c r="I109" s="0" t="n">
        <v>-0.47</v>
      </c>
      <c r="J109" s="367" t="n">
        <v>40148</v>
      </c>
      <c r="K109" s="0" t="n">
        <v>1.58877160792253</v>
      </c>
      <c r="L109" s="385" t="n">
        <f aca="false">IF(H109="",F109,(I109+AB109)*K109/1.055056)</f>
        <v>6.0264706090539</v>
      </c>
      <c r="S109" s="367" t="n">
        <v>40148</v>
      </c>
      <c r="T109" s="0" t="n">
        <v>4.508</v>
      </c>
      <c r="U109" s="0" t="n">
        <v>0.195</v>
      </c>
      <c r="W109" s="0" t="n">
        <f aca="false">AB109-T109</f>
        <v>-0.0359999999999996</v>
      </c>
      <c r="X109" s="0" t="n">
        <f aca="false">AC109-U109</f>
        <v>0</v>
      </c>
      <c r="Y109" s="385" t="n">
        <f aca="false">I109-B109</f>
        <v>0</v>
      </c>
      <c r="AA109" s="367" t="n">
        <v>40148</v>
      </c>
      <c r="AB109" s="0" t="n">
        <v>4.472</v>
      </c>
      <c r="AC109" s="0" t="n">
        <v>0.195</v>
      </c>
      <c r="AI109" s="367" t="n">
        <v>40118</v>
      </c>
      <c r="AJ109" s="0" t="n">
        <v>-138.17855394</v>
      </c>
      <c r="AL109" s="367" t="n">
        <v>40118</v>
      </c>
      <c r="AM109" s="0" t="n">
        <v>-78.95917367</v>
      </c>
      <c r="AO109" s="367" t="n">
        <v>39203</v>
      </c>
      <c r="AP109" s="0" t="n">
        <v>5.228079415076</v>
      </c>
    </row>
    <row r="110" customFormat="false" ht="12.75" hidden="false" customHeight="false" outlineLevel="0" collapsed="false">
      <c r="A110" s="367" t="n">
        <v>40179</v>
      </c>
      <c r="B110" s="0" t="n">
        <v>-0.47</v>
      </c>
      <c r="C110" s="367" t="n">
        <v>40179</v>
      </c>
      <c r="D110" s="0" t="n">
        <v>1.58909415629972</v>
      </c>
      <c r="F110" s="385" t="n">
        <f aca="false">(B110+T110)*D110/1.055056</f>
        <v>6.18358272801491</v>
      </c>
      <c r="G110" s="0" t="n">
        <f aca="false">K110-D110</f>
        <v>0.000734567656579976</v>
      </c>
      <c r="H110" s="367" t="n">
        <v>40179</v>
      </c>
      <c r="I110" s="0" t="n">
        <v>-0.47</v>
      </c>
      <c r="J110" s="367" t="n">
        <v>40179</v>
      </c>
      <c r="K110" s="0" t="n">
        <v>1.5898287239563</v>
      </c>
      <c r="L110" s="385" t="n">
        <f aca="false">IF(H110="",F110,(I110+AB110)*K110/1.055056)</f>
        <v>6.13972825685077</v>
      </c>
      <c r="S110" s="367" t="n">
        <v>40179</v>
      </c>
      <c r="T110" s="0" t="n">
        <v>4.5755</v>
      </c>
      <c r="U110" s="0" t="n">
        <v>0.195</v>
      </c>
      <c r="W110" s="0" t="n">
        <f aca="false">AB110-T110</f>
        <v>-0.0309999999999997</v>
      </c>
      <c r="X110" s="0" t="n">
        <f aca="false">AC110-U110</f>
        <v>0</v>
      </c>
      <c r="Y110" s="385" t="n">
        <f aca="false">I110-B110</f>
        <v>0</v>
      </c>
      <c r="AA110" s="367" t="n">
        <v>40179</v>
      </c>
      <c r="AB110" s="0" t="n">
        <v>4.5445</v>
      </c>
      <c r="AC110" s="0" t="n">
        <v>0.195</v>
      </c>
      <c r="AI110" s="367" t="n">
        <v>40148</v>
      </c>
      <c r="AJ110" s="0" t="n">
        <v>-141.97260994</v>
      </c>
      <c r="AL110" s="367" t="n">
        <v>40148</v>
      </c>
      <c r="AM110" s="0" t="n">
        <v>-81.12720569</v>
      </c>
      <c r="AO110" s="367" t="n">
        <v>39234</v>
      </c>
      <c r="AP110" s="0" t="n">
        <v>5.034248381848</v>
      </c>
    </row>
    <row r="111" customFormat="false" ht="12.75" hidden="false" customHeight="false" outlineLevel="0" collapsed="false">
      <c r="A111" s="367" t="n">
        <v>40210</v>
      </c>
      <c r="B111" s="0" t="n">
        <v>-0.47</v>
      </c>
      <c r="C111" s="367" t="n">
        <v>40210</v>
      </c>
      <c r="D111" s="0" t="n">
        <v>1.59025286596301</v>
      </c>
      <c r="F111" s="385" t="n">
        <f aca="false">(B111+T111)*D111/1.055056</f>
        <v>6.05695919635769</v>
      </c>
      <c r="G111" s="0" t="n">
        <f aca="false">K111-D111</f>
        <v>0.000652044371449945</v>
      </c>
      <c r="H111" s="367" t="n">
        <v>40210</v>
      </c>
      <c r="I111" s="0" t="n">
        <v>-0.47</v>
      </c>
      <c r="J111" s="367" t="n">
        <v>40210</v>
      </c>
      <c r="K111" s="0" t="n">
        <v>1.59090491033446</v>
      </c>
      <c r="L111" s="385" t="n">
        <f aca="false">IF(H111="",F111,(I111+AB111)*K111/1.055056)</f>
        <v>6.01119033022733</v>
      </c>
      <c r="S111" s="367" t="n">
        <v>40210</v>
      </c>
      <c r="T111" s="0" t="n">
        <v>4.4885</v>
      </c>
      <c r="U111" s="0" t="n">
        <v>0.19</v>
      </c>
      <c r="W111" s="0" t="n">
        <f aca="false">AB111-T111</f>
        <v>-0.032</v>
      </c>
      <c r="X111" s="0" t="n">
        <f aca="false">AC111-U111</f>
        <v>0</v>
      </c>
      <c r="Y111" s="385" t="n">
        <f aca="false">I111-B111</f>
        <v>0</v>
      </c>
      <c r="AA111" s="367" t="n">
        <v>40210</v>
      </c>
      <c r="AB111" s="0" t="n">
        <v>4.4565</v>
      </c>
      <c r="AC111" s="0" t="n">
        <v>0.19</v>
      </c>
      <c r="AI111" s="367" t="n">
        <v>40179</v>
      </c>
      <c r="AJ111" s="0" t="n">
        <v>-141.13426124</v>
      </c>
      <c r="AL111" s="367" t="n">
        <v>40179</v>
      </c>
      <c r="AM111" s="0" t="n">
        <v>-80.64814927</v>
      </c>
      <c r="AO111" s="367" t="n">
        <v>39264</v>
      </c>
      <c r="AP111" s="0" t="n">
        <v>5.176845583742</v>
      </c>
    </row>
    <row r="112" customFormat="false" ht="12.75" hidden="false" customHeight="false" outlineLevel="0" collapsed="false">
      <c r="A112" s="367" t="n">
        <v>40238</v>
      </c>
      <c r="B112" s="0" t="n">
        <v>-0.47</v>
      </c>
      <c r="C112" s="367" t="n">
        <v>40238</v>
      </c>
      <c r="D112" s="0" t="n">
        <v>1.59131744695939</v>
      </c>
      <c r="F112" s="385" t="n">
        <f aca="false">(B112+T112)*D112/1.055056</f>
        <v>5.85136337358297</v>
      </c>
      <c r="G112" s="0" t="n">
        <f aca="false">K112-D112</f>
        <v>0.0005759222156001</v>
      </c>
      <c r="H112" s="367" t="n">
        <v>40238</v>
      </c>
      <c r="I112" s="0" t="n">
        <v>-0.47</v>
      </c>
      <c r="J112" s="367" t="n">
        <v>40238</v>
      </c>
      <c r="K112" s="0" t="n">
        <v>1.59189336917499</v>
      </c>
      <c r="L112" s="385" t="n">
        <f aca="false">IF(H112="",F112,(I112+AB112)*K112/1.055056)</f>
        <v>5.80519871732</v>
      </c>
      <c r="S112" s="367" t="n">
        <v>40238</v>
      </c>
      <c r="T112" s="0" t="n">
        <v>4.3495</v>
      </c>
      <c r="U112" s="0" t="n">
        <v>0.1875</v>
      </c>
      <c r="W112" s="0" t="n">
        <f aca="false">AB112-T112</f>
        <v>-0.032</v>
      </c>
      <c r="X112" s="0" t="n">
        <f aca="false">AC112-U112</f>
        <v>0</v>
      </c>
      <c r="Y112" s="385" t="n">
        <f aca="false">I112-B112</f>
        <v>0</v>
      </c>
      <c r="AA112" s="367" t="n">
        <v>40238</v>
      </c>
      <c r="AB112" s="0" t="n">
        <v>4.3175</v>
      </c>
      <c r="AC112" s="0" t="n">
        <v>0.1875</v>
      </c>
      <c r="AI112" s="367" t="n">
        <v>40210</v>
      </c>
      <c r="AJ112" s="0" t="n">
        <v>-126.7194915</v>
      </c>
      <c r="AL112" s="367" t="n">
        <v>40210</v>
      </c>
      <c r="AM112" s="0" t="n">
        <v>-72.41113799</v>
      </c>
      <c r="AO112" s="367" t="n">
        <v>39295</v>
      </c>
      <c r="AP112" s="0" t="n">
        <v>5.150767170038</v>
      </c>
    </row>
    <row r="113" customFormat="false" ht="12.75" hidden="false" customHeight="false" outlineLevel="0" collapsed="false">
      <c r="A113" s="367" t="n">
        <v>40269</v>
      </c>
      <c r="B113" s="0" t="n">
        <v>-0.595</v>
      </c>
      <c r="C113" s="367" t="n">
        <v>40269</v>
      </c>
      <c r="D113" s="0" t="n">
        <v>1.59251606154555</v>
      </c>
      <c r="F113" s="385" t="n">
        <f aca="false">(B113+T113)*D113/1.055056</f>
        <v>5.43464430285668</v>
      </c>
      <c r="G113" s="0" t="n">
        <f aca="false">K113-D113</f>
        <v>0.000489883331180163</v>
      </c>
      <c r="H113" s="367" t="n">
        <v>40269</v>
      </c>
      <c r="I113" s="0" t="n">
        <v>-0.595</v>
      </c>
      <c r="J113" s="367" t="n">
        <v>40269</v>
      </c>
      <c r="K113" s="0" t="n">
        <v>1.59300594487673</v>
      </c>
      <c r="L113" s="385" t="n">
        <f aca="false">IF(H113="",F113,(I113+AB113)*K113/1.055056)</f>
        <v>5.3879999870079</v>
      </c>
      <c r="S113" s="367" t="n">
        <v>40269</v>
      </c>
      <c r="T113" s="0" t="n">
        <v>4.1955</v>
      </c>
      <c r="U113" s="0" t="n">
        <v>0.185</v>
      </c>
      <c r="W113" s="0" t="n">
        <f aca="false">AB113-T113</f>
        <v>-0.032</v>
      </c>
      <c r="X113" s="0" t="n">
        <f aca="false">AC113-U113</f>
        <v>0</v>
      </c>
      <c r="Y113" s="385" t="n">
        <f aca="false">I113-B113</f>
        <v>0</v>
      </c>
      <c r="AA113" s="367" t="n">
        <v>40269</v>
      </c>
      <c r="AB113" s="0" t="n">
        <v>4.1635</v>
      </c>
      <c r="AC113" s="0" t="n">
        <v>0.185</v>
      </c>
      <c r="AI113" s="367" t="n">
        <v>40238</v>
      </c>
      <c r="AJ113" s="0" t="n">
        <v>-139.54057782</v>
      </c>
      <c r="AL113" s="367" t="n">
        <v>40238</v>
      </c>
      <c r="AM113" s="0" t="n">
        <v>-79.73747303</v>
      </c>
      <c r="AO113" s="367" t="n">
        <v>39326</v>
      </c>
      <c r="AP113" s="0" t="n">
        <v>4.959351358682</v>
      </c>
    </row>
    <row r="114" customFormat="false" ht="12.75" hidden="false" customHeight="false" outlineLevel="0" collapsed="false">
      <c r="A114" s="367" t="n">
        <v>40299</v>
      </c>
      <c r="B114" s="0" t="n">
        <v>-0.595</v>
      </c>
      <c r="C114" s="367" t="n">
        <v>40299</v>
      </c>
      <c r="D114" s="0" t="n">
        <v>1.5936960314839</v>
      </c>
      <c r="F114" s="385" t="n">
        <f aca="false">(B114+T114)*D114/1.055056</f>
        <v>5.44622374690557</v>
      </c>
      <c r="G114" s="0" t="n">
        <f aca="false">K114-D114</f>
        <v>0.000404852122749988</v>
      </c>
      <c r="H114" s="367" t="n">
        <v>40299</v>
      </c>
      <c r="I114" s="0" t="n">
        <v>-0.595</v>
      </c>
      <c r="J114" s="367" t="n">
        <v>40299</v>
      </c>
      <c r="K114" s="0" t="n">
        <v>1.59410088360665</v>
      </c>
      <c r="L114" s="385" t="n">
        <f aca="false">IF(H114="",F114,(I114+AB114)*K114/1.055056)</f>
        <v>5.39925796125359</v>
      </c>
      <c r="S114" s="367" t="n">
        <v>40299</v>
      </c>
      <c r="T114" s="0" t="n">
        <v>4.2005</v>
      </c>
      <c r="U114" s="0" t="n">
        <v>0.185</v>
      </c>
      <c r="W114" s="0" t="n">
        <f aca="false">AB114-T114</f>
        <v>-0.032</v>
      </c>
      <c r="X114" s="0" t="n">
        <f aca="false">AC114-U114</f>
        <v>0</v>
      </c>
      <c r="Y114" s="385" t="n">
        <f aca="false">I114-B114</f>
        <v>0</v>
      </c>
      <c r="AA114" s="367" t="n">
        <v>40299</v>
      </c>
      <c r="AB114" s="0" t="n">
        <v>4.1685</v>
      </c>
      <c r="AC114" s="0" t="n">
        <v>0.185</v>
      </c>
      <c r="AI114" s="367" t="n">
        <v>40269</v>
      </c>
      <c r="AJ114" s="0" t="n">
        <v>-134.2299658</v>
      </c>
      <c r="AL114" s="367" t="n">
        <v>40269</v>
      </c>
      <c r="AM114" s="0" t="n">
        <v>-76.70283761</v>
      </c>
      <c r="AO114" s="367" t="n">
        <v>39356</v>
      </c>
      <c r="AP114" s="0" t="n">
        <v>5.099378240712</v>
      </c>
    </row>
    <row r="115" customFormat="false" ht="12.75" hidden="false" customHeight="false" outlineLevel="0" collapsed="false">
      <c r="A115" s="367" t="n">
        <v>40330</v>
      </c>
      <c r="B115" s="0" t="n">
        <v>-0.595</v>
      </c>
      <c r="C115" s="367" t="n">
        <v>40330</v>
      </c>
      <c r="D115" s="0" t="n">
        <v>1.59493606288446</v>
      </c>
      <c r="F115" s="385" t="n">
        <f aca="false">(B115+T115)*D115/1.055056</f>
        <v>5.50790625816974</v>
      </c>
      <c r="G115" s="0" t="n">
        <f aca="false">K115-D115</f>
        <v>0.00031515327595999</v>
      </c>
      <c r="H115" s="367" t="n">
        <v>40330</v>
      </c>
      <c r="I115" s="0" t="n">
        <v>-0.595</v>
      </c>
      <c r="J115" s="367" t="n">
        <v>40330</v>
      </c>
      <c r="K115" s="0" t="n">
        <v>1.59525121616042</v>
      </c>
      <c r="L115" s="385" t="n">
        <f aca="false">IF(H115="",F115,(I115+AB115)*K115/1.055056)</f>
        <v>5.46061040092977</v>
      </c>
      <c r="S115" s="367" t="n">
        <v>40330</v>
      </c>
      <c r="T115" s="0" t="n">
        <v>4.2385</v>
      </c>
      <c r="U115" s="0" t="n">
        <v>0.185</v>
      </c>
      <c r="W115" s="0" t="n">
        <f aca="false">AB115-T115</f>
        <v>-0.032</v>
      </c>
      <c r="X115" s="0" t="n">
        <f aca="false">AC115-U115</f>
        <v>0</v>
      </c>
      <c r="Y115" s="385" t="n">
        <f aca="false">I115-B115</f>
        <v>0</v>
      </c>
      <c r="AA115" s="367" t="n">
        <v>40330</v>
      </c>
      <c r="AB115" s="0" t="n">
        <v>4.2065</v>
      </c>
      <c r="AC115" s="0" t="n">
        <v>0.185</v>
      </c>
      <c r="AI115" s="367" t="n">
        <v>40299</v>
      </c>
      <c r="AJ115" s="0" t="n">
        <v>-137.8957608</v>
      </c>
      <c r="AL115" s="367" t="n">
        <v>40299</v>
      </c>
      <c r="AM115" s="0" t="n">
        <v>-78.7975776</v>
      </c>
      <c r="AO115" s="367" t="n">
        <v>39387</v>
      </c>
      <c r="AP115" s="0" t="n">
        <v>4.909576172592</v>
      </c>
    </row>
    <row r="116" customFormat="false" ht="12.75" hidden="false" customHeight="false" outlineLevel="0" collapsed="false">
      <c r="A116" s="367" t="n">
        <v>40360</v>
      </c>
      <c r="B116" s="0" t="n">
        <v>-0.595</v>
      </c>
      <c r="C116" s="367" t="n">
        <v>40360</v>
      </c>
      <c r="D116" s="0" t="n">
        <v>1.59615619414971</v>
      </c>
      <c r="F116" s="385" t="n">
        <f aca="false">(B116+T116)*D116/1.055056</f>
        <v>5.58019870236386</v>
      </c>
      <c r="G116" s="0" t="n">
        <f aca="false">K116-D116</f>
        <v>0.00022656739940996</v>
      </c>
      <c r="H116" s="367" t="n">
        <v>40360</v>
      </c>
      <c r="I116" s="0" t="n">
        <v>-0.595</v>
      </c>
      <c r="J116" s="367" t="n">
        <v>40360</v>
      </c>
      <c r="K116" s="0" t="n">
        <v>1.59638276154912</v>
      </c>
      <c r="L116" s="385" t="n">
        <f aca="false">IF(H116="",F116,(I116+AB116)*K116/1.055056)</f>
        <v>5.5325722687747</v>
      </c>
      <c r="S116" s="367" t="n">
        <v>40360</v>
      </c>
      <c r="T116" s="0" t="n">
        <v>4.2835</v>
      </c>
      <c r="U116" s="0" t="n">
        <v>0.185</v>
      </c>
      <c r="W116" s="0" t="n">
        <f aca="false">AB116-T116</f>
        <v>-0.032</v>
      </c>
      <c r="X116" s="0" t="n">
        <f aca="false">AC116-U116</f>
        <v>0</v>
      </c>
      <c r="Y116" s="385" t="n">
        <f aca="false">I116-B116</f>
        <v>0</v>
      </c>
      <c r="AA116" s="367" t="n">
        <v>40360</v>
      </c>
      <c r="AB116" s="0" t="n">
        <v>4.2515</v>
      </c>
      <c r="AC116" s="0" t="n">
        <v>0.185</v>
      </c>
      <c r="AI116" s="367" t="n">
        <v>40330</v>
      </c>
      <c r="AJ116" s="0" t="n">
        <v>-132.6397828</v>
      </c>
      <c r="AL116" s="367" t="n">
        <v>40330</v>
      </c>
      <c r="AM116" s="0" t="n">
        <v>-75.79416159</v>
      </c>
      <c r="AO116" s="367" t="n">
        <v>39417</v>
      </c>
      <c r="AP116" s="0" t="n">
        <v>5.047903156366</v>
      </c>
    </row>
    <row r="117" customFormat="false" ht="12.75" hidden="false" customHeight="false" outlineLevel="0" collapsed="false">
      <c r="A117" s="367" t="n">
        <v>40391</v>
      </c>
      <c r="B117" s="0" t="n">
        <v>-0.595</v>
      </c>
      <c r="C117" s="367" t="n">
        <v>40391</v>
      </c>
      <c r="D117" s="0" t="n">
        <v>1.59743781038888</v>
      </c>
      <c r="F117" s="385" t="n">
        <f aca="false">(B117+T117)*D117/1.055056</f>
        <v>5.64221425252703</v>
      </c>
      <c r="G117" s="0" t="n">
        <f aca="false">K117-D117</f>
        <v>0.000133181933859916</v>
      </c>
      <c r="H117" s="367" t="n">
        <v>40391</v>
      </c>
      <c r="I117" s="0" t="n">
        <v>-0.595</v>
      </c>
      <c r="J117" s="367" t="n">
        <v>40391</v>
      </c>
      <c r="K117" s="0" t="n">
        <v>1.59757099232274</v>
      </c>
      <c r="L117" s="385" t="n">
        <f aca="false">IF(H117="",F117,(I117+AB117)*K117/1.055056)</f>
        <v>5.59423009881595</v>
      </c>
      <c r="S117" s="367" t="n">
        <v>40391</v>
      </c>
      <c r="T117" s="0" t="n">
        <v>4.3215</v>
      </c>
      <c r="U117" s="0" t="n">
        <v>0.185</v>
      </c>
      <c r="W117" s="0" t="n">
        <f aca="false">AB117-T117</f>
        <v>-0.032</v>
      </c>
      <c r="X117" s="0" t="n">
        <f aca="false">AC117-U117</f>
        <v>0</v>
      </c>
      <c r="Y117" s="385" t="n">
        <f aca="false">I117-B117</f>
        <v>0</v>
      </c>
      <c r="AA117" s="367" t="n">
        <v>40391</v>
      </c>
      <c r="AB117" s="0" t="n">
        <v>4.2895</v>
      </c>
      <c r="AC117" s="0" t="n">
        <v>0.185</v>
      </c>
      <c r="AI117" s="367" t="n">
        <v>40360</v>
      </c>
      <c r="AJ117" s="0" t="n">
        <v>-136.25423378</v>
      </c>
      <c r="AL117" s="367" t="n">
        <v>40360</v>
      </c>
      <c r="AM117" s="0" t="n">
        <v>-77.85956215</v>
      </c>
      <c r="AO117" s="367" t="n">
        <v>39448</v>
      </c>
      <c r="AP117" s="0" t="n">
        <v>5.02171490212</v>
      </c>
    </row>
    <row r="118" customFormat="false" ht="12.75" hidden="false" customHeight="false" outlineLevel="0" collapsed="false">
      <c r="A118" s="367" t="n">
        <v>40422</v>
      </c>
      <c r="B118" s="0" t="n">
        <v>-0.595</v>
      </c>
      <c r="C118" s="367" t="n">
        <v>40422</v>
      </c>
      <c r="D118" s="0" t="n">
        <v>1.59874062631389</v>
      </c>
      <c r="F118" s="385" t="n">
        <f aca="false">(B118+T118)*D118/1.055056</f>
        <v>5.63772396934459</v>
      </c>
      <c r="G118" s="0" t="n">
        <f aca="false">K118-D118</f>
        <v>3.79123838400997E-005</v>
      </c>
      <c r="H118" s="367" t="n">
        <v>40422</v>
      </c>
      <c r="I118" s="0" t="n">
        <v>-0.595</v>
      </c>
      <c r="J118" s="367" t="n">
        <v>40422</v>
      </c>
      <c r="K118" s="0" t="n">
        <v>1.59877853869773</v>
      </c>
      <c r="L118" s="385" t="n">
        <f aca="false">IF(H118="",F118,(I118+AB118)*K118/1.055056)</f>
        <v>5.58936647911256</v>
      </c>
      <c r="S118" s="367" t="n">
        <v>40422</v>
      </c>
      <c r="T118" s="0" t="n">
        <v>4.3155</v>
      </c>
      <c r="U118" s="0" t="n">
        <v>0.185</v>
      </c>
      <c r="W118" s="0" t="n">
        <f aca="false">AB118-T118</f>
        <v>-0.032</v>
      </c>
      <c r="X118" s="0" t="n">
        <f aca="false">AC118-U118</f>
        <v>0</v>
      </c>
      <c r="Y118" s="385" t="n">
        <f aca="false">I118-B118</f>
        <v>0</v>
      </c>
      <c r="AA118" s="367" t="n">
        <v>40422</v>
      </c>
      <c r="AB118" s="0" t="n">
        <v>4.2835</v>
      </c>
      <c r="AC118" s="0" t="n">
        <v>0.185</v>
      </c>
      <c r="AI118" s="367" t="n">
        <v>40391</v>
      </c>
      <c r="AJ118" s="0" t="n">
        <v>-135.42138848</v>
      </c>
      <c r="AL118" s="367" t="n">
        <v>40391</v>
      </c>
      <c r="AM118" s="0" t="n">
        <v>-77.38365055</v>
      </c>
      <c r="AO118" s="367" t="n">
        <v>39479</v>
      </c>
      <c r="AP118" s="0" t="n">
        <v>4.673218576026</v>
      </c>
    </row>
    <row r="119" customFormat="false" ht="12.75" hidden="false" customHeight="false" outlineLevel="0" collapsed="false">
      <c r="A119" s="367" t="n">
        <v>40452</v>
      </c>
      <c r="B119" s="0" t="n">
        <v>-0.595</v>
      </c>
      <c r="C119" s="367" t="n">
        <v>40452</v>
      </c>
      <c r="D119" s="0" t="n">
        <v>1.60002164402244</v>
      </c>
      <c r="F119" s="385" t="n">
        <f aca="false">(B119+T119)*D119/1.055056</f>
        <v>5.64224129011682</v>
      </c>
      <c r="G119" s="0" t="n">
        <f aca="false">K119-D119</f>
        <v>-5.60847296000588E-005</v>
      </c>
      <c r="H119" s="367" t="n">
        <v>40452</v>
      </c>
      <c r="I119" s="0" t="n">
        <v>-0.595</v>
      </c>
      <c r="J119" s="367" t="n">
        <v>40452</v>
      </c>
      <c r="K119" s="0" t="n">
        <v>1.59996555929284</v>
      </c>
      <c r="L119" s="385" t="n">
        <f aca="false">IF(H119="",F119,(I119+AB119)*K119/1.055056)</f>
        <v>5.59351633036696</v>
      </c>
      <c r="S119" s="367" t="n">
        <v>40452</v>
      </c>
      <c r="T119" s="0" t="n">
        <v>4.3155</v>
      </c>
      <c r="U119" s="0" t="n">
        <v>0.185</v>
      </c>
      <c r="W119" s="0" t="n">
        <f aca="false">AB119-T119</f>
        <v>-0.032</v>
      </c>
      <c r="X119" s="0" t="n">
        <f aca="false">AC119-U119</f>
        <v>0</v>
      </c>
      <c r="Y119" s="385" t="n">
        <f aca="false">I119-B119</f>
        <v>0</v>
      </c>
      <c r="AA119" s="367" t="n">
        <v>40452</v>
      </c>
      <c r="AB119" s="0" t="n">
        <v>4.2835</v>
      </c>
      <c r="AC119" s="0" t="n">
        <v>0.185</v>
      </c>
      <c r="AI119" s="367" t="n">
        <v>40422</v>
      </c>
      <c r="AJ119" s="0" t="n">
        <v>-130.24793124</v>
      </c>
      <c r="AL119" s="367" t="n">
        <v>40422</v>
      </c>
      <c r="AM119" s="0" t="n">
        <v>-74.42738927</v>
      </c>
      <c r="AO119" s="367" t="n">
        <v>39508</v>
      </c>
      <c r="AP119" s="0" t="n">
        <v>4.970980807814</v>
      </c>
    </row>
    <row r="120" customFormat="false" ht="12.75" hidden="false" customHeight="false" outlineLevel="0" collapsed="false">
      <c r="A120" s="367" t="n">
        <v>40483</v>
      </c>
      <c r="B120" s="0" t="n">
        <v>-0.565</v>
      </c>
      <c r="C120" s="367" t="n">
        <v>40483</v>
      </c>
      <c r="D120" s="0" t="n">
        <v>1.60136631011732</v>
      </c>
      <c r="F120" s="385" t="n">
        <f aca="false">(B120+T120)*D120/1.055056</f>
        <v>5.91715184785677</v>
      </c>
      <c r="G120" s="0" t="n">
        <f aca="false">K120-D120</f>
        <v>-0.000155083121869959</v>
      </c>
      <c r="H120" s="367" t="n">
        <v>40483</v>
      </c>
      <c r="I120" s="0" t="n">
        <v>-0.565</v>
      </c>
      <c r="J120" s="367" t="n">
        <v>40483</v>
      </c>
      <c r="K120" s="0" t="n">
        <v>1.60121122699545</v>
      </c>
      <c r="L120" s="385" t="n">
        <f aca="false">IF(H120="",F120,(I120+AB120)*K120/1.055056)</f>
        <v>5.86953149444665</v>
      </c>
      <c r="S120" s="367" t="n">
        <v>40483</v>
      </c>
      <c r="T120" s="0" t="n">
        <v>4.4635</v>
      </c>
      <c r="U120" s="0" t="n">
        <v>0.185</v>
      </c>
      <c r="W120" s="0" t="n">
        <f aca="false">AB120-T120</f>
        <v>-0.0309999999999997</v>
      </c>
      <c r="X120" s="0" t="n">
        <f aca="false">AC120-U120</f>
        <v>0</v>
      </c>
      <c r="Y120" s="385" t="n">
        <f aca="false">I120-B120</f>
        <v>0</v>
      </c>
      <c r="AA120" s="367" t="n">
        <v>40483</v>
      </c>
      <c r="AB120" s="0" t="n">
        <v>4.4325</v>
      </c>
      <c r="AC120" s="0" t="n">
        <v>0.185</v>
      </c>
      <c r="AI120" s="367" t="n">
        <v>40452</v>
      </c>
      <c r="AJ120" s="0" t="n">
        <v>-133.78548456</v>
      </c>
      <c r="AL120" s="367" t="n">
        <v>40452</v>
      </c>
      <c r="AM120" s="0" t="n">
        <v>-76.44884833</v>
      </c>
      <c r="AO120" s="367" t="n">
        <v>39539</v>
      </c>
      <c r="AP120" s="0" t="n">
        <v>4.785239152806</v>
      </c>
    </row>
    <row r="121" customFormat="false" ht="12.75" hidden="false" customHeight="false" outlineLevel="0" collapsed="false">
      <c r="A121" s="367" t="n">
        <v>40513</v>
      </c>
      <c r="B121" s="0" t="n">
        <v>-0.565</v>
      </c>
      <c r="C121" s="367" t="n">
        <v>40513</v>
      </c>
      <c r="D121" s="0" t="n">
        <v>1.60268791619201</v>
      </c>
      <c r="F121" s="385" t="n">
        <f aca="false">(B121+T121)*D121/1.055056</f>
        <v>6.15293160224266</v>
      </c>
      <c r="G121" s="0" t="n">
        <f aca="false">K121-D121</f>
        <v>-0.000252702861620158</v>
      </c>
      <c r="H121" s="367" t="n">
        <v>40513</v>
      </c>
      <c r="I121" s="0" t="n">
        <v>-0.565</v>
      </c>
      <c r="J121" s="367" t="n">
        <v>40513</v>
      </c>
      <c r="K121" s="0" t="n">
        <v>1.60243521333039</v>
      </c>
      <c r="L121" s="385" t="n">
        <f aca="false">IF(H121="",F121,(I121+AB121)*K121/1.055056)</f>
        <v>6.10487816758684</v>
      </c>
      <c r="S121" s="367" t="n">
        <v>40513</v>
      </c>
      <c r="T121" s="0" t="n">
        <v>4.6155</v>
      </c>
      <c r="U121" s="0" t="n">
        <v>0.185</v>
      </c>
      <c r="W121" s="0" t="n">
        <f aca="false">AB121-T121</f>
        <v>-0.0309999999999997</v>
      </c>
      <c r="X121" s="0" t="n">
        <f aca="false">AC121-U121</f>
        <v>0</v>
      </c>
      <c r="Y121" s="385" t="n">
        <f aca="false">I121-B121</f>
        <v>0</v>
      </c>
      <c r="AA121" s="367" t="n">
        <v>40513</v>
      </c>
      <c r="AB121" s="0" t="n">
        <v>4.5845</v>
      </c>
      <c r="AC121" s="0" t="n">
        <v>0.185</v>
      </c>
      <c r="AI121" s="367" t="n">
        <v>40483</v>
      </c>
      <c r="AJ121" s="0" t="n">
        <v>-128.6668026</v>
      </c>
      <c r="AL121" s="367" t="n">
        <v>40483</v>
      </c>
      <c r="AM121" s="0" t="n">
        <v>-73.52388721</v>
      </c>
      <c r="AO121" s="367" t="n">
        <v>39569</v>
      </c>
      <c r="AP121" s="0" t="n">
        <v>4.919348132762</v>
      </c>
    </row>
    <row r="122" customFormat="false" ht="12.75" hidden="false" customHeight="false" outlineLevel="0" collapsed="false">
      <c r="A122" s="367" t="n">
        <v>40544</v>
      </c>
      <c r="B122" s="0" t="n">
        <v>-0.565</v>
      </c>
      <c r="C122" s="367" t="n">
        <v>40544</v>
      </c>
      <c r="D122" s="0" t="n">
        <v>1.60407461634261</v>
      </c>
      <c r="F122" s="385" t="n">
        <f aca="false">(B122+T122)*D122/1.055056</f>
        <v>6.26468117013668</v>
      </c>
      <c r="G122" s="0" t="n">
        <f aca="false">K122-D122</f>
        <v>-0.000355459445580131</v>
      </c>
      <c r="H122" s="367" t="n">
        <v>40544</v>
      </c>
      <c r="I122" s="0" t="n">
        <v>-0.565</v>
      </c>
      <c r="J122" s="367" t="n">
        <v>40544</v>
      </c>
      <c r="K122" s="0" t="n">
        <v>1.60371915689703</v>
      </c>
      <c r="L122" s="385" t="n">
        <f aca="false">IF(H122="",F122,(I122+AB122)*K122/1.055056)</f>
        <v>6.22377209163768</v>
      </c>
      <c r="S122" s="367" t="n">
        <v>40544</v>
      </c>
      <c r="T122" s="0" t="n">
        <v>4.6855</v>
      </c>
      <c r="U122" s="0" t="n">
        <v>0.185</v>
      </c>
      <c r="W122" s="0" t="n">
        <f aca="false">AB122-T122</f>
        <v>-0.0259999999999998</v>
      </c>
      <c r="X122" s="0" t="n">
        <f aca="false">AC122-U122</f>
        <v>0</v>
      </c>
      <c r="Y122" s="385" t="n">
        <f aca="false">I122-B122</f>
        <v>0</v>
      </c>
      <c r="AA122" s="367" t="n">
        <v>40544</v>
      </c>
      <c r="AB122" s="0" t="n">
        <v>4.6595</v>
      </c>
      <c r="AC122" s="0" t="n">
        <v>0.185</v>
      </c>
      <c r="AI122" s="367" t="n">
        <v>40513</v>
      </c>
      <c r="AJ122" s="0" t="n">
        <v>-132.15373934</v>
      </c>
      <c r="AL122" s="367" t="n">
        <v>40513</v>
      </c>
      <c r="AM122" s="0" t="n">
        <v>-75.51642249</v>
      </c>
      <c r="AO122" s="367" t="n">
        <v>39600</v>
      </c>
      <c r="AP122" s="0" t="n">
        <v>4.735250512678</v>
      </c>
    </row>
    <row r="123" customFormat="false" ht="12.75" hidden="false" customHeight="false" outlineLevel="0" collapsed="false">
      <c r="A123" s="367" t="n">
        <v>40575</v>
      </c>
      <c r="B123" s="0" t="n">
        <v>-0.565</v>
      </c>
      <c r="C123" s="367" t="n">
        <v>40575</v>
      </c>
      <c r="D123" s="0" t="n">
        <v>1.60548275058044</v>
      </c>
      <c r="F123" s="385" t="n">
        <f aca="false">(B123+T123)*D123/1.055056</f>
        <v>6.13779237733941</v>
      </c>
      <c r="G123" s="0" t="n">
        <f aca="false">K123-D123</f>
        <v>-0.000460137526880011</v>
      </c>
      <c r="H123" s="367" t="n">
        <v>40575</v>
      </c>
      <c r="I123" s="0" t="n">
        <v>-0.565</v>
      </c>
      <c r="J123" s="367" t="n">
        <v>40575</v>
      </c>
      <c r="K123" s="0" t="n">
        <v>1.60502261305356</v>
      </c>
      <c r="L123" s="385" t="n">
        <f aca="false">IF(H123="",F123,(I123+AB123)*K123/1.055056)</f>
        <v>6.09495903459067</v>
      </c>
      <c r="S123" s="367" t="n">
        <v>40575</v>
      </c>
      <c r="T123" s="0" t="n">
        <v>4.5985</v>
      </c>
      <c r="U123" s="0" t="n">
        <v>0.185</v>
      </c>
      <c r="W123" s="0" t="n">
        <f aca="false">AB123-T123</f>
        <v>-0.0270000000000001</v>
      </c>
      <c r="X123" s="0" t="n">
        <f aca="false">AC123-U123</f>
        <v>0</v>
      </c>
      <c r="Y123" s="385" t="n">
        <f aca="false">I123-B123</f>
        <v>0</v>
      </c>
      <c r="AA123" s="367" t="n">
        <v>40575</v>
      </c>
      <c r="AB123" s="0" t="n">
        <v>4.5715</v>
      </c>
      <c r="AC123" s="0" t="n">
        <v>0.185</v>
      </c>
      <c r="AI123" s="367" t="n">
        <v>40544</v>
      </c>
      <c r="AJ123" s="0" t="n">
        <v>-44.08807926</v>
      </c>
      <c r="AO123" s="367" t="n">
        <v>39630</v>
      </c>
      <c r="AP123" s="0" t="n">
        <v>4.867674816046</v>
      </c>
    </row>
    <row r="124" customFormat="false" ht="12.75" hidden="false" customHeight="false" outlineLevel="0" collapsed="false">
      <c r="A124" s="367" t="n">
        <v>40603</v>
      </c>
      <c r="B124" s="0" t="n">
        <v>-0.565</v>
      </c>
      <c r="C124" s="367" t="n">
        <v>40603</v>
      </c>
      <c r="D124" s="0" t="n">
        <v>1.60677307837891</v>
      </c>
      <c r="F124" s="385" t="n">
        <f aca="false">(B124+T124)*D124/1.055056</f>
        <v>5.9310384981903</v>
      </c>
      <c r="G124" s="0" t="n">
        <f aca="false">K124-D124</f>
        <v>-0.000556343695330197</v>
      </c>
      <c r="H124" s="367" t="n">
        <v>40603</v>
      </c>
      <c r="I124" s="0" t="n">
        <v>-0.565</v>
      </c>
      <c r="J124" s="367" t="n">
        <v>40603</v>
      </c>
      <c r="K124" s="0" t="n">
        <v>1.60621673468358</v>
      </c>
      <c r="L124" s="385" t="n">
        <f aca="false">IF(H124="",F124,(I124+AB124)*K124/1.055056)</f>
        <v>5.88788009488477</v>
      </c>
      <c r="S124" s="367" t="n">
        <v>40603</v>
      </c>
      <c r="T124" s="0" t="n">
        <v>4.4595</v>
      </c>
      <c r="U124" s="0" t="n">
        <v>0.18</v>
      </c>
      <c r="W124" s="0" t="n">
        <f aca="false">AB124-T124</f>
        <v>-0.0270000000000001</v>
      </c>
      <c r="X124" s="0" t="n">
        <f aca="false">AC124-U124</f>
        <v>0</v>
      </c>
      <c r="Y124" s="385" t="n">
        <f aca="false">I124-B124</f>
        <v>0</v>
      </c>
      <c r="AA124" s="367" t="n">
        <v>40603</v>
      </c>
      <c r="AB124" s="0" t="n">
        <v>4.4325</v>
      </c>
      <c r="AC124" s="0" t="n">
        <v>0.18</v>
      </c>
      <c r="AI124" s="367" t="n">
        <v>40575</v>
      </c>
      <c r="AJ124" s="0" t="n">
        <v>-39.57092292</v>
      </c>
      <c r="AO124" s="367" t="n">
        <v>39661</v>
      </c>
      <c r="AP124" s="0" t="n">
        <v>4.841403117488</v>
      </c>
    </row>
    <row r="125" customFormat="false" ht="12.75" hidden="false" customHeight="false" outlineLevel="0" collapsed="false">
      <c r="A125" s="367" t="n">
        <v>40634</v>
      </c>
      <c r="B125" s="0" t="n">
        <v>-0.565</v>
      </c>
      <c r="C125" s="367" t="n">
        <v>40634</v>
      </c>
      <c r="D125" s="0" t="n">
        <v>1.60822214532614</v>
      </c>
      <c r="F125" s="385" t="n">
        <f aca="false">(B125+T125)*D125/1.055056</f>
        <v>5.70164515873321</v>
      </c>
      <c r="G125" s="0" t="n">
        <f aca="false">K125-D125</f>
        <v>-0.000664701057810024</v>
      </c>
      <c r="H125" s="367" t="n">
        <v>40634</v>
      </c>
      <c r="I125" s="0" t="n">
        <v>-0.565</v>
      </c>
      <c r="J125" s="367" t="n">
        <v>40634</v>
      </c>
      <c r="K125" s="0" t="n">
        <v>1.60755744426833</v>
      </c>
      <c r="L125" s="385" t="n">
        <f aca="false">IF(H125="",F125,(I125+AB125)*K125/1.055056)</f>
        <v>5.65814949091844</v>
      </c>
      <c r="S125" s="367" t="n">
        <v>40634</v>
      </c>
      <c r="T125" s="0" t="n">
        <v>4.3055</v>
      </c>
      <c r="U125" s="0" t="n">
        <v>0.18</v>
      </c>
      <c r="W125" s="0" t="n">
        <f aca="false">AB125-T125</f>
        <v>-0.0270000000000001</v>
      </c>
      <c r="X125" s="0" t="n">
        <f aca="false">AC125-U125</f>
        <v>0</v>
      </c>
      <c r="Y125" s="385" t="n">
        <f aca="false">I125-B125</f>
        <v>0</v>
      </c>
      <c r="AA125" s="367" t="n">
        <v>40634</v>
      </c>
      <c r="AB125" s="0" t="n">
        <v>4.2785</v>
      </c>
      <c r="AC125" s="0" t="n">
        <v>0.18</v>
      </c>
      <c r="AI125" s="367" t="n">
        <v>40603</v>
      </c>
      <c r="AJ125" s="0" t="n">
        <v>-43.56045626</v>
      </c>
      <c r="AO125" s="367" t="n">
        <v>39692</v>
      </c>
      <c r="AP125" s="0" t="n">
        <v>4.659799253984</v>
      </c>
    </row>
    <row r="126" customFormat="false" ht="12.75" hidden="false" customHeight="false" outlineLevel="0" collapsed="false">
      <c r="A126" s="367" t="n">
        <v>40664</v>
      </c>
      <c r="B126" s="0" t="n">
        <v>-0.565</v>
      </c>
      <c r="C126" s="367" t="n">
        <v>40664</v>
      </c>
      <c r="D126" s="0" t="n">
        <v>1.60964501615138</v>
      </c>
      <c r="F126" s="385" t="n">
        <f aca="false">(B126+T126)*D126/1.055056</f>
        <v>5.71431792056061</v>
      </c>
      <c r="G126" s="0" t="n">
        <f aca="false">K126-D126</f>
        <v>-0.000771414968040007</v>
      </c>
      <c r="H126" s="367" t="n">
        <v>40664</v>
      </c>
      <c r="I126" s="0" t="n">
        <v>-0.565</v>
      </c>
      <c r="J126" s="367" t="n">
        <v>40664</v>
      </c>
      <c r="K126" s="0" t="n">
        <v>1.60887360118334</v>
      </c>
      <c r="L126" s="385" t="n">
        <f aca="false">IF(H126="",F126,(I126+AB126)*K126/1.055056)</f>
        <v>5.67040658126227</v>
      </c>
      <c r="S126" s="367" t="n">
        <v>40664</v>
      </c>
      <c r="T126" s="0" t="n">
        <v>4.3105</v>
      </c>
      <c r="U126" s="0" t="n">
        <v>0.18</v>
      </c>
      <c r="W126" s="0" t="n">
        <f aca="false">AB126-T126</f>
        <v>-0.0270000000000001</v>
      </c>
      <c r="X126" s="0" t="n">
        <f aca="false">AC126-U126</f>
        <v>0</v>
      </c>
      <c r="Y126" s="385" t="n">
        <f aca="false">I126-B126</f>
        <v>0</v>
      </c>
      <c r="AA126" s="367" t="n">
        <v>40664</v>
      </c>
      <c r="AB126" s="0" t="n">
        <v>4.2835</v>
      </c>
      <c r="AC126" s="0" t="n">
        <v>0.18</v>
      </c>
      <c r="AI126" s="367" t="n">
        <v>40634</v>
      </c>
      <c r="AJ126" s="0" t="n">
        <v>-41.88759795</v>
      </c>
      <c r="AO126" s="367" t="n">
        <v>39722</v>
      </c>
      <c r="AP126" s="0" t="n">
        <v>4.7896926091</v>
      </c>
    </row>
    <row r="127" customFormat="false" ht="12.75" hidden="false" customHeight="false" outlineLevel="0" collapsed="false">
      <c r="A127" s="367" t="n">
        <v>40695</v>
      </c>
      <c r="B127" s="0" t="n">
        <v>-0.565</v>
      </c>
      <c r="C127" s="367" t="n">
        <v>40695</v>
      </c>
      <c r="D127" s="0" t="n">
        <v>1.61113659994664</v>
      </c>
      <c r="F127" s="385" t="n">
        <f aca="false">(B127+T127)*D127/1.055056</f>
        <v>5.77764149571029</v>
      </c>
      <c r="G127" s="0" t="n">
        <f aca="false">K127-D127</f>
        <v>-0.000883607887429916</v>
      </c>
      <c r="H127" s="367" t="n">
        <v>40695</v>
      </c>
      <c r="I127" s="0" t="n">
        <v>-0.565</v>
      </c>
      <c r="J127" s="367" t="n">
        <v>40695</v>
      </c>
      <c r="K127" s="0" t="n">
        <v>1.61025299205921</v>
      </c>
      <c r="L127" s="385" t="n">
        <f aca="false">IF(H127="",F127,(I127+AB127)*K127/1.055056)</f>
        <v>5.73326474108523</v>
      </c>
      <c r="S127" s="367" t="n">
        <v>40695</v>
      </c>
      <c r="T127" s="0" t="n">
        <v>4.3485</v>
      </c>
      <c r="U127" s="0" t="n">
        <v>0.18</v>
      </c>
      <c r="W127" s="0" t="n">
        <f aca="false">AB127-T127</f>
        <v>-0.0270000000000001</v>
      </c>
      <c r="X127" s="0" t="n">
        <f aca="false">AC127-U127</f>
        <v>0</v>
      </c>
      <c r="Y127" s="385" t="n">
        <f aca="false">I127-B127</f>
        <v>0</v>
      </c>
      <c r="AA127" s="367" t="n">
        <v>40695</v>
      </c>
      <c r="AB127" s="0" t="n">
        <v>4.3215</v>
      </c>
      <c r="AC127" s="0" t="n">
        <v>0.18</v>
      </c>
      <c r="AI127" s="367" t="n">
        <v>40664</v>
      </c>
      <c r="AJ127" s="0" t="n">
        <v>-43.01659352</v>
      </c>
      <c r="AO127" s="367" t="n">
        <v>39753</v>
      </c>
      <c r="AP127" s="0" t="n">
        <v>4.609750940368</v>
      </c>
    </row>
    <row r="128" customFormat="false" ht="12.75" hidden="false" customHeight="false" outlineLevel="0" collapsed="false">
      <c r="A128" s="367" t="n">
        <v>40725</v>
      </c>
      <c r="B128" s="0" t="n">
        <v>-0.565</v>
      </c>
      <c r="C128" s="367" t="n">
        <v>40725</v>
      </c>
      <c r="D128" s="0" t="n">
        <v>1.61260071513694</v>
      </c>
      <c r="F128" s="385" t="n">
        <f aca="false">(B128+T128)*D128/1.055056</f>
        <v>5.85167217465402</v>
      </c>
      <c r="G128" s="0" t="n">
        <f aca="false">K128-D128</f>
        <v>-0.00099404954762039</v>
      </c>
      <c r="H128" s="367" t="n">
        <v>40725</v>
      </c>
      <c r="I128" s="0" t="n">
        <v>-0.565</v>
      </c>
      <c r="J128" s="367" t="n">
        <v>40725</v>
      </c>
      <c r="K128" s="0" t="n">
        <v>1.61160666558932</v>
      </c>
      <c r="L128" s="385" t="n">
        <f aca="false">IF(H128="",F128,(I128+AB128)*K128/1.055056)</f>
        <v>5.80682232908756</v>
      </c>
      <c r="S128" s="367" t="n">
        <v>40725</v>
      </c>
      <c r="T128" s="0" t="n">
        <v>4.3935</v>
      </c>
      <c r="U128" s="0" t="n">
        <v>0.18</v>
      </c>
      <c r="W128" s="0" t="n">
        <f aca="false">AB128-T128</f>
        <v>-0.0270000000000001</v>
      </c>
      <c r="X128" s="0" t="n">
        <f aca="false">AC128-U128</f>
        <v>0</v>
      </c>
      <c r="Y128" s="385" t="n">
        <f aca="false">I128-B128</f>
        <v>0</v>
      </c>
      <c r="AA128" s="367" t="n">
        <v>40725</v>
      </c>
      <c r="AB128" s="0" t="n">
        <v>4.3665</v>
      </c>
      <c r="AC128" s="0" t="n">
        <v>0.18</v>
      </c>
      <c r="AI128" s="367" t="n">
        <v>40695</v>
      </c>
      <c r="AJ128" s="0" t="n">
        <v>-41.36214163</v>
      </c>
      <c r="AO128" s="367" t="n">
        <v>39783</v>
      </c>
      <c r="AP128" s="0" t="n">
        <v>4.737973219826</v>
      </c>
    </row>
    <row r="129" customFormat="false" ht="12.75" hidden="false" customHeight="false" outlineLevel="0" collapsed="false">
      <c r="A129" s="367" t="n">
        <v>40756</v>
      </c>
      <c r="B129" s="0" t="n">
        <v>-0.565</v>
      </c>
      <c r="C129" s="367" t="n">
        <v>40756</v>
      </c>
      <c r="D129" s="0" t="n">
        <v>1.61413502207937</v>
      </c>
      <c r="F129" s="385" t="n">
        <f aca="false">(B129+T129)*D129/1.055056</f>
        <v>5.91537611545727</v>
      </c>
      <c r="G129" s="0" t="n">
        <f aca="false">K129-D129</f>
        <v>-0.00111011120876992</v>
      </c>
      <c r="H129" s="367" t="n">
        <v>40756</v>
      </c>
      <c r="I129" s="0" t="n">
        <v>-0.565</v>
      </c>
      <c r="J129" s="367" t="n">
        <v>40756</v>
      </c>
      <c r="K129" s="0" t="n">
        <v>1.6130249108706</v>
      </c>
      <c r="L129" s="385" t="n">
        <f aca="false">IF(H129="",F129,(I129+AB129)*K129/1.055056)</f>
        <v>5.87002883760452</v>
      </c>
      <c r="S129" s="367" t="n">
        <v>40756</v>
      </c>
      <c r="T129" s="0" t="n">
        <v>4.4315</v>
      </c>
      <c r="U129" s="0" t="n">
        <v>0.18</v>
      </c>
      <c r="W129" s="0" t="n">
        <f aca="false">AB129-T129</f>
        <v>-0.0269999999999992</v>
      </c>
      <c r="X129" s="0" t="n">
        <f aca="false">AC129-U129</f>
        <v>0</v>
      </c>
      <c r="Y129" s="385" t="n">
        <f aca="false">I129-B129</f>
        <v>0</v>
      </c>
      <c r="AA129" s="367" t="n">
        <v>40756</v>
      </c>
      <c r="AB129" s="0" t="n">
        <v>4.4045</v>
      </c>
      <c r="AC129" s="0" t="n">
        <v>0.18</v>
      </c>
      <c r="AI129" s="367" t="n">
        <v>40725</v>
      </c>
      <c r="AJ129" s="0" t="n">
        <v>-42.47451072</v>
      </c>
      <c r="AO129" s="367" t="n">
        <v>39814</v>
      </c>
      <c r="AP129" s="0" t="n">
        <v>4.711690176102</v>
      </c>
    </row>
    <row r="130" customFormat="false" ht="12.75" hidden="false" customHeight="false" outlineLevel="0" collapsed="false">
      <c r="A130" s="367" t="n">
        <v>40787</v>
      </c>
      <c r="B130" s="0" t="n">
        <v>-0.565</v>
      </c>
      <c r="C130" s="367" t="n">
        <v>40787</v>
      </c>
      <c r="D130" s="0" t="n">
        <v>1.61569112194234</v>
      </c>
      <c r="F130" s="385" t="n">
        <f aca="false">(B130+T130)*D130/1.055056</f>
        <v>5.91189053117408</v>
      </c>
      <c r="G130" s="0" t="n">
        <f aca="false">K130-D130</f>
        <v>-0.0012281520302202</v>
      </c>
      <c r="H130" s="367" t="n">
        <v>40787</v>
      </c>
      <c r="I130" s="0" t="n">
        <v>-0.565</v>
      </c>
      <c r="J130" s="367" t="n">
        <v>40787</v>
      </c>
      <c r="K130" s="0" t="n">
        <v>1.61446296991212</v>
      </c>
      <c r="L130" s="385" t="n">
        <f aca="false">IF(H130="",F130,(I130+AB130)*K130/1.055056)</f>
        <v>5.86608084799111</v>
      </c>
      <c r="S130" s="367" t="n">
        <v>40787</v>
      </c>
      <c r="T130" s="0" t="n">
        <v>4.4255</v>
      </c>
      <c r="U130" s="0" t="n">
        <v>0.18</v>
      </c>
      <c r="W130" s="0" t="n">
        <f aca="false">AB130-T130</f>
        <v>-0.0270000000000001</v>
      </c>
      <c r="X130" s="0" t="n">
        <f aca="false">AC130-U130</f>
        <v>0</v>
      </c>
      <c r="Y130" s="385" t="n">
        <f aca="false">I130-B130</f>
        <v>0</v>
      </c>
      <c r="AA130" s="367" t="n">
        <v>40787</v>
      </c>
      <c r="AB130" s="0" t="n">
        <v>4.3985</v>
      </c>
      <c r="AC130" s="0" t="n">
        <v>0.18</v>
      </c>
      <c r="AI130" s="367" t="n">
        <v>40756</v>
      </c>
      <c r="AJ130" s="0" t="n">
        <v>-42.19974217</v>
      </c>
      <c r="AO130" s="367" t="n">
        <v>39845</v>
      </c>
      <c r="AP130" s="0" t="n">
        <v>4.231982929678</v>
      </c>
    </row>
    <row r="131" customFormat="false" ht="12.75" hidden="false" customHeight="false" outlineLevel="0" collapsed="false">
      <c r="A131" s="367" t="n">
        <v>40817</v>
      </c>
      <c r="B131" s="0" t="n">
        <v>-0.565</v>
      </c>
      <c r="C131" s="367" t="n">
        <v>40817</v>
      </c>
      <c r="D131" s="0" t="n">
        <v>1.61721782738305</v>
      </c>
      <c r="F131" s="385" t="n">
        <f aca="false">(B131+T131)*D131/1.055056</f>
        <v>5.91747681887243</v>
      </c>
      <c r="G131" s="0" t="n">
        <f aca="false">K131-D131</f>
        <v>-0.00134427799352999</v>
      </c>
      <c r="H131" s="367" t="n">
        <v>40817</v>
      </c>
      <c r="I131" s="0" t="n">
        <v>-0.565</v>
      </c>
      <c r="J131" s="367" t="n">
        <v>40817</v>
      </c>
      <c r="K131" s="0" t="n">
        <v>1.61587354938952</v>
      </c>
      <c r="L131" s="385" t="n">
        <f aca="false">IF(H131="",F131,(I131+AB131)*K131/1.055056)</f>
        <v>5.87120612705366</v>
      </c>
      <c r="S131" s="367" t="n">
        <v>40817</v>
      </c>
      <c r="T131" s="0" t="n">
        <v>4.4255</v>
      </c>
      <c r="U131" s="0" t="n">
        <v>0.18</v>
      </c>
      <c r="W131" s="0" t="n">
        <f aca="false">AB131-T131</f>
        <v>-0.0270000000000001</v>
      </c>
      <c r="X131" s="0" t="n">
        <f aca="false">AC131-U131</f>
        <v>0</v>
      </c>
      <c r="Y131" s="385" t="n">
        <f aca="false">I131-B131</f>
        <v>0</v>
      </c>
      <c r="AA131" s="367" t="n">
        <v>40817</v>
      </c>
      <c r="AB131" s="0" t="n">
        <v>4.3985</v>
      </c>
      <c r="AC131" s="0" t="n">
        <v>0.18</v>
      </c>
      <c r="AI131" s="367" t="n">
        <v>40787</v>
      </c>
      <c r="AJ131" s="0" t="n">
        <v>-40.57303978</v>
      </c>
      <c r="AO131" s="367" t="n">
        <v>39873</v>
      </c>
      <c r="AP131" s="0" t="n">
        <v>4.66167596433</v>
      </c>
    </row>
    <row r="132" customFormat="false" ht="12.75" hidden="false" customHeight="false" outlineLevel="0" collapsed="false">
      <c r="A132" s="367" t="n">
        <v>40848</v>
      </c>
      <c r="B132" s="0" t="n">
        <v>-0.52</v>
      </c>
      <c r="C132" s="367" t="n">
        <v>40848</v>
      </c>
      <c r="D132" s="0" t="n">
        <v>1.61852481410616</v>
      </c>
      <c r="F132" s="385" t="n">
        <f aca="false">(B132+T132)*D132/1.055056</f>
        <v>6.21833375098508</v>
      </c>
      <c r="G132" s="0" t="n">
        <f aca="false">K132-D132</f>
        <v>-0.00149795643271</v>
      </c>
      <c r="H132" s="367" t="n">
        <v>40848</v>
      </c>
      <c r="I132" s="0" t="n">
        <v>-0.52</v>
      </c>
      <c r="J132" s="367" t="n">
        <v>40848</v>
      </c>
      <c r="K132" s="0" t="n">
        <v>1.61702685767345</v>
      </c>
      <c r="L132" s="385" t="n">
        <f aca="false">IF(H132="",F132,(I132+AB132)*K132/1.055056)</f>
        <v>6.17272985441514</v>
      </c>
      <c r="S132" s="367" t="n">
        <v>40848</v>
      </c>
      <c r="T132" s="0" t="n">
        <v>4.5735</v>
      </c>
      <c r="U132" s="0" t="n">
        <v>0.18</v>
      </c>
      <c r="W132" s="0" t="n">
        <f aca="false">AB132-T132</f>
        <v>-0.0259999999999998</v>
      </c>
      <c r="X132" s="0" t="n">
        <f aca="false">AC132-U132</f>
        <v>0</v>
      </c>
      <c r="Y132" s="385" t="n">
        <f aca="false">I132-B132</f>
        <v>0</v>
      </c>
      <c r="AA132" s="367" t="n">
        <v>40848</v>
      </c>
      <c r="AB132" s="0" t="n">
        <v>4.5475</v>
      </c>
      <c r="AC132" s="0" t="n">
        <v>0.18</v>
      </c>
      <c r="AI132" s="367" t="n">
        <v>40817</v>
      </c>
      <c r="AJ132" s="0" t="n">
        <v>-41.66054366</v>
      </c>
      <c r="AO132" s="367" t="n">
        <v>39904</v>
      </c>
      <c r="AP132" s="0" t="n">
        <v>4.485875537094</v>
      </c>
    </row>
    <row r="133" customFormat="false" ht="12.75" hidden="false" customHeight="false" outlineLevel="0" collapsed="false">
      <c r="A133" s="367" t="n">
        <v>40878</v>
      </c>
      <c r="B133" s="0" t="n">
        <v>-0.52</v>
      </c>
      <c r="C133" s="367" t="n">
        <v>40878</v>
      </c>
      <c r="D133" s="0" t="n">
        <v>1.61917963454958</v>
      </c>
      <c r="F133" s="385" t="n">
        <f aca="false">(B133+T133)*D133/1.055056</f>
        <v>6.45412182206277</v>
      </c>
      <c r="G133" s="0" t="n">
        <f aca="false">K133-D133</f>
        <v>-0.00141754538767991</v>
      </c>
      <c r="H133" s="367" t="n">
        <v>40878</v>
      </c>
      <c r="I133" s="0" t="n">
        <v>-0.52</v>
      </c>
      <c r="J133" s="367" t="n">
        <v>40878</v>
      </c>
      <c r="K133" s="0" t="n">
        <v>1.6177620891619</v>
      </c>
      <c r="L133" s="385" t="n">
        <f aca="false">IF(H133="",F133,(I133+AB133)*K133/1.055056)</f>
        <v>6.40860452113647</v>
      </c>
      <c r="S133" s="367" t="n">
        <v>40878</v>
      </c>
      <c r="T133" s="0" t="n">
        <v>4.7255</v>
      </c>
      <c r="U133" s="0" t="n">
        <v>0.18</v>
      </c>
      <c r="W133" s="0" t="n">
        <f aca="false">AB133-T133</f>
        <v>-0.0259999999999998</v>
      </c>
      <c r="X133" s="0" t="n">
        <f aca="false">AC133-U133</f>
        <v>0</v>
      </c>
      <c r="Y133" s="385" t="n">
        <f aca="false">I133-B133</f>
        <v>0</v>
      </c>
      <c r="AA133" s="367" t="n">
        <v>40878</v>
      </c>
      <c r="AB133" s="0" t="n">
        <v>4.6995</v>
      </c>
      <c r="AC133" s="0" t="n">
        <v>0.18</v>
      </c>
      <c r="AI133" s="367" t="n">
        <v>40848</v>
      </c>
      <c r="AJ133" s="0" t="n">
        <v>-40.06326746</v>
      </c>
      <c r="AO133" s="367" t="n">
        <v>39934</v>
      </c>
      <c r="AP133" s="0" t="n">
        <v>4.609987757676</v>
      </c>
    </row>
    <row r="134" customFormat="false" ht="12.75" hidden="false" customHeight="false" outlineLevel="0" collapsed="false">
      <c r="A134" s="367" t="n">
        <v>40909</v>
      </c>
      <c r="B134" s="0" t="n">
        <v>-0.52</v>
      </c>
      <c r="C134" s="367" t="n">
        <v>40909</v>
      </c>
      <c r="D134" s="0" t="n">
        <v>1.61986119214686</v>
      </c>
      <c r="F134" s="385" t="n">
        <f aca="false">(B134+T134)*D134/1.055056</f>
        <v>6.56815010767606</v>
      </c>
      <c r="G134" s="0" t="n">
        <f aca="false">K134-D134</f>
        <v>-0.00133272588270006</v>
      </c>
      <c r="H134" s="367" t="n">
        <v>40909</v>
      </c>
      <c r="I134" s="0" t="n">
        <v>-0.52</v>
      </c>
      <c r="J134" s="367" t="n">
        <v>40909</v>
      </c>
      <c r="K134" s="0" t="n">
        <v>1.61852846626416</v>
      </c>
      <c r="L134" s="385" t="n">
        <f aca="false">IF(H134="",F134,(I134+AB134)*K134/1.055056)</f>
        <v>6.5305307783535</v>
      </c>
      <c r="S134" s="367" t="n">
        <v>40909</v>
      </c>
      <c r="T134" s="0" t="n">
        <v>4.798</v>
      </c>
      <c r="U134" s="0" t="n">
        <v>0.18</v>
      </c>
      <c r="W134" s="0" t="n">
        <f aca="false">AB134-T134</f>
        <v>-0.0209999999999999</v>
      </c>
      <c r="X134" s="0" t="n">
        <f aca="false">AC134-U134</f>
        <v>0</v>
      </c>
      <c r="Y134" s="385" t="n">
        <f aca="false">I134-B134</f>
        <v>0</v>
      </c>
      <c r="AA134" s="367" t="n">
        <v>40909</v>
      </c>
      <c r="AB134" s="0" t="n">
        <v>4.777</v>
      </c>
      <c r="AC134" s="0" t="n">
        <v>0.18</v>
      </c>
      <c r="AI134" s="367" t="n">
        <v>40878</v>
      </c>
      <c r="AJ134" s="0" t="n">
        <v>-41.17769993</v>
      </c>
      <c r="AO134" s="367" t="n">
        <v>39965</v>
      </c>
      <c r="AP134" s="0" t="n">
        <v>4.435869808132</v>
      </c>
    </row>
    <row r="135" customFormat="false" ht="12.75" hidden="false" customHeight="false" outlineLevel="0" collapsed="false">
      <c r="A135" s="367" t="n">
        <v>40940</v>
      </c>
      <c r="B135" s="0" t="n">
        <v>-0.52</v>
      </c>
      <c r="C135" s="367" t="n">
        <v>40940</v>
      </c>
      <c r="D135" s="0" t="n">
        <v>1.62054774558174</v>
      </c>
      <c r="F135" s="385" t="n">
        <f aca="false">(B135+T135)*D135/1.055056</f>
        <v>6.43730342439934</v>
      </c>
      <c r="G135" s="0" t="n">
        <f aca="false">K135-D135</f>
        <v>-0.00124614699191006</v>
      </c>
      <c r="H135" s="367" t="n">
        <v>40940</v>
      </c>
      <c r="I135" s="0" t="n">
        <v>-0.52</v>
      </c>
      <c r="J135" s="367" t="n">
        <v>40940</v>
      </c>
      <c r="K135" s="0" t="n">
        <v>1.61930159858983</v>
      </c>
      <c r="L135" s="385" t="n">
        <f aca="false">IF(H135="",F135,(I135+AB135)*K135/1.055056)</f>
        <v>6.39858771906041</v>
      </c>
      <c r="S135" s="367" t="n">
        <v>40940</v>
      </c>
      <c r="T135" s="0" t="n">
        <v>4.711</v>
      </c>
      <c r="U135" s="0" t="n">
        <v>0.175</v>
      </c>
      <c r="W135" s="0" t="n">
        <f aca="false">AB135-T135</f>
        <v>-0.0220000000000002</v>
      </c>
      <c r="X135" s="0" t="n">
        <f aca="false">AC135-U135</f>
        <v>0</v>
      </c>
      <c r="Y135" s="385" t="n">
        <f aca="false">I135-B135</f>
        <v>0</v>
      </c>
      <c r="AA135" s="367" t="n">
        <v>40940</v>
      </c>
      <c r="AB135" s="0" t="n">
        <v>4.689</v>
      </c>
      <c r="AC135" s="0" t="n">
        <v>0.175</v>
      </c>
      <c r="AI135" s="367" t="n">
        <v>40909</v>
      </c>
      <c r="AJ135" s="0" t="n">
        <v>-40.95005972</v>
      </c>
      <c r="AO135" s="367" t="n">
        <v>39995</v>
      </c>
      <c r="AP135" s="0" t="n">
        <v>4.558333245312</v>
      </c>
    </row>
    <row r="136" customFormat="false" ht="12.75" hidden="false" customHeight="false" outlineLevel="0" collapsed="false">
      <c r="A136" s="367" t="n">
        <v>40969</v>
      </c>
      <c r="B136" s="0" t="n">
        <v>-0.52</v>
      </c>
      <c r="C136" s="367" t="n">
        <v>40969</v>
      </c>
      <c r="D136" s="0" t="n">
        <v>1.62119453301633</v>
      </c>
      <c r="F136" s="385" t="n">
        <f aca="false">(B136+T136)*D136/1.055056</f>
        <v>6.22628585381456</v>
      </c>
      <c r="G136" s="0" t="n">
        <f aca="false">K136-D136</f>
        <v>-0.00116355836436011</v>
      </c>
      <c r="H136" s="367" t="n">
        <v>40969</v>
      </c>
      <c r="I136" s="0" t="n">
        <v>-0.52</v>
      </c>
      <c r="J136" s="367" t="n">
        <v>40969</v>
      </c>
      <c r="K136" s="0" t="n">
        <v>1.62003097465197</v>
      </c>
      <c r="L136" s="385" t="n">
        <f aca="false">IF(H136="",F136,(I136+AB136)*K136/1.055056)</f>
        <v>6.18803630124604</v>
      </c>
      <c r="S136" s="367" t="n">
        <v>40969</v>
      </c>
      <c r="T136" s="0" t="n">
        <v>4.572</v>
      </c>
      <c r="U136" s="0" t="n">
        <v>0.17</v>
      </c>
      <c r="W136" s="0" t="n">
        <f aca="false">AB136-T136</f>
        <v>-0.0220000000000002</v>
      </c>
      <c r="X136" s="0" t="n">
        <f aca="false">AC136-U136</f>
        <v>0</v>
      </c>
      <c r="Y136" s="385" t="n">
        <f aca="false">I136-B136</f>
        <v>0</v>
      </c>
      <c r="AA136" s="367" t="n">
        <v>40969</v>
      </c>
      <c r="AB136" s="0" t="n">
        <v>4.55</v>
      </c>
      <c r="AC136" s="0" t="n">
        <v>0.17</v>
      </c>
      <c r="AI136" s="367" t="n">
        <v>40940</v>
      </c>
      <c r="AJ136" s="0" t="n">
        <v>-38.09586844</v>
      </c>
      <c r="AO136" s="367" t="n">
        <v>40026</v>
      </c>
      <c r="AP136" s="0" t="n">
        <v>4.53209933554</v>
      </c>
    </row>
    <row r="137" customFormat="false" ht="12.75" hidden="false" customHeight="false" outlineLevel="0" collapsed="false">
      <c r="A137" s="367" t="n">
        <v>41000</v>
      </c>
      <c r="B137" s="0" t="n">
        <v>-0.633</v>
      </c>
      <c r="C137" s="367" t="n">
        <v>41000</v>
      </c>
      <c r="D137" s="0" t="n">
        <v>1.62189077190106</v>
      </c>
      <c r="F137" s="385" t="n">
        <f aca="false">(B137+T137)*D137/1.055056</f>
        <v>5.81851254496966</v>
      </c>
      <c r="G137" s="0" t="n">
        <f aca="false">K137-D137</f>
        <v>-0.00107356555710991</v>
      </c>
      <c r="H137" s="367" t="n">
        <v>41000</v>
      </c>
      <c r="I137" s="0" t="n">
        <v>-0.633</v>
      </c>
      <c r="J137" s="367" t="n">
        <v>41000</v>
      </c>
      <c r="K137" s="0" t="n">
        <v>1.62081720634395</v>
      </c>
      <c r="L137" s="385" t="n">
        <f aca="false">IF(H137="",F137,(I137+AB137)*K137/1.055056)</f>
        <v>5.78086390435416</v>
      </c>
      <c r="S137" s="367" t="n">
        <v>41000</v>
      </c>
      <c r="T137" s="0" t="n">
        <v>4.418</v>
      </c>
      <c r="U137" s="0" t="n">
        <v>0.17</v>
      </c>
      <c r="W137" s="0" t="n">
        <f aca="false">AB137-T137</f>
        <v>-0.0220000000000002</v>
      </c>
      <c r="X137" s="0" t="n">
        <f aca="false">AC137-U137</f>
        <v>0</v>
      </c>
      <c r="Y137" s="385" t="n">
        <f aca="false">I137-B137</f>
        <v>0</v>
      </c>
      <c r="AA137" s="367" t="n">
        <v>41000</v>
      </c>
      <c r="AB137" s="0" t="n">
        <v>4.396</v>
      </c>
      <c r="AC137" s="0" t="n">
        <v>0.17</v>
      </c>
      <c r="AI137" s="367" t="n">
        <v>40969</v>
      </c>
      <c r="AJ137" s="0" t="n">
        <v>-40.51159829</v>
      </c>
      <c r="AO137" s="367" t="n">
        <v>40057</v>
      </c>
      <c r="AP137" s="0" t="n">
        <v>4.360527830778</v>
      </c>
    </row>
    <row r="138" customFormat="false" ht="12.75" hidden="false" customHeight="false" outlineLevel="0" collapsed="false">
      <c r="A138" s="367" t="n">
        <v>41030</v>
      </c>
      <c r="B138" s="0" t="n">
        <v>-0.633</v>
      </c>
      <c r="C138" s="367" t="n">
        <v>41030</v>
      </c>
      <c r="D138" s="0" t="n">
        <v>1.62256932402135</v>
      </c>
      <c r="F138" s="385" t="n">
        <f aca="false">(B138+T138)*D138/1.055056</f>
        <v>5.82863633592996</v>
      </c>
      <c r="G138" s="0" t="n">
        <f aca="false">K138-D138</f>
        <v>-0.000984792022389991</v>
      </c>
      <c r="H138" s="367" t="n">
        <v>41030</v>
      </c>
      <c r="I138" s="0" t="n">
        <v>-0.633</v>
      </c>
      <c r="J138" s="367" t="n">
        <v>41030</v>
      </c>
      <c r="K138" s="0" t="n">
        <v>1.62158453199896</v>
      </c>
      <c r="L138" s="385" t="n">
        <f aca="false">IF(H138="",F138,(I138+AB138)*K138/1.055056)</f>
        <v>5.79128550197533</v>
      </c>
      <c r="S138" s="367" t="n">
        <v>41030</v>
      </c>
      <c r="T138" s="0" t="n">
        <v>4.423</v>
      </c>
      <c r="U138" s="0" t="n">
        <v>0.17</v>
      </c>
      <c r="W138" s="0" t="n">
        <f aca="false">AB138-T138</f>
        <v>-0.0220000000000002</v>
      </c>
      <c r="X138" s="0" t="n">
        <f aca="false">AC138-U138</f>
        <v>0</v>
      </c>
      <c r="Y138" s="385" t="n">
        <f aca="false">I138-B138</f>
        <v>0</v>
      </c>
      <c r="AA138" s="367" t="n">
        <v>41030</v>
      </c>
      <c r="AB138" s="0" t="n">
        <v>4.401</v>
      </c>
      <c r="AC138" s="0" t="n">
        <v>0.17</v>
      </c>
      <c r="AI138" s="367" t="n">
        <v>41000</v>
      </c>
      <c r="AJ138" s="0" t="n">
        <v>-38.98661087</v>
      </c>
      <c r="AO138" s="367" t="n">
        <v>40087</v>
      </c>
      <c r="AP138" s="0" t="n">
        <v>4.480518144984</v>
      </c>
    </row>
    <row r="139" customFormat="false" ht="12.75" hidden="false" customHeight="false" outlineLevel="0" collapsed="false">
      <c r="A139" s="367" t="n">
        <v>41061</v>
      </c>
      <c r="B139" s="0" t="n">
        <v>-0.633</v>
      </c>
      <c r="C139" s="367" t="n">
        <v>41061</v>
      </c>
      <c r="D139" s="0" t="n">
        <v>1.6232754318124</v>
      </c>
      <c r="F139" s="385" t="n">
        <f aca="false">(B139+T139)*D139/1.055056</f>
        <v>5.88963842011976</v>
      </c>
      <c r="G139" s="0" t="n">
        <f aca="false">K139-D139</f>
        <v>-0.000891316463160319</v>
      </c>
      <c r="H139" s="367" t="n">
        <v>41061</v>
      </c>
      <c r="I139" s="0" t="n">
        <v>-0.633</v>
      </c>
      <c r="J139" s="367" t="n">
        <v>41061</v>
      </c>
      <c r="K139" s="0" t="n">
        <v>1.62238411534924</v>
      </c>
      <c r="L139" s="385" t="n">
        <f aca="false">IF(H139="",F139,(I139+AB139)*K139/1.055056)</f>
        <v>5.85257459605861</v>
      </c>
      <c r="S139" s="367" t="n">
        <v>41061</v>
      </c>
      <c r="T139" s="0" t="n">
        <v>4.461</v>
      </c>
      <c r="U139" s="0" t="n">
        <v>0.17</v>
      </c>
      <c r="W139" s="0" t="n">
        <f aca="false">AB139-T139</f>
        <v>-0.0220000000000002</v>
      </c>
      <c r="X139" s="0" t="n">
        <f aca="false">AC139-U139</f>
        <v>0</v>
      </c>
      <c r="Y139" s="385" t="n">
        <f aca="false">I139-B139</f>
        <v>0</v>
      </c>
      <c r="AA139" s="367" t="n">
        <v>41061</v>
      </c>
      <c r="AB139" s="0" t="n">
        <v>4.439</v>
      </c>
      <c r="AC139" s="0" t="n">
        <v>0.17</v>
      </c>
      <c r="AI139" s="367" t="n">
        <v>41030</v>
      </c>
      <c r="AJ139" s="0" t="n">
        <v>-40.06872132</v>
      </c>
      <c r="AO139" s="367" t="n">
        <v>40118</v>
      </c>
      <c r="AP139" s="0" t="n">
        <v>4.31064027352</v>
      </c>
    </row>
    <row r="140" customFormat="false" ht="12.75" hidden="false" customHeight="false" outlineLevel="0" collapsed="false">
      <c r="A140" s="367" t="n">
        <v>41091</v>
      </c>
      <c r="B140" s="0" t="n">
        <v>-0.633</v>
      </c>
      <c r="C140" s="367" t="n">
        <v>41091</v>
      </c>
      <c r="D140" s="0" t="n">
        <v>1.62396354536118</v>
      </c>
      <c r="F140" s="385" t="n">
        <f aca="false">(B140+T140)*D140/1.055056</f>
        <v>5.96139997420407</v>
      </c>
      <c r="G140" s="0" t="n">
        <f aca="false">K140-D140</f>
        <v>-0.000799166595210066</v>
      </c>
      <c r="H140" s="367" t="n">
        <v>41091</v>
      </c>
      <c r="I140" s="0" t="n">
        <v>-0.633</v>
      </c>
      <c r="J140" s="367" t="n">
        <v>41091</v>
      </c>
      <c r="K140" s="0" t="n">
        <v>1.62316437876597</v>
      </c>
      <c r="L140" s="385" t="n">
        <f aca="false">IF(H140="",F140,(I140+AB140)*K140/1.055056)</f>
        <v>5.92462013639821</v>
      </c>
      <c r="S140" s="367" t="n">
        <v>41091</v>
      </c>
      <c r="T140" s="0" t="n">
        <v>4.506</v>
      </c>
      <c r="U140" s="0" t="n">
        <v>0.17</v>
      </c>
      <c r="W140" s="0" t="n">
        <f aca="false">AB140-T140</f>
        <v>-0.0220000000000002</v>
      </c>
      <c r="X140" s="0" t="n">
        <f aca="false">AC140-U140</f>
        <v>0</v>
      </c>
      <c r="Y140" s="385" t="n">
        <f aca="false">I140-B140</f>
        <v>0</v>
      </c>
      <c r="AA140" s="367" t="n">
        <v>41091</v>
      </c>
      <c r="AB140" s="0" t="n">
        <v>4.484</v>
      </c>
      <c r="AC140" s="0" t="n">
        <v>0.17</v>
      </c>
      <c r="AI140" s="367" t="n">
        <v>41061</v>
      </c>
      <c r="AJ140" s="0" t="n">
        <v>-38.55945839</v>
      </c>
      <c r="AO140" s="367" t="n">
        <v>40148</v>
      </c>
      <c r="AP140" s="0" t="n">
        <v>4.42900025799</v>
      </c>
    </row>
    <row r="141" customFormat="false" ht="12.75" hidden="false" customHeight="false" outlineLevel="0" collapsed="false">
      <c r="A141" s="367" t="n">
        <v>41122</v>
      </c>
      <c r="B141" s="0" t="n">
        <v>-0.633</v>
      </c>
      <c r="C141" s="367" t="n">
        <v>41122</v>
      </c>
      <c r="D141" s="0" t="n">
        <v>1.62467954461903</v>
      </c>
      <c r="F141" s="385" t="n">
        <f aca="false">(B141+T141)*D141/1.055056</f>
        <v>6.02254448958636</v>
      </c>
      <c r="G141" s="0" t="n">
        <f aca="false">K141-D141</f>
        <v>-0.000702195959320084</v>
      </c>
      <c r="H141" s="367" t="n">
        <v>41122</v>
      </c>
      <c r="I141" s="0" t="n">
        <v>-0.633</v>
      </c>
      <c r="J141" s="367" t="n">
        <v>41122</v>
      </c>
      <c r="K141" s="0" t="n">
        <v>1.62397734865971</v>
      </c>
      <c r="L141" s="385" t="n">
        <f aca="false">IF(H141="",F141,(I141+AB141)*K141/1.055056)</f>
        <v>5.98607837777105</v>
      </c>
      <c r="S141" s="367" t="n">
        <v>41122</v>
      </c>
      <c r="T141" s="0" t="n">
        <v>4.544</v>
      </c>
      <c r="U141" s="0" t="n">
        <v>0.17</v>
      </c>
      <c r="W141" s="0" t="n">
        <f aca="false">AB141-T141</f>
        <v>-0.0220000000000002</v>
      </c>
      <c r="X141" s="0" t="n">
        <f aca="false">AC141-U141</f>
        <v>0</v>
      </c>
      <c r="Y141" s="385" t="n">
        <f aca="false">I141-B141</f>
        <v>0</v>
      </c>
      <c r="AA141" s="367" t="n">
        <v>41122</v>
      </c>
      <c r="AB141" s="0" t="n">
        <v>4.522</v>
      </c>
      <c r="AC141" s="0" t="n">
        <v>0.17</v>
      </c>
      <c r="AI141" s="367" t="n">
        <v>41091</v>
      </c>
      <c r="AJ141" s="0" t="n">
        <v>-39.62877121</v>
      </c>
      <c r="AO141" s="367" t="n">
        <v>40179</v>
      </c>
      <c r="AP141" s="0" t="n">
        <v>4.40284699652</v>
      </c>
    </row>
    <row r="142" customFormat="false" ht="12.75" hidden="false" customHeight="false" outlineLevel="0" collapsed="false">
      <c r="A142" s="367" t="n">
        <v>41153</v>
      </c>
      <c r="B142" s="0" t="n">
        <v>-0.633</v>
      </c>
      <c r="C142" s="367" t="n">
        <v>41153</v>
      </c>
      <c r="D142" s="0" t="n">
        <v>1.62540057944554</v>
      </c>
      <c r="F142" s="385" t="n">
        <f aca="false">(B142+T142)*D142/1.055056</f>
        <v>6.01597380872184</v>
      </c>
      <c r="G142" s="0" t="n">
        <f aca="false">K142-D142</f>
        <v>-0.000603444320200097</v>
      </c>
      <c r="H142" s="367" t="n">
        <v>41153</v>
      </c>
      <c r="I142" s="0" t="n">
        <v>-0.633</v>
      </c>
      <c r="J142" s="367" t="n">
        <v>41153</v>
      </c>
      <c r="K142" s="0" t="n">
        <v>1.62479713512534</v>
      </c>
      <c r="L142" s="385" t="n">
        <f aca="false">IF(H142="",F142,(I142+AB142)*K142/1.055056)</f>
        <v>5.9798600981291</v>
      </c>
      <c r="S142" s="367" t="n">
        <v>41153</v>
      </c>
      <c r="T142" s="0" t="n">
        <v>4.538</v>
      </c>
      <c r="U142" s="0" t="n">
        <v>0.17</v>
      </c>
      <c r="W142" s="0" t="n">
        <f aca="false">AB142-T142</f>
        <v>-0.0220000000000002</v>
      </c>
      <c r="X142" s="0" t="n">
        <f aca="false">AC142-U142</f>
        <v>0</v>
      </c>
      <c r="Y142" s="385" t="n">
        <f aca="false">I142-B142</f>
        <v>0</v>
      </c>
      <c r="AA142" s="367" t="n">
        <v>41153</v>
      </c>
      <c r="AB142" s="0" t="n">
        <v>4.516</v>
      </c>
      <c r="AC142" s="0" t="n">
        <v>0.17</v>
      </c>
      <c r="AI142" s="367" t="n">
        <v>41122</v>
      </c>
      <c r="AJ142" s="0" t="n">
        <v>-39.40631502</v>
      </c>
      <c r="AO142" s="367" t="n">
        <v>40210</v>
      </c>
      <c r="AP142" s="0" t="n">
        <v>3.95316153309</v>
      </c>
    </row>
    <row r="143" customFormat="false" ht="12.75" hidden="false" customHeight="false" outlineLevel="0" collapsed="false">
      <c r="A143" s="367" t="n">
        <v>41183</v>
      </c>
      <c r="B143" s="0" t="n">
        <v>-0.633</v>
      </c>
      <c r="C143" s="367" t="n">
        <v>41183</v>
      </c>
      <c r="D143" s="0" t="n">
        <v>1.62610315523204</v>
      </c>
      <c r="F143" s="385" t="n">
        <f aca="false">(B143+T143)*D143/1.055056</f>
        <v>6.01857420002456</v>
      </c>
      <c r="G143" s="0" t="n">
        <f aca="false">K143-D143</f>
        <v>-0.000506179360509895</v>
      </c>
      <c r="H143" s="367" t="n">
        <v>41183</v>
      </c>
      <c r="I143" s="0" t="n">
        <v>-0.633</v>
      </c>
      <c r="J143" s="367" t="n">
        <v>41183</v>
      </c>
      <c r="K143" s="0" t="n">
        <v>1.62559697587153</v>
      </c>
      <c r="L143" s="385" t="n">
        <f aca="false">IF(H143="",F143,(I143+AB143)*K143/1.055056)</f>
        <v>5.98280381070687</v>
      </c>
      <c r="S143" s="367" t="n">
        <v>41183</v>
      </c>
      <c r="T143" s="0" t="n">
        <v>4.538</v>
      </c>
      <c r="U143" s="0" t="n">
        <v>0.17</v>
      </c>
      <c r="W143" s="0" t="n">
        <f aca="false">AB143-T143</f>
        <v>-0.0220000000000002</v>
      </c>
      <c r="X143" s="0" t="n">
        <f aca="false">AC143-U143</f>
        <v>0</v>
      </c>
      <c r="Y143" s="385" t="n">
        <f aca="false">I143-B143</f>
        <v>0</v>
      </c>
      <c r="AA143" s="367" t="n">
        <v>41183</v>
      </c>
      <c r="AB143" s="0" t="n">
        <v>4.516</v>
      </c>
      <c r="AC143" s="0" t="n">
        <v>0.17</v>
      </c>
      <c r="AI143" s="367" t="n">
        <v>41153</v>
      </c>
      <c r="AJ143" s="0" t="n">
        <v>-37.92059876</v>
      </c>
      <c r="AO143" s="367" t="n">
        <v>40238</v>
      </c>
      <c r="AP143" s="0" t="n">
        <v>4.35313019491</v>
      </c>
    </row>
    <row r="144" customFormat="false" ht="12.75" hidden="false" customHeight="false" outlineLevel="0" collapsed="false">
      <c r="A144" s="367" t="n">
        <v>41214</v>
      </c>
      <c r="B144" s="0" t="n">
        <v>-0.573</v>
      </c>
      <c r="C144" s="367" t="n">
        <v>41214</v>
      </c>
      <c r="D144" s="0" t="n">
        <v>1.62683411621176</v>
      </c>
      <c r="F144" s="385" t="n">
        <f aca="false">(B144+T144)*D144/1.055056</f>
        <v>6.34200338179108</v>
      </c>
      <c r="G144" s="0" t="n">
        <f aca="false">K144-D144</f>
        <v>-0.000403913503800091</v>
      </c>
      <c r="H144" s="367" t="n">
        <v>41214</v>
      </c>
      <c r="I144" s="0" t="n">
        <v>-0.573</v>
      </c>
      <c r="J144" s="367" t="n">
        <v>41214</v>
      </c>
      <c r="K144" s="0" t="n">
        <v>1.62643020270796</v>
      </c>
      <c r="L144" s="385" t="n">
        <f aca="false">IF(H144="",F144,(I144+AB144)*K144/1.055056)</f>
        <v>6.30805605530035</v>
      </c>
      <c r="S144" s="367" t="n">
        <v>41214</v>
      </c>
      <c r="T144" s="0" t="n">
        <v>4.686</v>
      </c>
      <c r="U144" s="0" t="n">
        <v>0.17</v>
      </c>
      <c r="W144" s="0" t="n">
        <f aca="false">AB144-T144</f>
        <v>-0.0209999999999999</v>
      </c>
      <c r="X144" s="0" t="n">
        <f aca="false">AC144-U144</f>
        <v>0</v>
      </c>
      <c r="Y144" s="385" t="n">
        <f aca="false">I144-B144</f>
        <v>0</v>
      </c>
      <c r="AA144" s="367" t="n">
        <v>41214</v>
      </c>
      <c r="AB144" s="0" t="n">
        <v>4.665</v>
      </c>
      <c r="AC144" s="0" t="n">
        <v>0.17</v>
      </c>
      <c r="AI144" s="367" t="n">
        <v>41183</v>
      </c>
      <c r="AJ144" s="0" t="n">
        <v>-38.97079863</v>
      </c>
      <c r="AO144" s="367" t="n">
        <v>40269</v>
      </c>
      <c r="AP144" s="0" t="n">
        <v>4.18745949391</v>
      </c>
    </row>
    <row r="145" customFormat="false" ht="12.75" hidden="false" customHeight="false" outlineLevel="0" collapsed="false">
      <c r="A145" s="367" t="n">
        <v>41244</v>
      </c>
      <c r="B145" s="0" t="n">
        <v>-0.573</v>
      </c>
      <c r="C145" s="367" t="n">
        <v>41244</v>
      </c>
      <c r="D145" s="0" t="n">
        <v>1.62754630925139</v>
      </c>
      <c r="F145" s="385" t="n">
        <f aca="false">(B145+T145)*D145/1.055056</f>
        <v>6.57925741283608</v>
      </c>
      <c r="G145" s="0" t="n">
        <f aca="false">K145-D145</f>
        <v>-0.00030324140493998</v>
      </c>
      <c r="H145" s="367" t="n">
        <v>41244</v>
      </c>
      <c r="I145" s="0" t="n">
        <v>-0.573</v>
      </c>
      <c r="J145" s="367" t="n">
        <v>41244</v>
      </c>
      <c r="K145" s="0" t="n">
        <v>1.62724306784645</v>
      </c>
      <c r="L145" s="385" t="n">
        <f aca="false">IF(H145="",F145,(I145+AB145)*K145/1.055056)</f>
        <v>6.54564267673027</v>
      </c>
      <c r="S145" s="367" t="n">
        <v>41244</v>
      </c>
      <c r="T145" s="0" t="n">
        <v>4.838</v>
      </c>
      <c r="U145" s="0" t="n">
        <v>0.17</v>
      </c>
      <c r="W145" s="0" t="n">
        <f aca="false">AB145-T145</f>
        <v>-0.0209999999999999</v>
      </c>
      <c r="X145" s="0" t="n">
        <f aca="false">AC145-U145</f>
        <v>0</v>
      </c>
      <c r="Y145" s="385" t="n">
        <f aca="false">I145-B145</f>
        <v>0</v>
      </c>
      <c r="AA145" s="367" t="n">
        <v>41244</v>
      </c>
      <c r="AB145" s="0" t="n">
        <v>4.817</v>
      </c>
      <c r="AC145" s="0" t="n">
        <v>0.17</v>
      </c>
      <c r="AI145" s="367" t="n">
        <v>41214</v>
      </c>
      <c r="AJ145" s="0" t="n">
        <v>-37.50058186</v>
      </c>
      <c r="AO145" s="367" t="n">
        <v>40299</v>
      </c>
      <c r="AP145" s="0" t="n">
        <v>4.301818217466</v>
      </c>
    </row>
    <row r="146" customFormat="false" ht="12.75" hidden="false" customHeight="false" outlineLevel="0" collapsed="false">
      <c r="A146" s="367" t="n">
        <v>41275</v>
      </c>
      <c r="B146" s="0" t="n">
        <v>-0.573</v>
      </c>
      <c r="C146" s="367" t="n">
        <v>41275</v>
      </c>
      <c r="D146" s="0" t="n">
        <v>1.62828721982279</v>
      </c>
      <c r="F146" s="385" t="n">
        <f aca="false">(B146+T146)*D146/1.055056</f>
        <v>6.69414307485228</v>
      </c>
      <c r="G146" s="0" t="n">
        <f aca="false">K146-D146</f>
        <v>-0.000197448270809808</v>
      </c>
      <c r="H146" s="367" t="n">
        <v>41275</v>
      </c>
      <c r="I146" s="0" t="n">
        <v>-0.573</v>
      </c>
      <c r="J146" s="367" t="n">
        <v>41275</v>
      </c>
      <c r="K146" s="0" t="n">
        <v>1.62808977155198</v>
      </c>
      <c r="L146" s="385" t="n">
        <f aca="false">IF(H146="",F146,(I146+AB146)*K146/1.055056)</f>
        <v>6.66864123587931</v>
      </c>
      <c r="S146" s="367" t="n">
        <v>41275</v>
      </c>
      <c r="T146" s="0" t="n">
        <v>4.9105</v>
      </c>
      <c r="U146" s="0" t="n">
        <v>0.17</v>
      </c>
      <c r="W146" s="0" t="n">
        <f aca="false">AB146-T146</f>
        <v>-0.016</v>
      </c>
      <c r="X146" s="0" t="n">
        <f aca="false">AC146-U146</f>
        <v>0</v>
      </c>
      <c r="Y146" s="385" t="n">
        <f aca="false">I146-B146</f>
        <v>0</v>
      </c>
      <c r="AA146" s="367" t="n">
        <v>41275</v>
      </c>
      <c r="AB146" s="0" t="n">
        <v>4.8945</v>
      </c>
      <c r="AC146" s="0" t="n">
        <v>0.17</v>
      </c>
      <c r="AI146" s="367" t="n">
        <v>41244</v>
      </c>
      <c r="AJ146" s="0" t="n">
        <v>-38.53823405</v>
      </c>
      <c r="AO146" s="367" t="n">
        <v>40330</v>
      </c>
      <c r="AP146" s="0" t="n">
        <v>4.137851888338</v>
      </c>
    </row>
    <row r="147" customFormat="false" ht="12.75" hidden="false" customHeight="false" outlineLevel="0" collapsed="false">
      <c r="A147" s="367" t="n">
        <v>41306</v>
      </c>
      <c r="B147" s="0" t="n">
        <v>-0.573</v>
      </c>
      <c r="C147" s="367" t="n">
        <v>41306</v>
      </c>
      <c r="D147" s="0" t="n">
        <v>1.6290331958392</v>
      </c>
      <c r="F147" s="385" t="n">
        <f aca="false">(B147+T147)*D147/1.055056</f>
        <v>6.56287969445652</v>
      </c>
      <c r="G147" s="0" t="n">
        <f aca="false">K147-D147</f>
        <v>-8.98574863099633E-005</v>
      </c>
      <c r="H147" s="367" t="n">
        <v>41306</v>
      </c>
      <c r="I147" s="0" t="n">
        <v>-0.573</v>
      </c>
      <c r="J147" s="367" t="n">
        <v>41306</v>
      </c>
      <c r="K147" s="0" t="n">
        <v>1.62894333835289</v>
      </c>
      <c r="L147" s="385" t="n">
        <f aca="false">IF(H147="",F147,(I147+AB147)*K147/1.055056)</f>
        <v>6.53627070308776</v>
      </c>
      <c r="S147" s="367" t="n">
        <v>41306</v>
      </c>
      <c r="T147" s="0" t="n">
        <v>4.8235</v>
      </c>
      <c r="U147" s="0" t="n">
        <v>0.17</v>
      </c>
      <c r="W147" s="0" t="n">
        <f aca="false">AB147-T147</f>
        <v>-0.0169999999999995</v>
      </c>
      <c r="X147" s="0" t="n">
        <f aca="false">AC147-U147</f>
        <v>0</v>
      </c>
      <c r="Y147" s="385" t="n">
        <f aca="false">I147-B147</f>
        <v>0</v>
      </c>
      <c r="AA147" s="367" t="n">
        <v>41306</v>
      </c>
      <c r="AB147" s="0" t="n">
        <v>4.8065</v>
      </c>
      <c r="AC147" s="0" t="n">
        <v>0.17</v>
      </c>
      <c r="AI147" s="367" t="n">
        <v>41275</v>
      </c>
      <c r="AJ147" s="0" t="n">
        <v>-38.31954026</v>
      </c>
      <c r="AO147" s="367" t="n">
        <v>40360</v>
      </c>
      <c r="AP147" s="0" t="n">
        <v>4.250608877284</v>
      </c>
    </row>
    <row r="148" customFormat="false" ht="12.75" hidden="false" customHeight="false" outlineLevel="0" collapsed="false">
      <c r="A148" s="367" t="n">
        <v>41334</v>
      </c>
      <c r="B148" s="0" t="n">
        <v>-0.573</v>
      </c>
      <c r="C148" s="367" t="n">
        <v>41334</v>
      </c>
      <c r="D148" s="0" t="n">
        <v>1.62971133963464</v>
      </c>
      <c r="F148" s="385" t="n">
        <f aca="false">(B148+T148)*D148/1.055056</f>
        <v>6.35090286478426</v>
      </c>
      <c r="G148" s="0" t="n">
        <f aca="false">K148-D148</f>
        <v>8.86930624988125E-006</v>
      </c>
      <c r="H148" s="367" t="n">
        <v>41334</v>
      </c>
      <c r="I148" s="0" t="n">
        <v>-0.573</v>
      </c>
      <c r="J148" s="367" t="n">
        <v>41334</v>
      </c>
      <c r="K148" s="0" t="n">
        <v>1.62972020894089</v>
      </c>
      <c r="L148" s="385" t="n">
        <f aca="false">IF(H148="",F148,(I148+AB148)*K148/1.055056)</f>
        <v>6.32467792753036</v>
      </c>
      <c r="S148" s="367" t="n">
        <v>41334</v>
      </c>
      <c r="T148" s="0" t="n">
        <v>4.6845</v>
      </c>
      <c r="U148" s="0" t="n">
        <v>0.17</v>
      </c>
      <c r="W148" s="0" t="n">
        <f aca="false">AB148-T148</f>
        <v>-0.0169999999999995</v>
      </c>
      <c r="X148" s="0" t="n">
        <f aca="false">AC148-U148</f>
        <v>0</v>
      </c>
      <c r="Y148" s="385" t="n">
        <f aca="false">I148-B148</f>
        <v>0</v>
      </c>
      <c r="AA148" s="367" t="n">
        <v>41334</v>
      </c>
      <c r="AB148" s="0" t="n">
        <v>4.6675</v>
      </c>
      <c r="AC148" s="0" t="n">
        <v>0.17</v>
      </c>
      <c r="AI148" s="367" t="n">
        <v>41306</v>
      </c>
      <c r="AJ148" s="0" t="n">
        <v>-34.41435948</v>
      </c>
      <c r="AO148" s="367" t="n">
        <v>40391</v>
      </c>
      <c r="AP148" s="0" t="n">
        <v>4.224627300306</v>
      </c>
    </row>
    <row r="149" customFormat="false" ht="12.75" hidden="false" customHeight="false" outlineLevel="0" collapsed="false">
      <c r="A149" s="367" t="n">
        <v>41365</v>
      </c>
      <c r="B149" s="0" t="n">
        <v>-0.673</v>
      </c>
      <c r="C149" s="367" t="n">
        <v>41365</v>
      </c>
      <c r="D149" s="0" t="n">
        <v>1.63046697347842</v>
      </c>
      <c r="F149" s="385" t="n">
        <f aca="false">(B149+T149)*D149/1.055056</f>
        <v>5.96131992064213</v>
      </c>
      <c r="G149" s="0" t="n">
        <f aca="false">K149-D149</f>
        <v>0.000119891094579883</v>
      </c>
      <c r="H149" s="367" t="n">
        <v>41365</v>
      </c>
      <c r="I149" s="0" t="n">
        <v>-0.673</v>
      </c>
      <c r="J149" s="367" t="n">
        <v>41365</v>
      </c>
      <c r="K149" s="0" t="n">
        <v>1.630586864573</v>
      </c>
      <c r="L149" s="385" t="n">
        <f aca="false">IF(H149="",F149,(I149+AB149)*K149/1.055056)</f>
        <v>5.93548480212672</v>
      </c>
      <c r="S149" s="367" t="n">
        <v>41365</v>
      </c>
      <c r="T149" s="0" t="n">
        <v>4.5305</v>
      </c>
      <c r="U149" s="0" t="n">
        <v>0.17</v>
      </c>
      <c r="W149" s="0" t="n">
        <f aca="false">AB149-T149</f>
        <v>-0.0169999999999995</v>
      </c>
      <c r="X149" s="0" t="n">
        <f aca="false">AC149-U149</f>
        <v>0</v>
      </c>
      <c r="Y149" s="385" t="n">
        <f aca="false">I149-B149</f>
        <v>0</v>
      </c>
      <c r="AA149" s="367" t="n">
        <v>41365</v>
      </c>
      <c r="AB149" s="0" t="n">
        <v>4.5135</v>
      </c>
      <c r="AC149" s="0" t="n">
        <v>0.17</v>
      </c>
      <c r="AI149" s="367" t="n">
        <v>41334</v>
      </c>
      <c r="AJ149" s="0" t="n">
        <v>-37.90543324</v>
      </c>
      <c r="AO149" s="367" t="n">
        <v>40422</v>
      </c>
      <c r="AP149" s="0" t="n">
        <v>4.063235300236</v>
      </c>
    </row>
    <row r="150" customFormat="false" ht="12.75" hidden="false" customHeight="false" outlineLevel="0" collapsed="false">
      <c r="A150" s="367" t="n">
        <v>41395</v>
      </c>
      <c r="B150" s="0" t="n">
        <v>-0.673</v>
      </c>
      <c r="C150" s="367" t="n">
        <v>41395</v>
      </c>
      <c r="D150" s="0" t="n">
        <v>1.63120307218527</v>
      </c>
      <c r="F150" s="385" t="n">
        <f aca="false">(B150+T150)*D150/1.055056</f>
        <v>5.97174165761401</v>
      </c>
      <c r="G150" s="0" t="n">
        <f aca="false">K150-D150</f>
        <v>0.000229052845510003</v>
      </c>
      <c r="H150" s="367" t="n">
        <v>41395</v>
      </c>
      <c r="I150" s="0" t="n">
        <v>-0.673</v>
      </c>
      <c r="J150" s="367" t="n">
        <v>41395</v>
      </c>
      <c r="K150" s="0" t="n">
        <v>1.63143212503078</v>
      </c>
      <c r="L150" s="385" t="n">
        <f aca="false">IF(H150="",F150,(I150+AB150)*K150/1.055056)</f>
        <v>5.94629312264549</v>
      </c>
      <c r="S150" s="367" t="n">
        <v>41395</v>
      </c>
      <c r="T150" s="0" t="n">
        <v>4.5355</v>
      </c>
      <c r="U150" s="0" t="n">
        <v>0.17</v>
      </c>
      <c r="W150" s="0" t="n">
        <f aca="false">AB150-T150</f>
        <v>-0.0169999999999995</v>
      </c>
      <c r="X150" s="0" t="n">
        <f aca="false">AC150-U150</f>
        <v>0</v>
      </c>
      <c r="Y150" s="385" t="n">
        <f aca="false">I150-B150</f>
        <v>0</v>
      </c>
      <c r="AA150" s="367" t="n">
        <v>41395</v>
      </c>
      <c r="AB150" s="0" t="n">
        <v>4.5185</v>
      </c>
      <c r="AC150" s="0" t="n">
        <v>0.17</v>
      </c>
      <c r="AI150" s="367" t="n">
        <v>41365</v>
      </c>
      <c r="AJ150" s="0" t="n">
        <v>-36.47319264</v>
      </c>
      <c r="AO150" s="367" t="n">
        <v>40452</v>
      </c>
      <c r="AP150" s="0" t="n">
        <v>4.173593378948</v>
      </c>
    </row>
    <row r="151" customFormat="false" ht="12.75" hidden="false" customHeight="false" outlineLevel="0" collapsed="false">
      <c r="A151" s="367" t="n">
        <v>41426</v>
      </c>
      <c r="B151" s="0" t="n">
        <v>-0.673</v>
      </c>
      <c r="C151" s="367" t="n">
        <v>41426</v>
      </c>
      <c r="D151" s="0" t="n">
        <v>1.63196871515831</v>
      </c>
      <c r="F151" s="385" t="n">
        <f aca="false">(B151+T151)*D151/1.055056</f>
        <v>6.0333233245202</v>
      </c>
      <c r="G151" s="0" t="n">
        <f aca="false">K151-D151</f>
        <v>0.000343635513940122</v>
      </c>
      <c r="H151" s="367" t="n">
        <v>41426</v>
      </c>
      <c r="I151" s="0" t="n">
        <v>-0.673</v>
      </c>
      <c r="J151" s="367" t="n">
        <v>41426</v>
      </c>
      <c r="K151" s="0" t="n">
        <v>1.63231235067225</v>
      </c>
      <c r="L151" s="385" t="n">
        <f aca="false">IF(H151="",F151,(I151+AB151)*K151/1.055056)</f>
        <v>6.00829246394095</v>
      </c>
      <c r="S151" s="367" t="n">
        <v>41426</v>
      </c>
      <c r="T151" s="0" t="n">
        <v>4.5735</v>
      </c>
      <c r="U151" s="0" t="n">
        <v>0.17</v>
      </c>
      <c r="W151" s="0" t="n">
        <f aca="false">AB151-T151</f>
        <v>-0.0169999999999995</v>
      </c>
      <c r="X151" s="0" t="n">
        <f aca="false">AC151-U151</f>
        <v>0</v>
      </c>
      <c r="Y151" s="385" t="n">
        <f aca="false">I151-B151</f>
        <v>0</v>
      </c>
      <c r="AA151" s="367" t="n">
        <v>41426</v>
      </c>
      <c r="AB151" s="0" t="n">
        <v>4.5565</v>
      </c>
      <c r="AC151" s="0" t="n">
        <v>0.17</v>
      </c>
      <c r="AI151" s="367" t="n">
        <v>41395</v>
      </c>
      <c r="AJ151" s="0" t="n">
        <v>-37.48021309</v>
      </c>
      <c r="AO151" s="367" t="n">
        <v>40483</v>
      </c>
      <c r="AP151" s="0" t="n">
        <v>4.01391015802</v>
      </c>
    </row>
    <row r="152" customFormat="false" ht="12.75" hidden="false" customHeight="false" outlineLevel="0" collapsed="false">
      <c r="A152" s="367" t="n">
        <v>41456</v>
      </c>
      <c r="B152" s="0" t="n">
        <v>-0.673</v>
      </c>
      <c r="C152" s="367" t="n">
        <v>41456</v>
      </c>
      <c r="D152" s="0" t="n">
        <v>1.63271451201212</v>
      </c>
      <c r="F152" s="385" t="n">
        <f aca="false">(B152+T152)*D152/1.055056</f>
        <v>6.10571866056761</v>
      </c>
      <c r="G152" s="0" t="n">
        <f aca="false">K152-D152</f>
        <v>0.000456250060629992</v>
      </c>
      <c r="H152" s="367" t="n">
        <v>41456</v>
      </c>
      <c r="I152" s="0" t="n">
        <v>-0.673</v>
      </c>
      <c r="J152" s="367" t="n">
        <v>41456</v>
      </c>
      <c r="K152" s="0" t="n">
        <v>1.63317076207275</v>
      </c>
      <c r="L152" s="385" t="n">
        <f aca="false">IF(H152="",F152,(I152+AB152)*K152/1.055056)</f>
        <v>6.08110975986374</v>
      </c>
      <c r="S152" s="367" t="n">
        <v>41456</v>
      </c>
      <c r="T152" s="0" t="n">
        <v>4.6185</v>
      </c>
      <c r="U152" s="0" t="n">
        <v>0.17</v>
      </c>
      <c r="W152" s="0" t="n">
        <f aca="false">AB152-T152</f>
        <v>-0.0169999999999995</v>
      </c>
      <c r="X152" s="0" t="n">
        <f aca="false">AC152-U152</f>
        <v>0</v>
      </c>
      <c r="Y152" s="385" t="n">
        <f aca="false">I152-B152</f>
        <v>0</v>
      </c>
      <c r="AA152" s="367" t="n">
        <v>41456</v>
      </c>
      <c r="AB152" s="0" t="n">
        <v>4.6015</v>
      </c>
      <c r="AC152" s="0" t="n">
        <v>0.17</v>
      </c>
      <c r="AI152" s="367" t="n">
        <v>41426</v>
      </c>
      <c r="AJ152" s="0" t="n">
        <v>-36.06315436</v>
      </c>
      <c r="AO152" s="367" t="n">
        <v>40513</v>
      </c>
      <c r="AP152" s="0" t="n">
        <v>4.122689201932</v>
      </c>
    </row>
    <row r="153" customFormat="false" ht="12.75" hidden="false" customHeight="false" outlineLevel="0" collapsed="false">
      <c r="A153" s="367" t="n">
        <v>41487</v>
      </c>
      <c r="B153" s="0" t="n">
        <v>-0.673</v>
      </c>
      <c r="C153" s="367" t="n">
        <v>41487</v>
      </c>
      <c r="D153" s="0" t="n">
        <v>1.63349018878243</v>
      </c>
      <c r="F153" s="385" t="n">
        <f aca="false">(B153+T153)*D153/1.055056</f>
        <v>6.16745288118812</v>
      </c>
      <c r="G153" s="0" t="n">
        <f aca="false">K153-D153</f>
        <v>0.000574407702300217</v>
      </c>
      <c r="H153" s="367" t="n">
        <v>41487</v>
      </c>
      <c r="I153" s="0" t="n">
        <v>-0.673</v>
      </c>
      <c r="J153" s="367" t="n">
        <v>41487</v>
      </c>
      <c r="K153" s="0" t="n">
        <v>1.63406459648473</v>
      </c>
      <c r="L153" s="385" t="n">
        <f aca="false">IF(H153="",F153,(I153+AB153)*K153/1.055056)</f>
        <v>6.14329213042406</v>
      </c>
      <c r="S153" s="367" t="n">
        <v>41487</v>
      </c>
      <c r="T153" s="0" t="n">
        <v>4.6565</v>
      </c>
      <c r="U153" s="0" t="n">
        <v>0.17</v>
      </c>
      <c r="W153" s="0" t="n">
        <f aca="false">AB153-T153</f>
        <v>-0.0170000000000003</v>
      </c>
      <c r="X153" s="0" t="n">
        <f aca="false">AC153-U153</f>
        <v>0</v>
      </c>
      <c r="Y153" s="385" t="n">
        <f aca="false">I153-B153</f>
        <v>0</v>
      </c>
      <c r="AA153" s="367" t="n">
        <v>41487</v>
      </c>
      <c r="AB153" s="0" t="n">
        <v>4.6395</v>
      </c>
      <c r="AC153" s="0" t="n">
        <v>0.17</v>
      </c>
      <c r="AI153" s="367" t="n">
        <v>41456</v>
      </c>
      <c r="AJ153" s="0" t="n">
        <v>-37.05797375</v>
      </c>
    </row>
    <row r="154" customFormat="false" ht="12.75" hidden="false" customHeight="false" outlineLevel="0" collapsed="false">
      <c r="A154" s="367" t="n">
        <v>41518</v>
      </c>
      <c r="B154" s="0" t="n">
        <v>-0.673</v>
      </c>
      <c r="C154" s="367" t="n">
        <v>41518</v>
      </c>
      <c r="D154" s="0" t="n">
        <v>1.63427097426336</v>
      </c>
      <c r="F154" s="385" t="n">
        <f aca="false">(B154+T154)*D154/1.055056</f>
        <v>6.16110689871676</v>
      </c>
      <c r="G154" s="0" t="n">
        <f aca="false">K154-D154</f>
        <v>0.000694387630800097</v>
      </c>
      <c r="H154" s="367" t="n">
        <v>41518</v>
      </c>
      <c r="I154" s="0" t="n">
        <v>-0.673</v>
      </c>
      <c r="J154" s="367" t="n">
        <v>41518</v>
      </c>
      <c r="K154" s="0" t="n">
        <v>1.63496536189416</v>
      </c>
      <c r="L154" s="385" t="n">
        <f aca="false">IF(H154="",F154,(I154+AB154)*K154/1.055056)</f>
        <v>6.1373806847995</v>
      </c>
      <c r="S154" s="367" t="n">
        <v>41518</v>
      </c>
      <c r="T154" s="0" t="n">
        <v>4.6505</v>
      </c>
      <c r="U154" s="0" t="n">
        <v>0.17</v>
      </c>
      <c r="W154" s="0" t="n">
        <f aca="false">AB154-T154</f>
        <v>-0.0169999999999995</v>
      </c>
      <c r="X154" s="0" t="n">
        <f aca="false">AC154-U154</f>
        <v>0</v>
      </c>
      <c r="Y154" s="385" t="n">
        <f aca="false">I154-B154</f>
        <v>0</v>
      </c>
      <c r="AA154" s="367" t="n">
        <v>41518</v>
      </c>
      <c r="AB154" s="0" t="n">
        <v>4.6335</v>
      </c>
      <c r="AC154" s="0" t="n">
        <v>0.17</v>
      </c>
      <c r="AI154" s="367" t="n">
        <v>41487</v>
      </c>
      <c r="AJ154" s="0" t="n">
        <v>-36.84453772</v>
      </c>
    </row>
    <row r="155" customFormat="false" ht="12.75" hidden="false" customHeight="false" outlineLevel="0" collapsed="false">
      <c r="A155" s="367" t="n">
        <v>41548</v>
      </c>
      <c r="B155" s="0" t="n">
        <v>-0.673</v>
      </c>
      <c r="C155" s="367" t="n">
        <v>41548</v>
      </c>
      <c r="D155" s="0" t="n">
        <v>1.63503144342015</v>
      </c>
      <c r="F155" s="385" t="n">
        <f aca="false">(B155+T155)*D155/1.055056</f>
        <v>6.16397382338345</v>
      </c>
      <c r="G155" s="0" t="n">
        <f aca="false">K155-D155</f>
        <v>0.000812235837190034</v>
      </c>
      <c r="H155" s="367" t="n">
        <v>41548</v>
      </c>
      <c r="I155" s="0" t="n">
        <v>-0.673</v>
      </c>
      <c r="J155" s="367" t="n">
        <v>41548</v>
      </c>
      <c r="K155" s="0" t="n">
        <v>1.63584367925734</v>
      </c>
      <c r="L155" s="385" t="n">
        <f aca="false">IF(H155="",F155,(I155+AB155)*K155/1.055056)</f>
        <v>6.14067773814726</v>
      </c>
      <c r="S155" s="367" t="n">
        <v>41548</v>
      </c>
      <c r="T155" s="0" t="n">
        <v>4.6505</v>
      </c>
      <c r="U155" s="0" t="n">
        <v>0.17</v>
      </c>
      <c r="W155" s="0" t="n">
        <f aca="false">AB155-T155</f>
        <v>-0.0169999999999995</v>
      </c>
      <c r="X155" s="0" t="n">
        <f aca="false">AC155-U155</f>
        <v>0</v>
      </c>
      <c r="Y155" s="385" t="n">
        <f aca="false">I155-B155</f>
        <v>0</v>
      </c>
      <c r="AA155" s="367" t="n">
        <v>41548</v>
      </c>
      <c r="AB155" s="0" t="n">
        <v>4.6335</v>
      </c>
      <c r="AC155" s="0" t="n">
        <v>0.17</v>
      </c>
      <c r="AI155" s="367" t="n">
        <v>41518</v>
      </c>
      <c r="AJ155" s="0" t="n">
        <v>-35.45020089</v>
      </c>
    </row>
    <row r="156" customFormat="false" ht="12.75" hidden="false" customHeight="false" outlineLevel="0" collapsed="false">
      <c r="A156" s="367" t="n">
        <v>41579</v>
      </c>
      <c r="B156" s="0" t="n">
        <v>-0.613</v>
      </c>
      <c r="C156" s="367" t="n">
        <v>41579</v>
      </c>
      <c r="D156" s="0" t="n">
        <v>1.63582230057764</v>
      </c>
      <c r="F156" s="385" t="n">
        <f aca="false">(B156+T156)*D156/1.055056</f>
        <v>6.48945102351696</v>
      </c>
      <c r="G156" s="0" t="n">
        <f aca="false">K156-D156</f>
        <v>0.000935812563190197</v>
      </c>
      <c r="H156" s="367" t="n">
        <v>41579</v>
      </c>
      <c r="I156" s="0" t="n">
        <v>-0.613</v>
      </c>
      <c r="J156" s="367" t="n">
        <v>41579</v>
      </c>
      <c r="K156" s="0" t="n">
        <v>1.63675811314083</v>
      </c>
      <c r="L156" s="385" t="n">
        <f aca="false">IF(H156="",F156,(I156+AB156)*K156/1.055056)</f>
        <v>6.46834191999353</v>
      </c>
      <c r="S156" s="367" t="n">
        <v>41579</v>
      </c>
      <c r="T156" s="0" t="n">
        <v>4.7985</v>
      </c>
      <c r="U156" s="0" t="n">
        <v>0.17</v>
      </c>
      <c r="W156" s="0" t="n">
        <f aca="false">AB156-T156</f>
        <v>-0.0160000000000009</v>
      </c>
      <c r="X156" s="0" t="n">
        <f aca="false">AC156-U156</f>
        <v>0</v>
      </c>
      <c r="Y156" s="385" t="n">
        <f aca="false">I156-B156</f>
        <v>0</v>
      </c>
      <c r="AA156" s="367" t="n">
        <v>41579</v>
      </c>
      <c r="AB156" s="0" t="n">
        <v>4.7825</v>
      </c>
      <c r="AC156" s="0" t="n">
        <v>0.17</v>
      </c>
      <c r="AI156" s="367" t="n">
        <v>41548</v>
      </c>
      <c r="AJ156" s="0" t="n">
        <v>-36.42680731</v>
      </c>
    </row>
    <row r="157" customFormat="false" ht="12.75" hidden="false" customHeight="false" outlineLevel="0" collapsed="false">
      <c r="A157" s="367" t="n">
        <v>41609</v>
      </c>
      <c r="B157" s="0" t="n">
        <v>-0.613</v>
      </c>
      <c r="C157" s="367" t="n">
        <v>41609</v>
      </c>
      <c r="D157" s="0" t="n">
        <v>1.63659252884468</v>
      </c>
      <c r="F157" s="385" t="n">
        <f aca="false">(B157+T157)*D157/1.055056</f>
        <v>6.72828749740658</v>
      </c>
      <c r="G157" s="0" t="n">
        <f aca="false">K157-D157</f>
        <v>0.00105714868994999</v>
      </c>
      <c r="H157" s="367" t="n">
        <v>41609</v>
      </c>
      <c r="I157" s="0" t="n">
        <v>-0.613</v>
      </c>
      <c r="J157" s="367" t="n">
        <v>41609</v>
      </c>
      <c r="K157" s="0" t="n">
        <v>1.63764967753463</v>
      </c>
      <c r="L157" s="385" t="n">
        <f aca="false">IF(H157="",F157,(I157+AB157)*K157/1.055056)</f>
        <v>6.70779852582792</v>
      </c>
      <c r="S157" s="367" t="n">
        <v>41609</v>
      </c>
      <c r="T157" s="0" t="n">
        <v>4.9505</v>
      </c>
      <c r="U157" s="0" t="n">
        <v>0.17</v>
      </c>
      <c r="W157" s="0" t="n">
        <f aca="false">AB157-T157</f>
        <v>-0.016</v>
      </c>
      <c r="X157" s="0" t="n">
        <f aca="false">AC157-U157</f>
        <v>0</v>
      </c>
      <c r="Y157" s="385" t="n">
        <f aca="false">I157-B157</f>
        <v>0</v>
      </c>
      <c r="AA157" s="367" t="n">
        <v>41609</v>
      </c>
      <c r="AB157" s="0" t="n">
        <v>4.9345</v>
      </c>
      <c r="AC157" s="0" t="n">
        <v>0.17</v>
      </c>
      <c r="AI157" s="367" t="n">
        <v>41579</v>
      </c>
      <c r="AJ157" s="0" t="n">
        <v>-35.04741921</v>
      </c>
    </row>
    <row r="158" customFormat="false" ht="12.75" hidden="false" customHeight="false" outlineLevel="0" collapsed="false">
      <c r="A158" s="367" t="n">
        <v>41640</v>
      </c>
      <c r="B158" s="0" t="n">
        <v>-0.613</v>
      </c>
      <c r="C158" s="367" t="n">
        <v>41640</v>
      </c>
      <c r="D158" s="0" t="n">
        <v>1.63739348324385</v>
      </c>
      <c r="F158" s="385" t="n">
        <f aca="false">(B158+T158)*D158/1.055056</f>
        <v>6.8440966745892</v>
      </c>
      <c r="G158" s="0" t="n">
        <f aca="false">K158-D158</f>
        <v>0.00118433706356003</v>
      </c>
      <c r="H158" s="367" t="n">
        <v>41640</v>
      </c>
      <c r="I158" s="0" t="n">
        <v>-0.613</v>
      </c>
      <c r="J158" s="367" t="n">
        <v>41640</v>
      </c>
      <c r="K158" s="0" t="n">
        <v>1.63857782030741</v>
      </c>
      <c r="L158" s="385" t="n">
        <f aca="false">IF(H158="",F158,(I158+AB158)*K158/1.055056)</f>
        <v>6.83196326217025</v>
      </c>
      <c r="S158" s="367" t="n">
        <v>41640</v>
      </c>
      <c r="T158" s="0" t="n">
        <v>5.023</v>
      </c>
      <c r="U158" s="0" t="n">
        <v>0.17</v>
      </c>
      <c r="W158" s="0" t="n">
        <f aca="false">AB158-T158</f>
        <v>-0.0110000000000001</v>
      </c>
      <c r="X158" s="0" t="n">
        <f aca="false">AC158-U158</f>
        <v>0</v>
      </c>
      <c r="Y158" s="385" t="n">
        <f aca="false">I158-B158</f>
        <v>0</v>
      </c>
      <c r="AA158" s="367" t="n">
        <v>41640</v>
      </c>
      <c r="AB158" s="0" t="n">
        <v>5.012</v>
      </c>
      <c r="AC158" s="0" t="n">
        <v>0.17</v>
      </c>
      <c r="AI158" s="367" t="n">
        <v>41609</v>
      </c>
      <c r="AJ158" s="0" t="n">
        <v>-36.01207461</v>
      </c>
    </row>
    <row r="159" customFormat="false" ht="12.75" hidden="false" customHeight="false" outlineLevel="0" collapsed="false">
      <c r="A159" s="367" t="n">
        <v>41671</v>
      </c>
      <c r="B159" s="0" t="n">
        <v>-0.613</v>
      </c>
      <c r="C159" s="367" t="n">
        <v>41671</v>
      </c>
      <c r="D159" s="0" t="n">
        <v>1.63819957894077</v>
      </c>
      <c r="F159" s="385" t="n">
        <f aca="false">(B159+T159)*D159/1.055056</f>
        <v>6.71237998718641</v>
      </c>
      <c r="G159" s="0" t="n">
        <f aca="false">K159-D159</f>
        <v>0.00131336665313997</v>
      </c>
      <c r="H159" s="367" t="n">
        <v>41671</v>
      </c>
      <c r="I159" s="0" t="n">
        <v>-0.613</v>
      </c>
      <c r="J159" s="367" t="n">
        <v>41671</v>
      </c>
      <c r="K159" s="0" t="n">
        <v>1.63951294559391</v>
      </c>
      <c r="L159" s="385" t="n">
        <f aca="false">IF(H159="",F159,(I159+AB159)*K159/1.055056)</f>
        <v>6.69911389391212</v>
      </c>
      <c r="S159" s="367" t="n">
        <v>41671</v>
      </c>
      <c r="T159" s="0" t="n">
        <v>4.936</v>
      </c>
      <c r="U159" s="0" t="n">
        <v>0.17</v>
      </c>
      <c r="W159" s="0" t="n">
        <f aca="false">AB159-T159</f>
        <v>-0.0119999999999996</v>
      </c>
      <c r="X159" s="0" t="n">
        <f aca="false">AC159-U159</f>
        <v>0</v>
      </c>
      <c r="Y159" s="385" t="n">
        <f aca="false">I159-B159</f>
        <v>0</v>
      </c>
      <c r="AA159" s="367" t="n">
        <v>41671</v>
      </c>
      <c r="AB159" s="0" t="n">
        <v>4.924</v>
      </c>
      <c r="AC159" s="0" t="n">
        <v>0.17</v>
      </c>
      <c r="AI159" s="367" t="n">
        <v>41640</v>
      </c>
      <c r="AJ159" s="0" t="n">
        <v>-35.80245955</v>
      </c>
    </row>
    <row r="160" customFormat="false" ht="12.75" hidden="false" customHeight="false" outlineLevel="0" collapsed="false">
      <c r="A160" s="367" t="n">
        <v>41699</v>
      </c>
      <c r="B160" s="0" t="n">
        <v>-0.613</v>
      </c>
      <c r="C160" s="367" t="n">
        <v>41699</v>
      </c>
      <c r="D160" s="0" t="n">
        <v>1.63893209003957</v>
      </c>
      <c r="F160" s="385" t="n">
        <f aca="false">(B160+T160)*D160/1.055056</f>
        <v>6.4994577204675</v>
      </c>
      <c r="G160" s="0" t="n">
        <f aca="false">K160-D160</f>
        <v>0.00143149536076015</v>
      </c>
      <c r="H160" s="367" t="n">
        <v>41699</v>
      </c>
      <c r="I160" s="0" t="n">
        <v>-0.613</v>
      </c>
      <c r="J160" s="367" t="n">
        <v>41699</v>
      </c>
      <c r="K160" s="0" t="n">
        <v>1.64036358540033</v>
      </c>
      <c r="L160" s="385" t="n">
        <f aca="false">IF(H160="",F160,(I160+AB160)*K160/1.055056)</f>
        <v>6.4864773796748</v>
      </c>
      <c r="S160" s="367" t="n">
        <v>41699</v>
      </c>
      <c r="T160" s="0" t="n">
        <v>4.797</v>
      </c>
      <c r="U160" s="0" t="n">
        <v>0.17</v>
      </c>
      <c r="W160" s="0" t="n">
        <f aca="false">AB160-T160</f>
        <v>-0.0120000000000005</v>
      </c>
      <c r="X160" s="0" t="n">
        <f aca="false">AC160-U160</f>
        <v>0</v>
      </c>
      <c r="Y160" s="385" t="n">
        <f aca="false">I160-B160</f>
        <v>0</v>
      </c>
      <c r="AA160" s="367" t="n">
        <v>41699</v>
      </c>
      <c r="AB160" s="0" t="n">
        <v>4.785</v>
      </c>
      <c r="AC160" s="0" t="n">
        <v>0.17</v>
      </c>
      <c r="AI160" s="367" t="n">
        <v>41671</v>
      </c>
      <c r="AJ160" s="0" t="n">
        <v>-32.14907696</v>
      </c>
    </row>
    <row r="161" customFormat="false" ht="12.75" hidden="false" customHeight="false" outlineLevel="0" collapsed="false">
      <c r="A161" s="367" t="n">
        <v>41730</v>
      </c>
      <c r="B161" s="0" t="n">
        <v>-0.713</v>
      </c>
      <c r="C161" s="367" t="n">
        <v>41730</v>
      </c>
      <c r="D161" s="0" t="n">
        <v>1.63974798945553</v>
      </c>
      <c r="F161" s="385" t="n">
        <f aca="false">(B161+T161)*D161/1.055056</f>
        <v>6.10793133119022</v>
      </c>
      <c r="G161" s="0" t="n">
        <f aca="false">K161-D161</f>
        <v>0.00156404015746014</v>
      </c>
      <c r="H161" s="367" t="n">
        <v>41730</v>
      </c>
      <c r="I161" s="0" t="n">
        <v>-0.713</v>
      </c>
      <c r="J161" s="367" t="n">
        <v>41730</v>
      </c>
      <c r="K161" s="0" t="n">
        <v>1.64131202961299</v>
      </c>
      <c r="L161" s="385" t="n">
        <f aca="false">IF(H161="",F161,(I161+AB161)*K161/1.055056)</f>
        <v>6.09508929575652</v>
      </c>
      <c r="S161" s="367" t="n">
        <v>41730</v>
      </c>
      <c r="T161" s="0" t="n">
        <v>4.643</v>
      </c>
      <c r="U161" s="0" t="n">
        <v>0.17</v>
      </c>
      <c r="W161" s="0" t="n">
        <f aca="false">AB161-T161</f>
        <v>-0.0119999999999996</v>
      </c>
      <c r="X161" s="0" t="n">
        <f aca="false">AC161-U161</f>
        <v>0</v>
      </c>
      <c r="Y161" s="385" t="n">
        <f aca="false">I161-B161</f>
        <v>0</v>
      </c>
      <c r="AA161" s="367" t="n">
        <v>41730</v>
      </c>
      <c r="AB161" s="0" t="n">
        <v>4.631</v>
      </c>
      <c r="AC161" s="0" t="n">
        <v>0.17</v>
      </c>
      <c r="AI161" s="367" t="n">
        <v>41699</v>
      </c>
      <c r="AJ161" s="0" t="n">
        <v>-35.40566044</v>
      </c>
    </row>
    <row r="162" customFormat="false" ht="12.75" hidden="false" customHeight="false" outlineLevel="0" collapsed="false">
      <c r="A162" s="367" t="n">
        <v>41760</v>
      </c>
      <c r="B162" s="0" t="n">
        <v>-0.713</v>
      </c>
      <c r="C162" s="367" t="n">
        <v>41760</v>
      </c>
      <c r="D162" s="0" t="n">
        <v>1.64054248342956</v>
      </c>
      <c r="F162" s="385" t="n">
        <f aca="false">(B162+T162)*D162/1.055056</f>
        <v>6.11866542846571</v>
      </c>
      <c r="G162" s="0" t="n">
        <f aca="false">K162-D162</f>
        <v>0.00169407339263006</v>
      </c>
      <c r="H162" s="367" t="n">
        <v>41760</v>
      </c>
      <c r="I162" s="0" t="n">
        <v>-0.713</v>
      </c>
      <c r="J162" s="367" t="n">
        <v>41760</v>
      </c>
      <c r="K162" s="0" t="n">
        <v>1.64223655682219</v>
      </c>
      <c r="L162" s="385" t="n">
        <f aca="false">IF(H162="",F162,(I162+AB162)*K162/1.055056)</f>
        <v>6.10630526949608</v>
      </c>
      <c r="S162" s="367" t="n">
        <v>41760</v>
      </c>
      <c r="T162" s="0" t="n">
        <v>4.648</v>
      </c>
      <c r="U162" s="0" t="n">
        <v>0.17</v>
      </c>
      <c r="W162" s="0" t="n">
        <f aca="false">AB162-T162</f>
        <v>-0.0120000000000005</v>
      </c>
      <c r="X162" s="0" t="n">
        <f aca="false">AC162-U162</f>
        <v>0</v>
      </c>
      <c r="Y162" s="385" t="n">
        <f aca="false">I162-B162</f>
        <v>0</v>
      </c>
      <c r="AA162" s="367" t="n">
        <v>41760</v>
      </c>
      <c r="AB162" s="0" t="n">
        <v>4.636</v>
      </c>
      <c r="AC162" s="0" t="n">
        <v>0.17</v>
      </c>
      <c r="AI162" s="367" t="n">
        <v>41730</v>
      </c>
      <c r="AJ162" s="0" t="n">
        <v>-34.06287236</v>
      </c>
    </row>
    <row r="163" customFormat="false" ht="12.75" hidden="false" customHeight="false" outlineLevel="0" collapsed="false">
      <c r="A163" s="367" t="n">
        <v>41791</v>
      </c>
      <c r="B163" s="0" t="n">
        <v>-0.713</v>
      </c>
      <c r="C163" s="367" t="n">
        <v>41791</v>
      </c>
      <c r="D163" s="0" t="n">
        <v>1.64136854492309</v>
      </c>
      <c r="F163" s="385" t="n">
        <f aca="false">(B163+T163)*D163/1.055056</f>
        <v>6.18086360248123</v>
      </c>
      <c r="G163" s="0" t="n">
        <f aca="false">K163-D163</f>
        <v>0.00183026791037011</v>
      </c>
      <c r="H163" s="367" t="n">
        <v>41791</v>
      </c>
      <c r="I163" s="0" t="n">
        <v>-0.713</v>
      </c>
      <c r="J163" s="367" t="n">
        <v>41791</v>
      </c>
      <c r="K163" s="0" t="n">
        <v>1.64319881283346</v>
      </c>
      <c r="L163" s="385" t="n">
        <f aca="false">IF(H163="",F163,(I163+AB163)*K163/1.055056)</f>
        <v>6.1690663790674</v>
      </c>
      <c r="S163" s="367" t="n">
        <v>41791</v>
      </c>
      <c r="T163" s="0" t="n">
        <v>4.686</v>
      </c>
      <c r="U163" s="0" t="n">
        <v>0.17</v>
      </c>
      <c r="W163" s="0" t="n">
        <f aca="false">AB163-T163</f>
        <v>-0.0119999999999996</v>
      </c>
      <c r="X163" s="0" t="n">
        <f aca="false">AC163-U163</f>
        <v>0</v>
      </c>
      <c r="Y163" s="385" t="n">
        <f aca="false">I163-B163</f>
        <v>0</v>
      </c>
      <c r="AA163" s="367" t="n">
        <v>41791</v>
      </c>
      <c r="AB163" s="0" t="n">
        <v>4.674</v>
      </c>
      <c r="AC163" s="0" t="n">
        <v>0.17</v>
      </c>
      <c r="AI163" s="367" t="n">
        <v>41760</v>
      </c>
      <c r="AJ163" s="0" t="n">
        <v>-34.99837253</v>
      </c>
    </row>
    <row r="164" customFormat="false" ht="12.75" hidden="false" customHeight="false" outlineLevel="0" collapsed="false">
      <c r="A164" s="367" t="n">
        <v>41821</v>
      </c>
      <c r="B164" s="0" t="n">
        <v>-0.713</v>
      </c>
      <c r="C164" s="367" t="n">
        <v>41821</v>
      </c>
      <c r="D164" s="0" t="n">
        <v>1.64217288610006</v>
      </c>
      <c r="F164" s="385" t="n">
        <f aca="false">(B164+T164)*D164/1.055056</f>
        <v>6.25393406259956</v>
      </c>
      <c r="G164" s="0" t="n">
        <f aca="false">K164-D164</f>
        <v>0.00196384079704992</v>
      </c>
      <c r="H164" s="367" t="n">
        <v>41821</v>
      </c>
      <c r="I164" s="0" t="n">
        <v>-0.713</v>
      </c>
      <c r="J164" s="367" t="n">
        <v>41821</v>
      </c>
      <c r="K164" s="0" t="n">
        <v>1.64413672689711</v>
      </c>
      <c r="L164" s="385" t="n">
        <f aca="false">IF(H164="",F164,(I164+AB164)*K164/1.055056)</f>
        <v>6.24271292514314</v>
      </c>
      <c r="S164" s="367" t="n">
        <v>41821</v>
      </c>
      <c r="T164" s="0" t="n">
        <v>4.731</v>
      </c>
      <c r="U164" s="0" t="n">
        <v>0.17</v>
      </c>
      <c r="W164" s="0" t="n">
        <f aca="false">AB164-T164</f>
        <v>-0.0119999999999996</v>
      </c>
      <c r="X164" s="0" t="n">
        <f aca="false">AC164-U164</f>
        <v>0</v>
      </c>
      <c r="Y164" s="385" t="n">
        <f aca="false">I164-B164</f>
        <v>0</v>
      </c>
      <c r="AA164" s="367" t="n">
        <v>41821</v>
      </c>
      <c r="AB164" s="0" t="n">
        <v>4.719</v>
      </c>
      <c r="AC164" s="0" t="n">
        <v>0.17</v>
      </c>
      <c r="AI164" s="367" t="n">
        <v>41791</v>
      </c>
      <c r="AJ164" s="0" t="n">
        <v>-33.6702055</v>
      </c>
    </row>
    <row r="165" customFormat="false" ht="12.75" hidden="false" customHeight="false" outlineLevel="0" collapsed="false">
      <c r="A165" s="367" t="n">
        <v>41852</v>
      </c>
      <c r="B165" s="0" t="n">
        <v>-0.713</v>
      </c>
      <c r="C165" s="367" t="n">
        <v>41852</v>
      </c>
      <c r="D165" s="0" t="n">
        <v>1.64300913649362</v>
      </c>
      <c r="F165" s="385" t="n">
        <f aca="false">(B165+T165)*D165/1.055056</f>
        <v>6.31629511383104</v>
      </c>
      <c r="G165" s="0" t="n">
        <f aca="false">K165-D165</f>
        <v>0.00210370095135004</v>
      </c>
      <c r="H165" s="367" t="n">
        <v>41852</v>
      </c>
      <c r="I165" s="0" t="n">
        <v>-0.713</v>
      </c>
      <c r="J165" s="367" t="n">
        <v>41852</v>
      </c>
      <c r="K165" s="0" t="n">
        <v>1.64511283744497</v>
      </c>
      <c r="L165" s="385" t="n">
        <f aca="false">IF(H165="",F165,(I165+AB165)*K165/1.055056)</f>
        <v>6.30567127681133</v>
      </c>
      <c r="S165" s="367" t="n">
        <v>41852</v>
      </c>
      <c r="T165" s="0" t="n">
        <v>4.769</v>
      </c>
      <c r="U165" s="0" t="n">
        <v>0.17</v>
      </c>
      <c r="W165" s="0" t="n">
        <f aca="false">AB165-T165</f>
        <v>-0.0119999999999996</v>
      </c>
      <c r="X165" s="0" t="n">
        <f aca="false">AC165-U165</f>
        <v>0</v>
      </c>
      <c r="Y165" s="385" t="n">
        <f aca="false">I165-B165</f>
        <v>0</v>
      </c>
      <c r="AA165" s="367" t="n">
        <v>41852</v>
      </c>
      <c r="AB165" s="0" t="n">
        <v>4.757</v>
      </c>
      <c r="AC165" s="0" t="n">
        <v>0.17</v>
      </c>
      <c r="AI165" s="367" t="n">
        <v>41821</v>
      </c>
      <c r="AJ165" s="0" t="n">
        <v>-34.59410057</v>
      </c>
    </row>
    <row r="166" customFormat="false" ht="12.75" hidden="false" customHeight="false" outlineLevel="0" collapsed="false">
      <c r="A166" s="367" t="n">
        <v>41883</v>
      </c>
      <c r="B166" s="0" t="n">
        <v>-0.713</v>
      </c>
      <c r="C166" s="367" t="n">
        <v>41883</v>
      </c>
      <c r="D166" s="0" t="n">
        <v>1.64385057524879</v>
      </c>
      <c r="F166" s="385" t="n">
        <f aca="false">(B166+T166)*D166/1.055056</f>
        <v>6.31018147828892</v>
      </c>
      <c r="G166" s="0" t="n">
        <f aca="false">K166-D166</f>
        <v>0.00224543016880996</v>
      </c>
      <c r="H166" s="367" t="n">
        <v>41883</v>
      </c>
      <c r="I166" s="0" t="n">
        <v>-0.713</v>
      </c>
      <c r="J166" s="367" t="n">
        <v>41883</v>
      </c>
      <c r="K166" s="0" t="n">
        <v>1.6460960054176</v>
      </c>
      <c r="L166" s="385" t="n">
        <f aca="false">IF(H166="",F166,(I166+AB166)*K166/1.055056)</f>
        <v>6.30007854547651</v>
      </c>
      <c r="S166" s="367" t="n">
        <v>41883</v>
      </c>
      <c r="T166" s="0" t="n">
        <v>4.763</v>
      </c>
      <c r="U166" s="0" t="n">
        <v>0.17</v>
      </c>
      <c r="W166" s="0" t="n">
        <f aca="false">AB166-T166</f>
        <v>-0.0119999999999996</v>
      </c>
      <c r="X166" s="0" t="n">
        <f aca="false">AC166-U166</f>
        <v>0</v>
      </c>
      <c r="Y166" s="385" t="n">
        <f aca="false">I166-B166</f>
        <v>0</v>
      </c>
      <c r="AA166" s="367" t="n">
        <v>41883</v>
      </c>
      <c r="AB166" s="0" t="n">
        <v>4.751</v>
      </c>
      <c r="AC166" s="0" t="n">
        <v>0.17</v>
      </c>
      <c r="AI166" s="367" t="n">
        <v>41852</v>
      </c>
      <c r="AJ166" s="0" t="n">
        <v>-34.38980804</v>
      </c>
    </row>
    <row r="167" customFormat="false" ht="12.75" hidden="false" customHeight="false" outlineLevel="0" collapsed="false">
      <c r="A167" s="367" t="n">
        <v>41913</v>
      </c>
      <c r="B167" s="0" t="n">
        <v>-0.713</v>
      </c>
      <c r="C167" s="367" t="n">
        <v>41913</v>
      </c>
      <c r="D167" s="0" t="n">
        <v>1.64466981748808</v>
      </c>
      <c r="F167" s="385" t="n">
        <f aca="false">(B167+T167)*D167/1.055056</f>
        <v>6.31332626972097</v>
      </c>
      <c r="G167" s="0" t="n">
        <f aca="false">K167-D167</f>
        <v>0.00238437105831024</v>
      </c>
      <c r="H167" s="367" t="n">
        <v>41913</v>
      </c>
      <c r="I167" s="0" t="n">
        <v>-0.713</v>
      </c>
      <c r="J167" s="367" t="n">
        <v>41913</v>
      </c>
      <c r="K167" s="0" t="n">
        <v>1.64705418854639</v>
      </c>
      <c r="L167" s="385" t="n">
        <f aca="false">IF(H167="",F167,(I167+AB167)*K167/1.055056)</f>
        <v>6.3037457853899</v>
      </c>
      <c r="S167" s="367" t="n">
        <v>41913</v>
      </c>
      <c r="T167" s="0" t="n">
        <v>4.763</v>
      </c>
      <c r="U167" s="0" t="n">
        <v>0.17</v>
      </c>
      <c r="W167" s="0" t="n">
        <f aca="false">AB167-T167</f>
        <v>-0.0119999999999996</v>
      </c>
      <c r="X167" s="0" t="n">
        <f aca="false">AC167-U167</f>
        <v>0</v>
      </c>
      <c r="Y167" s="385" t="n">
        <f aca="false">I167-B167</f>
        <v>0</v>
      </c>
      <c r="AA167" s="367" t="n">
        <v>41913</v>
      </c>
      <c r="AB167" s="0" t="n">
        <v>4.751</v>
      </c>
      <c r="AC167" s="0" t="n">
        <v>0.17</v>
      </c>
      <c r="AI167" s="367" t="n">
        <v>41883</v>
      </c>
      <c r="AJ167" s="0" t="n">
        <v>-33.08351223</v>
      </c>
    </row>
    <row r="168" customFormat="false" ht="12.75" hidden="false" customHeight="false" outlineLevel="0" collapsed="false">
      <c r="A168" s="367" t="n">
        <v>41944</v>
      </c>
      <c r="B168" s="0" t="n">
        <v>-0.673</v>
      </c>
      <c r="C168" s="367" t="n">
        <v>41944</v>
      </c>
      <c r="D168" s="0" t="n">
        <v>1.64552148628753</v>
      </c>
      <c r="F168" s="385" t="n">
        <f aca="false">(B168+T168)*D168/1.055056</f>
        <v>6.60981034076537</v>
      </c>
      <c r="G168" s="0" t="n">
        <f aca="false">K168-D168</f>
        <v>0.00252979050352997</v>
      </c>
      <c r="H168" s="367" t="n">
        <v>41944</v>
      </c>
      <c r="I168" s="0" t="n">
        <v>-0.673</v>
      </c>
      <c r="J168" s="367" t="n">
        <v>41944</v>
      </c>
      <c r="K168" s="0" t="n">
        <v>1.64805127679106</v>
      </c>
      <c r="L168" s="385" t="n">
        <f aca="false">IF(H168="",F168,(I168+AB168)*K168/1.055056)</f>
        <v>6.60278956472056</v>
      </c>
      <c r="S168" s="367" t="n">
        <v>41944</v>
      </c>
      <c r="T168" s="0" t="n">
        <v>4.911</v>
      </c>
      <c r="U168" s="0" t="n">
        <v>0.17</v>
      </c>
      <c r="W168" s="0" t="n">
        <f aca="false">AB168-T168</f>
        <v>-0.0110000000000001</v>
      </c>
      <c r="X168" s="0" t="n">
        <f aca="false">AC168-U168</f>
        <v>0</v>
      </c>
      <c r="Y168" s="385" t="n">
        <f aca="false">I168-B168</f>
        <v>0</v>
      </c>
      <c r="AA168" s="367" t="n">
        <v>41944</v>
      </c>
      <c r="AB168" s="0" t="n">
        <v>4.9</v>
      </c>
      <c r="AC168" s="0" t="n">
        <v>0.17</v>
      </c>
      <c r="AI168" s="367" t="n">
        <v>41913</v>
      </c>
      <c r="AJ168" s="0" t="n">
        <v>-33.99009237</v>
      </c>
    </row>
    <row r="169" customFormat="false" ht="12.75" hidden="false" customHeight="false" outlineLevel="0" collapsed="false">
      <c r="A169" s="367" t="n">
        <v>41974</v>
      </c>
      <c r="B169" s="0" t="n">
        <v>-0.673</v>
      </c>
      <c r="C169" s="367" t="n">
        <v>41974</v>
      </c>
      <c r="D169" s="0" t="n">
        <v>1.64635064194776</v>
      </c>
      <c r="F169" s="385" t="n">
        <f aca="false">(B169+T169)*D169/1.055056</f>
        <v>6.85032767753623</v>
      </c>
      <c r="G169" s="0" t="n">
        <f aca="false">K169-D169</f>
        <v>0.0026723106222899</v>
      </c>
      <c r="H169" s="367" t="n">
        <v>41974</v>
      </c>
      <c r="I169" s="0" t="n">
        <v>-0.673</v>
      </c>
      <c r="J169" s="367" t="n">
        <v>41974</v>
      </c>
      <c r="K169" s="0" t="n">
        <v>1.64902295257005</v>
      </c>
      <c r="L169" s="385" t="n">
        <f aca="false">IF(H169="",F169,(I169+AB169)*K169/1.055056)</f>
        <v>6.8442542474563</v>
      </c>
      <c r="S169" s="367" t="n">
        <v>41974</v>
      </c>
      <c r="T169" s="0" t="n">
        <v>5.063</v>
      </c>
      <c r="U169" s="0" t="n">
        <v>0.17</v>
      </c>
      <c r="W169" s="0" t="n">
        <f aca="false">AB169-T169</f>
        <v>-0.0110000000000001</v>
      </c>
      <c r="X169" s="0" t="n">
        <f aca="false">AC169-U169</f>
        <v>0</v>
      </c>
      <c r="Y169" s="385" t="n">
        <f aca="false">I169-B169</f>
        <v>0</v>
      </c>
      <c r="AA169" s="367" t="n">
        <v>41974</v>
      </c>
      <c r="AB169" s="0" t="n">
        <v>5.052</v>
      </c>
      <c r="AC169" s="0" t="n">
        <v>0.17</v>
      </c>
      <c r="AI169" s="367" t="n">
        <v>41944</v>
      </c>
      <c r="AJ169" s="0" t="n">
        <v>-32.69817814</v>
      </c>
    </row>
    <row r="170" customFormat="false" ht="12.75" hidden="false" customHeight="false" outlineLevel="0" collapsed="false">
      <c r="A170" s="367" t="n">
        <v>42005</v>
      </c>
      <c r="B170" s="0" t="n">
        <v>-0.673</v>
      </c>
      <c r="C170" s="367" t="n">
        <v>42005</v>
      </c>
      <c r="D170" s="0" t="n">
        <v>1.64721256853204</v>
      </c>
      <c r="F170" s="385" t="n">
        <f aca="false">(B170+T170)*D170/1.055056</f>
        <v>6.96710514614791</v>
      </c>
      <c r="G170" s="0" t="n">
        <f aca="false">K170-D170</f>
        <v>0.00282143699240023</v>
      </c>
      <c r="H170" s="367" t="n">
        <v>42005</v>
      </c>
      <c r="I170" s="0" t="n">
        <v>-0.673</v>
      </c>
      <c r="J170" s="367" t="n">
        <v>42005</v>
      </c>
      <c r="K170" s="0" t="n">
        <v>1.65003400552444</v>
      </c>
      <c r="L170" s="385" t="n">
        <f aca="false">IF(H170="",F170,(I170+AB170)*K170/1.055056)</f>
        <v>6.96965520846255</v>
      </c>
      <c r="S170" s="367" t="n">
        <v>42005</v>
      </c>
      <c r="T170" s="0" t="n">
        <v>5.1355</v>
      </c>
      <c r="U170" s="0" t="n">
        <v>0.17</v>
      </c>
      <c r="W170" s="0" t="n">
        <f aca="false">AB170-T170</f>
        <v>-0.00600000000000023</v>
      </c>
      <c r="X170" s="0" t="n">
        <f aca="false">AC170-U170</f>
        <v>0</v>
      </c>
      <c r="Y170" s="385" t="n">
        <f aca="false">I170-B170</f>
        <v>0</v>
      </c>
      <c r="AA170" s="367" t="n">
        <v>42005</v>
      </c>
      <c r="AB170" s="0" t="n">
        <v>5.1295</v>
      </c>
      <c r="AC170" s="0" t="n">
        <v>0.17</v>
      </c>
      <c r="AI170" s="367" t="n">
        <v>41974</v>
      </c>
      <c r="AJ170" s="0" t="n">
        <v>-33.5934021</v>
      </c>
    </row>
    <row r="171" customFormat="false" ht="12.75" hidden="false" customHeight="false" outlineLevel="0" collapsed="false">
      <c r="A171" s="367" t="n">
        <v>42036</v>
      </c>
      <c r="B171" s="0" t="n">
        <v>-0.673</v>
      </c>
      <c r="C171" s="367" t="n">
        <v>42036</v>
      </c>
      <c r="D171" s="0" t="n">
        <v>1.64807971883803</v>
      </c>
      <c r="F171" s="385" t="n">
        <f aca="false">(B171+T171)*D171/1.055056</f>
        <v>6.83487209188498</v>
      </c>
      <c r="G171" s="0" t="n">
        <f aca="false">K171-D171</f>
        <v>0.0029724537091802</v>
      </c>
      <c r="H171" s="367" t="n">
        <v>42036</v>
      </c>
      <c r="I171" s="0" t="n">
        <v>-0.673</v>
      </c>
      <c r="J171" s="367" t="n">
        <v>42036</v>
      </c>
      <c r="K171" s="0" t="n">
        <v>1.65105217254721</v>
      </c>
      <c r="L171" s="385" t="n">
        <f aca="false">IF(H171="",F171,(I171+AB171)*K171/1.055056)</f>
        <v>6.83624510525743</v>
      </c>
      <c r="S171" s="367" t="n">
        <v>42036</v>
      </c>
      <c r="T171" s="0" t="n">
        <v>5.0485</v>
      </c>
      <c r="U171" s="0" t="n">
        <v>0.17</v>
      </c>
      <c r="W171" s="0" t="n">
        <f aca="false">AB171-T171</f>
        <v>-0.00700000000000056</v>
      </c>
      <c r="X171" s="0" t="n">
        <f aca="false">AC171-U171</f>
        <v>0</v>
      </c>
      <c r="Y171" s="385" t="n">
        <f aca="false">I171-B171</f>
        <v>0</v>
      </c>
      <c r="AA171" s="367" t="n">
        <v>42036</v>
      </c>
      <c r="AB171" s="0" t="n">
        <v>5.0415</v>
      </c>
      <c r="AC171" s="0" t="n">
        <v>0.17</v>
      </c>
      <c r="AI171" s="367" t="n">
        <v>42005</v>
      </c>
      <c r="AJ171" s="0" t="n">
        <v>-33.39296577</v>
      </c>
    </row>
    <row r="172" customFormat="false" ht="12.75" hidden="false" customHeight="false" outlineLevel="0" collapsed="false">
      <c r="A172" s="367" t="n">
        <v>42064</v>
      </c>
      <c r="B172" s="0" t="n">
        <v>-0.673</v>
      </c>
      <c r="C172" s="367" t="n">
        <v>42064</v>
      </c>
      <c r="D172" s="0" t="n">
        <v>1.64886744735056</v>
      </c>
      <c r="F172" s="385" t="n">
        <f aca="false">(B172+T172)*D172/1.055056</f>
        <v>6.62090632222427</v>
      </c>
      <c r="G172" s="0" t="n">
        <f aca="false">K172-D172</f>
        <v>0.00311048438644024</v>
      </c>
      <c r="H172" s="367" t="n">
        <v>42064</v>
      </c>
      <c r="I172" s="0" t="n">
        <v>-0.673</v>
      </c>
      <c r="J172" s="367" t="n">
        <v>42064</v>
      </c>
      <c r="K172" s="0" t="n">
        <v>1.651977931737</v>
      </c>
      <c r="L172" s="385" t="n">
        <f aca="false">IF(H172="",F172,(I172+AB172)*K172/1.055056)</f>
        <v>6.6224358349525</v>
      </c>
      <c r="S172" s="367" t="n">
        <v>42064</v>
      </c>
      <c r="T172" s="0" t="n">
        <v>4.9095</v>
      </c>
      <c r="U172" s="0" t="n">
        <v>0.17</v>
      </c>
      <c r="W172" s="0" t="n">
        <f aca="false">AB172-T172</f>
        <v>-0.00700000000000056</v>
      </c>
      <c r="X172" s="0" t="n">
        <f aca="false">AC172-U172</f>
        <v>0</v>
      </c>
      <c r="Y172" s="385" t="n">
        <f aca="false">I172-B172</f>
        <v>0</v>
      </c>
      <c r="AA172" s="367" t="n">
        <v>42064</v>
      </c>
      <c r="AB172" s="0" t="n">
        <v>4.9025</v>
      </c>
      <c r="AC172" s="0" t="n">
        <v>0.17</v>
      </c>
      <c r="AI172" s="367" t="n">
        <v>42036</v>
      </c>
      <c r="AJ172" s="0" t="n">
        <v>-29.98105591</v>
      </c>
    </row>
    <row r="173" customFormat="false" ht="12.75" hidden="false" customHeight="false" outlineLevel="0" collapsed="false">
      <c r="A173" s="367" t="n">
        <v>42095</v>
      </c>
      <c r="B173" s="0" t="n">
        <v>-0.808</v>
      </c>
      <c r="C173" s="367" t="n">
        <v>42095</v>
      </c>
      <c r="D173" s="0" t="n">
        <v>1.64974455980936</v>
      </c>
      <c r="F173" s="385" t="n">
        <f aca="false">(B173+T173)*D173/1.055056</f>
        <v>6.17253174224634</v>
      </c>
      <c r="G173" s="0" t="n">
        <f aca="false">K173-D173</f>
        <v>0.00326511114717998</v>
      </c>
      <c r="H173" s="367" t="n">
        <v>42095</v>
      </c>
      <c r="I173" s="0" t="n">
        <v>-0.808</v>
      </c>
      <c r="J173" s="367" t="n">
        <v>42095</v>
      </c>
      <c r="K173" s="0" t="n">
        <v>1.65300967095654</v>
      </c>
      <c r="L173" s="385" t="n">
        <f aca="false">IF(H173="",F173,(I173+AB173)*K173/1.055056)</f>
        <v>6.17378092575583</v>
      </c>
      <c r="S173" s="367" t="n">
        <v>42095</v>
      </c>
      <c r="T173" s="0" t="n">
        <v>4.7555</v>
      </c>
      <c r="U173" s="0" t="n">
        <v>0.17</v>
      </c>
      <c r="W173" s="0" t="n">
        <f aca="false">AB173-T173</f>
        <v>-0.00700000000000056</v>
      </c>
      <c r="X173" s="0" t="n">
        <f aca="false">AC173-U173</f>
        <v>0</v>
      </c>
      <c r="Y173" s="385" t="n">
        <f aca="false">I173-B173</f>
        <v>0</v>
      </c>
      <c r="AA173" s="367" t="n">
        <v>42095</v>
      </c>
      <c r="AB173" s="0" t="n">
        <v>4.7485</v>
      </c>
      <c r="AC173" s="0" t="n">
        <v>0.17</v>
      </c>
      <c r="AI173" s="367" t="n">
        <v>42064</v>
      </c>
      <c r="AJ173" s="0" t="n">
        <v>-33.01365214</v>
      </c>
    </row>
    <row r="174" customFormat="false" ht="12.75" hidden="false" customHeight="false" outlineLevel="0" collapsed="false">
      <c r="A174" s="367" t="n">
        <v>42125</v>
      </c>
      <c r="B174" s="0" t="n">
        <v>-0.808</v>
      </c>
      <c r="C174" s="367" t="n">
        <v>42125</v>
      </c>
      <c r="D174" s="0" t="n">
        <v>1.65059837225003</v>
      </c>
      <c r="F174" s="385" t="n">
        <f aca="false">(B174+T174)*D174/1.055056</f>
        <v>6.18354861383495</v>
      </c>
      <c r="G174" s="0" t="n">
        <f aca="false">K174-D174</f>
        <v>0.00341656213218999</v>
      </c>
      <c r="H174" s="367" t="n">
        <v>42125</v>
      </c>
      <c r="I174" s="0" t="n">
        <v>-0.808</v>
      </c>
      <c r="J174" s="367" t="n">
        <v>42125</v>
      </c>
      <c r="K174" s="0" t="n">
        <v>1.65401493438222</v>
      </c>
      <c r="L174" s="385" t="n">
        <f aca="false">IF(H174="",F174,(I174+AB174)*K174/1.055056)</f>
        <v>6.18537397408768</v>
      </c>
      <c r="S174" s="367" t="n">
        <v>42125</v>
      </c>
      <c r="T174" s="0" t="n">
        <v>4.7605</v>
      </c>
      <c r="U174" s="0" t="n">
        <v>0.17</v>
      </c>
      <c r="W174" s="0" t="n">
        <f aca="false">AB174-T174</f>
        <v>-0.00700000000000056</v>
      </c>
      <c r="X174" s="0" t="n">
        <f aca="false">AC174-U174</f>
        <v>0</v>
      </c>
      <c r="Y174" s="385" t="n">
        <f aca="false">I174-B174</f>
        <v>0</v>
      </c>
      <c r="AA174" s="367" t="n">
        <v>42125</v>
      </c>
      <c r="AB174" s="0" t="n">
        <v>4.7535</v>
      </c>
      <c r="AC174" s="0" t="n">
        <v>0.17</v>
      </c>
      <c r="AI174" s="367" t="n">
        <v>42095</v>
      </c>
      <c r="AJ174" s="0" t="n">
        <v>-31.75692409</v>
      </c>
    </row>
    <row r="175" customFormat="false" ht="12.75" hidden="false" customHeight="false" outlineLevel="0" collapsed="false">
      <c r="A175" s="367" t="n">
        <v>42156</v>
      </c>
      <c r="B175" s="0" t="n">
        <v>-0.808</v>
      </c>
      <c r="C175" s="367" t="n">
        <v>42156</v>
      </c>
      <c r="D175" s="0" t="n">
        <v>1.6514858127518</v>
      </c>
      <c r="F175" s="385" t="n">
        <f aca="false">(B175+T175)*D175/1.055056</f>
        <v>6.24635482456482</v>
      </c>
      <c r="G175" s="0" t="n">
        <f aca="false">K175-D175</f>
        <v>0.00357493850759005</v>
      </c>
      <c r="H175" s="367" t="n">
        <v>42156</v>
      </c>
      <c r="I175" s="0" t="n">
        <v>-0.808</v>
      </c>
      <c r="J175" s="367" t="n">
        <v>42156</v>
      </c>
      <c r="K175" s="0" t="n">
        <v>1.65506075125939</v>
      </c>
      <c r="L175" s="385" t="n">
        <f aca="false">IF(H175="",F175,(I175+AB175)*K175/1.055056)</f>
        <v>6.24889532180451</v>
      </c>
      <c r="S175" s="367" t="n">
        <v>42156</v>
      </c>
      <c r="T175" s="0" t="n">
        <v>4.7985</v>
      </c>
      <c r="U175" s="0" t="n">
        <v>0.17</v>
      </c>
      <c r="W175" s="0" t="n">
        <f aca="false">AB175-T175</f>
        <v>-0.00700000000000056</v>
      </c>
      <c r="X175" s="0" t="n">
        <f aca="false">AC175-U175</f>
        <v>0</v>
      </c>
      <c r="Y175" s="385" t="n">
        <f aca="false">I175-B175</f>
        <v>0</v>
      </c>
      <c r="AA175" s="367" t="n">
        <v>42156</v>
      </c>
      <c r="AB175" s="0" t="n">
        <v>4.7915</v>
      </c>
      <c r="AC175" s="0" t="n">
        <v>0.17</v>
      </c>
      <c r="AI175" s="367" t="n">
        <v>42125</v>
      </c>
      <c r="AJ175" s="0" t="n">
        <v>-32.62446245</v>
      </c>
    </row>
    <row r="176" customFormat="false" ht="12.75" hidden="false" customHeight="false" outlineLevel="0" collapsed="false">
      <c r="A176" s="367" t="n">
        <v>42186</v>
      </c>
      <c r="B176" s="0" t="n">
        <v>-0.808</v>
      </c>
      <c r="C176" s="367" t="n">
        <v>42186</v>
      </c>
      <c r="D176" s="0" t="n">
        <v>1.65234963407332</v>
      </c>
      <c r="F176" s="385" t="n">
        <f aca="false">(B176+T176)*D176/1.055056</f>
        <v>6.32009765197571</v>
      </c>
      <c r="G176" s="0" t="n">
        <f aca="false">K176-D176</f>
        <v>0.00373002672528</v>
      </c>
      <c r="H176" s="367" t="n">
        <v>42186</v>
      </c>
      <c r="I176" s="0" t="n">
        <v>-0.808</v>
      </c>
      <c r="J176" s="367" t="n">
        <v>42186</v>
      </c>
      <c r="K176" s="0" t="n">
        <v>1.6560796607986</v>
      </c>
      <c r="L176" s="385" t="n">
        <f aca="false">IF(H176="",F176,(I176+AB176)*K176/1.055056)</f>
        <v>6.32337706579287</v>
      </c>
      <c r="S176" s="367" t="n">
        <v>42186</v>
      </c>
      <c r="T176" s="0" t="n">
        <v>4.8435</v>
      </c>
      <c r="U176" s="0" t="n">
        <v>0.17</v>
      </c>
      <c r="W176" s="0" t="n">
        <f aca="false">AB176-T176</f>
        <v>-0.00700000000000056</v>
      </c>
      <c r="X176" s="0" t="n">
        <f aca="false">AC176-U176</f>
        <v>0</v>
      </c>
      <c r="Y176" s="385" t="n">
        <f aca="false">I176-B176</f>
        <v>0</v>
      </c>
      <c r="AA176" s="367" t="n">
        <v>42186</v>
      </c>
      <c r="AB176" s="0" t="n">
        <v>4.8365</v>
      </c>
      <c r="AC176" s="0" t="n">
        <v>0.17</v>
      </c>
      <c r="AI176" s="367" t="n">
        <v>42156</v>
      </c>
      <c r="AJ176" s="0" t="n">
        <v>-31.38178059</v>
      </c>
    </row>
    <row r="177" customFormat="false" ht="12.75" hidden="false" customHeight="false" outlineLevel="0" collapsed="false">
      <c r="A177" s="367" t="n">
        <v>42217</v>
      </c>
      <c r="B177" s="0" t="n">
        <v>-0.808</v>
      </c>
      <c r="C177" s="367" t="n">
        <v>42217</v>
      </c>
      <c r="D177" s="0" t="n">
        <v>1.65324743164632</v>
      </c>
      <c r="F177" s="385" t="n">
        <f aca="false">(B177+T177)*D177/1.055056</f>
        <v>6.38307673982356</v>
      </c>
      <c r="G177" s="0" t="n">
        <f aca="false">K177-D177</f>
        <v>0.00389217051406998</v>
      </c>
      <c r="H177" s="367" t="n">
        <v>42217</v>
      </c>
      <c r="I177" s="0" t="n">
        <v>-0.808</v>
      </c>
      <c r="J177" s="367" t="n">
        <v>42217</v>
      </c>
      <c r="K177" s="0" t="n">
        <v>1.65713960216039</v>
      </c>
      <c r="L177" s="385" t="n">
        <f aca="false">IF(H177="",F177,(I177+AB177)*K177/1.055056)</f>
        <v>6.387109491994</v>
      </c>
      <c r="S177" s="367" t="n">
        <v>42217</v>
      </c>
      <c r="T177" s="0" t="n">
        <v>4.8815</v>
      </c>
      <c r="U177" s="0" t="n">
        <v>0.17</v>
      </c>
      <c r="W177" s="0" t="n">
        <f aca="false">AB177-T177</f>
        <v>-0.00699999999999967</v>
      </c>
      <c r="X177" s="0" t="n">
        <f aca="false">AC177-U177</f>
        <v>0</v>
      </c>
      <c r="Y177" s="385" t="n">
        <f aca="false">I177-B177</f>
        <v>0</v>
      </c>
      <c r="AA177" s="367" t="n">
        <v>42217</v>
      </c>
      <c r="AB177" s="0" t="n">
        <v>4.8745</v>
      </c>
      <c r="AC177" s="0" t="n">
        <v>0.17</v>
      </c>
      <c r="AI177" s="367" t="n">
        <v>42186</v>
      </c>
      <c r="AJ177" s="0" t="n">
        <v>-32.23830624</v>
      </c>
    </row>
    <row r="178" customFormat="false" ht="12.75" hidden="false" customHeight="false" outlineLevel="0" collapsed="false">
      <c r="A178" s="367" t="n">
        <v>42248</v>
      </c>
      <c r="B178" s="0" t="n">
        <v>-0.808</v>
      </c>
      <c r="C178" s="367" t="n">
        <v>42248</v>
      </c>
      <c r="D178" s="0" t="n">
        <v>1.65415050389323</v>
      </c>
      <c r="F178" s="385" t="n">
        <f aca="false">(B178+T178)*D178/1.055056</f>
        <v>6.37715644912281</v>
      </c>
      <c r="G178" s="0" t="n">
        <f aca="false">K178-D178</f>
        <v>0.00405623581382986</v>
      </c>
      <c r="H178" s="367" t="n">
        <v>42248</v>
      </c>
      <c r="I178" s="0" t="n">
        <v>-0.808</v>
      </c>
      <c r="J178" s="367" t="n">
        <v>42248</v>
      </c>
      <c r="K178" s="0" t="n">
        <v>1.65820673970706</v>
      </c>
      <c r="L178" s="385" t="n">
        <f aca="false">IF(H178="",F178,(I178+AB178)*K178/1.055056)</f>
        <v>6.38179249876833</v>
      </c>
      <c r="S178" s="367" t="n">
        <v>42248</v>
      </c>
      <c r="T178" s="0" t="n">
        <v>4.8755</v>
      </c>
      <c r="U178" s="0" t="n">
        <v>0.17</v>
      </c>
      <c r="W178" s="0" t="n">
        <f aca="false">AB178-T178</f>
        <v>-0.00700000000000056</v>
      </c>
      <c r="X178" s="0" t="n">
        <f aca="false">AC178-U178</f>
        <v>0</v>
      </c>
      <c r="Y178" s="385" t="n">
        <f aca="false">I178-B178</f>
        <v>0</v>
      </c>
      <c r="AA178" s="367" t="n">
        <v>42248</v>
      </c>
      <c r="AB178" s="0" t="n">
        <v>4.8685</v>
      </c>
      <c r="AC178" s="0" t="n">
        <v>0.17</v>
      </c>
      <c r="AI178" s="367" t="n">
        <v>42217</v>
      </c>
      <c r="AJ178" s="0" t="n">
        <v>-32.04322586</v>
      </c>
    </row>
    <row r="179" customFormat="false" ht="12.75" hidden="false" customHeight="false" outlineLevel="0" collapsed="false">
      <c r="A179" s="367" t="n">
        <v>42278</v>
      </c>
      <c r="B179" s="0" t="n">
        <v>-0.808</v>
      </c>
      <c r="C179" s="367" t="n">
        <v>42278</v>
      </c>
      <c r="D179" s="0" t="n">
        <v>1.65502947416777</v>
      </c>
      <c r="F179" s="385" t="n">
        <f aca="false">(B179+T179)*D179/1.055056</f>
        <v>6.3805450954048</v>
      </c>
      <c r="G179" s="0" t="n">
        <f aca="false">K179-D179</f>
        <v>0.0042168426662601</v>
      </c>
      <c r="H179" s="367" t="n">
        <v>42278</v>
      </c>
      <c r="I179" s="0" t="n">
        <v>-0.808</v>
      </c>
      <c r="J179" s="367" t="n">
        <v>42278</v>
      </c>
      <c r="K179" s="0" t="n">
        <v>1.65924631683403</v>
      </c>
      <c r="L179" s="385" t="n">
        <f aca="false">IF(H179="",F179,(I179+AB179)*K179/1.055056)</f>
        <v>6.38579342660918</v>
      </c>
      <c r="S179" s="367" t="n">
        <v>42278</v>
      </c>
      <c r="T179" s="0" t="n">
        <v>4.8755</v>
      </c>
      <c r="U179" s="0" t="n">
        <v>0.17</v>
      </c>
      <c r="W179" s="0" t="n">
        <f aca="false">AB179-T179</f>
        <v>-0.00700000000000056</v>
      </c>
      <c r="X179" s="0" t="n">
        <f aca="false">AC179-U179</f>
        <v>0</v>
      </c>
      <c r="Y179" s="385" t="n">
        <f aca="false">I179-B179</f>
        <v>0</v>
      </c>
      <c r="AA179" s="367" t="n">
        <v>42278</v>
      </c>
      <c r="AB179" s="0" t="n">
        <v>4.8685</v>
      </c>
      <c r="AC179" s="0" t="n">
        <v>0.17</v>
      </c>
      <c r="AI179" s="367" t="n">
        <v>42248</v>
      </c>
      <c r="AJ179" s="0" t="n">
        <v>-30.82154457</v>
      </c>
    </row>
    <row r="180" customFormat="false" ht="12.75" hidden="false" customHeight="false" outlineLevel="0" collapsed="false">
      <c r="A180" s="367" t="n">
        <v>42309</v>
      </c>
      <c r="B180" s="0" t="n">
        <v>-0.708</v>
      </c>
      <c r="C180" s="367" t="n">
        <v>42309</v>
      </c>
      <c r="D180" s="0" t="n">
        <v>1.65594294797412</v>
      </c>
      <c r="F180" s="385" t="n">
        <f aca="false">(B180+T180)*D180/1.055056</f>
        <v>6.77331041383805</v>
      </c>
      <c r="G180" s="0" t="n">
        <f aca="false">K180-D180</f>
        <v>0.00438470283141967</v>
      </c>
      <c r="H180" s="367" t="n">
        <v>42309</v>
      </c>
      <c r="I180" s="0" t="n">
        <v>-0.708</v>
      </c>
      <c r="J180" s="367" t="n">
        <v>42309</v>
      </c>
      <c r="K180" s="0" t="n">
        <v>1.66032765080554</v>
      </c>
      <c r="L180" s="385" t="n">
        <f aca="false">IF(H180="",F180,(I180+AB180)*K180/1.055056)</f>
        <v>6.78180306177727</v>
      </c>
      <c r="S180" s="367" t="n">
        <v>42309</v>
      </c>
      <c r="T180" s="0" t="n">
        <v>5.0235</v>
      </c>
      <c r="U180" s="0" t="n">
        <v>0.17</v>
      </c>
      <c r="W180" s="0" t="n">
        <f aca="false">AB180-T180</f>
        <v>-0.00600000000000023</v>
      </c>
      <c r="X180" s="0" t="n">
        <f aca="false">AC180-U180</f>
        <v>0</v>
      </c>
      <c r="Y180" s="385" t="n">
        <f aca="false">I180-B180</f>
        <v>0</v>
      </c>
      <c r="AA180" s="367" t="n">
        <v>42309</v>
      </c>
      <c r="AB180" s="0" t="n">
        <v>5.0175</v>
      </c>
      <c r="AC180" s="0" t="n">
        <v>0.17</v>
      </c>
      <c r="AI180" s="367" t="n">
        <v>42278</v>
      </c>
      <c r="AJ180" s="0" t="n">
        <v>-31.66164698</v>
      </c>
    </row>
    <row r="181" customFormat="false" ht="12.75" hidden="false" customHeight="false" outlineLevel="0" collapsed="false">
      <c r="A181" s="367" t="n">
        <v>42339</v>
      </c>
      <c r="B181" s="0" t="n">
        <v>-0.708</v>
      </c>
      <c r="C181" s="367" t="n">
        <v>42339</v>
      </c>
      <c r="D181" s="0" t="n">
        <v>1.65683199872929</v>
      </c>
      <c r="F181" s="385" t="n">
        <f aca="false">(B181+T181)*D181/1.055056</f>
        <v>7.01564367609217</v>
      </c>
      <c r="G181" s="0" t="n">
        <f aca="false">K181-D181</f>
        <v>0.00454899109854989</v>
      </c>
      <c r="H181" s="367" t="n">
        <v>42339</v>
      </c>
      <c r="I181" s="0" t="n">
        <v>-0.708</v>
      </c>
      <c r="J181" s="367" t="n">
        <v>42339</v>
      </c>
      <c r="K181" s="0" t="n">
        <v>1.66138098982784</v>
      </c>
      <c r="L181" s="385" t="n">
        <f aca="false">IF(H181="",F181,(I181+AB181)*K181/1.055056)</f>
        <v>7.02545768766483</v>
      </c>
      <c r="S181" s="367" t="n">
        <v>42339</v>
      </c>
      <c r="T181" s="0" t="n">
        <v>5.1755</v>
      </c>
      <c r="U181" s="0" t="n">
        <v>0.17</v>
      </c>
      <c r="W181" s="0" t="n">
        <f aca="false">AB181-T181</f>
        <v>-0.00600000000000023</v>
      </c>
      <c r="X181" s="0" t="n">
        <f aca="false">AC181-U181</f>
        <v>0</v>
      </c>
      <c r="Y181" s="385" t="n">
        <f aca="false">I181-B181</f>
        <v>0</v>
      </c>
      <c r="AA181" s="367" t="n">
        <v>42339</v>
      </c>
      <c r="AB181" s="0" t="n">
        <v>5.1695</v>
      </c>
      <c r="AC181" s="0" t="n">
        <v>0.17</v>
      </c>
      <c r="AI181" s="367" t="n">
        <v>42309</v>
      </c>
      <c r="AJ181" s="0" t="n">
        <v>-30.45376766</v>
      </c>
    </row>
    <row r="182" customFormat="false" ht="12.75" hidden="false" customHeight="false" outlineLevel="0" collapsed="false">
      <c r="A182" s="367" t="n">
        <v>42370</v>
      </c>
      <c r="B182" s="0" t="n">
        <v>-0.708</v>
      </c>
      <c r="C182" s="367" t="n">
        <v>42370</v>
      </c>
      <c r="D182" s="0" t="n">
        <v>1.65775590406433</v>
      </c>
      <c r="F182" s="385" t="n">
        <f aca="false">(B182+T182)*D182/1.055056</f>
        <v>7.13347140289431</v>
      </c>
      <c r="G182" s="0" t="n">
        <f aca="false">K182-D182</f>
        <v>0.00472066473704991</v>
      </c>
      <c r="H182" s="367" t="n">
        <v>42370</v>
      </c>
      <c r="I182" s="0" t="n">
        <v>-0.708</v>
      </c>
      <c r="J182" s="367" t="n">
        <v>42370</v>
      </c>
      <c r="K182" s="0" t="n">
        <v>1.66247656880138</v>
      </c>
      <c r="L182" s="385" t="n">
        <f aca="false">IF(H182="",F182,(I182+AB182)*K182/1.055056)</f>
        <v>7.15220912045376</v>
      </c>
      <c r="S182" s="367" t="n">
        <v>42370</v>
      </c>
      <c r="T182" s="0" t="n">
        <v>5.248</v>
      </c>
      <c r="U182" s="0" t="n">
        <v>0.17</v>
      </c>
      <c r="W182" s="0" t="n">
        <f aca="false">AB182-T182</f>
        <v>-0.00100000000000033</v>
      </c>
      <c r="X182" s="0" t="n">
        <f aca="false">AC182-U182</f>
        <v>0</v>
      </c>
      <c r="Y182" s="385" t="n">
        <f aca="false">I182-B182</f>
        <v>0</v>
      </c>
      <c r="AA182" s="367" t="n">
        <v>42370</v>
      </c>
      <c r="AB182" s="0" t="n">
        <v>5.247</v>
      </c>
      <c r="AC182" s="0" t="n">
        <v>0.17</v>
      </c>
      <c r="AI182" s="367" t="n">
        <v>42339</v>
      </c>
      <c r="AJ182" s="0" t="n">
        <v>-31.28310396</v>
      </c>
    </row>
    <row r="183" customFormat="false" ht="12.75" hidden="false" customHeight="false" outlineLevel="0" collapsed="false">
      <c r="A183" s="367" t="n">
        <v>42401</v>
      </c>
      <c r="B183" s="0" t="n">
        <v>-0.708</v>
      </c>
      <c r="C183" s="367" t="n">
        <v>42401</v>
      </c>
      <c r="D183" s="0" t="n">
        <v>1.65868512227426</v>
      </c>
      <c r="F183" s="385" t="n">
        <f aca="false">(B183+T183)*D183/1.055056</f>
        <v>7.00069460719363</v>
      </c>
      <c r="G183" s="0" t="n">
        <f aca="false">K183-D183</f>
        <v>0.00489428360567001</v>
      </c>
      <c r="H183" s="367" t="n">
        <v>42401</v>
      </c>
      <c r="I183" s="0" t="n">
        <v>-0.708</v>
      </c>
      <c r="J183" s="367" t="n">
        <v>42401</v>
      </c>
      <c r="K183" s="0" t="n">
        <v>1.66357940587993</v>
      </c>
      <c r="L183" s="385" t="n">
        <f aca="false">IF(H183="",F183,(I183+AB183)*K183/1.055056)</f>
        <v>7.01819802510158</v>
      </c>
      <c r="S183" s="367" t="n">
        <v>42401</v>
      </c>
      <c r="T183" s="0" t="n">
        <v>5.161</v>
      </c>
      <c r="U183" s="0" t="n">
        <v>0.17</v>
      </c>
      <c r="W183" s="0" t="n">
        <f aca="false">AB183-T183</f>
        <v>-0.00200000000000067</v>
      </c>
      <c r="X183" s="0" t="n">
        <f aca="false">AC183-U183</f>
        <v>0</v>
      </c>
      <c r="Y183" s="385" t="n">
        <f aca="false">I183-B183</f>
        <v>0</v>
      </c>
      <c r="AA183" s="367" t="n">
        <v>42401</v>
      </c>
      <c r="AB183" s="0" t="n">
        <v>5.159</v>
      </c>
      <c r="AC183" s="0" t="n">
        <v>0.17</v>
      </c>
    </row>
    <row r="184" customFormat="false" ht="12.75" hidden="false" customHeight="false" outlineLevel="0" collapsed="false">
      <c r="A184" s="367" t="n">
        <v>42430</v>
      </c>
      <c r="B184" s="0" t="n">
        <v>-0.708</v>
      </c>
      <c r="C184" s="367" t="n">
        <v>42430</v>
      </c>
      <c r="D184" s="0" t="n">
        <v>1.65955920769111</v>
      </c>
      <c r="F184" s="385" t="n">
        <f aca="false">(B184+T184)*D184/1.055056</f>
        <v>6.78574257857351</v>
      </c>
      <c r="G184" s="0" t="n">
        <f aca="false">K184-D184</f>
        <v>0.00505846665654985</v>
      </c>
      <c r="H184" s="367" t="n">
        <v>42430</v>
      </c>
      <c r="I184" s="0" t="n">
        <v>-0.708</v>
      </c>
      <c r="J184" s="367" t="n">
        <v>42430</v>
      </c>
      <c r="K184" s="0" t="n">
        <v>1.66461767434766</v>
      </c>
      <c r="L184" s="385" t="n">
        <f aca="false">IF(H184="",F184,(I184+AB184)*K184/1.055056)</f>
        <v>6.80327054847052</v>
      </c>
      <c r="S184" s="367" t="n">
        <v>42430</v>
      </c>
      <c r="T184" s="0" t="n">
        <v>5.022</v>
      </c>
      <c r="U184" s="0" t="n">
        <v>0.17</v>
      </c>
      <c r="W184" s="0" t="n">
        <f aca="false">AB184-T184</f>
        <v>-0.00200000000000067</v>
      </c>
      <c r="X184" s="0" t="n">
        <f aca="false">AC184-U184</f>
        <v>0</v>
      </c>
      <c r="Y184" s="385" t="n">
        <f aca="false">I184-B184</f>
        <v>0</v>
      </c>
      <c r="AA184" s="367" t="n">
        <v>42430</v>
      </c>
      <c r="AB184" s="0" t="n">
        <v>5.02</v>
      </c>
      <c r="AC184" s="0" t="n">
        <v>0.17</v>
      </c>
    </row>
    <row r="185" customFormat="false" ht="12.75" hidden="false" customHeight="false" outlineLevel="0" collapsed="false">
      <c r="A185" s="367" t="n">
        <v>42461</v>
      </c>
      <c r="B185" s="0" t="n">
        <v>-0.808</v>
      </c>
      <c r="C185" s="367" t="n">
        <v>42461</v>
      </c>
      <c r="D185" s="0" t="n">
        <v>1.66049873133517</v>
      </c>
      <c r="F185" s="385" t="n">
        <f aca="false">(B185+T185)*D185/1.055056</f>
        <v>6.38982655823083</v>
      </c>
      <c r="G185" s="0" t="n">
        <f aca="false">K185-D185</f>
        <v>0.00523586453833991</v>
      </c>
      <c r="H185" s="367" t="n">
        <v>42461</v>
      </c>
      <c r="I185" s="0" t="n">
        <v>-0.808</v>
      </c>
      <c r="J185" s="367" t="n">
        <v>42461</v>
      </c>
      <c r="K185" s="0" t="n">
        <v>1.66573459587351</v>
      </c>
      <c r="L185" s="385" t="n">
        <f aca="false">IF(H185="",F185,(I185+AB185)*K185/1.055056)</f>
        <v>6.40681725904095</v>
      </c>
      <c r="S185" s="367" t="n">
        <v>42461</v>
      </c>
      <c r="T185" s="0" t="n">
        <v>4.868</v>
      </c>
      <c r="U185" s="0" t="n">
        <v>0.17</v>
      </c>
      <c r="W185" s="0" t="n">
        <f aca="false">AB185-T185</f>
        <v>-0.00199999999999978</v>
      </c>
      <c r="X185" s="0" t="n">
        <f aca="false">AC185-U185</f>
        <v>0</v>
      </c>
      <c r="Y185" s="385" t="n">
        <f aca="false">I185-B185</f>
        <v>0</v>
      </c>
      <c r="AA185" s="367" t="n">
        <v>42461</v>
      </c>
      <c r="AB185" s="0" t="n">
        <v>4.866</v>
      </c>
      <c r="AC185" s="0" t="n">
        <v>0.17</v>
      </c>
    </row>
    <row r="186" customFormat="false" ht="12.75" hidden="false" customHeight="false" outlineLevel="0" collapsed="false">
      <c r="A186" s="367" t="n">
        <v>42491</v>
      </c>
      <c r="B186" s="0" t="n">
        <v>-0.808</v>
      </c>
      <c r="C186" s="367" t="n">
        <v>42491</v>
      </c>
      <c r="D186" s="0" t="n">
        <v>1.66141302842726</v>
      </c>
      <c r="F186" s="385" t="n">
        <f aca="false">(B186+T186)*D186/1.055056</f>
        <v>6.40121847613474</v>
      </c>
      <c r="G186" s="0" t="n">
        <f aca="false">K186-D186</f>
        <v>0.00540940587846994</v>
      </c>
      <c r="H186" s="367" t="n">
        <v>42491</v>
      </c>
      <c r="I186" s="0" t="n">
        <v>-0.808</v>
      </c>
      <c r="J186" s="367" t="n">
        <v>42491</v>
      </c>
      <c r="K186" s="0" t="n">
        <v>1.66682243430573</v>
      </c>
      <c r="L186" s="385" t="n">
        <f aca="false">IF(H186="",F186,(I186+AB186)*K186/1.055056)</f>
        <v>6.41890056128223</v>
      </c>
      <c r="S186" s="367" t="n">
        <v>42491</v>
      </c>
      <c r="T186" s="0" t="n">
        <v>4.873</v>
      </c>
      <c r="U186" s="0" t="n">
        <v>0.17</v>
      </c>
      <c r="W186" s="0" t="n">
        <f aca="false">AB186-T186</f>
        <v>-0.00199999999999978</v>
      </c>
      <c r="X186" s="0" t="n">
        <f aca="false">AC186-U186</f>
        <v>0</v>
      </c>
      <c r="Y186" s="385" t="n">
        <f aca="false">I186-B186</f>
        <v>0</v>
      </c>
      <c r="AA186" s="367" t="n">
        <v>42491</v>
      </c>
      <c r="AB186" s="0" t="n">
        <v>4.871</v>
      </c>
      <c r="AC186" s="0" t="n">
        <v>0.17</v>
      </c>
    </row>
    <row r="187" customFormat="false" ht="12.75" hidden="false" customHeight="false" outlineLevel="0" collapsed="false">
      <c r="A187" s="367" t="n">
        <v>42522</v>
      </c>
      <c r="B187" s="0" t="n">
        <v>-0.808</v>
      </c>
      <c r="C187" s="367" t="n">
        <v>42522</v>
      </c>
      <c r="D187" s="0" t="n">
        <v>1.66236305992562</v>
      </c>
      <c r="F187" s="385" t="n">
        <f aca="false">(B187+T187)*D187/1.055056</f>
        <v>6.46475223578163</v>
      </c>
      <c r="G187" s="0" t="n">
        <f aca="false">K187-D187</f>
        <v>0.00559066502366989</v>
      </c>
      <c r="H187" s="367" t="n">
        <v>42522</v>
      </c>
      <c r="I187" s="0" t="n">
        <v>-0.808</v>
      </c>
      <c r="J187" s="367" t="n">
        <v>42522</v>
      </c>
      <c r="K187" s="0" t="n">
        <v>1.66795372494929</v>
      </c>
      <c r="L187" s="385" t="n">
        <f aca="false">IF(H187="",F187,(I187+AB187)*K187/1.055056)</f>
        <v>6.48333190467334</v>
      </c>
      <c r="S187" s="367" t="n">
        <v>42522</v>
      </c>
      <c r="T187" s="0" t="n">
        <v>4.911</v>
      </c>
      <c r="U187" s="0" t="n">
        <v>0.17</v>
      </c>
      <c r="W187" s="0" t="n">
        <f aca="false">AB187-T187</f>
        <v>-0.00200000000000067</v>
      </c>
      <c r="X187" s="0" t="n">
        <f aca="false">AC187-U187</f>
        <v>0</v>
      </c>
      <c r="Y187" s="385" t="n">
        <f aca="false">I187-B187</f>
        <v>0</v>
      </c>
      <c r="AA187" s="367" t="n">
        <v>42522</v>
      </c>
      <c r="AB187" s="0" t="n">
        <v>4.909</v>
      </c>
      <c r="AC187" s="0" t="n">
        <v>0.17</v>
      </c>
    </row>
    <row r="188" customFormat="false" ht="12.75" hidden="false" customHeight="false" outlineLevel="0" collapsed="false">
      <c r="A188" s="367" t="n">
        <v>42552</v>
      </c>
      <c r="B188" s="0" t="n">
        <v>-0.808</v>
      </c>
      <c r="C188" s="367" t="n">
        <v>42552</v>
      </c>
      <c r="D188" s="0" t="n">
        <v>1.66328754100579</v>
      </c>
      <c r="F188" s="385" t="n">
        <f aca="false">(B188+T188)*D188/1.055056</f>
        <v>6.53928959229844</v>
      </c>
      <c r="G188" s="0" t="n">
        <f aca="false">K188-D188</f>
        <v>0.00576795258891005</v>
      </c>
      <c r="H188" s="367" t="n">
        <v>42552</v>
      </c>
      <c r="I188" s="0" t="n">
        <v>-0.808</v>
      </c>
      <c r="J188" s="367" t="n">
        <v>42552</v>
      </c>
      <c r="K188" s="0" t="n">
        <v>1.6690554935947</v>
      </c>
      <c r="L188" s="385" t="n">
        <f aca="false">IF(H188="",F188,(I188+AB188)*K188/1.055056)</f>
        <v>6.55880263838472</v>
      </c>
      <c r="S188" s="367" t="n">
        <v>42552</v>
      </c>
      <c r="T188" s="0" t="n">
        <v>4.956</v>
      </c>
      <c r="U188" s="0" t="n">
        <v>0.17</v>
      </c>
      <c r="W188" s="0" t="n">
        <f aca="false">AB188-T188</f>
        <v>-0.00199999999999978</v>
      </c>
      <c r="X188" s="0" t="n">
        <f aca="false">AC188-U188</f>
        <v>0</v>
      </c>
      <c r="Y188" s="385" t="n">
        <f aca="false">I188-B188</f>
        <v>0</v>
      </c>
      <c r="AA188" s="367" t="n">
        <v>42552</v>
      </c>
      <c r="AB188" s="0" t="n">
        <v>4.954</v>
      </c>
      <c r="AC188" s="0" t="n">
        <v>0.17</v>
      </c>
    </row>
    <row r="189" customFormat="false" ht="12.75" hidden="false" customHeight="false" outlineLevel="0" collapsed="false">
      <c r="A189" s="367" t="n">
        <v>42583</v>
      </c>
      <c r="B189" s="0" t="n">
        <v>-0.808</v>
      </c>
      <c r="C189" s="367" t="n">
        <v>42583</v>
      </c>
      <c r="D189" s="0" t="n">
        <v>1.6642481116548</v>
      </c>
      <c r="F189" s="385" t="n">
        <f aca="false">(B189+T189)*D189/1.055056</f>
        <v>6.60300741893036</v>
      </c>
      <c r="G189" s="0" t="n">
        <f aca="false">K189-D189</f>
        <v>0.00595309275280975</v>
      </c>
      <c r="H189" s="367" t="n">
        <v>42583</v>
      </c>
      <c r="I189" s="0" t="n">
        <v>-0.808</v>
      </c>
      <c r="J189" s="367" t="n">
        <v>42583</v>
      </c>
      <c r="K189" s="0" t="n">
        <v>1.67020120440761</v>
      </c>
      <c r="L189" s="385" t="n">
        <f aca="false">IF(H189="",F189,(I189+AB189)*K189/1.055056)</f>
        <v>6.62346059284193</v>
      </c>
      <c r="S189" s="367" t="n">
        <v>42583</v>
      </c>
      <c r="T189" s="0" t="n">
        <v>4.994</v>
      </c>
      <c r="U189" s="0" t="n">
        <v>0.17</v>
      </c>
      <c r="W189" s="0" t="n">
        <f aca="false">AB189-T189</f>
        <v>-0.00200000000000067</v>
      </c>
      <c r="X189" s="0" t="n">
        <f aca="false">AC189-U189</f>
        <v>0</v>
      </c>
      <c r="Y189" s="385" t="n">
        <f aca="false">I189-B189</f>
        <v>0</v>
      </c>
      <c r="AA189" s="367" t="n">
        <v>42583</v>
      </c>
      <c r="AB189" s="0" t="n">
        <v>4.992</v>
      </c>
      <c r="AC189" s="0" t="n">
        <v>0.17</v>
      </c>
    </row>
    <row r="190" customFormat="false" ht="12.75" hidden="false" customHeight="false" outlineLevel="0" collapsed="false">
      <c r="A190" s="367" t="n">
        <v>42614</v>
      </c>
      <c r="B190" s="0" t="n">
        <v>-0.808</v>
      </c>
      <c r="C190" s="367" t="n">
        <v>42614</v>
      </c>
      <c r="D190" s="0" t="n">
        <v>1.66521405038228</v>
      </c>
      <c r="F190" s="385" t="n">
        <f aca="false">(B190+T190)*D190/1.055056</f>
        <v>6.59736993164148</v>
      </c>
      <c r="G190" s="0" t="n">
        <f aca="false">K190-D190</f>
        <v>0.0061402129151702</v>
      </c>
      <c r="H190" s="367" t="n">
        <v>42614</v>
      </c>
      <c r="I190" s="0" t="n">
        <v>-0.808</v>
      </c>
      <c r="J190" s="367" t="n">
        <v>42614</v>
      </c>
      <c r="K190" s="0" t="n">
        <v>1.67135426329745</v>
      </c>
      <c r="L190" s="385" t="n">
        <f aca="false">IF(H190="",F190,(I190+AB190)*K190/1.055056)</f>
        <v>6.61852841181582</v>
      </c>
      <c r="S190" s="367" t="n">
        <v>42614</v>
      </c>
      <c r="T190" s="0" t="n">
        <v>4.988</v>
      </c>
      <c r="U190" s="0" t="n">
        <v>0.17</v>
      </c>
      <c r="W190" s="0" t="n">
        <f aca="false">AB190-T190</f>
        <v>-0.00199999999999978</v>
      </c>
      <c r="X190" s="0" t="n">
        <f aca="false">AC190-U190</f>
        <v>0</v>
      </c>
      <c r="Y190" s="385" t="n">
        <f aca="false">I190-B190</f>
        <v>0</v>
      </c>
      <c r="AA190" s="367" t="n">
        <v>42614</v>
      </c>
      <c r="AB190" s="0" t="n">
        <v>4.986</v>
      </c>
      <c r="AC190" s="0" t="n">
        <v>0.17</v>
      </c>
    </row>
    <row r="191" customFormat="false" ht="12.75" hidden="false" customHeight="false" outlineLevel="0" collapsed="false">
      <c r="A191" s="367" t="n">
        <v>42644</v>
      </c>
      <c r="B191" s="0" t="n">
        <v>-0.808</v>
      </c>
      <c r="C191" s="367" t="n">
        <v>42644</v>
      </c>
      <c r="D191" s="0" t="n">
        <v>1.66615394867528</v>
      </c>
      <c r="F191" s="385" t="n">
        <f aca="false">(B191+T191)*D191/1.055056</f>
        <v>6.60109369119997</v>
      </c>
      <c r="G191" s="0" t="n">
        <f aca="false">K191-D191</f>
        <v>0.00632318709328983</v>
      </c>
      <c r="H191" s="367" t="n">
        <v>42644</v>
      </c>
      <c r="I191" s="0" t="n">
        <v>-0.808</v>
      </c>
      <c r="J191" s="367" t="n">
        <v>42644</v>
      </c>
      <c r="K191" s="0" t="n">
        <v>1.67247713576857</v>
      </c>
      <c r="L191" s="385" t="n">
        <f aca="false">IF(H191="",F191,(I191+AB191)*K191/1.055056)</f>
        <v>6.62297496364277</v>
      </c>
      <c r="S191" s="367" t="n">
        <v>42644</v>
      </c>
      <c r="T191" s="0" t="n">
        <v>4.988</v>
      </c>
      <c r="U191" s="0" t="n">
        <v>0.17</v>
      </c>
      <c r="W191" s="0" t="n">
        <f aca="false">AB191-T191</f>
        <v>-0.00199999999999978</v>
      </c>
      <c r="X191" s="0" t="n">
        <f aca="false">AC191-U191</f>
        <v>0</v>
      </c>
      <c r="Y191" s="385" t="n">
        <f aca="false">I191-B191</f>
        <v>0</v>
      </c>
      <c r="AA191" s="367" t="n">
        <v>42644</v>
      </c>
      <c r="AB191" s="0" t="n">
        <v>4.986</v>
      </c>
      <c r="AC191" s="0" t="n">
        <v>0.17</v>
      </c>
    </row>
    <row r="192" customFormat="false" ht="12.75" hidden="false" customHeight="false" outlineLevel="0" collapsed="false">
      <c r="A192" s="367" t="n">
        <v>42675</v>
      </c>
      <c r="B192" s="0" t="n">
        <v>-0.708</v>
      </c>
      <c r="C192" s="367" t="n">
        <v>42675</v>
      </c>
      <c r="D192" s="0" t="n">
        <v>1.66685216424543</v>
      </c>
      <c r="F192" s="385" t="n">
        <f aca="false">(B192+T192)*D192/1.055056</f>
        <v>6.99566789182637</v>
      </c>
      <c r="G192" s="0" t="n">
        <f aca="false">K192-D192</f>
        <v>0.00652806107723003</v>
      </c>
      <c r="H192" s="367" t="n">
        <v>42675</v>
      </c>
      <c r="I192" s="0" t="n">
        <v>-0.708</v>
      </c>
      <c r="J192" s="367" t="n">
        <v>42675</v>
      </c>
      <c r="K192" s="0" t="n">
        <v>1.67338022532266</v>
      </c>
      <c r="L192" s="385" t="n">
        <f aca="false">IF(H192="",F192,(I192+AB192)*K192/1.055056)</f>
        <v>7.02147967264621</v>
      </c>
      <c r="S192" s="367" t="n">
        <v>42675</v>
      </c>
      <c r="T192" s="0" t="n">
        <v>5.136</v>
      </c>
      <c r="U192" s="0" t="n">
        <v>0.17</v>
      </c>
      <c r="W192" s="0" t="n">
        <f aca="false">AB192-T192</f>
        <v>-0.00100000000000033</v>
      </c>
      <c r="X192" s="0" t="n">
        <f aca="false">AC192-U192</f>
        <v>0</v>
      </c>
      <c r="Y192" s="385" t="n">
        <f aca="false">I192-B192</f>
        <v>0</v>
      </c>
      <c r="AA192" s="367" t="n">
        <v>42675</v>
      </c>
      <c r="AB192" s="0" t="n">
        <v>5.135</v>
      </c>
      <c r="AC192" s="0" t="n">
        <v>0.17</v>
      </c>
    </row>
    <row r="193" customFormat="false" ht="12.75" hidden="false" customHeight="false" outlineLevel="0" collapsed="false">
      <c r="A193" s="367" t="n">
        <v>42705</v>
      </c>
      <c r="B193" s="0" t="n">
        <v>-0.708</v>
      </c>
      <c r="C193" s="367" t="n">
        <v>42705</v>
      </c>
      <c r="D193" s="0" t="n">
        <v>1.66675112739575</v>
      </c>
      <c r="F193" s="385" t="n">
        <f aca="false">(B193+T193)*D193/1.055056</f>
        <v>7.23536965191661</v>
      </c>
      <c r="G193" s="0" t="n">
        <f aca="false">K193-D193</f>
        <v>0.00662451124578012</v>
      </c>
      <c r="H193" s="367" t="n">
        <v>42705</v>
      </c>
      <c r="I193" s="0" t="n">
        <v>-0.708</v>
      </c>
      <c r="J193" s="367" t="n">
        <v>42705</v>
      </c>
      <c r="K193" s="0" t="n">
        <v>1.67337563864153</v>
      </c>
      <c r="L193" s="385" t="n">
        <f aca="false">IF(H193="",F193,(I193+AB193)*K193/1.055056)</f>
        <v>7.26254061333196</v>
      </c>
      <c r="S193" s="367" t="n">
        <v>42705</v>
      </c>
      <c r="T193" s="0" t="n">
        <v>5.288</v>
      </c>
      <c r="U193" s="0" t="n">
        <v>0.17</v>
      </c>
      <c r="W193" s="0" t="n">
        <f aca="false">AB193-T193</f>
        <v>-0.00100000000000033</v>
      </c>
      <c r="X193" s="0" t="n">
        <f aca="false">AC193-U193</f>
        <v>0</v>
      </c>
      <c r="Y193" s="385" t="n">
        <f aca="false">I193-B193</f>
        <v>0</v>
      </c>
      <c r="AA193" s="367" t="n">
        <v>42705</v>
      </c>
      <c r="AB193" s="0" t="n">
        <v>5.287</v>
      </c>
      <c r="AC193" s="0" t="n">
        <v>0.17</v>
      </c>
    </row>
    <row r="194" customFormat="false" ht="12.75" hidden="false" customHeight="false" outlineLevel="0" collapsed="false">
      <c r="A194" s="367" t="n">
        <v>42736</v>
      </c>
      <c r="B194" s="0" t="n">
        <v>-0.708</v>
      </c>
      <c r="C194" s="367" t="n">
        <v>42736</v>
      </c>
      <c r="D194" s="0" t="n">
        <v>1.66663953630411</v>
      </c>
      <c r="F194" s="385" t="n">
        <f aca="false">(B194+T194)*D194/1.055056</f>
        <v>7.34941125651612</v>
      </c>
      <c r="G194" s="0" t="n">
        <f aca="false">K194-D194</f>
        <v>0.00672486744611978</v>
      </c>
      <c r="H194" s="367" t="n">
        <v>42736</v>
      </c>
      <c r="I194" s="0" t="n">
        <v>-0.708</v>
      </c>
      <c r="J194" s="367" t="n">
        <v>42736</v>
      </c>
      <c r="K194" s="0" t="n">
        <v>1.67336440375023</v>
      </c>
      <c r="L194" s="385" t="n">
        <f aca="false">IF(H194="",F194,(I194+AB194)*K194/1.055056)</f>
        <v>7.38541020198259</v>
      </c>
      <c r="S194" s="367" t="n">
        <v>42736</v>
      </c>
      <c r="T194" s="0" t="n">
        <v>5.3605</v>
      </c>
      <c r="U194" s="0" t="n">
        <v>0.17</v>
      </c>
      <c r="W194" s="0" t="n">
        <f aca="false">AB194-T194</f>
        <v>0.00400000000000045</v>
      </c>
      <c r="X194" s="0" t="n">
        <f aca="false">AC194-U194</f>
        <v>0</v>
      </c>
      <c r="Y194" s="385" t="n">
        <f aca="false">I194-B194</f>
        <v>0</v>
      </c>
      <c r="AA194" s="367" t="n">
        <v>42736</v>
      </c>
      <c r="AB194" s="0" t="n">
        <v>5.3645</v>
      </c>
      <c r="AC194" s="0" t="n">
        <v>0.17</v>
      </c>
    </row>
    <row r="195" customFormat="false" ht="12.75" hidden="false" customHeight="false" outlineLevel="0" collapsed="false">
      <c r="A195" s="367" t="n">
        <v>42767</v>
      </c>
      <c r="B195" s="0" t="n">
        <v>-0.708</v>
      </c>
      <c r="C195" s="367" t="n">
        <v>42767</v>
      </c>
      <c r="D195" s="0" t="n">
        <v>1.66652064298029</v>
      </c>
      <c r="F195" s="385" t="n">
        <f aca="false">(B195+T195)*D195/1.055056</f>
        <v>7.21146554829935</v>
      </c>
      <c r="G195" s="0" t="n">
        <f aca="false">K195-D195</f>
        <v>0.00682592464288012</v>
      </c>
      <c r="H195" s="367" t="n">
        <v>42767</v>
      </c>
      <c r="I195" s="0" t="n">
        <v>-0.708</v>
      </c>
      <c r="J195" s="367" t="n">
        <v>42767</v>
      </c>
      <c r="K195" s="0" t="n">
        <v>1.67334656762317</v>
      </c>
      <c r="L195" s="385" t="n">
        <f aca="false">IF(H195="",F195,(I195+AB195)*K195/1.055056)</f>
        <v>7.24576116735647</v>
      </c>
      <c r="S195" s="367" t="n">
        <v>42767</v>
      </c>
      <c r="T195" s="0" t="n">
        <v>5.2735</v>
      </c>
      <c r="U195" s="0" t="n">
        <v>0.17</v>
      </c>
      <c r="W195" s="0" t="n">
        <f aca="false">AB195-T195</f>
        <v>0.00300000000000011</v>
      </c>
      <c r="X195" s="0" t="n">
        <f aca="false">AC195-U195</f>
        <v>0</v>
      </c>
      <c r="Y195" s="385" t="n">
        <f aca="false">I195-B195</f>
        <v>0</v>
      </c>
      <c r="AA195" s="367" t="n">
        <v>42767</v>
      </c>
      <c r="AB195" s="0" t="n">
        <v>5.2765</v>
      </c>
      <c r="AC195" s="0" t="n">
        <v>0.17</v>
      </c>
    </row>
    <row r="196" customFormat="false" ht="12.75" hidden="false" customHeight="false" outlineLevel="0" collapsed="false">
      <c r="A196" s="367" t="n">
        <v>42795</v>
      </c>
      <c r="B196" s="0" t="n">
        <v>-0.708</v>
      </c>
      <c r="C196" s="367" t="n">
        <v>42795</v>
      </c>
      <c r="D196" s="0" t="n">
        <v>1.66640698073235</v>
      </c>
      <c r="F196" s="385" t="n">
        <f aca="false">(B196+T196)*D196/1.055056</f>
        <v>6.99143031290448</v>
      </c>
      <c r="G196" s="0" t="n">
        <f aca="false">K196-D196</f>
        <v>0.0069178034761701</v>
      </c>
      <c r="H196" s="367" t="n">
        <v>42795</v>
      </c>
      <c r="I196" s="0" t="n">
        <v>-0.708</v>
      </c>
      <c r="J196" s="367" t="n">
        <v>42795</v>
      </c>
      <c r="K196" s="0" t="n">
        <v>1.67332478420852</v>
      </c>
      <c r="L196" s="385" t="n">
        <f aca="false">IF(H196="",F196,(I196+AB196)*K196/1.055056)</f>
        <v>7.02521205666016</v>
      </c>
      <c r="S196" s="367" t="n">
        <v>42795</v>
      </c>
      <c r="T196" s="0" t="n">
        <v>5.1345</v>
      </c>
      <c r="U196" s="0" t="n">
        <v>0.17</v>
      </c>
      <c r="W196" s="0" t="n">
        <f aca="false">AB196-T196</f>
        <v>0.00300000000000011</v>
      </c>
      <c r="X196" s="0" t="n">
        <f aca="false">AC196-U196</f>
        <v>0</v>
      </c>
      <c r="Y196" s="385" t="n">
        <f aca="false">I196-B196</f>
        <v>0</v>
      </c>
      <c r="AA196" s="367" t="n">
        <v>42795</v>
      </c>
      <c r="AB196" s="0" t="n">
        <v>5.1375</v>
      </c>
      <c r="AC196" s="0" t="n">
        <v>0.17</v>
      </c>
    </row>
    <row r="197" customFormat="false" ht="12.75" hidden="false" customHeight="false" outlineLevel="0" collapsed="false">
      <c r="A197" s="367" t="n">
        <v>42826</v>
      </c>
      <c r="B197" s="0" t="n">
        <v>-0.808</v>
      </c>
      <c r="C197" s="367" t="n">
        <v>42826</v>
      </c>
      <c r="D197" s="0" t="n">
        <v>1.66627419532664</v>
      </c>
      <c r="F197" s="385" t="n">
        <f aca="false">(B197+T197)*D197/1.055056</f>
        <v>6.58972517098657</v>
      </c>
      <c r="G197" s="0" t="n">
        <f aca="false">K197-D197</f>
        <v>0.00702019097140982</v>
      </c>
      <c r="H197" s="367" t="n">
        <v>42826</v>
      </c>
      <c r="I197" s="0" t="n">
        <v>-0.808</v>
      </c>
      <c r="J197" s="367" t="n">
        <v>42826</v>
      </c>
      <c r="K197" s="0" t="n">
        <v>1.67329438629805</v>
      </c>
      <c r="L197" s="385" t="n">
        <f aca="false">IF(H197="",F197,(I197+AB197)*K197/1.055056)</f>
        <v>6.62224631677135</v>
      </c>
      <c r="S197" s="367" t="n">
        <v>42826</v>
      </c>
      <c r="T197" s="0" t="n">
        <v>4.9805</v>
      </c>
      <c r="U197" s="0" t="n">
        <v>0.17</v>
      </c>
      <c r="W197" s="0" t="n">
        <f aca="false">AB197-T197</f>
        <v>0.00300000000000011</v>
      </c>
      <c r="X197" s="0" t="n">
        <f aca="false">AC197-U197</f>
        <v>0</v>
      </c>
      <c r="Y197" s="385" t="n">
        <f aca="false">I197-B197</f>
        <v>0</v>
      </c>
      <c r="AA197" s="367" t="n">
        <v>42826</v>
      </c>
      <c r="AB197" s="0" t="n">
        <v>4.9835</v>
      </c>
      <c r="AC197" s="0" t="n">
        <v>0.17</v>
      </c>
    </row>
    <row r="198" customFormat="false" ht="12.75" hidden="false" customHeight="false" outlineLevel="0" collapsed="false">
      <c r="A198" s="367" t="n">
        <v>42856</v>
      </c>
      <c r="B198" s="0" t="n">
        <v>-0.808</v>
      </c>
      <c r="C198" s="367" t="n">
        <v>42856</v>
      </c>
      <c r="D198" s="0" t="n">
        <v>1.66613874649009</v>
      </c>
      <c r="F198" s="385" t="n">
        <f aca="false">(B198+T198)*D198/1.055056</f>
        <v>6.59708547552201</v>
      </c>
      <c r="G198" s="0" t="n">
        <f aca="false">K198-D198</f>
        <v>0.00711993921096998</v>
      </c>
      <c r="H198" s="367" t="n">
        <v>42856</v>
      </c>
      <c r="I198" s="0" t="n">
        <v>-0.808</v>
      </c>
      <c r="J198" s="367" t="n">
        <v>42856</v>
      </c>
      <c r="K198" s="0" t="n">
        <v>1.67325868570106</v>
      </c>
      <c r="L198" s="385" t="n">
        <f aca="false">IF(H198="",F198,(I198+AB198)*K198/1.055056)</f>
        <v>6.63003474277506</v>
      </c>
      <c r="S198" s="367" t="n">
        <v>42856</v>
      </c>
      <c r="T198" s="0" t="n">
        <v>4.9855</v>
      </c>
      <c r="U198" s="0" t="n">
        <v>0.17</v>
      </c>
      <c r="W198" s="0" t="n">
        <f aca="false">AB198-T198</f>
        <v>0.00300000000000011</v>
      </c>
      <c r="X198" s="0" t="n">
        <f aca="false">AC198-U198</f>
        <v>0</v>
      </c>
      <c r="Y198" s="385" t="n">
        <f aca="false">I198-B198</f>
        <v>0</v>
      </c>
      <c r="AA198" s="367" t="n">
        <v>42856</v>
      </c>
      <c r="AB198" s="0" t="n">
        <v>4.9885</v>
      </c>
      <c r="AC198" s="0" t="n">
        <v>0.17</v>
      </c>
    </row>
    <row r="199" customFormat="false" ht="12.75" hidden="false" customHeight="false" outlineLevel="0" collapsed="false">
      <c r="A199" s="367" t="n">
        <v>42887</v>
      </c>
      <c r="B199" s="0" t="n">
        <v>-0.808</v>
      </c>
      <c r="C199" s="367" t="n">
        <v>42887</v>
      </c>
      <c r="D199" s="0" t="n">
        <v>1.66599160655438</v>
      </c>
      <c r="F199" s="385" t="n">
        <f aca="false">(B199+T199)*D199/1.055056</f>
        <v>6.65650696970586</v>
      </c>
      <c r="G199" s="0" t="n">
        <f aca="false">K199-D199</f>
        <v>0.00722369667459977</v>
      </c>
      <c r="H199" s="367" t="n">
        <v>42887</v>
      </c>
      <c r="I199" s="0" t="n">
        <v>-0.808</v>
      </c>
      <c r="J199" s="367" t="n">
        <v>42887</v>
      </c>
      <c r="K199" s="0" t="n">
        <v>1.67321530322898</v>
      </c>
      <c r="L199" s="385" t="n">
        <f aca="false">IF(H199="",F199,(I199+AB199)*K199/1.055056)</f>
        <v>6.69012711805957</v>
      </c>
      <c r="S199" s="367" t="n">
        <v>42887</v>
      </c>
      <c r="T199" s="0" t="n">
        <v>5.0235</v>
      </c>
      <c r="U199" s="0" t="n">
        <v>0.17</v>
      </c>
      <c r="W199" s="0" t="n">
        <f aca="false">AB199-T199</f>
        <v>0.00300000000000011</v>
      </c>
      <c r="X199" s="0" t="n">
        <f aca="false">AC199-U199</f>
        <v>0</v>
      </c>
      <c r="Y199" s="385" t="n">
        <f aca="false">I199-B199</f>
        <v>0</v>
      </c>
      <c r="AA199" s="367" t="n">
        <v>42887</v>
      </c>
      <c r="AB199" s="0" t="n">
        <v>5.0265</v>
      </c>
      <c r="AC199" s="0" t="n">
        <v>0.17</v>
      </c>
    </row>
    <row r="200" customFormat="false" ht="12.75" hidden="false" customHeight="false" outlineLevel="0" collapsed="false">
      <c r="A200" s="367" t="n">
        <v>42917</v>
      </c>
      <c r="B200" s="0" t="n">
        <v>-0.808</v>
      </c>
      <c r="C200" s="367" t="n">
        <v>42917</v>
      </c>
      <c r="D200" s="0" t="n">
        <v>1.66584227066393</v>
      </c>
      <c r="F200" s="385" t="n">
        <f aca="false">(B200+T200)*D200/1.055056</f>
        <v>6.72696140694302</v>
      </c>
      <c r="G200" s="0" t="n">
        <f aca="false">K200-D200</f>
        <v>0.00732476797333015</v>
      </c>
      <c r="H200" s="367" t="n">
        <v>42917</v>
      </c>
      <c r="I200" s="0" t="n">
        <v>-0.808</v>
      </c>
      <c r="J200" s="367" t="n">
        <v>42917</v>
      </c>
      <c r="K200" s="0" t="n">
        <v>1.67316703863726</v>
      </c>
      <c r="L200" s="385" t="n">
        <f aca="false">IF(H200="",F200,(I200+AB200)*K200/1.055056)</f>
        <v>6.76129766498646</v>
      </c>
      <c r="S200" s="367" t="n">
        <v>42917</v>
      </c>
      <c r="T200" s="0" t="n">
        <v>5.0685</v>
      </c>
      <c r="U200" s="0" t="n">
        <v>0.17</v>
      </c>
      <c r="W200" s="0" t="n">
        <f aca="false">AB200-T200</f>
        <v>0.00300000000000011</v>
      </c>
      <c r="X200" s="0" t="n">
        <f aca="false">AC200-U200</f>
        <v>0</v>
      </c>
      <c r="Y200" s="385" t="n">
        <f aca="false">I200-B200</f>
        <v>0</v>
      </c>
      <c r="AA200" s="367" t="n">
        <v>42917</v>
      </c>
      <c r="AB200" s="0" t="n">
        <v>5.0715</v>
      </c>
      <c r="AC200" s="0" t="n">
        <v>0.17</v>
      </c>
    </row>
    <row r="201" customFormat="false" ht="12.75" hidden="false" customHeight="false" outlineLevel="0" collapsed="false">
      <c r="A201" s="367" t="n">
        <v>42948</v>
      </c>
      <c r="B201" s="0" t="n">
        <v>-0.808</v>
      </c>
      <c r="C201" s="367" t="n">
        <v>42948</v>
      </c>
      <c r="D201" s="0" t="n">
        <v>1.66568078552983</v>
      </c>
      <c r="F201" s="385" t="n">
        <f aca="false">(B201+T201)*D201/1.055056</f>
        <v>6.78630220253709</v>
      </c>
      <c r="G201" s="0" t="n">
        <f aca="false">K201-D201</f>
        <v>0.00742988975714987</v>
      </c>
      <c r="H201" s="367" t="n">
        <v>42948</v>
      </c>
      <c r="I201" s="0" t="n">
        <v>-0.808</v>
      </c>
      <c r="J201" s="367" t="n">
        <v>42948</v>
      </c>
      <c r="K201" s="0" t="n">
        <v>1.67311067528698</v>
      </c>
      <c r="L201" s="385" t="n">
        <f aca="false">IF(H201="",F201,(I201+AB201)*K201/1.055056)</f>
        <v>6.82133040307523</v>
      </c>
      <c r="S201" s="367" t="n">
        <v>42948</v>
      </c>
      <c r="T201" s="0" t="n">
        <v>5.1065</v>
      </c>
      <c r="U201" s="0" t="n">
        <v>0.17</v>
      </c>
      <c r="W201" s="0" t="n">
        <f aca="false">AB201-T201</f>
        <v>0.00300000000000011</v>
      </c>
      <c r="X201" s="0" t="n">
        <f aca="false">AC201-U201</f>
        <v>0</v>
      </c>
      <c r="Y201" s="385" t="n">
        <f aca="false">I201-B201</f>
        <v>0</v>
      </c>
      <c r="AA201" s="367" t="n">
        <v>42948</v>
      </c>
      <c r="AB201" s="0" t="n">
        <v>5.1095</v>
      </c>
      <c r="AC201" s="0" t="n">
        <v>0.17</v>
      </c>
    </row>
    <row r="202" customFormat="false" ht="12.75" hidden="false" customHeight="false" outlineLevel="0" collapsed="false">
      <c r="A202" s="367" t="n">
        <v>42979</v>
      </c>
      <c r="B202" s="0" t="n">
        <v>-0.808</v>
      </c>
      <c r="C202" s="367" t="n">
        <v>42979</v>
      </c>
      <c r="D202" s="0" t="n">
        <v>1.66551201402224</v>
      </c>
      <c r="F202" s="385" t="n">
        <f aca="false">(B202+T202)*D202/1.055056</f>
        <v>6.77614299164259</v>
      </c>
      <c r="G202" s="0" t="n">
        <f aca="false">K202-D202</f>
        <v>0.00753570267662007</v>
      </c>
      <c r="H202" s="367" t="n">
        <v>42979</v>
      </c>
      <c r="I202" s="0" t="n">
        <v>-0.808</v>
      </c>
      <c r="J202" s="367" t="n">
        <v>42979</v>
      </c>
      <c r="K202" s="0" t="n">
        <v>1.67304771669886</v>
      </c>
      <c r="L202" s="385" t="n">
        <f aca="false">IF(H202="",F202,(I202+AB202)*K202/1.055056)</f>
        <v>6.81155926043732</v>
      </c>
      <c r="S202" s="367" t="n">
        <v>42979</v>
      </c>
      <c r="T202" s="0" t="n">
        <v>5.1005</v>
      </c>
      <c r="U202" s="0" t="n">
        <v>0.17</v>
      </c>
      <c r="W202" s="0" t="n">
        <f aca="false">AB202-T202</f>
        <v>0.00300000000000011</v>
      </c>
      <c r="X202" s="0" t="n">
        <f aca="false">AC202-U202</f>
        <v>0</v>
      </c>
      <c r="Y202" s="385" t="n">
        <f aca="false">I202-B202</f>
        <v>0</v>
      </c>
      <c r="AA202" s="367" t="n">
        <v>42979</v>
      </c>
      <c r="AB202" s="0" t="n">
        <v>5.1035</v>
      </c>
      <c r="AC202" s="0" t="n">
        <v>0.17</v>
      </c>
    </row>
    <row r="203" customFormat="false" ht="12.75" hidden="false" customHeight="false" outlineLevel="0" collapsed="false">
      <c r="A203" s="367" t="n">
        <v>43009</v>
      </c>
      <c r="B203" s="0" t="n">
        <v>-0.808</v>
      </c>
      <c r="C203" s="367" t="n">
        <v>43009</v>
      </c>
      <c r="D203" s="0" t="n">
        <v>1.66534175169487</v>
      </c>
      <c r="F203" s="385" t="n">
        <f aca="false">(B203+T203)*D203/1.055056</f>
        <v>6.77545027861102</v>
      </c>
      <c r="G203" s="0" t="n">
        <f aca="false">K203-D203</f>
        <v>0.00763875890640997</v>
      </c>
      <c r="H203" s="367" t="n">
        <v>43009</v>
      </c>
      <c r="I203" s="0" t="n">
        <v>-0.808</v>
      </c>
      <c r="J203" s="367" t="n">
        <v>43009</v>
      </c>
      <c r="K203" s="0" t="n">
        <v>1.67298051060128</v>
      </c>
      <c r="L203" s="385" t="n">
        <f aca="false">IF(H203="",F203,(I203+AB203)*K203/1.055056)</f>
        <v>6.81128564103498</v>
      </c>
      <c r="S203" s="367" t="n">
        <v>43009</v>
      </c>
      <c r="T203" s="0" t="n">
        <v>5.1005</v>
      </c>
      <c r="U203" s="0" t="n">
        <v>0.17</v>
      </c>
      <c r="W203" s="0" t="n">
        <f aca="false">AB203-T203</f>
        <v>0.00300000000000011</v>
      </c>
      <c r="X203" s="0" t="n">
        <f aca="false">AC203-U203</f>
        <v>0</v>
      </c>
      <c r="Y203" s="385" t="n">
        <f aca="false">I203-B203</f>
        <v>0</v>
      </c>
      <c r="AA203" s="367" t="n">
        <v>43009</v>
      </c>
      <c r="AB203" s="0" t="n">
        <v>5.1035</v>
      </c>
      <c r="AC203" s="0" t="n">
        <v>0.17</v>
      </c>
    </row>
    <row r="204" customFormat="false" ht="12.75" hidden="false" customHeight="false" outlineLevel="0" collapsed="false">
      <c r="A204" s="367" t="n">
        <v>43040</v>
      </c>
      <c r="B204" s="0" t="n">
        <v>-0.708</v>
      </c>
      <c r="C204" s="367" t="n">
        <v>43040</v>
      </c>
      <c r="D204" s="0" t="n">
        <v>1.66515865043855</v>
      </c>
      <c r="F204" s="385" t="n">
        <f aca="false">(B204+T204)*D204/1.055056</f>
        <v>7.16611521314152</v>
      </c>
      <c r="G204" s="0" t="n">
        <f aca="false">K204-D204</f>
        <v>0.00774592737471003</v>
      </c>
      <c r="H204" s="367" t="n">
        <v>43040</v>
      </c>
      <c r="I204" s="0" t="n">
        <v>-0.708</v>
      </c>
      <c r="J204" s="367" t="n">
        <v>43040</v>
      </c>
      <c r="K204" s="0" t="n">
        <v>1.67290457781326</v>
      </c>
      <c r="L204" s="385" t="n">
        <f aca="false">IF(H204="",F204,(I204+AB204)*K204/1.055056)</f>
        <v>7.20579272936447</v>
      </c>
      <c r="S204" s="367" t="n">
        <v>43040</v>
      </c>
      <c r="T204" s="0" t="n">
        <v>5.2485</v>
      </c>
      <c r="U204" s="0" t="n">
        <v>0.17</v>
      </c>
      <c r="W204" s="0" t="n">
        <f aca="false">AB204-T204</f>
        <v>0.00400000000000045</v>
      </c>
      <c r="X204" s="0" t="n">
        <f aca="false">AC204-U204</f>
        <v>0</v>
      </c>
      <c r="Y204" s="385" t="n">
        <f aca="false">I204-B204</f>
        <v>0</v>
      </c>
      <c r="AA204" s="367" t="n">
        <v>43040</v>
      </c>
      <c r="AB204" s="0" t="n">
        <v>5.2525</v>
      </c>
      <c r="AC204" s="0" t="n">
        <v>0.17</v>
      </c>
    </row>
    <row r="205" customFormat="false" ht="12.75" hidden="false" customHeight="false" outlineLevel="0" collapsed="false">
      <c r="A205" s="367" t="n">
        <v>43070</v>
      </c>
      <c r="B205" s="0" t="n">
        <v>-0.708</v>
      </c>
      <c r="C205" s="367" t="n">
        <v>43070</v>
      </c>
      <c r="D205" s="0" t="n">
        <v>1.66497452592149</v>
      </c>
      <c r="F205" s="385" t="n">
        <f aca="false">(B205+T205)*D205/1.055056</f>
        <v>7.40519267497326</v>
      </c>
      <c r="G205" s="0" t="n">
        <f aca="false">K205-D205</f>
        <v>0.00785029254732006</v>
      </c>
      <c r="H205" s="367" t="n">
        <v>43070</v>
      </c>
      <c r="I205" s="0" t="n">
        <v>-0.708</v>
      </c>
      <c r="J205" s="367" t="n">
        <v>43070</v>
      </c>
      <c r="K205" s="0" t="n">
        <v>1.67282481846881</v>
      </c>
      <c r="L205" s="385" t="n">
        <f aca="false">IF(H205="",F205,(I205+AB205)*K205/1.055056)</f>
        <v>7.44645000828275</v>
      </c>
      <c r="S205" s="367" t="n">
        <v>43070</v>
      </c>
      <c r="T205" s="0" t="n">
        <v>5.4005</v>
      </c>
      <c r="U205" s="0" t="n">
        <v>0.17</v>
      </c>
      <c r="W205" s="0" t="n">
        <f aca="false">AB205-T205</f>
        <v>0.00400000000000045</v>
      </c>
      <c r="X205" s="0" t="n">
        <f aca="false">AC205-U205</f>
        <v>0</v>
      </c>
      <c r="Y205" s="385" t="n">
        <f aca="false">I205-B205</f>
        <v>0</v>
      </c>
      <c r="AA205" s="367" t="n">
        <v>43070</v>
      </c>
      <c r="AB205" s="0" t="n">
        <v>5.4045</v>
      </c>
      <c r="AC205" s="0" t="n">
        <v>0.17</v>
      </c>
    </row>
    <row r="206" customFormat="false" ht="12.75" hidden="false" customHeight="false" outlineLevel="0" collapsed="false">
      <c r="A206" s="367" t="n">
        <v>43101</v>
      </c>
      <c r="B206" s="0" t="n">
        <v>-0.708</v>
      </c>
      <c r="C206" s="367" t="n">
        <v>43101</v>
      </c>
      <c r="D206" s="0" t="n">
        <v>1.66477710607091</v>
      </c>
      <c r="F206" s="385" t="n">
        <f aca="false">(B206+T206)*D206/1.055056</f>
        <v>7.5187126658944</v>
      </c>
      <c r="G206" s="0" t="n">
        <f aca="false">K206-D206</f>
        <v>0.00795881058191994</v>
      </c>
      <c r="H206" s="367" t="n">
        <v>43101</v>
      </c>
      <c r="I206" s="0" t="n">
        <v>-0.708</v>
      </c>
      <c r="J206" s="367" t="n">
        <v>43101</v>
      </c>
      <c r="K206" s="0" t="n">
        <v>1.67273591665283</v>
      </c>
      <c r="L206" s="385" t="n">
        <f aca="false">IF(H206="",F206,(I206+AB206)*K206/1.055056)</f>
        <v>7.56892645139273</v>
      </c>
      <c r="S206" s="367" t="n">
        <v>43101</v>
      </c>
      <c r="T206" s="0" t="n">
        <v>5.473</v>
      </c>
      <c r="U206" s="0" t="n">
        <v>0.17</v>
      </c>
      <c r="W206" s="0" t="n">
        <f aca="false">AB206-T206</f>
        <v>0.00900000000000034</v>
      </c>
      <c r="X206" s="0" t="n">
        <f aca="false">AC206-U206</f>
        <v>0</v>
      </c>
      <c r="Y206" s="385" t="n">
        <f aca="false">I206-B206</f>
        <v>0</v>
      </c>
      <c r="AA206" s="367" t="n">
        <v>43101</v>
      </c>
      <c r="AB206" s="0" t="n">
        <v>5.482</v>
      </c>
      <c r="AC206" s="0" t="n">
        <v>0.17</v>
      </c>
    </row>
    <row r="207" customFormat="false" ht="12.75" hidden="false" customHeight="false" outlineLevel="0" collapsed="false">
      <c r="A207" s="367" t="n">
        <v>43132</v>
      </c>
      <c r="B207" s="0" t="n">
        <v>-0.708</v>
      </c>
      <c r="C207" s="367" t="n">
        <v>43132</v>
      </c>
      <c r="D207" s="0" t="n">
        <v>1.66457241406469</v>
      </c>
      <c r="F207" s="385" t="n">
        <f aca="false">(B207+T207)*D207/1.055056</f>
        <v>7.38052743455762</v>
      </c>
      <c r="G207" s="0" t="n">
        <f aca="false">K207-D207</f>
        <v>0.00806801212658992</v>
      </c>
      <c r="H207" s="367" t="n">
        <v>43132</v>
      </c>
      <c r="I207" s="0" t="n">
        <v>-0.708</v>
      </c>
      <c r="J207" s="367" t="n">
        <v>43132</v>
      </c>
      <c r="K207" s="0" t="n">
        <v>1.67264042619128</v>
      </c>
      <c r="L207" s="385" t="n">
        <f aca="false">IF(H207="",F207,(I207+AB207)*K207/1.055056)</f>
        <v>7.42898295174127</v>
      </c>
      <c r="S207" s="367" t="n">
        <v>43132</v>
      </c>
      <c r="T207" s="0" t="n">
        <v>5.386</v>
      </c>
      <c r="U207" s="0" t="n">
        <v>0.17</v>
      </c>
      <c r="W207" s="0" t="n">
        <f aca="false">AB207-T207</f>
        <v>0.00800000000000001</v>
      </c>
      <c r="X207" s="0" t="n">
        <f aca="false">AC207-U207</f>
        <v>0</v>
      </c>
      <c r="Y207" s="385" t="n">
        <f aca="false">I207-B207</f>
        <v>0</v>
      </c>
      <c r="AA207" s="367" t="n">
        <v>43132</v>
      </c>
      <c r="AB207" s="0" t="n">
        <v>5.394</v>
      </c>
      <c r="AC207" s="0" t="n">
        <v>0.17</v>
      </c>
    </row>
    <row r="208" customFormat="false" ht="12.75" hidden="false" customHeight="false" outlineLevel="0" collapsed="false">
      <c r="A208" s="367" t="n">
        <v>43160</v>
      </c>
      <c r="B208" s="0" t="n">
        <v>-0.708</v>
      </c>
      <c r="C208" s="367" t="n">
        <v>43160</v>
      </c>
      <c r="D208" s="0" t="n">
        <v>1.66438128301851</v>
      </c>
      <c r="F208" s="385" t="n">
        <f aca="false">(B208+T208)*D208/1.055056</f>
        <v>7.16040347016748</v>
      </c>
      <c r="G208" s="0" t="n">
        <f aca="false">K208-D208</f>
        <v>0.00816723194361013</v>
      </c>
      <c r="H208" s="367" t="n">
        <v>43160</v>
      </c>
      <c r="I208" s="0" t="n">
        <v>-0.708</v>
      </c>
      <c r="J208" s="367" t="n">
        <v>43160</v>
      </c>
      <c r="K208" s="0" t="n">
        <v>1.67254851496212</v>
      </c>
      <c r="L208" s="385" t="n">
        <f aca="false">IF(H208="",F208,(I208+AB208)*K208/1.055056)</f>
        <v>7.20822221524996</v>
      </c>
      <c r="S208" s="367" t="n">
        <v>43160</v>
      </c>
      <c r="T208" s="0" t="n">
        <v>5.247</v>
      </c>
      <c r="U208" s="0" t="n">
        <v>0.17</v>
      </c>
      <c r="W208" s="0" t="n">
        <f aca="false">AB208-T208</f>
        <v>0.00800000000000001</v>
      </c>
      <c r="X208" s="0" t="n">
        <f aca="false">AC208-U208</f>
        <v>0</v>
      </c>
      <c r="Y208" s="385" t="n">
        <f aca="false">I208-B208</f>
        <v>0</v>
      </c>
      <c r="AA208" s="367" t="n">
        <v>43160</v>
      </c>
      <c r="AB208" s="0" t="n">
        <v>5.255</v>
      </c>
      <c r="AC208" s="0" t="n">
        <v>0.17</v>
      </c>
    </row>
    <row r="209" customFormat="false" ht="12.75" hidden="false" customHeight="false" outlineLevel="0" collapsed="false">
      <c r="A209" s="367" t="n">
        <v>43191</v>
      </c>
      <c r="B209" s="0" t="n">
        <v>-0.808</v>
      </c>
      <c r="C209" s="367" t="n">
        <v>43191</v>
      </c>
      <c r="D209" s="0" t="n">
        <v>1.66416275927573</v>
      </c>
      <c r="F209" s="385" t="n">
        <f aca="false">(B209+T209)*D209/1.055056</f>
        <v>6.75882362973767</v>
      </c>
      <c r="G209" s="0" t="n">
        <f aca="false">K209-D209</f>
        <v>0.00827772993695985</v>
      </c>
      <c r="H209" s="367" t="n">
        <v>43191</v>
      </c>
      <c r="I209" s="0" t="n">
        <v>-0.808</v>
      </c>
      <c r="J209" s="367" t="n">
        <v>43191</v>
      </c>
      <c r="K209" s="0" t="n">
        <v>1.67244048921269</v>
      </c>
      <c r="L209" s="385" t="n">
        <f aca="false">IF(H209="",F209,(I209+AB209)*K209/1.055056)</f>
        <v>6.80512410733656</v>
      </c>
      <c r="S209" s="367" t="n">
        <v>43191</v>
      </c>
      <c r="T209" s="0" t="n">
        <v>5.093</v>
      </c>
      <c r="U209" s="0" t="n">
        <v>0.17</v>
      </c>
      <c r="W209" s="0" t="n">
        <f aca="false">AB209-T209</f>
        <v>0.00800000000000001</v>
      </c>
      <c r="X209" s="0" t="n">
        <f aca="false">AC209-U209</f>
        <v>0</v>
      </c>
      <c r="Y209" s="385" t="n">
        <f aca="false">I209-B209</f>
        <v>0</v>
      </c>
      <c r="AA209" s="367" t="n">
        <v>43191</v>
      </c>
      <c r="AB209" s="0" t="n">
        <v>5.101</v>
      </c>
      <c r="AC209" s="0" t="n">
        <v>0.17</v>
      </c>
    </row>
    <row r="210" customFormat="false" ht="12.75" hidden="false" customHeight="false" outlineLevel="0" collapsed="false">
      <c r="A210" s="367" t="n">
        <v>43221</v>
      </c>
      <c r="B210" s="0" t="n">
        <v>-0.808</v>
      </c>
      <c r="C210" s="367" t="n">
        <v>43221</v>
      </c>
      <c r="D210" s="0" t="n">
        <v>1.66394436958343</v>
      </c>
      <c r="F210" s="385" t="n">
        <f aca="false">(B210+T210)*D210/1.055056</f>
        <v>6.76582223646225</v>
      </c>
      <c r="G210" s="0" t="n">
        <f aca="false">K210-D210</f>
        <v>0.00838530982957009</v>
      </c>
      <c r="H210" s="367" t="n">
        <v>43221</v>
      </c>
      <c r="I210" s="0" t="n">
        <v>-0.808</v>
      </c>
      <c r="J210" s="367" t="n">
        <v>43221</v>
      </c>
      <c r="K210" s="0" t="n">
        <v>1.672329679413</v>
      </c>
      <c r="L210" s="385" t="n">
        <f aca="false">IF(H210="",F210,(I210+AB210)*K210/1.055056)</f>
        <v>6.81259853706066</v>
      </c>
      <c r="S210" s="367" t="n">
        <v>43221</v>
      </c>
      <c r="T210" s="0" t="n">
        <v>5.098</v>
      </c>
      <c r="U210" s="0" t="n">
        <v>0.17</v>
      </c>
      <c r="W210" s="0" t="n">
        <f aca="false">AB210-T210</f>
        <v>0.00800000000000001</v>
      </c>
      <c r="X210" s="0" t="n">
        <f aca="false">AC210-U210</f>
        <v>0</v>
      </c>
      <c r="Y210" s="385" t="n">
        <f aca="false">I210-B210</f>
        <v>0</v>
      </c>
      <c r="AA210" s="367" t="n">
        <v>43221</v>
      </c>
      <c r="AB210" s="0" t="n">
        <v>5.106</v>
      </c>
      <c r="AC210" s="0" t="n">
        <v>0.17</v>
      </c>
    </row>
    <row r="211" customFormat="false" ht="12.75" hidden="false" customHeight="false" outlineLevel="0" collapsed="false">
      <c r="A211" s="367" t="n">
        <v>43252</v>
      </c>
      <c r="B211" s="0" t="n">
        <v>-0.808</v>
      </c>
      <c r="C211" s="367" t="n">
        <v>43252</v>
      </c>
      <c r="D211" s="0" t="n">
        <v>1.66371155797394</v>
      </c>
      <c r="F211" s="385" t="n">
        <f aca="false">(B211+T211)*D211/1.055056</f>
        <v>6.82479756800702</v>
      </c>
      <c r="G211" s="0" t="n">
        <f aca="false">K211-D211</f>
        <v>0.00849714201197993</v>
      </c>
      <c r="H211" s="367" t="n">
        <v>43252</v>
      </c>
      <c r="I211" s="0" t="n">
        <v>-0.808</v>
      </c>
      <c r="J211" s="367" t="n">
        <v>43252</v>
      </c>
      <c r="K211" s="0" t="n">
        <v>1.67220869998592</v>
      </c>
      <c r="L211" s="385" t="n">
        <f aca="false">IF(H211="",F211,(I211+AB211)*K211/1.055056)</f>
        <v>6.87233371796279</v>
      </c>
      <c r="S211" s="367" t="n">
        <v>43252</v>
      </c>
      <c r="T211" s="0" t="n">
        <v>5.136</v>
      </c>
      <c r="U211" s="0" t="n">
        <v>0.17</v>
      </c>
      <c r="W211" s="0" t="n">
        <f aca="false">AB211-T211</f>
        <v>0.00800000000000001</v>
      </c>
      <c r="X211" s="0" t="n">
        <f aca="false">AC211-U211</f>
        <v>0</v>
      </c>
      <c r="Y211" s="385" t="n">
        <f aca="false">I211-B211</f>
        <v>0</v>
      </c>
      <c r="AA211" s="367" t="n">
        <v>43252</v>
      </c>
      <c r="AB211" s="0" t="n">
        <v>5.144</v>
      </c>
      <c r="AC211" s="0" t="n">
        <v>0.17</v>
      </c>
    </row>
    <row r="212" customFormat="false" ht="12.75" hidden="false" customHeight="false" outlineLevel="0" collapsed="false">
      <c r="A212" s="367" t="n">
        <v>43282</v>
      </c>
      <c r="B212" s="0" t="n">
        <v>-0.808</v>
      </c>
      <c r="C212" s="367" t="n">
        <v>43282</v>
      </c>
      <c r="D212" s="0" t="n">
        <v>1.66347934783994</v>
      </c>
      <c r="F212" s="385" t="n">
        <f aca="false">(B212+T212)*D212/1.055056</f>
        <v>6.89479533608079</v>
      </c>
      <c r="G212" s="0" t="n">
        <f aca="false">K212-D212</f>
        <v>0.00860600995516991</v>
      </c>
      <c r="H212" s="367" t="n">
        <v>43282</v>
      </c>
      <c r="I212" s="0" t="n">
        <v>-0.808</v>
      </c>
      <c r="J212" s="367" t="n">
        <v>43282</v>
      </c>
      <c r="K212" s="0" t="n">
        <v>1.67208535779511</v>
      </c>
      <c r="L212" s="385" t="n">
        <f aca="false">IF(H212="",F212,(I212+AB212)*K212/1.055056)</f>
        <v>6.94314420514207</v>
      </c>
      <c r="S212" s="367" t="n">
        <v>43282</v>
      </c>
      <c r="T212" s="0" t="n">
        <v>5.181</v>
      </c>
      <c r="U212" s="0" t="n">
        <v>0.17</v>
      </c>
      <c r="W212" s="0" t="n">
        <f aca="false">AB212-T212</f>
        <v>0.00800000000000001</v>
      </c>
      <c r="X212" s="0" t="n">
        <f aca="false">AC212-U212</f>
        <v>0</v>
      </c>
      <c r="Y212" s="385" t="n">
        <f aca="false">I212-B212</f>
        <v>0</v>
      </c>
      <c r="AA212" s="367" t="n">
        <v>43282</v>
      </c>
      <c r="AB212" s="0" t="n">
        <v>5.189</v>
      </c>
      <c r="AC212" s="0" t="n">
        <v>0.17</v>
      </c>
    </row>
    <row r="213" customFormat="false" ht="12.75" hidden="false" customHeight="false" outlineLevel="0" collapsed="false">
      <c r="A213" s="367" t="n">
        <v>43313</v>
      </c>
      <c r="B213" s="0" t="n">
        <v>-0.808</v>
      </c>
      <c r="C213" s="367" t="n">
        <v>43313</v>
      </c>
      <c r="D213" s="0" t="n">
        <v>1.66323226203234</v>
      </c>
      <c r="F213" s="385" t="n">
        <f aca="false">(B213+T213)*D213/1.055056</f>
        <v>6.95367592604056</v>
      </c>
      <c r="G213" s="0" t="n">
        <f aca="false">K213-D213</f>
        <v>0.00871916988682009</v>
      </c>
      <c r="H213" s="367" t="n">
        <v>43313</v>
      </c>
      <c r="I213" s="0" t="n">
        <v>-0.808</v>
      </c>
      <c r="J213" s="367" t="n">
        <v>43313</v>
      </c>
      <c r="K213" s="0" t="n">
        <v>1.67195143191916</v>
      </c>
      <c r="L213" s="385" t="n">
        <f aca="false">IF(H213="",F213,(I213+AB213)*K213/1.055056)</f>
        <v>7.00280684404503</v>
      </c>
      <c r="S213" s="367" t="n">
        <v>43313</v>
      </c>
      <c r="T213" s="0" t="n">
        <v>5.219</v>
      </c>
      <c r="U213" s="0" t="n">
        <v>0.17</v>
      </c>
      <c r="W213" s="0" t="n">
        <f aca="false">AB213-T213</f>
        <v>0.00800000000000001</v>
      </c>
      <c r="X213" s="0" t="n">
        <f aca="false">AC213-U213</f>
        <v>0</v>
      </c>
      <c r="Y213" s="385" t="n">
        <f aca="false">I213-B213</f>
        <v>0</v>
      </c>
      <c r="AA213" s="367" t="n">
        <v>43313</v>
      </c>
      <c r="AB213" s="0" t="n">
        <v>5.227</v>
      </c>
      <c r="AC213" s="0" t="n">
        <v>0.17</v>
      </c>
    </row>
    <row r="214" customFormat="false" ht="12.75" hidden="false" customHeight="false" outlineLevel="0" collapsed="false">
      <c r="A214" s="367" t="n">
        <v>43344</v>
      </c>
      <c r="B214" s="0" t="n">
        <v>-0.808</v>
      </c>
      <c r="C214" s="367" t="n">
        <v>43344</v>
      </c>
      <c r="D214" s="0" t="n">
        <v>1.66297792759321</v>
      </c>
      <c r="F214" s="385" t="n">
        <f aca="false">(B214+T214)*D214/1.055056</f>
        <v>6.94315540696237</v>
      </c>
      <c r="G214" s="0" t="n">
        <f aca="false">K214-D214</f>
        <v>0.00883300206664006</v>
      </c>
      <c r="H214" s="367" t="n">
        <v>43344</v>
      </c>
      <c r="I214" s="0" t="n">
        <v>-0.808</v>
      </c>
      <c r="J214" s="367" t="n">
        <v>43344</v>
      </c>
      <c r="K214" s="0" t="n">
        <v>1.67181092965985</v>
      </c>
      <c r="L214" s="385" t="n">
        <f aca="false">IF(H214="",F214,(I214+AB214)*K214/1.055056)</f>
        <v>6.99271093912448</v>
      </c>
      <c r="S214" s="367" t="n">
        <v>43344</v>
      </c>
      <c r="T214" s="0" t="n">
        <v>5.213</v>
      </c>
      <c r="U214" s="0" t="n">
        <v>0.17</v>
      </c>
      <c r="W214" s="0" t="n">
        <f aca="false">AB214-T214</f>
        <v>0.00800000000000001</v>
      </c>
      <c r="X214" s="0" t="n">
        <f aca="false">AC214-U214</f>
        <v>0</v>
      </c>
      <c r="Y214" s="385" t="n">
        <f aca="false">I214-B214</f>
        <v>0</v>
      </c>
      <c r="AA214" s="367" t="n">
        <v>43344</v>
      </c>
      <c r="AB214" s="0" t="n">
        <v>5.221</v>
      </c>
      <c r="AC214" s="0" t="n">
        <v>0.17</v>
      </c>
    </row>
    <row r="215" customFormat="false" ht="12.75" hidden="false" customHeight="false" outlineLevel="0" collapsed="false">
      <c r="A215" s="367" t="n">
        <v>43374</v>
      </c>
      <c r="B215" s="0" t="n">
        <v>-0.808</v>
      </c>
      <c r="C215" s="367" t="n">
        <v>43374</v>
      </c>
      <c r="D215" s="0" t="n">
        <v>1.66272489941669</v>
      </c>
      <c r="F215" s="385" t="n">
        <f aca="false">(B215+T215)*D215/1.055056</f>
        <v>6.94209898046219</v>
      </c>
      <c r="G215" s="0" t="n">
        <f aca="false">K215-D215</f>
        <v>0.00894380069628009</v>
      </c>
      <c r="H215" s="367" t="n">
        <v>43374</v>
      </c>
      <c r="I215" s="0" t="n">
        <v>-0.808</v>
      </c>
      <c r="J215" s="367" t="n">
        <v>43374</v>
      </c>
      <c r="K215" s="0" t="n">
        <v>1.67166870011297</v>
      </c>
      <c r="L215" s="385" t="n">
        <f aca="false">IF(H215="",F215,(I215+AB215)*K215/1.055056)</f>
        <v>6.99211603327078</v>
      </c>
      <c r="S215" s="367" t="n">
        <v>43374</v>
      </c>
      <c r="T215" s="0" t="n">
        <v>5.213</v>
      </c>
      <c r="U215" s="0" t="n">
        <v>0.17</v>
      </c>
      <c r="W215" s="0" t="n">
        <f aca="false">AB215-T215</f>
        <v>0.00800000000000001</v>
      </c>
      <c r="X215" s="0" t="n">
        <f aca="false">AC215-U215</f>
        <v>0</v>
      </c>
      <c r="Y215" s="385" t="n">
        <f aca="false">I215-B215</f>
        <v>0</v>
      </c>
      <c r="AA215" s="367" t="n">
        <v>43374</v>
      </c>
      <c r="AB215" s="0" t="n">
        <v>5.221</v>
      </c>
      <c r="AC215" s="0" t="n">
        <v>0.17</v>
      </c>
    </row>
    <row r="216" customFormat="false" ht="12.75" hidden="false" customHeight="false" outlineLevel="0" collapsed="false">
      <c r="A216" s="367" t="n">
        <v>43405</v>
      </c>
      <c r="B216" s="0" t="n">
        <v>-0.708</v>
      </c>
      <c r="C216" s="367" t="n">
        <v>43405</v>
      </c>
      <c r="D216" s="0" t="n">
        <v>1.66245631275692</v>
      </c>
      <c r="F216" s="385" t="n">
        <f aca="false">(B216+T216)*D216/1.055056</f>
        <v>7.33175227026618</v>
      </c>
      <c r="G216" s="0" t="n">
        <f aca="false">K216-D216</f>
        <v>0.00905895066675</v>
      </c>
      <c r="H216" s="367" t="n">
        <v>43405</v>
      </c>
      <c r="I216" s="0" t="n">
        <v>-0.708</v>
      </c>
      <c r="J216" s="367" t="n">
        <v>43405</v>
      </c>
      <c r="K216" s="0" t="n">
        <v>1.67151526342367</v>
      </c>
      <c r="L216" s="385" t="n">
        <f aca="false">IF(H216="",F216,(I216+AB216)*K216/1.055056)</f>
        <v>7.38596260111421</v>
      </c>
      <c r="S216" s="367" t="n">
        <v>43405</v>
      </c>
      <c r="T216" s="0" t="n">
        <v>5.361</v>
      </c>
      <c r="U216" s="0" t="n">
        <v>0.17</v>
      </c>
      <c r="W216" s="0" t="n">
        <f aca="false">AB216-T216</f>
        <v>0.00899999999999945</v>
      </c>
      <c r="X216" s="0" t="n">
        <f aca="false">AC216-U216</f>
        <v>0</v>
      </c>
      <c r="Y216" s="385" t="n">
        <f aca="false">I216-B216</f>
        <v>0</v>
      </c>
      <c r="AA216" s="367" t="n">
        <v>43405</v>
      </c>
      <c r="AB216" s="0" t="n">
        <v>5.37</v>
      </c>
      <c r="AC216" s="0" t="n">
        <v>0.17</v>
      </c>
    </row>
    <row r="217" customFormat="false" ht="12.75" hidden="false" customHeight="false" outlineLevel="0" collapsed="false">
      <c r="A217" s="367" t="n">
        <v>43435</v>
      </c>
      <c r="B217" s="0" t="n">
        <v>-0.708</v>
      </c>
      <c r="C217" s="367" t="n">
        <v>43435</v>
      </c>
      <c r="D217" s="0" t="n">
        <v>1.66218949950864</v>
      </c>
      <c r="F217" s="385" t="n">
        <f aca="false">(B217+T217)*D217/1.055056</f>
        <v>7.57004419209882</v>
      </c>
      <c r="G217" s="0" t="n">
        <f aca="false">K217-D217</f>
        <v>0.00917102131989012</v>
      </c>
      <c r="H217" s="367" t="n">
        <v>43435</v>
      </c>
      <c r="I217" s="0" t="n">
        <v>-0.708</v>
      </c>
      <c r="J217" s="367" t="n">
        <v>43435</v>
      </c>
      <c r="K217" s="0" t="n">
        <v>1.67136052082853</v>
      </c>
      <c r="L217" s="385" t="n">
        <f aca="false">IF(H217="",F217,(I217+AB217)*K217/1.055056)</f>
        <v>7.6260687084558</v>
      </c>
      <c r="S217" s="367" t="n">
        <v>43435</v>
      </c>
      <c r="T217" s="0" t="n">
        <v>5.513</v>
      </c>
      <c r="U217" s="0" t="n">
        <v>0.17</v>
      </c>
      <c r="W217" s="0" t="n">
        <f aca="false">AB217-T217</f>
        <v>0.00900000000000034</v>
      </c>
      <c r="X217" s="0" t="n">
        <f aca="false">AC217-U217</f>
        <v>0</v>
      </c>
      <c r="Y217" s="385" t="n">
        <f aca="false">I217-B217</f>
        <v>0</v>
      </c>
      <c r="AA217" s="367" t="n">
        <v>43435</v>
      </c>
      <c r="AB217" s="0" t="n">
        <v>5.522</v>
      </c>
      <c r="AC217" s="0" t="n">
        <v>0.17</v>
      </c>
    </row>
    <row r="218" customFormat="false" ht="12.75" hidden="false" customHeight="false" outlineLevel="0" collapsed="false">
      <c r="A218" s="367" t="n">
        <v>43466</v>
      </c>
      <c r="B218" s="0" t="n">
        <v>-0.708</v>
      </c>
      <c r="C218" s="367" t="n">
        <v>43466</v>
      </c>
      <c r="D218" s="0" t="n">
        <v>1.66190667610163</v>
      </c>
      <c r="F218" s="385" t="n">
        <f aca="false">(B218+T218)*D218/1.055056</f>
        <v>7.68295693563726</v>
      </c>
      <c r="G218" s="0" t="n">
        <f aca="false">K218-D218</f>
        <v>0.00928748231586996</v>
      </c>
      <c r="H218" s="367" t="n">
        <v>43466</v>
      </c>
      <c r="I218" s="0" t="n">
        <v>-0.708</v>
      </c>
      <c r="J218" s="367" t="n">
        <v>43466</v>
      </c>
      <c r="K218" s="0" t="n">
        <v>1.6711941584175</v>
      </c>
      <c r="L218" s="385" t="n">
        <f aca="false">IF(H218="",F218,(I218+AB218)*K218/1.055056)</f>
        <v>7.74806856308973</v>
      </c>
      <c r="S218" s="367" t="n">
        <v>43466</v>
      </c>
      <c r="T218" s="0" t="n">
        <v>5.5855</v>
      </c>
      <c r="U218" s="0" t="n">
        <v>0.17</v>
      </c>
      <c r="W218" s="0" t="n">
        <f aca="false">AB218-T218</f>
        <v>0.0139999999999993</v>
      </c>
      <c r="X218" s="0" t="n">
        <f aca="false">AC218-U218</f>
        <v>0</v>
      </c>
      <c r="Y218" s="385" t="n">
        <f aca="false">I218-B218</f>
        <v>0</v>
      </c>
      <c r="AA218" s="367" t="n">
        <v>43466</v>
      </c>
      <c r="AB218" s="0" t="n">
        <v>5.5995</v>
      </c>
      <c r="AC218" s="0" t="n">
        <v>0.17</v>
      </c>
    </row>
    <row r="219" customFormat="false" ht="12.75" hidden="false" customHeight="false" outlineLevel="0" collapsed="false">
      <c r="A219" s="367" t="n">
        <v>43497</v>
      </c>
      <c r="B219" s="0" t="n">
        <v>-0.708</v>
      </c>
      <c r="C219" s="367" t="n">
        <v>43497</v>
      </c>
      <c r="D219" s="0" t="n">
        <v>1.661616623786</v>
      </c>
      <c r="F219" s="385" t="n">
        <f aca="false">(B219+T219)*D219/1.055056</f>
        <v>7.54459899403144</v>
      </c>
      <c r="G219" s="0" t="n">
        <f aca="false">K219-D219</f>
        <v>0.00940460693690981</v>
      </c>
      <c r="H219" s="367" t="n">
        <v>43497</v>
      </c>
      <c r="I219" s="0" t="n">
        <v>-0.708</v>
      </c>
      <c r="J219" s="367" t="n">
        <v>43497</v>
      </c>
      <c r="K219" s="0" t="n">
        <v>1.67102123072291</v>
      </c>
      <c r="L219" s="385" t="n">
        <f aca="false">IF(H219="",F219,(I219+AB219)*K219/1.055056)</f>
        <v>7.60789046437108</v>
      </c>
      <c r="S219" s="367" t="n">
        <v>43497</v>
      </c>
      <c r="T219" s="0" t="n">
        <v>5.4985</v>
      </c>
      <c r="U219" s="0" t="n">
        <v>0.17</v>
      </c>
      <c r="W219" s="0" t="n">
        <f aca="false">AB219-T219</f>
        <v>0.0129999999999999</v>
      </c>
      <c r="X219" s="0" t="n">
        <f aca="false">AC219-U219</f>
        <v>0</v>
      </c>
      <c r="Y219" s="385" t="n">
        <f aca="false">I219-B219</f>
        <v>0</v>
      </c>
      <c r="AA219" s="367" t="n">
        <v>43497</v>
      </c>
      <c r="AB219" s="0" t="n">
        <v>5.5115</v>
      </c>
      <c r="AC219" s="0" t="n">
        <v>0.17</v>
      </c>
    </row>
    <row r="220" customFormat="false" ht="12.75" hidden="false" customHeight="false" outlineLevel="0" collapsed="false">
      <c r="A220" s="367" t="n">
        <v>43525</v>
      </c>
      <c r="B220" s="0" t="n">
        <v>-0.708</v>
      </c>
      <c r="C220" s="367" t="n">
        <v>43525</v>
      </c>
      <c r="D220" s="0" t="n">
        <v>1.6613484312025</v>
      </c>
      <c r="F220" s="385" t="n">
        <f aca="false">(B220+T220)*D220/1.055056</f>
        <v>7.32450431800628</v>
      </c>
      <c r="G220" s="0" t="n">
        <f aca="false">K220-D220</f>
        <v>0.00951096582253008</v>
      </c>
      <c r="H220" s="367" t="n">
        <v>43525</v>
      </c>
      <c r="I220" s="0" t="n">
        <v>-0.708</v>
      </c>
      <c r="J220" s="367" t="n">
        <v>43525</v>
      </c>
      <c r="K220" s="0" t="n">
        <v>1.67085939702503</v>
      </c>
      <c r="L220" s="385" t="n">
        <f aca="false">IF(H220="",F220,(I220+AB220)*K220/1.055056)</f>
        <v>7.38702368160861</v>
      </c>
      <c r="S220" s="367" t="n">
        <v>43525</v>
      </c>
      <c r="T220" s="0" t="n">
        <v>5.3595</v>
      </c>
      <c r="U220" s="0" t="n">
        <v>0.17</v>
      </c>
      <c r="W220" s="0" t="n">
        <f aca="false">AB220-T220</f>
        <v>0.012999999999999</v>
      </c>
      <c r="X220" s="0" t="n">
        <f aca="false">AC220-U220</f>
        <v>0</v>
      </c>
      <c r="Y220" s="385" t="n">
        <f aca="false">I220-B220</f>
        <v>0</v>
      </c>
      <c r="AA220" s="367" t="n">
        <v>43525</v>
      </c>
      <c r="AB220" s="0" t="n">
        <v>5.3725</v>
      </c>
      <c r="AC220" s="0" t="n">
        <v>0.17</v>
      </c>
    </row>
    <row r="221" customFormat="false" ht="12.75" hidden="false" customHeight="false" outlineLevel="0" collapsed="false">
      <c r="A221" s="367" t="n">
        <v>43556</v>
      </c>
      <c r="B221" s="0" t="n">
        <v>-0.808</v>
      </c>
      <c r="C221" s="367" t="n">
        <v>43556</v>
      </c>
      <c r="D221" s="0" t="n">
        <v>1.66104463253135</v>
      </c>
      <c r="F221" s="385" t="n">
        <f aca="false">(B221+T221)*D221/1.055056</f>
        <v>6.92327589393986</v>
      </c>
      <c r="G221" s="0" t="n">
        <f aca="false">K221-D221</f>
        <v>0.0096293484927199</v>
      </c>
      <c r="H221" s="367" t="n">
        <v>43556</v>
      </c>
      <c r="I221" s="0" t="n">
        <v>-0.808</v>
      </c>
      <c r="J221" s="367" t="n">
        <v>43556</v>
      </c>
      <c r="K221" s="0" t="n">
        <v>1.67067398102407</v>
      </c>
      <c r="L221" s="385" t="n">
        <f aca="false">IF(H221="",F221,(I221+AB221)*K221/1.055056)</f>
        <v>6.98399667250521</v>
      </c>
      <c r="S221" s="367" t="n">
        <v>43556</v>
      </c>
      <c r="T221" s="0" t="n">
        <v>5.2055</v>
      </c>
      <c r="U221" s="0" t="n">
        <v>0.17</v>
      </c>
      <c r="W221" s="0" t="n">
        <f aca="false">AB221-T221</f>
        <v>0.0129999999999999</v>
      </c>
      <c r="X221" s="0" t="n">
        <f aca="false">AC221-U221</f>
        <v>0</v>
      </c>
      <c r="Y221" s="385" t="n">
        <f aca="false">I221-B221</f>
        <v>0</v>
      </c>
      <c r="AA221" s="367" t="n">
        <v>43556</v>
      </c>
      <c r="AB221" s="0" t="n">
        <v>5.2185</v>
      </c>
      <c r="AC221" s="0" t="n">
        <v>0.17</v>
      </c>
    </row>
    <row r="222" customFormat="false" ht="12.75" hidden="false" customHeight="false" outlineLevel="0" collapsed="false">
      <c r="A222" s="367" t="n">
        <v>43586</v>
      </c>
      <c r="B222" s="0" t="n">
        <v>-0.808</v>
      </c>
      <c r="C222" s="367" t="n">
        <v>43586</v>
      </c>
      <c r="D222" s="0" t="n">
        <v>1.66074376295223</v>
      </c>
      <c r="F222" s="385" t="n">
        <f aca="false">(B222+T222)*D222/1.055056</f>
        <v>6.92989226770635</v>
      </c>
      <c r="G222" s="0" t="n">
        <f aca="false">K222-D222</f>
        <v>0.00974453923342011</v>
      </c>
      <c r="H222" s="367" t="n">
        <v>43586</v>
      </c>
      <c r="I222" s="0" t="n">
        <v>-0.808</v>
      </c>
      <c r="J222" s="367" t="n">
        <v>43586</v>
      </c>
      <c r="K222" s="0" t="n">
        <v>1.67048830218565</v>
      </c>
      <c r="L222" s="385" t="n">
        <f aca="false">IF(H222="",F222,(I222+AB222)*K222/1.055056)</f>
        <v>6.99113705651713</v>
      </c>
      <c r="S222" s="367" t="n">
        <v>43586</v>
      </c>
      <c r="T222" s="0" t="n">
        <v>5.2105</v>
      </c>
      <c r="U222" s="0" t="n">
        <v>0.17</v>
      </c>
      <c r="W222" s="0" t="n">
        <f aca="false">AB222-T222</f>
        <v>0.0129999999999999</v>
      </c>
      <c r="X222" s="0" t="n">
        <f aca="false">AC222-U222</f>
        <v>0</v>
      </c>
      <c r="Y222" s="385" t="n">
        <f aca="false">I222-B222</f>
        <v>0</v>
      </c>
      <c r="AA222" s="367" t="n">
        <v>43586</v>
      </c>
      <c r="AB222" s="0" t="n">
        <v>5.2235</v>
      </c>
      <c r="AC222" s="0" t="n">
        <v>0.17</v>
      </c>
    </row>
    <row r="223" customFormat="false" ht="12.75" hidden="false" customHeight="false" outlineLevel="0" collapsed="false">
      <c r="A223" s="367" t="n">
        <v>43617</v>
      </c>
      <c r="B223" s="0" t="n">
        <v>-0.808</v>
      </c>
      <c r="C223" s="367" t="n">
        <v>43617</v>
      </c>
      <c r="D223" s="0" t="n">
        <v>1.66042576891788</v>
      </c>
      <c r="F223" s="385" t="n">
        <f aca="false">(B223+T223)*D223/1.055056</f>
        <v>6.98836898409169</v>
      </c>
      <c r="G223" s="0" t="n">
        <f aca="false">K223-D223</f>
        <v>0.00986421563118012</v>
      </c>
      <c r="H223" s="367" t="n">
        <v>43617</v>
      </c>
      <c r="I223" s="0" t="n">
        <v>-0.808</v>
      </c>
      <c r="J223" s="367" t="n">
        <v>43617</v>
      </c>
      <c r="K223" s="0" t="n">
        <v>1.67028998454906</v>
      </c>
      <c r="L223" s="385" t="n">
        <f aca="false">IF(H223="",F223,(I223+AB223)*K223/1.055056)</f>
        <v>7.0504659906102</v>
      </c>
      <c r="S223" s="367" t="n">
        <v>43617</v>
      </c>
      <c r="T223" s="0" t="n">
        <v>5.2485</v>
      </c>
      <c r="U223" s="0" t="n">
        <v>0.17</v>
      </c>
      <c r="W223" s="0" t="n">
        <f aca="false">AB223-T223</f>
        <v>0.0129999999999999</v>
      </c>
      <c r="X223" s="0" t="n">
        <f aca="false">AC223-U223</f>
        <v>0</v>
      </c>
      <c r="Y223" s="385" t="n">
        <f aca="false">I223-B223</f>
        <v>0</v>
      </c>
      <c r="AA223" s="367" t="n">
        <v>43617</v>
      </c>
      <c r="AB223" s="0" t="n">
        <v>5.2615</v>
      </c>
      <c r="AC223" s="0" t="n">
        <v>0.17</v>
      </c>
    </row>
    <row r="224" customFormat="false" ht="12.75" hidden="false" customHeight="false" outlineLevel="0" collapsed="false">
      <c r="A224" s="367" t="n">
        <v>43647</v>
      </c>
      <c r="B224" s="0" t="n">
        <v>-0.808</v>
      </c>
      <c r="C224" s="367" t="n">
        <v>43647</v>
      </c>
      <c r="D224" s="0" t="n">
        <v>1.66011117049356</v>
      </c>
      <c r="F224" s="385" t="n">
        <f aca="false">(B224+T224)*D224/1.055056</f>
        <v>7.05785157873029</v>
      </c>
      <c r="G224" s="0" t="n">
        <f aca="false">K224-D224</f>
        <v>0.00998065489351019</v>
      </c>
      <c r="H224" s="367" t="n">
        <v>43647</v>
      </c>
      <c r="I224" s="0" t="n">
        <v>-0.808</v>
      </c>
      <c r="J224" s="367" t="n">
        <v>43647</v>
      </c>
      <c r="K224" s="0" t="n">
        <v>1.67009182538707</v>
      </c>
      <c r="L224" s="385" t="n">
        <f aca="false">IF(H224="",F224,(I224+AB224)*K224/1.055056)</f>
        <v>7.12086190354231</v>
      </c>
      <c r="S224" s="367" t="n">
        <v>43647</v>
      </c>
      <c r="T224" s="0" t="n">
        <v>5.2935</v>
      </c>
      <c r="U224" s="0" t="n">
        <v>0.17</v>
      </c>
      <c r="W224" s="0" t="n">
        <f aca="false">AB224-T224</f>
        <v>0.0130000000000008</v>
      </c>
      <c r="X224" s="0" t="n">
        <f aca="false">AC224-U224</f>
        <v>0</v>
      </c>
      <c r="Y224" s="385" t="n">
        <f aca="false">I224-B224</f>
        <v>0</v>
      </c>
      <c r="AA224" s="367" t="n">
        <v>43647</v>
      </c>
      <c r="AB224" s="0" t="n">
        <v>5.3065</v>
      </c>
      <c r="AC224" s="0" t="n">
        <v>0.17</v>
      </c>
    </row>
    <row r="225" customFormat="false" ht="12.75" hidden="false" customHeight="false" outlineLevel="0" collapsed="false">
      <c r="A225" s="367" t="n">
        <v>43678</v>
      </c>
      <c r="B225" s="0" t="n">
        <v>-0.808</v>
      </c>
      <c r="C225" s="367" t="n">
        <v>43678</v>
      </c>
      <c r="D225" s="0" t="n">
        <v>1.65977899905471</v>
      </c>
      <c r="F225" s="385" t="n">
        <f aca="false">(B225+T225)*D225/1.055056</f>
        <v>7.11621970987699</v>
      </c>
      <c r="G225" s="0" t="n">
        <f aca="false">K225-D225</f>
        <v>0.01010161780995</v>
      </c>
      <c r="H225" s="367" t="n">
        <v>43678</v>
      </c>
      <c r="I225" s="0" t="n">
        <v>-0.808</v>
      </c>
      <c r="J225" s="367" t="n">
        <v>43678</v>
      </c>
      <c r="K225" s="0" t="n">
        <v>1.66988061686466</v>
      </c>
      <c r="L225" s="385" t="n">
        <f aca="false">IF(H225="",F225,(I225+AB225)*K225/1.055056)</f>
        <v>7.18010552843312</v>
      </c>
      <c r="S225" s="367" t="n">
        <v>43678</v>
      </c>
      <c r="T225" s="0" t="n">
        <v>5.3315</v>
      </c>
      <c r="U225" s="0" t="n">
        <v>0.17</v>
      </c>
      <c r="W225" s="0" t="n">
        <f aca="false">AB225-T225</f>
        <v>0.0129999999999999</v>
      </c>
      <c r="X225" s="0" t="n">
        <f aca="false">AC225-U225</f>
        <v>0</v>
      </c>
      <c r="Y225" s="385" t="n">
        <f aca="false">I225-B225</f>
        <v>0</v>
      </c>
      <c r="AA225" s="367" t="n">
        <v>43678</v>
      </c>
      <c r="AB225" s="0" t="n">
        <v>5.3445</v>
      </c>
      <c r="AC225" s="0" t="n">
        <v>0.17</v>
      </c>
    </row>
    <row r="226" customFormat="false" ht="12.75" hidden="false" customHeight="false" outlineLevel="0" collapsed="false">
      <c r="A226" s="367" t="n">
        <v>43709</v>
      </c>
      <c r="B226" s="0" t="n">
        <v>-0.808</v>
      </c>
      <c r="C226" s="367" t="n">
        <v>43709</v>
      </c>
      <c r="D226" s="0" t="n">
        <v>1.65943962981571</v>
      </c>
      <c r="F226" s="385" t="n">
        <f aca="false">(B226+T226)*D226/1.055056</f>
        <v>7.10532761075476</v>
      </c>
      <c r="G226" s="0" t="n">
        <f aca="false">K226-D226</f>
        <v>0.0102232317278601</v>
      </c>
      <c r="H226" s="367" t="n">
        <v>43709</v>
      </c>
      <c r="I226" s="0" t="n">
        <v>-0.808</v>
      </c>
      <c r="J226" s="367" t="n">
        <v>43709</v>
      </c>
      <c r="K226" s="0" t="n">
        <v>1.66966286154357</v>
      </c>
      <c r="L226" s="385" t="n">
        <f aca="false">IF(H226="",F226,(I226+AB226)*K226/1.055056)</f>
        <v>7.16967402130612</v>
      </c>
      <c r="S226" s="367" t="n">
        <v>43709</v>
      </c>
      <c r="T226" s="0" t="n">
        <v>5.3255</v>
      </c>
      <c r="U226" s="0" t="n">
        <v>0.17</v>
      </c>
      <c r="W226" s="0" t="n">
        <f aca="false">AB226-T226</f>
        <v>0.0130000000000008</v>
      </c>
      <c r="X226" s="0" t="n">
        <f aca="false">AC226-U226</f>
        <v>0</v>
      </c>
      <c r="Y226" s="385" t="n">
        <f aca="false">I226-B226</f>
        <v>0</v>
      </c>
      <c r="AA226" s="367" t="n">
        <v>43709</v>
      </c>
      <c r="AB226" s="0" t="n">
        <v>5.3385</v>
      </c>
      <c r="AC226" s="0" t="n">
        <v>0.17</v>
      </c>
    </row>
    <row r="227" customFormat="false" ht="12.75" hidden="false" customHeight="false" outlineLevel="0" collapsed="false">
      <c r="A227" s="367" t="n">
        <v>43739</v>
      </c>
      <c r="B227" s="0" t="n">
        <v>-0.808</v>
      </c>
      <c r="C227" s="367" t="n">
        <v>43739</v>
      </c>
      <c r="D227" s="0" t="n">
        <v>1.65910435933584</v>
      </c>
      <c r="F227" s="385" t="n">
        <f aca="false">(B227+T227)*D227/1.055056</f>
        <v>7.10389206193762</v>
      </c>
      <c r="G227" s="0" t="n">
        <f aca="false">K227-D227</f>
        <v>0.0103415406566099</v>
      </c>
      <c r="H227" s="367" t="n">
        <v>43739</v>
      </c>
      <c r="I227" s="0" t="n">
        <v>-0.808</v>
      </c>
      <c r="J227" s="367" t="n">
        <v>43739</v>
      </c>
      <c r="K227" s="0" t="n">
        <v>1.66944589999245</v>
      </c>
      <c r="L227" s="385" t="n">
        <f aca="false">IF(H227="",F227,(I227+AB227)*K227/1.055056)</f>
        <v>7.16874236999344</v>
      </c>
      <c r="S227" s="367" t="n">
        <v>43739</v>
      </c>
      <c r="T227" s="0" t="n">
        <v>5.3255</v>
      </c>
      <c r="U227" s="0" t="n">
        <v>0.17</v>
      </c>
      <c r="W227" s="0" t="n">
        <f aca="false">AB227-T227</f>
        <v>0.0130000000000008</v>
      </c>
      <c r="X227" s="0" t="n">
        <f aca="false">AC227-U227</f>
        <v>0</v>
      </c>
      <c r="Y227" s="385" t="n">
        <f aca="false">I227-B227</f>
        <v>0</v>
      </c>
      <c r="AA227" s="367" t="n">
        <v>43739</v>
      </c>
      <c r="AB227" s="0" t="n">
        <v>5.3385</v>
      </c>
      <c r="AC227" s="0" t="n">
        <v>0.17</v>
      </c>
    </row>
    <row r="228" customFormat="false" ht="12.75" hidden="false" customHeight="false" outlineLevel="0" collapsed="false">
      <c r="A228" s="367" t="n">
        <v>43770</v>
      </c>
      <c r="B228" s="0" t="n">
        <v>-0.708</v>
      </c>
      <c r="C228" s="367" t="n">
        <v>43770</v>
      </c>
      <c r="D228" s="0" t="n">
        <v>1.65875084112273</v>
      </c>
      <c r="F228" s="385" t="n">
        <f aca="false">(B228+T228)*D228/1.055056</f>
        <v>7.49228205267812</v>
      </c>
      <c r="G228" s="0" t="n">
        <f aca="false">K228-D228</f>
        <v>0.01046442998257</v>
      </c>
      <c r="H228" s="367" t="n">
        <v>43770</v>
      </c>
      <c r="I228" s="0" t="n">
        <v>-0.708</v>
      </c>
      <c r="J228" s="367" t="n">
        <v>43770</v>
      </c>
      <c r="K228" s="0" t="n">
        <v>1.6692152711053</v>
      </c>
      <c r="L228" s="385" t="n">
        <f aca="false">IF(H228="",F228,(I228+AB228)*K228/1.055056)</f>
        <v>7.56169756699908</v>
      </c>
      <c r="S228" s="367" t="n">
        <v>43770</v>
      </c>
      <c r="T228" s="0" t="n">
        <v>5.4735</v>
      </c>
      <c r="U228" s="0" t="n">
        <v>0.17</v>
      </c>
      <c r="W228" s="0" t="n">
        <f aca="false">AB228-T228</f>
        <v>0.0139999999999993</v>
      </c>
      <c r="X228" s="0" t="n">
        <f aca="false">AC228-U228</f>
        <v>0</v>
      </c>
      <c r="Y228" s="385" t="n">
        <f aca="false">I228-B228</f>
        <v>0</v>
      </c>
      <c r="AA228" s="367" t="n">
        <v>43770</v>
      </c>
      <c r="AB228" s="0" t="n">
        <v>5.4875</v>
      </c>
      <c r="AC228" s="0" t="n">
        <v>0.17</v>
      </c>
    </row>
    <row r="229" customFormat="false" ht="12.75" hidden="false" customHeight="false" outlineLevel="0" collapsed="false">
      <c r="A229" s="367" t="n">
        <v>43800</v>
      </c>
      <c r="B229" s="0" t="n">
        <v>-0.708</v>
      </c>
      <c r="C229" s="367" t="n">
        <v>43800</v>
      </c>
      <c r="D229" s="0" t="n">
        <v>1.65840188755274</v>
      </c>
      <c r="F229" s="385" t="n">
        <f aca="false">(B229+T229)*D229/1.055056</f>
        <v>7.72962883680165</v>
      </c>
      <c r="G229" s="0" t="n">
        <f aca="false">K229-D229</f>
        <v>0.01058396955181</v>
      </c>
      <c r="H229" s="367" t="n">
        <v>43800</v>
      </c>
      <c r="I229" s="0" t="n">
        <v>-0.708</v>
      </c>
      <c r="J229" s="367" t="n">
        <v>43800</v>
      </c>
      <c r="K229" s="0" t="n">
        <v>1.66898585710455</v>
      </c>
      <c r="L229" s="385" t="n">
        <f aca="false">IF(H229="",F229,(I229+AB229)*K229/1.055056)</f>
        <v>7.80110605912017</v>
      </c>
      <c r="S229" s="367" t="n">
        <v>43800</v>
      </c>
      <c r="T229" s="0" t="n">
        <v>5.6255</v>
      </c>
      <c r="U229" s="0" t="n">
        <v>0.17</v>
      </c>
      <c r="W229" s="0" t="n">
        <f aca="false">AB229-T229</f>
        <v>0.0139999999999993</v>
      </c>
      <c r="X229" s="0" t="n">
        <f aca="false">AC229-U229</f>
        <v>0</v>
      </c>
      <c r="Y229" s="385" t="n">
        <f aca="false">I229-B229</f>
        <v>0</v>
      </c>
      <c r="AA229" s="367" t="n">
        <v>43800</v>
      </c>
      <c r="AB229" s="0" t="n">
        <v>5.6395</v>
      </c>
      <c r="AC229" s="0" t="n">
        <v>0.17</v>
      </c>
    </row>
    <row r="230" customFormat="false" ht="12.75" hidden="false" customHeight="false" outlineLevel="0" collapsed="false">
      <c r="A230" s="367" t="n">
        <v>43831</v>
      </c>
      <c r="B230" s="0" t="n">
        <v>-0.708</v>
      </c>
      <c r="C230" s="367" t="n">
        <v>43831</v>
      </c>
      <c r="D230" s="0" t="n">
        <v>1.65803424010545</v>
      </c>
      <c r="F230" s="385" t="n">
        <f aca="false">(B230+T230)*D230/1.055056</f>
        <v>7.84184996637733</v>
      </c>
      <c r="G230" s="0" t="n">
        <f aca="false">K230-D230</f>
        <v>0.0107081267620799</v>
      </c>
      <c r="H230" s="367" t="n">
        <v>43831</v>
      </c>
      <c r="I230" s="0" t="n">
        <v>-0.708</v>
      </c>
      <c r="J230" s="367" t="n">
        <v>43831</v>
      </c>
      <c r="K230" s="0" t="n">
        <v>1.66874236686753</v>
      </c>
      <c r="L230" s="385" t="n">
        <f aca="false">IF(H230="",F230,(I230+AB230)*K230/1.055056)</f>
        <v>7.92254678011353</v>
      </c>
      <c r="S230" s="367" t="n">
        <v>43831</v>
      </c>
      <c r="T230" s="0" t="n">
        <v>5.698</v>
      </c>
      <c r="U230" s="0" t="n">
        <v>0.17</v>
      </c>
      <c r="W230" s="0" t="n">
        <f aca="false">AB230-T230</f>
        <v>0.0190000000000001</v>
      </c>
      <c r="X230" s="0" t="n">
        <f aca="false">AC230-U230</f>
        <v>0</v>
      </c>
      <c r="Y230" s="385" t="n">
        <f aca="false">I230-B230</f>
        <v>0</v>
      </c>
      <c r="AA230" s="367" t="n">
        <v>43831</v>
      </c>
      <c r="AB230" s="0" t="n">
        <v>5.717</v>
      </c>
      <c r="AC230" s="0" t="n">
        <v>0.17</v>
      </c>
    </row>
    <row r="231" customFormat="false" ht="12.75" hidden="false" customHeight="false" outlineLevel="0" collapsed="false">
      <c r="A231" s="367" t="n">
        <v>43862</v>
      </c>
      <c r="B231" s="0" t="n">
        <v>-0.708</v>
      </c>
      <c r="C231" s="367" t="n">
        <v>43862</v>
      </c>
      <c r="D231" s="0" t="n">
        <v>1.65765942001922</v>
      </c>
      <c r="F231" s="385" t="n">
        <f aca="false">(B231+T231)*D231/1.055056</f>
        <v>7.70338648977328</v>
      </c>
      <c r="G231" s="0" t="n">
        <f aca="false">K231-D231</f>
        <v>0.0108329253838597</v>
      </c>
      <c r="H231" s="367" t="n">
        <v>43862</v>
      </c>
      <c r="I231" s="0" t="n">
        <v>-0.708</v>
      </c>
      <c r="J231" s="367" t="n">
        <v>43862</v>
      </c>
      <c r="K231" s="0" t="n">
        <v>1.66849234540308</v>
      </c>
      <c r="L231" s="385" t="n">
        <f aca="false">IF(H231="",F231,(I231+AB231)*K231/1.055056)</f>
        <v>7.78219434013792</v>
      </c>
      <c r="S231" s="367" t="n">
        <v>43862</v>
      </c>
      <c r="T231" s="0" t="n">
        <v>5.611</v>
      </c>
      <c r="U231" s="0" t="n">
        <v>0.17</v>
      </c>
      <c r="W231" s="0" t="n">
        <f aca="false">AB231-T231</f>
        <v>0.0179999999999998</v>
      </c>
      <c r="X231" s="0" t="n">
        <f aca="false">AC231-U231</f>
        <v>0</v>
      </c>
      <c r="Y231" s="385" t="n">
        <f aca="false">I231-B231</f>
        <v>0</v>
      </c>
      <c r="AA231" s="367" t="n">
        <v>43862</v>
      </c>
      <c r="AB231" s="0" t="n">
        <v>5.629</v>
      </c>
      <c r="AC231" s="0" t="n">
        <v>0.17</v>
      </c>
    </row>
    <row r="232" customFormat="false" ht="12.75" hidden="false" customHeight="false" outlineLevel="0" collapsed="false">
      <c r="A232" s="367" t="n">
        <v>43891</v>
      </c>
      <c r="B232" s="0" t="n">
        <v>-0.708</v>
      </c>
      <c r="C232" s="367" t="n">
        <v>43891</v>
      </c>
      <c r="D232" s="0" t="n">
        <v>1.65730229319263</v>
      </c>
      <c r="F232" s="385" t="n">
        <f aca="false">(B232+T232)*D232/1.055056</f>
        <v>7.48338299082673</v>
      </c>
      <c r="G232" s="0" t="n">
        <f aca="false">K232-D232</f>
        <v>0.01095025139211</v>
      </c>
      <c r="H232" s="367" t="n">
        <v>43891</v>
      </c>
      <c r="I232" s="0" t="n">
        <v>-0.708</v>
      </c>
      <c r="J232" s="367" t="n">
        <v>43891</v>
      </c>
      <c r="K232" s="0" t="n">
        <v>1.66825254458474</v>
      </c>
      <c r="L232" s="385" t="n">
        <f aca="false">IF(H232="",F232,(I232+AB232)*K232/1.055056)</f>
        <v>7.56128932322476</v>
      </c>
      <c r="S232" s="367" t="n">
        <v>43891</v>
      </c>
      <c r="T232" s="0" t="n">
        <v>5.472</v>
      </c>
      <c r="U232" s="0" t="n">
        <v>0.17</v>
      </c>
      <c r="W232" s="0" t="n">
        <f aca="false">AB232-T232</f>
        <v>0.0179999999999998</v>
      </c>
      <c r="X232" s="0" t="n">
        <f aca="false">AC232-U232</f>
        <v>0</v>
      </c>
      <c r="Y232" s="385" t="n">
        <f aca="false">I232-B232</f>
        <v>0</v>
      </c>
      <c r="AA232" s="367" t="n">
        <v>43891</v>
      </c>
      <c r="AB232" s="0" t="n">
        <v>5.49</v>
      </c>
      <c r="AC232" s="0" t="n">
        <v>0.17</v>
      </c>
    </row>
    <row r="233" customFormat="false" ht="12.75" hidden="false" customHeight="false" outlineLevel="0" collapsed="false">
      <c r="A233" s="367" t="n">
        <v>43922</v>
      </c>
      <c r="B233" s="0" t="n">
        <v>-0.808</v>
      </c>
      <c r="C233" s="367" t="n">
        <v>43922</v>
      </c>
      <c r="D233" s="0" t="n">
        <v>1.65691360592596</v>
      </c>
      <c r="F233" s="385" t="n">
        <f aca="false">(B233+T233)*D233/1.055056</f>
        <v>7.08273339303893</v>
      </c>
      <c r="G233" s="0" t="n">
        <f aca="false">K233-D233</f>
        <v>0.0110762857840001</v>
      </c>
      <c r="H233" s="367" t="n">
        <v>43922</v>
      </c>
      <c r="I233" s="0" t="n">
        <v>-0.808</v>
      </c>
      <c r="J233" s="367" t="n">
        <v>43922</v>
      </c>
      <c r="K233" s="0" t="n">
        <v>1.66798989170996</v>
      </c>
      <c r="L233" s="385" t="n">
        <f aca="false">IF(H233="",F233,(I233+AB233)*K233/1.055056)</f>
        <v>7.15853777397854</v>
      </c>
      <c r="S233" s="367" t="n">
        <v>43922</v>
      </c>
      <c r="T233" s="0" t="n">
        <v>5.318</v>
      </c>
      <c r="U233" s="0" t="n">
        <v>0.17</v>
      </c>
      <c r="W233" s="0" t="n">
        <f aca="false">AB233-T233</f>
        <v>0.0179999999999998</v>
      </c>
      <c r="X233" s="0" t="n">
        <f aca="false">AC233-U233</f>
        <v>0</v>
      </c>
      <c r="Y233" s="385" t="n">
        <f aca="false">I233-B233</f>
        <v>0</v>
      </c>
      <c r="AA233" s="367" t="n">
        <v>43922</v>
      </c>
      <c r="AB233" s="0" t="n">
        <v>5.336</v>
      </c>
      <c r="AC233" s="0" t="n">
        <v>0.17</v>
      </c>
    </row>
    <row r="234" customFormat="false" ht="12.75" hidden="false" customHeight="false" outlineLevel="0" collapsed="false">
      <c r="A234" s="367" t="n">
        <v>43952</v>
      </c>
      <c r="B234" s="0" t="n">
        <v>-0.808</v>
      </c>
      <c r="C234" s="367" t="n">
        <v>43952</v>
      </c>
      <c r="D234" s="0" t="n">
        <v>1.65653064286147</v>
      </c>
      <c r="F234" s="385" t="n">
        <f aca="false">(B234+T234)*D234/1.055056</f>
        <v>7.08894679762926</v>
      </c>
      <c r="G234" s="0" t="n">
        <f aca="false">K234-D234</f>
        <v>0.0111988596707002</v>
      </c>
      <c r="H234" s="367" t="n">
        <v>43952</v>
      </c>
      <c r="I234" s="0" t="n">
        <v>-0.808</v>
      </c>
      <c r="J234" s="367" t="n">
        <v>43952</v>
      </c>
      <c r="K234" s="0" t="n">
        <v>1.66772950253217</v>
      </c>
      <c r="L234" s="385" t="n">
        <f aca="false">IF(H234="",F234,(I234+AB234)*K234/1.055056)</f>
        <v>7.16532376952345</v>
      </c>
      <c r="S234" s="367" t="n">
        <v>43952</v>
      </c>
      <c r="T234" s="0" t="n">
        <v>5.323</v>
      </c>
      <c r="U234" s="0" t="n">
        <v>0.17</v>
      </c>
      <c r="W234" s="0" t="n">
        <f aca="false">AB234-T234</f>
        <v>0.0179999999999998</v>
      </c>
      <c r="X234" s="0" t="n">
        <f aca="false">AC234-U234</f>
        <v>0</v>
      </c>
      <c r="Y234" s="385" t="n">
        <f aca="false">I234-B234</f>
        <v>0</v>
      </c>
      <c r="AA234" s="367" t="n">
        <v>43952</v>
      </c>
      <c r="AB234" s="0" t="n">
        <v>5.341</v>
      </c>
      <c r="AC234" s="0" t="n">
        <v>0.17</v>
      </c>
    </row>
    <row r="235" customFormat="false" ht="12.75" hidden="false" customHeight="false" outlineLevel="0" collapsed="false">
      <c r="A235" s="367" t="n">
        <v>43983</v>
      </c>
      <c r="B235" s="0" t="n">
        <v>-0.808</v>
      </c>
      <c r="C235" s="367" t="n">
        <v>43983</v>
      </c>
      <c r="D235" s="0" t="n">
        <v>1.65612787862049</v>
      </c>
      <c r="F235" s="385" t="n">
        <f aca="false">(B235+T235)*D235/1.055056</f>
        <v>7.14687204409917</v>
      </c>
      <c r="G235" s="0" t="n">
        <f aca="false">K235-D235</f>
        <v>0.0113261426606002</v>
      </c>
      <c r="H235" s="367" t="n">
        <v>43983</v>
      </c>
      <c r="I235" s="0" t="n">
        <v>-0.808</v>
      </c>
      <c r="J235" s="367" t="n">
        <v>43983</v>
      </c>
      <c r="K235" s="0" t="n">
        <v>1.66745402128109</v>
      </c>
      <c r="L235" s="385" t="n">
        <f aca="false">IF(H235="",F235,(I235+AB235)*K235/1.055056)</f>
        <v>7.22419694430994</v>
      </c>
      <c r="S235" s="367" t="n">
        <v>43983</v>
      </c>
      <c r="T235" s="0" t="n">
        <v>5.361</v>
      </c>
      <c r="U235" s="0" t="n">
        <v>0.17</v>
      </c>
      <c r="W235" s="0" t="n">
        <f aca="false">AB235-T235</f>
        <v>0.0179999999999998</v>
      </c>
      <c r="X235" s="0" t="n">
        <f aca="false">AC235-U235</f>
        <v>0</v>
      </c>
      <c r="Y235" s="385" t="n">
        <f aca="false">I235-B235</f>
        <v>0</v>
      </c>
      <c r="AA235" s="367" t="n">
        <v>43983</v>
      </c>
      <c r="AB235" s="0" t="n">
        <v>5.379</v>
      </c>
      <c r="AC235" s="0" t="n">
        <v>0.17</v>
      </c>
    </row>
    <row r="236" customFormat="false" ht="12.75" hidden="false" customHeight="false" outlineLevel="0" collapsed="false">
      <c r="A236" s="367" t="n">
        <v>44013</v>
      </c>
      <c r="B236" s="0" t="n">
        <v>-0.808</v>
      </c>
      <c r="C236" s="367" t="n">
        <v>44013</v>
      </c>
      <c r="D236" s="0" t="n">
        <v>1.65573130333448</v>
      </c>
      <c r="F236" s="385" t="n">
        <f aca="false">(B236+T236)*D236/1.055056</f>
        <v>7.21578052040076</v>
      </c>
      <c r="G236" s="0" t="n">
        <f aca="false">K236-D236</f>
        <v>0.0114499210341301</v>
      </c>
      <c r="H236" s="367" t="n">
        <v>44013</v>
      </c>
      <c r="I236" s="0" t="n">
        <v>-0.808</v>
      </c>
      <c r="J236" s="367" t="n">
        <v>44013</v>
      </c>
      <c r="K236" s="0" t="n">
        <v>1.66718122436861</v>
      </c>
      <c r="L236" s="385" t="n">
        <f aca="false">IF(H236="",F236,(I236+AB236)*K236/1.055056)</f>
        <v>7.2941232803619</v>
      </c>
      <c r="S236" s="367" t="n">
        <v>44013</v>
      </c>
      <c r="T236" s="0" t="n">
        <v>5.406</v>
      </c>
      <c r="U236" s="0" t="n">
        <v>0.17</v>
      </c>
      <c r="W236" s="0" t="n">
        <f aca="false">AB236-T236</f>
        <v>0.0179999999999998</v>
      </c>
      <c r="X236" s="0" t="n">
        <f aca="false">AC236-U236</f>
        <v>0</v>
      </c>
      <c r="Y236" s="385" t="n">
        <f aca="false">I236-B236</f>
        <v>0</v>
      </c>
      <c r="AA236" s="367" t="n">
        <v>44013</v>
      </c>
      <c r="AB236" s="0" t="n">
        <v>5.424</v>
      </c>
      <c r="AC236" s="0" t="n">
        <v>0.17</v>
      </c>
    </row>
    <row r="237" customFormat="false" ht="12.75" hidden="false" customHeight="false" outlineLevel="0" collapsed="false">
      <c r="A237" s="367" t="n">
        <v>44044</v>
      </c>
      <c r="B237" s="0" t="n">
        <v>-0.808</v>
      </c>
      <c r="C237" s="367" t="n">
        <v>44044</v>
      </c>
      <c r="D237" s="0" t="n">
        <v>1.65531448431965</v>
      </c>
      <c r="F237" s="385" t="n">
        <f aca="false">(B237+T237)*D237/1.055056</f>
        <v>7.27358353424453</v>
      </c>
      <c r="G237" s="0" t="n">
        <f aca="false">K237-D237</f>
        <v>0.01157844466809</v>
      </c>
      <c r="H237" s="367" t="n">
        <v>44044</v>
      </c>
      <c r="I237" s="0" t="n">
        <v>-0.808</v>
      </c>
      <c r="J237" s="367" t="n">
        <v>44044</v>
      </c>
      <c r="K237" s="0" t="n">
        <v>1.66689292898774</v>
      </c>
      <c r="L237" s="385" t="n">
        <f aca="false">IF(H237="",F237,(I237+AB237)*K237/1.055056)</f>
        <v>7.35289851108277</v>
      </c>
      <c r="S237" s="367" t="n">
        <v>44044</v>
      </c>
      <c r="T237" s="0" t="n">
        <v>5.444</v>
      </c>
      <c r="U237" s="0" t="n">
        <v>0.17</v>
      </c>
      <c r="W237" s="0" t="n">
        <f aca="false">AB237-T237</f>
        <v>0.0180000000000007</v>
      </c>
      <c r="X237" s="0" t="n">
        <f aca="false">AC237-U237</f>
        <v>0</v>
      </c>
      <c r="Y237" s="385" t="n">
        <f aca="false">I237-B237</f>
        <v>0</v>
      </c>
      <c r="AA237" s="367" t="n">
        <v>44044</v>
      </c>
      <c r="AB237" s="0" t="n">
        <v>5.462</v>
      </c>
      <c r="AC237" s="0" t="n">
        <v>0.17</v>
      </c>
    </row>
    <row r="238" customFormat="false" ht="12.75" hidden="false" customHeight="false" outlineLevel="0" collapsed="false">
      <c r="A238" s="367" t="n">
        <v>44075</v>
      </c>
      <c r="B238" s="0" t="n">
        <v>-0.808</v>
      </c>
      <c r="C238" s="367" t="n">
        <v>44075</v>
      </c>
      <c r="D238" s="0" t="n">
        <v>1.65489053144715</v>
      </c>
      <c r="F238" s="385" t="n">
        <f aca="false">(B238+T238)*D238/1.055056</f>
        <v>7.26230945144173</v>
      </c>
      <c r="G238" s="0" t="n">
        <f aca="false">K238-D238</f>
        <v>0.0117075957061601</v>
      </c>
      <c r="H238" s="367" t="n">
        <v>44075</v>
      </c>
      <c r="I238" s="0" t="n">
        <v>-0.808</v>
      </c>
      <c r="J238" s="367" t="n">
        <v>44075</v>
      </c>
      <c r="K238" s="0" t="n">
        <v>1.66659812715331</v>
      </c>
      <c r="L238" s="385" t="n">
        <f aca="false">IF(H238="",F238,(I238+AB238)*K238/1.055056)</f>
        <v>7.34212031874004</v>
      </c>
      <c r="S238" s="367" t="n">
        <v>44075</v>
      </c>
      <c r="T238" s="0" t="n">
        <v>5.438</v>
      </c>
      <c r="U238" s="0" t="n">
        <v>0.17</v>
      </c>
      <c r="W238" s="0" t="n">
        <f aca="false">AB238-T238</f>
        <v>0.0179999999999998</v>
      </c>
      <c r="X238" s="0" t="n">
        <f aca="false">AC238-U238</f>
        <v>0</v>
      </c>
      <c r="Y238" s="385" t="n">
        <f aca="false">I238-B238</f>
        <v>0</v>
      </c>
      <c r="AA238" s="367" t="n">
        <v>44075</v>
      </c>
      <c r="AB238" s="0" t="n">
        <v>5.456</v>
      </c>
      <c r="AC238" s="0" t="n">
        <v>0.17</v>
      </c>
    </row>
    <row r="239" customFormat="false" ht="12.75" hidden="false" customHeight="false" outlineLevel="0" collapsed="false">
      <c r="A239" s="367" t="n">
        <v>44105</v>
      </c>
      <c r="B239" s="0" t="n">
        <v>-0.808</v>
      </c>
      <c r="C239" s="367" t="n">
        <v>44105</v>
      </c>
      <c r="D239" s="0" t="n">
        <v>1.65447346774756</v>
      </c>
      <c r="F239" s="385" t="n">
        <f aca="false">(B239+T239)*D239/1.055056</f>
        <v>7.26047921216618</v>
      </c>
      <c r="G239" s="0" t="n">
        <f aca="false">K239-D239</f>
        <v>0.0118331759747099</v>
      </c>
      <c r="H239" s="367" t="n">
        <v>44105</v>
      </c>
      <c r="I239" s="0" t="n">
        <v>-0.808</v>
      </c>
      <c r="J239" s="367" t="n">
        <v>44105</v>
      </c>
      <c r="K239" s="0" t="n">
        <v>1.66630664372227</v>
      </c>
      <c r="L239" s="385" t="n">
        <f aca="false">IF(H239="",F239,(I239+AB239)*K239/1.055056)</f>
        <v>7.34083620207943</v>
      </c>
      <c r="S239" s="367" t="n">
        <v>44105</v>
      </c>
      <c r="T239" s="0" t="n">
        <v>5.438</v>
      </c>
      <c r="U239" s="0" t="n">
        <v>0.17</v>
      </c>
      <c r="W239" s="0" t="n">
        <f aca="false">AB239-T239</f>
        <v>0.0179999999999998</v>
      </c>
      <c r="X239" s="0" t="n">
        <f aca="false">AC239-U239</f>
        <v>0</v>
      </c>
      <c r="Y239" s="385" t="n">
        <f aca="false">I239-B239</f>
        <v>0</v>
      </c>
      <c r="AA239" s="367" t="n">
        <v>44105</v>
      </c>
      <c r="AB239" s="0" t="n">
        <v>5.456</v>
      </c>
      <c r="AC239" s="0" t="n">
        <v>0.17</v>
      </c>
    </row>
    <row r="240" customFormat="false" ht="12.75" hidden="false" customHeight="false" outlineLevel="0" collapsed="false">
      <c r="A240" s="367" t="n">
        <v>44136</v>
      </c>
      <c r="B240" s="0" t="n">
        <v>-0.708</v>
      </c>
      <c r="C240" s="367" t="n">
        <v>44136</v>
      </c>
      <c r="D240" s="0" t="n">
        <v>1.65403549490763</v>
      </c>
      <c r="F240" s="385" t="n">
        <f aca="false">(B240+T240)*D240/1.055056</f>
        <v>7.64735250466271</v>
      </c>
      <c r="G240" s="0" t="n">
        <f aca="false">K240-D240</f>
        <v>0.0119635554312201</v>
      </c>
      <c r="H240" s="367" t="n">
        <v>44136</v>
      </c>
      <c r="I240" s="0" t="n">
        <v>-0.708</v>
      </c>
      <c r="J240" s="367" t="n">
        <v>44136</v>
      </c>
      <c r="K240" s="0" t="n">
        <v>1.66599905033885</v>
      </c>
      <c r="L240" s="385" t="n">
        <f aca="false">IF(H240="",F240,(I240+AB240)*K240/1.055056)</f>
        <v>7.73266760201293</v>
      </c>
      <c r="S240" s="367" t="n">
        <v>44136</v>
      </c>
      <c r="T240" s="0" t="n">
        <v>5.586</v>
      </c>
      <c r="U240" s="0" t="n">
        <v>0.17</v>
      </c>
      <c r="W240" s="0" t="n">
        <f aca="false">AB240-T240</f>
        <v>0.0190000000000001</v>
      </c>
      <c r="X240" s="0" t="n">
        <f aca="false">AC240-U240</f>
        <v>0</v>
      </c>
      <c r="Y240" s="385" t="n">
        <f aca="false">I240-B240</f>
        <v>0</v>
      </c>
      <c r="AA240" s="367" t="n">
        <v>44136</v>
      </c>
      <c r="AB240" s="0" t="n">
        <v>5.605</v>
      </c>
      <c r="AC240" s="0" t="n">
        <v>0.17</v>
      </c>
    </row>
    <row r="241" customFormat="false" ht="12.75" hidden="false" customHeight="false" outlineLevel="0" collapsed="false">
      <c r="A241" s="367" t="n">
        <v>44166</v>
      </c>
      <c r="B241" s="0" t="n">
        <v>-0.708</v>
      </c>
      <c r="C241" s="367" t="n">
        <v>44166</v>
      </c>
      <c r="D241" s="0" t="n">
        <v>1.65360487500305</v>
      </c>
      <c r="F241" s="385" t="n">
        <f aca="false">(B241+T241)*D241/1.055056</f>
        <v>7.88359340287657</v>
      </c>
      <c r="G241" s="0" t="n">
        <f aca="false">K241-D241</f>
        <v>0.01209032051109</v>
      </c>
      <c r="H241" s="367" t="n">
        <v>44166</v>
      </c>
      <c r="I241" s="0" t="n">
        <v>-0.708</v>
      </c>
      <c r="J241" s="367" t="n">
        <v>44166</v>
      </c>
      <c r="K241" s="0" t="n">
        <v>1.66569519551414</v>
      </c>
      <c r="L241" s="385" t="n">
        <f aca="false">IF(H241="",F241,(I241+AB241)*K241/1.055056)</f>
        <v>7.9712309509172</v>
      </c>
      <c r="S241" s="367" t="n">
        <v>44166</v>
      </c>
      <c r="T241" s="0" t="n">
        <v>5.738</v>
      </c>
      <c r="U241" s="0" t="n">
        <v>0.17</v>
      </c>
      <c r="W241" s="0" t="n">
        <f aca="false">AB241-T241</f>
        <v>0.0190000000000001</v>
      </c>
      <c r="X241" s="0" t="n">
        <f aca="false">AC241-U241</f>
        <v>0</v>
      </c>
      <c r="Y241" s="385" t="n">
        <f aca="false">I241-B241</f>
        <v>0</v>
      </c>
      <c r="AA241" s="367" t="n">
        <v>44166</v>
      </c>
      <c r="AB241" s="0" t="n">
        <v>5.757</v>
      </c>
      <c r="AC241" s="0" t="n">
        <v>0.17</v>
      </c>
    </row>
    <row r="242" customFormat="false" ht="12.75" hidden="false" customHeight="false" outlineLevel="0" collapsed="false">
      <c r="A242" s="0"/>
      <c r="C242" s="367" t="n">
        <v>44197</v>
      </c>
      <c r="D242" s="0" t="n">
        <v>1.65315290614851</v>
      </c>
      <c r="F242" s="385" t="n">
        <f aca="false">(B242+T242)*D242/1.055056</f>
        <v>9.10439347406765</v>
      </c>
      <c r="G242" s="0" t="n">
        <f aca="false">K242-D242</f>
        <v>0.0122219201290799</v>
      </c>
      <c r="J242" s="367" t="n">
        <v>44197</v>
      </c>
      <c r="K242" s="0" t="n">
        <v>1.66537482627759</v>
      </c>
      <c r="L242" s="385" t="n">
        <f aca="false">IF(H242="",F242,(I242+AB242)*K242/1.055056)</f>
        <v>9.10439347406765</v>
      </c>
      <c r="S242" s="367" t="n">
        <v>44197</v>
      </c>
      <c r="T242" s="0" t="n">
        <v>5.8105</v>
      </c>
      <c r="U242" s="0" t="n">
        <v>0.17</v>
      </c>
      <c r="W242" s="0" t="n">
        <f aca="false">AB242-T242</f>
        <v>0.024</v>
      </c>
      <c r="X242" s="0" t="n">
        <f aca="false">AC242-U242</f>
        <v>0</v>
      </c>
      <c r="Y242" s="385" t="n">
        <f aca="false">I242-B242</f>
        <v>0</v>
      </c>
      <c r="AA242" s="367" t="n">
        <v>44197</v>
      </c>
      <c r="AB242" s="0" t="n">
        <v>5.8345</v>
      </c>
      <c r="AC242" s="0" t="n">
        <v>0.17</v>
      </c>
    </row>
    <row r="243" customFormat="false" ht="12.75" hidden="false" customHeight="false" outlineLevel="0" collapsed="false">
      <c r="A243" s="0"/>
      <c r="C243" s="367" t="n">
        <v>44228</v>
      </c>
      <c r="D243" s="0" t="n">
        <v>1.65269383396743</v>
      </c>
      <c r="F243" s="385" t="n">
        <f aca="false">(B243+T243)*D243/1.055056</f>
        <v>8.96558396778236</v>
      </c>
      <c r="G243" s="0" t="n">
        <f aca="false">K243-D243</f>
        <v>0.0123541366265301</v>
      </c>
      <c r="J243" s="367" t="n">
        <v>44228</v>
      </c>
      <c r="K243" s="0" t="n">
        <v>1.66504797059396</v>
      </c>
      <c r="L243" s="385" t="n">
        <f aca="false">IF(H243="",F243,(I243+AB243)*K243/1.055056)</f>
        <v>8.96558396778236</v>
      </c>
      <c r="S243" s="367" t="n">
        <v>44228</v>
      </c>
      <c r="T243" s="0" t="n">
        <v>5.7235</v>
      </c>
      <c r="U243" s="0" t="n">
        <v>0.17</v>
      </c>
      <c r="W243" s="0" t="n">
        <f aca="false">AB243-T243</f>
        <v>0.0229999999999997</v>
      </c>
      <c r="X243" s="0" t="n">
        <f aca="false">AC243-U243</f>
        <v>0</v>
      </c>
      <c r="Y243" s="385" t="n">
        <f aca="false">I243-B243</f>
        <v>0</v>
      </c>
      <c r="AA243" s="367" t="n">
        <v>44228</v>
      </c>
      <c r="AB243" s="0" t="n">
        <v>5.7465</v>
      </c>
      <c r="AC243" s="0" t="n">
        <v>0.17</v>
      </c>
    </row>
    <row r="244" customFormat="false" ht="12.75" hidden="false" customHeight="false" outlineLevel="0" collapsed="false">
      <c r="A244" s="0"/>
      <c r="C244" s="367" t="n">
        <v>44256</v>
      </c>
      <c r="D244" s="0" t="n">
        <v>1.65227308803451</v>
      </c>
      <c r="F244" s="385" t="n">
        <f aca="false">(B244+T244)*D244/1.055056</f>
        <v>8.74562019468987</v>
      </c>
      <c r="G244" s="0" t="n">
        <f aca="false">K244-D244</f>
        <v>0.0124740863880501</v>
      </c>
      <c r="J244" s="367" t="n">
        <v>44256</v>
      </c>
      <c r="K244" s="0" t="n">
        <v>1.66474717442256</v>
      </c>
      <c r="L244" s="385" t="n">
        <f aca="false">IF(H244="",F244,(I244+AB244)*K244/1.055056)</f>
        <v>8.74562019468987</v>
      </c>
      <c r="S244" s="367" t="n">
        <v>44256</v>
      </c>
      <c r="T244" s="0" t="n">
        <v>5.5845</v>
      </c>
      <c r="U244" s="0" t="n">
        <v>0.17</v>
      </c>
      <c r="W244" s="0" t="n">
        <f aca="false">AB244-T244</f>
        <v>0.0229999999999997</v>
      </c>
      <c r="X244" s="0" t="n">
        <f aca="false">AC244-U244</f>
        <v>0</v>
      </c>
      <c r="Y244" s="385" t="n">
        <f aca="false">I244-B244</f>
        <v>0</v>
      </c>
      <c r="AA244" s="367" t="n">
        <v>44256</v>
      </c>
      <c r="AB244" s="0" t="n">
        <v>5.6075</v>
      </c>
      <c r="AC244" s="0" t="n">
        <v>0.17</v>
      </c>
    </row>
    <row r="245" customFormat="false" ht="12.75" hidden="false" customHeight="false" outlineLevel="0" collapsed="false">
      <c r="A245" s="0"/>
      <c r="C245" s="367" t="n">
        <v>44287</v>
      </c>
      <c r="D245" s="0" t="n">
        <v>1.65180051453263</v>
      </c>
      <c r="J245" s="367" t="n">
        <v>44287</v>
      </c>
      <c r="K245" s="0" t="n">
        <v>1.66440798544644</v>
      </c>
      <c r="S245" s="367" t="n">
        <v>44287</v>
      </c>
      <c r="T245" s="0" t="n">
        <v>5.4305</v>
      </c>
      <c r="U245" s="0" t="n">
        <v>0.17</v>
      </c>
      <c r="W245" s="0" t="n">
        <f aca="false">AB245-T245</f>
        <v>0.0229999999999997</v>
      </c>
      <c r="X245" s="0" t="n">
        <f aca="false">AC245-U245</f>
        <v>0</v>
      </c>
      <c r="Y245" s="385" t="n">
        <f aca="false">I245-B245</f>
        <v>0</v>
      </c>
      <c r="AA245" s="367" t="n">
        <v>44287</v>
      </c>
      <c r="AB245" s="0" t="n">
        <v>5.4535</v>
      </c>
      <c r="AC245" s="0" t="n">
        <v>0.17</v>
      </c>
    </row>
    <row r="246" customFormat="false" ht="12.75" hidden="false" customHeight="false" outlineLevel="0" collapsed="false">
      <c r="A246" s="0"/>
      <c r="C246" s="367" t="n">
        <v>44317</v>
      </c>
      <c r="D246" s="0" t="n">
        <v>1.65133644004232</v>
      </c>
      <c r="J246" s="367" t="n">
        <v>44317</v>
      </c>
      <c r="K246" s="0" t="n">
        <v>1.66407357406559</v>
      </c>
      <c r="S246" s="367" t="n">
        <v>44317</v>
      </c>
      <c r="T246" s="0" t="n">
        <v>5.4355</v>
      </c>
      <c r="U246" s="0" t="n">
        <v>0.17</v>
      </c>
      <c r="W246" s="0" t="n">
        <f aca="false">AB246-T246</f>
        <v>0.0229999999999997</v>
      </c>
      <c r="X246" s="0" t="n">
        <f aca="false">AC246-U246</f>
        <v>0</v>
      </c>
      <c r="Y246" s="385" t="n">
        <f aca="false">I246-B246</f>
        <v>0</v>
      </c>
      <c r="AA246" s="367" t="n">
        <v>44317</v>
      </c>
      <c r="AB246" s="0" t="n">
        <v>5.4585</v>
      </c>
      <c r="AC246" s="0" t="n">
        <v>0.17</v>
      </c>
    </row>
    <row r="247" customFormat="false" ht="12.75" hidden="false" customHeight="false" outlineLevel="0" collapsed="false">
      <c r="A247" s="0"/>
      <c r="C247" s="367" t="n">
        <v>44348</v>
      </c>
      <c r="D247" s="0" t="n">
        <v>1.65084993280328</v>
      </c>
      <c r="J247" s="367" t="n">
        <v>44348</v>
      </c>
      <c r="K247" s="0" t="n">
        <v>1.66372165056291</v>
      </c>
      <c r="S247" s="367" t="n">
        <v>44348</v>
      </c>
      <c r="T247" s="0" t="n">
        <v>5.4735</v>
      </c>
      <c r="U247" s="0" t="n">
        <v>0.17</v>
      </c>
      <c r="W247" s="0" t="n">
        <f aca="false">AB247-T247</f>
        <v>0.0229999999999997</v>
      </c>
      <c r="X247" s="0" t="n">
        <f aca="false">AC247-U247</f>
        <v>0</v>
      </c>
      <c r="Y247" s="385" t="n">
        <f aca="false">I247-B247</f>
        <v>0</v>
      </c>
      <c r="AA247" s="367" t="n">
        <v>44348</v>
      </c>
      <c r="AB247" s="0" t="n">
        <v>5.4965</v>
      </c>
      <c r="AC247" s="0" t="n">
        <v>0.17</v>
      </c>
    </row>
    <row r="248" customFormat="false" ht="12.75" hidden="false" customHeight="false" outlineLevel="0" collapsed="false">
      <c r="A248" s="0"/>
      <c r="C248" s="367" t="n">
        <v>44378</v>
      </c>
      <c r="D248" s="0" t="n">
        <v>1.65037238672148</v>
      </c>
      <c r="J248" s="367" t="n">
        <v>44378</v>
      </c>
      <c r="K248" s="0" t="n">
        <v>1.663374923937</v>
      </c>
      <c r="S248" s="367" t="n">
        <v>44378</v>
      </c>
      <c r="T248" s="0" t="n">
        <v>5.5185</v>
      </c>
      <c r="U248" s="0" t="n">
        <v>0.17</v>
      </c>
      <c r="W248" s="0" t="n">
        <f aca="false">AB248-T248</f>
        <v>0.0229999999999997</v>
      </c>
      <c r="X248" s="0" t="n">
        <f aca="false">AC248-U248</f>
        <v>0</v>
      </c>
      <c r="Y248" s="385" t="n">
        <f aca="false">I248-B248</f>
        <v>0</v>
      </c>
      <c r="AA248" s="367" t="n">
        <v>44378</v>
      </c>
      <c r="AB248" s="0" t="n">
        <v>5.5415</v>
      </c>
      <c r="AC248" s="0" t="n">
        <v>0.17</v>
      </c>
    </row>
    <row r="249" customFormat="false" ht="12.75" hidden="false" customHeight="false" outlineLevel="0" collapsed="false">
      <c r="A249" s="0"/>
      <c r="C249" s="367" t="n">
        <v>44409</v>
      </c>
      <c r="D249" s="0" t="n">
        <v>1.64987197210345</v>
      </c>
      <c r="J249" s="367" t="n">
        <v>44409</v>
      </c>
      <c r="K249" s="0" t="n">
        <v>1.66301028359801</v>
      </c>
      <c r="S249" s="367" t="n">
        <v>44409</v>
      </c>
      <c r="T249" s="0" t="n">
        <v>5.5565</v>
      </c>
      <c r="U249" s="0" t="n">
        <v>0.17</v>
      </c>
      <c r="W249" s="0" t="n">
        <f aca="false">AB249-T249</f>
        <v>0.0229999999999997</v>
      </c>
      <c r="X249" s="0" t="n">
        <f aca="false">AC249-U249</f>
        <v>0</v>
      </c>
      <c r="Y249" s="385" t="n">
        <f aca="false">I249-B249</f>
        <v>0</v>
      </c>
      <c r="AA249" s="367" t="n">
        <v>44409</v>
      </c>
      <c r="AB249" s="0" t="n">
        <v>5.5795</v>
      </c>
      <c r="AC249" s="0" t="n">
        <v>0.17</v>
      </c>
    </row>
    <row r="250" customFormat="false" ht="12.75" hidden="false" customHeight="false" outlineLevel="0" collapsed="false">
      <c r="A250" s="0"/>
      <c r="C250" s="367" t="n">
        <v>44440</v>
      </c>
      <c r="D250" s="0" t="n">
        <v>1.64936450012249</v>
      </c>
      <c r="J250" s="367" t="n">
        <v>44440</v>
      </c>
      <c r="K250" s="0" t="n">
        <v>1.66263918756685</v>
      </c>
      <c r="S250" s="367" t="n">
        <v>44440</v>
      </c>
      <c r="T250" s="0" t="n">
        <v>5.5505</v>
      </c>
      <c r="U250" s="0" t="n">
        <v>0.17</v>
      </c>
      <c r="W250" s="0" t="n">
        <f aca="false">AB250-T250</f>
        <v>0.0229999999999997</v>
      </c>
      <c r="X250" s="0" t="n">
        <f aca="false">AC250-U250</f>
        <v>0</v>
      </c>
      <c r="Y250" s="385" t="n">
        <f aca="false">I250-B250</f>
        <v>0</v>
      </c>
      <c r="AA250" s="367" t="n">
        <v>44440</v>
      </c>
      <c r="AB250" s="0" t="n">
        <v>5.5735</v>
      </c>
      <c r="AC250" s="0" t="n">
        <v>0.17</v>
      </c>
    </row>
    <row r="251" customFormat="false" ht="12.75" hidden="false" customHeight="false" outlineLevel="0" collapsed="false">
      <c r="A251" s="0"/>
      <c r="C251" s="367" t="n">
        <v>44470</v>
      </c>
      <c r="D251" s="0" t="n">
        <v>1.6488666853189</v>
      </c>
      <c r="J251" s="367" t="n">
        <v>44470</v>
      </c>
      <c r="K251" s="0" t="n">
        <v>1.66227392020856</v>
      </c>
      <c r="S251" s="367" t="n">
        <v>44470</v>
      </c>
      <c r="T251" s="0" t="n">
        <v>5.5505</v>
      </c>
      <c r="U251" s="0" t="n">
        <v>0.17</v>
      </c>
      <c r="W251" s="0" t="n">
        <f aca="false">AB251-T251</f>
        <v>0.0229999999999997</v>
      </c>
      <c r="X251" s="0" t="n">
        <f aca="false">AC251-U251</f>
        <v>0</v>
      </c>
      <c r="Y251" s="385" t="n">
        <f aca="false">I251-B251</f>
        <v>0</v>
      </c>
      <c r="AA251" s="367" t="n">
        <v>44470</v>
      </c>
      <c r="AB251" s="0" t="n">
        <v>5.5735</v>
      </c>
      <c r="AC251" s="0" t="n">
        <v>0.17</v>
      </c>
    </row>
    <row r="252" customFormat="false" ht="12.75" hidden="false" customHeight="false" outlineLevel="0" collapsed="false">
      <c r="A252" s="0"/>
      <c r="C252" s="367" t="n">
        <v>44501</v>
      </c>
      <c r="D252" s="0" t="n">
        <v>1.64844007550567</v>
      </c>
      <c r="J252" s="367" t="n">
        <v>44501</v>
      </c>
      <c r="K252" s="0" t="n">
        <v>1.66179730487825</v>
      </c>
      <c r="S252" s="367" t="n">
        <v>44501</v>
      </c>
      <c r="T252" s="0" t="n">
        <v>5.6985</v>
      </c>
      <c r="U252" s="0" t="n">
        <v>0.17</v>
      </c>
      <c r="W252" s="0" t="n">
        <f aca="false">AB252-T252</f>
        <v>0.024</v>
      </c>
      <c r="X252" s="0" t="n">
        <f aca="false">AC252-U252</f>
        <v>0</v>
      </c>
      <c r="Y252" s="385" t="n">
        <f aca="false">I252-B252</f>
        <v>0</v>
      </c>
      <c r="AA252" s="367" t="n">
        <v>44501</v>
      </c>
      <c r="AB252" s="0" t="n">
        <v>5.7225</v>
      </c>
      <c r="AC252" s="0" t="n">
        <v>0.17</v>
      </c>
    </row>
    <row r="253" customFormat="false" ht="12.75" hidden="false" customHeight="false" outlineLevel="0" collapsed="false">
      <c r="A253" s="0"/>
      <c r="C253" s="367" t="n">
        <v>44531</v>
      </c>
      <c r="D253" s="0" t="n">
        <v>1.64858406592281</v>
      </c>
      <c r="J253" s="367" t="n">
        <v>44531</v>
      </c>
      <c r="K253" s="0" t="n">
        <v>1.66194823053519</v>
      </c>
      <c r="S253" s="367" t="n">
        <v>44531</v>
      </c>
      <c r="T253" s="0" t="n">
        <v>5.8505</v>
      </c>
      <c r="U253" s="0" t="n">
        <v>0.17</v>
      </c>
      <c r="W253" s="0" t="n">
        <f aca="false">AB253-T253</f>
        <v>0.024</v>
      </c>
      <c r="X253" s="0" t="n">
        <f aca="false">AC253-U253</f>
        <v>0</v>
      </c>
      <c r="Y253" s="385" t="n">
        <f aca="false">I253-B253</f>
        <v>0</v>
      </c>
      <c r="AA253" s="367" t="n">
        <v>44531</v>
      </c>
      <c r="AB253" s="0" t="n">
        <v>5.8745</v>
      </c>
      <c r="AC253" s="0" t="n">
        <v>0.17</v>
      </c>
    </row>
    <row r="254" customFormat="false" ht="12.75" hidden="false" customHeight="false" outlineLevel="0" collapsed="false">
      <c r="A254" s="0"/>
      <c r="C254" s="367" t="n">
        <v>44562</v>
      </c>
      <c r="D254" s="0" t="n">
        <v>1.64873136712492</v>
      </c>
      <c r="J254" s="367" t="n">
        <v>44562</v>
      </c>
      <c r="K254" s="0" t="n">
        <v>1.66210228279034</v>
      </c>
      <c r="S254" s="367" t="n">
        <v>44562</v>
      </c>
      <c r="T254" s="0" t="n">
        <v>5.923</v>
      </c>
      <c r="U254" s="0" t="n">
        <v>0.17</v>
      </c>
      <c r="W254" s="0" t="n">
        <f aca="false">AB254-T254</f>
        <v>0.0289999999999999</v>
      </c>
      <c r="X254" s="0" t="n">
        <f aca="false">AC254-U254</f>
        <v>0</v>
      </c>
      <c r="Y254" s="385" t="n">
        <f aca="false">I254-B254</f>
        <v>0</v>
      </c>
      <c r="AA254" s="367" t="n">
        <v>44562</v>
      </c>
      <c r="AB254" s="0" t="n">
        <v>5.952</v>
      </c>
      <c r="AC254" s="0" t="n">
        <v>0.17</v>
      </c>
    </row>
    <row r="255" customFormat="false" ht="12.75" hidden="false" customHeight="false" outlineLevel="0" collapsed="false">
      <c r="A255" s="0"/>
      <c r="C255" s="367" t="n">
        <v>44593</v>
      </c>
      <c r="D255" s="0" t="n">
        <v>1.64887715461885</v>
      </c>
      <c r="J255" s="367" t="n">
        <v>44593</v>
      </c>
      <c r="K255" s="0" t="n">
        <v>1.66225439904232</v>
      </c>
      <c r="S255" s="367" t="n">
        <v>44593</v>
      </c>
      <c r="T255" s="0" t="n">
        <v>5.836</v>
      </c>
      <c r="U255" s="0" t="n">
        <v>0.17</v>
      </c>
      <c r="W255" s="0" t="n">
        <f aca="false">AB255-T255</f>
        <v>0.0279999999999996</v>
      </c>
      <c r="X255" s="0" t="n">
        <f aca="false">AC255-U255</f>
        <v>0</v>
      </c>
      <c r="Y255" s="385" t="n">
        <f aca="false">I255-B255</f>
        <v>0</v>
      </c>
      <c r="AA255" s="367" t="n">
        <v>44593</v>
      </c>
      <c r="AB255" s="0" t="n">
        <v>5.864</v>
      </c>
      <c r="AC255" s="0" t="n">
        <v>0.17</v>
      </c>
    </row>
    <row r="256" customFormat="false" ht="12.75" hidden="false" customHeight="false" outlineLevel="0" collapsed="false">
      <c r="A256" s="0"/>
      <c r="C256" s="367" t="n">
        <v>44621</v>
      </c>
      <c r="D256" s="0" t="n">
        <v>1.64900753224442</v>
      </c>
      <c r="J256" s="367" t="n">
        <v>44621</v>
      </c>
      <c r="K256" s="0" t="n">
        <v>1.66239012989146</v>
      </c>
      <c r="S256" s="367" t="n">
        <v>44621</v>
      </c>
      <c r="T256" s="0" t="n">
        <v>5.697</v>
      </c>
      <c r="U256" s="0" t="n">
        <v>0.17</v>
      </c>
      <c r="W256" s="0" t="n">
        <f aca="false">AB256-T256</f>
        <v>0.0279999999999996</v>
      </c>
      <c r="X256" s="0" t="n">
        <f aca="false">AC256-U256</f>
        <v>0</v>
      </c>
      <c r="Y256" s="385" t="n">
        <f aca="false">I256-B256</f>
        <v>0</v>
      </c>
      <c r="AA256" s="367" t="n">
        <v>44621</v>
      </c>
      <c r="AB256" s="0" t="n">
        <v>5.725</v>
      </c>
      <c r="AC256" s="0" t="n">
        <v>0.17</v>
      </c>
    </row>
    <row r="257" customFormat="false" ht="12.75" hidden="false" customHeight="false" outlineLevel="0" collapsed="false">
      <c r="A257" s="0"/>
      <c r="C257" s="367" t="n">
        <v>44652</v>
      </c>
      <c r="D257" s="0" t="n">
        <v>1.64915043769515</v>
      </c>
      <c r="J257" s="367" t="n">
        <v>44652</v>
      </c>
      <c r="K257" s="0" t="n">
        <v>1.66253856003963</v>
      </c>
      <c r="S257" s="367" t="n">
        <v>44652</v>
      </c>
      <c r="T257" s="0" t="n">
        <v>5.543</v>
      </c>
      <c r="U257" s="0" t="n">
        <v>0.17</v>
      </c>
      <c r="W257" s="0" t="n">
        <f aca="false">AB257-T257</f>
        <v>0.0280000000000005</v>
      </c>
      <c r="X257" s="0" t="n">
        <f aca="false">AC257-U257</f>
        <v>0</v>
      </c>
      <c r="Y257" s="385" t="n">
        <f aca="false">I257-B257</f>
        <v>0</v>
      </c>
      <c r="AA257" s="367" t="n">
        <v>44652</v>
      </c>
      <c r="AB257" s="0" t="n">
        <v>5.571</v>
      </c>
      <c r="AC257" s="0" t="n">
        <v>0.17</v>
      </c>
    </row>
    <row r="258" customFormat="false" ht="12.75" hidden="false" customHeight="false" outlineLevel="0" collapsed="false">
      <c r="A258" s="0"/>
      <c r="C258" s="367" t="n">
        <v>44682</v>
      </c>
      <c r="D258" s="0" t="n">
        <v>1.64928729093702</v>
      </c>
      <c r="J258" s="367" t="n">
        <v>44682</v>
      </c>
      <c r="K258" s="0" t="n">
        <v>1.66268035734956</v>
      </c>
      <c r="S258" s="367" t="n">
        <v>44682</v>
      </c>
      <c r="T258" s="0" t="n">
        <v>5.548</v>
      </c>
      <c r="U258" s="0" t="n">
        <v>0.17</v>
      </c>
      <c r="W258" s="0" t="n">
        <f aca="false">AB258-T258</f>
        <v>0.0280000000000005</v>
      </c>
      <c r="X258" s="0" t="n">
        <f aca="false">AC258-U258</f>
        <v>0</v>
      </c>
      <c r="Y258" s="385" t="n">
        <f aca="false">I258-B258</f>
        <v>0</v>
      </c>
      <c r="AA258" s="367" t="n">
        <v>44682</v>
      </c>
      <c r="AB258" s="0" t="n">
        <v>5.576</v>
      </c>
      <c r="AC258" s="0" t="n">
        <v>0.17</v>
      </c>
    </row>
    <row r="259" customFormat="false" ht="12.75" hidden="false" customHeight="false" outlineLevel="0" collapsed="false">
      <c r="A259" s="0"/>
      <c r="C259" s="367" t="n">
        <v>44713</v>
      </c>
      <c r="D259" s="0" t="n">
        <v>1.64942721513728</v>
      </c>
      <c r="J259" s="367" t="n">
        <v>44713</v>
      </c>
      <c r="K259" s="0" t="n">
        <v>1.66282497448056</v>
      </c>
      <c r="S259" s="367" t="n">
        <v>44713</v>
      </c>
      <c r="T259" s="0" t="n">
        <v>5.586</v>
      </c>
      <c r="U259" s="0" t="n">
        <v>0.17</v>
      </c>
      <c r="W259" s="0" t="n">
        <f aca="false">AB259-T259</f>
        <v>0.0279999999999996</v>
      </c>
      <c r="X259" s="0" t="n">
        <f aca="false">AC259-U259</f>
        <v>0</v>
      </c>
      <c r="Y259" s="385" t="n">
        <f aca="false">I259-B259</f>
        <v>0</v>
      </c>
      <c r="AA259" s="367" t="n">
        <v>44713</v>
      </c>
      <c r="AB259" s="0" t="n">
        <v>5.614</v>
      </c>
      <c r="AC259" s="0" t="n">
        <v>0.17</v>
      </c>
    </row>
    <row r="260" customFormat="false" ht="12.75" hidden="false" customHeight="false" outlineLevel="0" collapsed="false">
      <c r="A260" s="0"/>
      <c r="C260" s="367" t="n">
        <v>44743</v>
      </c>
      <c r="D260" s="0" t="n">
        <v>1.64956118256615</v>
      </c>
      <c r="J260" s="367" t="n">
        <v>44743</v>
      </c>
      <c r="K260" s="0" t="n">
        <v>1.66296308082782</v>
      </c>
      <c r="S260" s="367" t="n">
        <v>44743</v>
      </c>
      <c r="T260" s="0" t="n">
        <v>5.631</v>
      </c>
      <c r="U260" s="0" t="n">
        <v>0.17</v>
      </c>
      <c r="W260" s="0" t="n">
        <f aca="false">AB260-T260</f>
        <v>0.0280000000000005</v>
      </c>
      <c r="X260" s="0" t="n">
        <f aca="false">AC260-U260</f>
        <v>0</v>
      </c>
      <c r="Y260" s="385" t="n">
        <f aca="false">I260-B260</f>
        <v>0</v>
      </c>
      <c r="AA260" s="367" t="n">
        <v>44743</v>
      </c>
      <c r="AB260" s="0" t="n">
        <v>5.659</v>
      </c>
      <c r="AC260" s="0" t="n">
        <v>0.17</v>
      </c>
    </row>
    <row r="261" customFormat="false" ht="12.75" hidden="false" customHeight="false" outlineLevel="0" collapsed="false">
      <c r="A261" s="0"/>
      <c r="C261" s="367" t="n">
        <v>44774</v>
      </c>
      <c r="D261" s="0" t="n">
        <v>1.64969812401134</v>
      </c>
      <c r="J261" s="367" t="n">
        <v>44774</v>
      </c>
      <c r="K261" s="0" t="n">
        <v>1.66310388299944</v>
      </c>
      <c r="S261" s="367" t="n">
        <v>44774</v>
      </c>
      <c r="T261" s="0" t="n">
        <v>5.669</v>
      </c>
      <c r="U261" s="0" t="n">
        <v>0.17</v>
      </c>
      <c r="W261" s="0" t="n">
        <f aca="false">AB261-T261</f>
        <v>0.0279999999999996</v>
      </c>
      <c r="X261" s="0" t="n">
        <f aca="false">AC261-U261</f>
        <v>0</v>
      </c>
      <c r="Y261" s="385" t="n">
        <f aca="false">I261-B261</f>
        <v>0</v>
      </c>
      <c r="AA261" s="367" t="n">
        <v>44774</v>
      </c>
      <c r="AB261" s="0" t="n">
        <v>5.697</v>
      </c>
      <c r="AC261" s="0" t="n">
        <v>0.17</v>
      </c>
    </row>
    <row r="262" customFormat="false" ht="12.75" hidden="false" customHeight="false" outlineLevel="0" collapsed="false">
      <c r="A262" s="0"/>
      <c r="C262" s="367" t="n">
        <v>44805</v>
      </c>
      <c r="D262" s="0" t="n">
        <v>1.6498335490638</v>
      </c>
      <c r="J262" s="367" t="n">
        <v>44805</v>
      </c>
      <c r="K262" s="0" t="n">
        <v>1.66324274569341</v>
      </c>
      <c r="S262" s="367" t="n">
        <v>44805</v>
      </c>
      <c r="T262" s="0" t="n">
        <v>5.663</v>
      </c>
      <c r="U262" s="0" t="n">
        <v>0.17</v>
      </c>
      <c r="W262" s="0" t="n">
        <f aca="false">AB262-T262</f>
        <v>0.0279999999999996</v>
      </c>
      <c r="X262" s="0" t="n">
        <f aca="false">AC262-U262</f>
        <v>0</v>
      </c>
      <c r="Y262" s="385" t="n">
        <f aca="false">I262-B262</f>
        <v>0</v>
      </c>
      <c r="AA262" s="367" t="n">
        <v>44805</v>
      </c>
      <c r="AB262" s="0" t="n">
        <v>5.691</v>
      </c>
      <c r="AC262" s="0" t="n">
        <v>0.17</v>
      </c>
    </row>
    <row r="263" customFormat="false" ht="12.75" hidden="false" customHeight="false" outlineLevel="0" collapsed="false">
      <c r="A263" s="0"/>
      <c r="C263" s="367" t="n">
        <v>44835</v>
      </c>
      <c r="D263" s="0" t="n">
        <v>1.64996316140394</v>
      </c>
      <c r="J263" s="367" t="n">
        <v>44835</v>
      </c>
      <c r="K263" s="0" t="n">
        <v>1.66337528185109</v>
      </c>
      <c r="S263" s="367" t="n">
        <v>44835</v>
      </c>
      <c r="T263" s="0" t="n">
        <v>5.663</v>
      </c>
      <c r="U263" s="0" t="n">
        <v>0.17</v>
      </c>
      <c r="W263" s="0" t="n">
        <f aca="false">AB263-T263</f>
        <v>0.0279999999999996</v>
      </c>
      <c r="X263" s="0" t="n">
        <f aca="false">AC263-U263</f>
        <v>0</v>
      </c>
      <c r="Y263" s="385" t="n">
        <f aca="false">I263-B263</f>
        <v>0</v>
      </c>
      <c r="AA263" s="367" t="n">
        <v>44835</v>
      </c>
      <c r="AB263" s="0" t="n">
        <v>5.691</v>
      </c>
      <c r="AC263" s="0" t="n">
        <v>0.17</v>
      </c>
    </row>
    <row r="264" customFormat="false" ht="12.75" hidden="false" customHeight="false" outlineLevel="0" collapsed="false">
      <c r="A264" s="0"/>
      <c r="C264" s="367" t="n">
        <v>44866</v>
      </c>
      <c r="D264" s="0" t="n">
        <v>1.65009560149231</v>
      </c>
      <c r="J264" s="367" t="n">
        <v>44866</v>
      </c>
      <c r="K264" s="0" t="n">
        <v>1.66351032675417</v>
      </c>
      <c r="S264" s="367" t="n">
        <v>44866</v>
      </c>
      <c r="T264" s="0" t="n">
        <v>5.811</v>
      </c>
      <c r="U264" s="0" t="n">
        <v>0.17</v>
      </c>
      <c r="W264" s="0" t="n">
        <f aca="false">AB264-T264</f>
        <v>0.0289999999999999</v>
      </c>
      <c r="X264" s="0" t="n">
        <f aca="false">AC264-U264</f>
        <v>0</v>
      </c>
      <c r="Y264" s="385" t="n">
        <f aca="false">I264-B264</f>
        <v>0</v>
      </c>
      <c r="AA264" s="367" t="n">
        <v>44866</v>
      </c>
      <c r="AB264" s="0" t="n">
        <v>5.84</v>
      </c>
      <c r="AC264" s="0" t="n">
        <v>0.17</v>
      </c>
    </row>
    <row r="265" customFormat="false" ht="12.75" hidden="false" customHeight="false" outlineLevel="0" collapsed="false">
      <c r="A265" s="0"/>
      <c r="C265" s="367" t="n">
        <v>44896</v>
      </c>
      <c r="D265" s="0" t="n">
        <v>1.65022232446429</v>
      </c>
      <c r="J265" s="367" t="n">
        <v>44896</v>
      </c>
      <c r="K265" s="0" t="n">
        <v>1.66363916739213</v>
      </c>
      <c r="S265" s="367" t="n">
        <v>44896</v>
      </c>
      <c r="T265" s="0" t="n">
        <v>5.963</v>
      </c>
      <c r="U265" s="0" t="n">
        <v>0.17</v>
      </c>
      <c r="W265" s="0" t="n">
        <f aca="false">AB265-T265</f>
        <v>0.0289999999999999</v>
      </c>
      <c r="X265" s="0" t="n">
        <f aca="false">AC265-U265</f>
        <v>0</v>
      </c>
      <c r="Y265" s="385" t="n">
        <f aca="false">I265-B265</f>
        <v>0</v>
      </c>
      <c r="AA265" s="367" t="n">
        <v>44896</v>
      </c>
      <c r="AB265" s="0" t="n">
        <v>5.992</v>
      </c>
      <c r="AC265" s="0" t="n">
        <v>0.17</v>
      </c>
    </row>
    <row r="266" customFormat="false" ht="12.75" hidden="false" customHeight="false" outlineLevel="0" collapsed="false">
      <c r="A266" s="0"/>
      <c r="C266" s="367" t="n">
        <v>44927</v>
      </c>
      <c r="D266" s="0" t="n">
        <v>1.65035177816389</v>
      </c>
      <c r="J266" s="367" t="n">
        <v>44927</v>
      </c>
      <c r="K266" s="0" t="n">
        <v>1.66377039269175</v>
      </c>
      <c r="S266" s="367" t="n">
        <v>44927</v>
      </c>
      <c r="T266" s="0" t="n">
        <v>6.0355</v>
      </c>
      <c r="U266" s="0" t="n">
        <v>0.17</v>
      </c>
      <c r="W266" s="0" t="n">
        <f aca="false">AB266-T266</f>
        <v>0.0340000000000007</v>
      </c>
      <c r="X266" s="0" t="n">
        <f aca="false">AC266-U266</f>
        <v>0</v>
      </c>
      <c r="Y266" s="385" t="n">
        <f aca="false">I266-B266</f>
        <v>0</v>
      </c>
      <c r="AA266" s="367" t="n">
        <v>44927</v>
      </c>
      <c r="AB266" s="0" t="n">
        <v>6.0695</v>
      </c>
      <c r="AC266" s="0" t="n">
        <v>0.17</v>
      </c>
    </row>
    <row r="267" customFormat="false" ht="12.75" hidden="false" customHeight="false" outlineLevel="0" collapsed="false">
      <c r="A267" s="0"/>
      <c r="C267" s="367" t="n">
        <v>44958</v>
      </c>
      <c r="D267" s="0" t="n">
        <v>1.65047971365477</v>
      </c>
      <c r="J267" s="367" t="n">
        <v>44958</v>
      </c>
      <c r="K267" s="0" t="n">
        <v>1.66389967620339</v>
      </c>
      <c r="S267" s="367" t="n">
        <v>44958</v>
      </c>
      <c r="T267" s="0" t="n">
        <v>5.9485</v>
      </c>
      <c r="U267" s="0" t="n">
        <v>0.17</v>
      </c>
      <c r="W267" s="0" t="n">
        <f aca="false">AB267-T267</f>
        <v>0.0330000000000004</v>
      </c>
      <c r="X267" s="0" t="n">
        <f aca="false">AC267-U267</f>
        <v>0</v>
      </c>
      <c r="Y267" s="385" t="n">
        <f aca="false">I267-B267</f>
        <v>0</v>
      </c>
      <c r="AA267" s="367" t="n">
        <v>44958</v>
      </c>
      <c r="AB267" s="0" t="n">
        <v>5.9815</v>
      </c>
      <c r="AC267" s="0" t="n">
        <v>0.17</v>
      </c>
    </row>
    <row r="268" customFormat="false" ht="12.75" hidden="false" customHeight="false" outlineLevel="0" collapsed="false">
      <c r="A268" s="0"/>
      <c r="C268" s="367" t="n">
        <v>44986</v>
      </c>
      <c r="D268" s="0" t="n">
        <v>1.65059396306308</v>
      </c>
      <c r="J268" s="367" t="n">
        <v>44986</v>
      </c>
      <c r="K268" s="0" t="n">
        <v>1.66401477902651</v>
      </c>
      <c r="S268" s="367" t="n">
        <v>44986</v>
      </c>
      <c r="T268" s="0" t="n">
        <v>5.8095</v>
      </c>
      <c r="U268" s="0" t="n">
        <v>0.17</v>
      </c>
      <c r="W268" s="0" t="n">
        <f aca="false">AB268-T268</f>
        <v>0.0330000000000004</v>
      </c>
      <c r="X268" s="0" t="n">
        <f aca="false">AC268-U268</f>
        <v>0</v>
      </c>
      <c r="Y268" s="385" t="n">
        <f aca="false">I268-B268</f>
        <v>0</v>
      </c>
      <c r="AA268" s="367" t="n">
        <v>44986</v>
      </c>
      <c r="AB268" s="0" t="n">
        <v>5.8425</v>
      </c>
      <c r="AC268" s="0" t="n">
        <v>0.17</v>
      </c>
    </row>
    <row r="269" customFormat="false" ht="12.75" hidden="false" customHeight="false" outlineLevel="0" collapsed="false">
      <c r="A269" s="0"/>
      <c r="C269" s="367" t="n">
        <v>45017</v>
      </c>
      <c r="D269" s="0" t="n">
        <v>1.65071900808114</v>
      </c>
      <c r="J269" s="367" t="n">
        <v>45017</v>
      </c>
      <c r="K269" s="0" t="n">
        <v>1.66414036564526</v>
      </c>
      <c r="S269" s="367" t="n">
        <v>45017</v>
      </c>
      <c r="T269" s="0" t="n">
        <v>5.6555</v>
      </c>
      <c r="U269" s="0" t="n">
        <v>0.17</v>
      </c>
      <c r="W269" s="0" t="n">
        <f aca="false">AB269-T269</f>
        <v>0.0330000000000004</v>
      </c>
      <c r="X269" s="0" t="n">
        <f aca="false">AC269-U269</f>
        <v>0</v>
      </c>
      <c r="Y269" s="385" t="n">
        <f aca="false">I269-B269</f>
        <v>0</v>
      </c>
      <c r="AA269" s="367" t="n">
        <v>45017</v>
      </c>
      <c r="AB269" s="0" t="n">
        <v>5.6885</v>
      </c>
      <c r="AC269" s="0" t="n">
        <v>0.17</v>
      </c>
    </row>
    <row r="270" customFormat="false" ht="12.75" hidden="false" customHeight="false" outlineLevel="0" collapsed="false">
      <c r="A270" s="0"/>
      <c r="C270" s="367" t="n">
        <v>45047</v>
      </c>
      <c r="D270" s="0" t="n">
        <v>1.65083857288381</v>
      </c>
      <c r="J270" s="367" t="n">
        <v>45047</v>
      </c>
      <c r="K270" s="0" t="n">
        <v>1.66426005102603</v>
      </c>
      <c r="S270" s="367" t="n">
        <v>45047</v>
      </c>
      <c r="T270" s="0" t="n">
        <v>5.6605</v>
      </c>
      <c r="U270" s="0" t="n">
        <v>0.17</v>
      </c>
      <c r="W270" s="0" t="n">
        <f aca="false">AB270-T270</f>
        <v>0.0330000000000004</v>
      </c>
      <c r="X270" s="0" t="n">
        <f aca="false">AC270-U270</f>
        <v>0</v>
      </c>
      <c r="Y270" s="385" t="n">
        <f aca="false">I270-B270</f>
        <v>0</v>
      </c>
      <c r="AA270" s="367" t="n">
        <v>45047</v>
      </c>
      <c r="AB270" s="0" t="n">
        <v>5.6935</v>
      </c>
      <c r="AC270" s="0" t="n">
        <v>0.17</v>
      </c>
    </row>
    <row r="271" customFormat="false" ht="12.75" hidden="false" customHeight="false" outlineLevel="0" collapsed="false">
      <c r="A271" s="0"/>
      <c r="C271" s="367" t="n">
        <v>45078</v>
      </c>
      <c r="D271" s="0" t="n">
        <v>1.65096062812368</v>
      </c>
      <c r="J271" s="367" t="n">
        <v>45078</v>
      </c>
      <c r="K271" s="0" t="n">
        <v>1.66438181377737</v>
      </c>
      <c r="S271" s="367" t="n">
        <v>45078</v>
      </c>
      <c r="T271" s="0" t="n">
        <v>5.6985</v>
      </c>
      <c r="U271" s="0" t="n">
        <v>0.17</v>
      </c>
      <c r="W271" s="0" t="n">
        <f aca="false">AB271-T271</f>
        <v>0.0330000000000004</v>
      </c>
      <c r="X271" s="0" t="n">
        <f aca="false">AC271-U271</f>
        <v>0</v>
      </c>
      <c r="Y271" s="385" t="n">
        <f aca="false">I271-B271</f>
        <v>0</v>
      </c>
      <c r="AA271" s="367" t="n">
        <v>45078</v>
      </c>
      <c r="AB271" s="0" t="n">
        <v>5.7315</v>
      </c>
      <c r="AC271" s="0" t="n">
        <v>0.17</v>
      </c>
    </row>
    <row r="272" customFormat="false" ht="12.75" hidden="false" customHeight="false" outlineLevel="0" collapsed="false">
      <c r="A272" s="0"/>
      <c r="C272" s="367" t="n">
        <v>45108</v>
      </c>
      <c r="D272" s="0" t="n">
        <v>1.65107729895304</v>
      </c>
      <c r="J272" s="367" t="n">
        <v>45108</v>
      </c>
      <c r="K272" s="0" t="n">
        <v>1.66449779784514</v>
      </c>
      <c r="S272" s="367" t="n">
        <v>45108</v>
      </c>
      <c r="T272" s="0" t="n">
        <v>5.7435</v>
      </c>
      <c r="U272" s="0" t="n">
        <v>0.17</v>
      </c>
      <c r="W272" s="0" t="n">
        <f aca="false">AB272-T272</f>
        <v>0.0330000000000004</v>
      </c>
      <c r="X272" s="0" t="n">
        <f aca="false">AC272-U272</f>
        <v>0</v>
      </c>
      <c r="Y272" s="385" t="n">
        <f aca="false">I272-B272</f>
        <v>0</v>
      </c>
      <c r="AA272" s="367" t="n">
        <v>45108</v>
      </c>
      <c r="AB272" s="0" t="n">
        <v>5.7765</v>
      </c>
      <c r="AC272" s="0" t="n">
        <v>0.17</v>
      </c>
    </row>
    <row r="273" customFormat="false" ht="12.75" hidden="false" customHeight="false" outlineLevel="0" collapsed="false">
      <c r="A273" s="0"/>
      <c r="C273" s="367" t="n">
        <v>45139</v>
      </c>
      <c r="D273" s="0" t="n">
        <v>1.65119636310099</v>
      </c>
      <c r="J273" s="367" t="n">
        <v>45139</v>
      </c>
      <c r="K273" s="0" t="n">
        <v>1.66461573509667</v>
      </c>
      <c r="S273" s="367" t="n">
        <v>45139</v>
      </c>
      <c r="T273" s="0" t="n">
        <v>5.7815</v>
      </c>
      <c r="U273" s="0" t="n">
        <v>0.17</v>
      </c>
      <c r="W273" s="0" t="n">
        <f aca="false">AB273-T273</f>
        <v>0.0330000000000004</v>
      </c>
      <c r="X273" s="0" t="n">
        <f aca="false">AC273-U273</f>
        <v>0</v>
      </c>
      <c r="Y273" s="385" t="n">
        <f aca="false">I273-B273</f>
        <v>0</v>
      </c>
      <c r="AA273" s="367" t="n">
        <v>45139</v>
      </c>
      <c r="AB273" s="0" t="n">
        <v>5.8145</v>
      </c>
      <c r="AC273" s="0" t="n">
        <v>0.17</v>
      </c>
    </row>
    <row r="274" customFormat="false" ht="12.75" hidden="false" customHeight="false" outlineLevel="0" collapsed="false">
      <c r="A274" s="0"/>
      <c r="C274" s="367" t="n">
        <v>45170</v>
      </c>
      <c r="D274" s="0" t="n">
        <v>1.65131390669264</v>
      </c>
      <c r="J274" s="367" t="n">
        <v>45170</v>
      </c>
      <c r="K274" s="0" t="n">
        <v>1.66473172763278</v>
      </c>
      <c r="S274" s="367" t="n">
        <v>45170</v>
      </c>
      <c r="T274" s="0" t="n">
        <v>5.7755</v>
      </c>
      <c r="U274" s="0" t="n">
        <v>0.17</v>
      </c>
      <c r="W274" s="0" t="n">
        <f aca="false">AB274-T274</f>
        <v>0.0330000000000004</v>
      </c>
      <c r="X274" s="0" t="n">
        <f aca="false">AC274-U274</f>
        <v>0</v>
      </c>
      <c r="Y274" s="385" t="n">
        <f aca="false">I274-B274</f>
        <v>0</v>
      </c>
      <c r="AA274" s="367" t="n">
        <v>45170</v>
      </c>
      <c r="AB274" s="0" t="n">
        <v>5.8085</v>
      </c>
      <c r="AC274" s="0" t="n">
        <v>0.17</v>
      </c>
    </row>
    <row r="275" customFormat="false" ht="12.75" hidden="false" customHeight="false" outlineLevel="0" collapsed="false">
      <c r="A275" s="0"/>
      <c r="C275" s="367" t="n">
        <v>45200</v>
      </c>
      <c r="D275" s="0" t="n">
        <v>1.6514262104755</v>
      </c>
      <c r="J275" s="367" t="n">
        <v>45200</v>
      </c>
      <c r="K275" s="0" t="n">
        <v>1.664842126468</v>
      </c>
      <c r="S275" s="367" t="n">
        <v>45200</v>
      </c>
      <c r="T275" s="0" t="n">
        <v>5.7755</v>
      </c>
      <c r="U275" s="0" t="n">
        <v>0.17</v>
      </c>
      <c r="W275" s="0" t="n">
        <f aca="false">AB275-T275</f>
        <v>0.0330000000000004</v>
      </c>
      <c r="X275" s="0" t="n">
        <f aca="false">AC275-U275</f>
        <v>0</v>
      </c>
      <c r="Y275" s="385" t="n">
        <f aca="false">I275-B275</f>
        <v>0</v>
      </c>
      <c r="AA275" s="367" t="n">
        <v>45200</v>
      </c>
      <c r="AB275" s="0" t="n">
        <v>5.8085</v>
      </c>
      <c r="AC275" s="0" t="n">
        <v>0.17</v>
      </c>
    </row>
    <row r="276" customFormat="false" ht="12.75" hidden="false" customHeight="false" outlineLevel="0" collapsed="false">
      <c r="A276" s="0"/>
      <c r="C276" s="367" t="n">
        <v>45231</v>
      </c>
      <c r="D276" s="0" t="n">
        <v>1.65154076105437</v>
      </c>
      <c r="J276" s="367" t="n">
        <v>45231</v>
      </c>
      <c r="K276" s="0" t="n">
        <v>1.66495429114054</v>
      </c>
      <c r="S276" s="367" t="n">
        <v>45231</v>
      </c>
      <c r="T276" s="0" t="n">
        <v>5.9235</v>
      </c>
      <c r="U276" s="0" t="n">
        <v>0.17</v>
      </c>
      <c r="W276" s="0" t="n">
        <f aca="false">AB276-T276</f>
        <v>0.0339999999999989</v>
      </c>
      <c r="X276" s="0" t="n">
        <f aca="false">AC276-U276</f>
        <v>0</v>
      </c>
      <c r="Y276" s="385" t="n">
        <f aca="false">I276-B276</f>
        <v>0</v>
      </c>
      <c r="AA276" s="367" t="n">
        <v>45231</v>
      </c>
      <c r="AB276" s="0" t="n">
        <v>5.9575</v>
      </c>
      <c r="AC276" s="0" t="n">
        <v>0.17</v>
      </c>
    </row>
    <row r="277" customFormat="false" ht="12.75" hidden="false" customHeight="false" outlineLevel="0" collapsed="false">
      <c r="A277" s="0"/>
      <c r="C277" s="367" t="n">
        <v>45261</v>
      </c>
      <c r="D277" s="0" t="n">
        <v>1.65165016777256</v>
      </c>
      <c r="J277" s="367" t="n">
        <v>45261</v>
      </c>
      <c r="K277" s="0" t="n">
        <v>1.6650609848585</v>
      </c>
      <c r="S277" s="367" t="n">
        <v>45261</v>
      </c>
      <c r="T277" s="0" t="n">
        <v>6.0755</v>
      </c>
      <c r="U277" s="0" t="n">
        <v>0.17</v>
      </c>
      <c r="W277" s="0" t="n">
        <f aca="false">AB277-T277</f>
        <v>0.0340000000000007</v>
      </c>
      <c r="X277" s="0" t="n">
        <f aca="false">AC277-U277</f>
        <v>0</v>
      </c>
      <c r="Y277" s="385" t="n">
        <f aca="false">I277-B277</f>
        <v>0</v>
      </c>
      <c r="AA277" s="367" t="n">
        <v>45261</v>
      </c>
      <c r="AB277" s="0" t="n">
        <v>6.1095</v>
      </c>
      <c r="AC277" s="0" t="n">
        <v>0.17</v>
      </c>
    </row>
    <row r="278" customFormat="false" ht="12.75" hidden="false" customHeight="false" outlineLevel="0" collapsed="false">
      <c r="A278" s="0"/>
      <c r="C278" s="367" t="n">
        <v>45292</v>
      </c>
      <c r="D278" s="0" t="n">
        <v>1.65176172410522</v>
      </c>
      <c r="J278" s="367" t="n">
        <v>45292</v>
      </c>
      <c r="K278" s="0" t="n">
        <v>1.66516932016534</v>
      </c>
      <c r="S278" s="367" t="n">
        <v>45292</v>
      </c>
      <c r="T278" s="0" t="n">
        <v>6.148</v>
      </c>
      <c r="U278" s="0" t="n">
        <v>0.17</v>
      </c>
      <c r="W278" s="0" t="n">
        <f aca="false">AB278-T278</f>
        <v>0.0389999999999997</v>
      </c>
      <c r="X278" s="0" t="n">
        <f aca="false">AC278-U278</f>
        <v>0</v>
      </c>
      <c r="Y278" s="385" t="n">
        <f aca="false">I278-B278</f>
        <v>0</v>
      </c>
      <c r="AA278" s="367" t="n">
        <v>45292</v>
      </c>
      <c r="AB278" s="0" t="n">
        <v>6.187</v>
      </c>
      <c r="AC278" s="0" t="n">
        <v>0.17</v>
      </c>
    </row>
    <row r="279" customFormat="false" ht="12.75" hidden="false" customHeight="false" outlineLevel="0" collapsed="false">
      <c r="A279" s="0"/>
      <c r="C279" s="367" t="n">
        <v>45323</v>
      </c>
      <c r="D279" s="0" t="n">
        <v>1.65187175830934</v>
      </c>
      <c r="J279" s="367" t="n">
        <v>45323</v>
      </c>
      <c r="K279" s="0" t="n">
        <v>1.66527570884209</v>
      </c>
      <c r="S279" s="367" t="n">
        <v>45323</v>
      </c>
      <c r="T279" s="0" t="n">
        <v>6.061</v>
      </c>
      <c r="U279" s="0" t="n">
        <v>0.17</v>
      </c>
      <c r="W279" s="0" t="n">
        <f aca="false">AB279-T279</f>
        <v>0.0380000000000003</v>
      </c>
      <c r="X279" s="0" t="n">
        <f aca="false">AC279-U279</f>
        <v>0</v>
      </c>
      <c r="Y279" s="385" t="n">
        <f aca="false">I279-B279</f>
        <v>0</v>
      </c>
      <c r="AA279" s="367" t="n">
        <v>45323</v>
      </c>
      <c r="AB279" s="0" t="n">
        <v>6.099</v>
      </c>
      <c r="AC279" s="0" t="n">
        <v>0.17</v>
      </c>
    </row>
    <row r="280" customFormat="false" ht="12.75" hidden="false" customHeight="false" outlineLevel="0" collapsed="false">
      <c r="A280" s="0"/>
      <c r="C280" s="367" t="n">
        <v>45352</v>
      </c>
      <c r="D280" s="0" t="n">
        <v>1.6519733152678</v>
      </c>
      <c r="J280" s="367" t="n">
        <v>45352</v>
      </c>
      <c r="K280" s="0" t="n">
        <v>1.66537347110962</v>
      </c>
      <c r="S280" s="367" t="n">
        <v>45352</v>
      </c>
      <c r="T280" s="0" t="n">
        <v>5.922</v>
      </c>
      <c r="U280" s="0" t="n">
        <v>0.17</v>
      </c>
      <c r="W280" s="0" t="n">
        <f aca="false">AB280-T280</f>
        <v>0.0379999999999994</v>
      </c>
      <c r="X280" s="0" t="n">
        <f aca="false">AC280-U280</f>
        <v>0</v>
      </c>
      <c r="Y280" s="385" t="n">
        <f aca="false">I280-B280</f>
        <v>0</v>
      </c>
      <c r="AA280" s="367" t="n">
        <v>45352</v>
      </c>
      <c r="AB280" s="0" t="n">
        <v>5.96</v>
      </c>
      <c r="AC280" s="0" t="n">
        <v>0.17</v>
      </c>
    </row>
    <row r="281" customFormat="false" ht="12.75" hidden="false" customHeight="false" outlineLevel="0" collapsed="false">
      <c r="A281" s="0"/>
      <c r="C281" s="367" t="n">
        <v>45383</v>
      </c>
      <c r="D281" s="0" t="n">
        <v>1.65208040255093</v>
      </c>
      <c r="J281" s="367" t="n">
        <v>45383</v>
      </c>
      <c r="K281" s="0" t="n">
        <v>1.66547609107676</v>
      </c>
      <c r="S281" s="367" t="n">
        <v>45383</v>
      </c>
      <c r="T281" s="0" t="n">
        <v>5.768</v>
      </c>
      <c r="U281" s="0" t="n">
        <v>0.17</v>
      </c>
      <c r="W281" s="0" t="n">
        <f aca="false">AB281-T281</f>
        <v>0.0379999999999994</v>
      </c>
      <c r="X281" s="0" t="n">
        <f aca="false">AC281-U281</f>
        <v>0</v>
      </c>
      <c r="Y281" s="385" t="n">
        <f aca="false">I281-B281</f>
        <v>0</v>
      </c>
      <c r="AA281" s="367" t="n">
        <v>45383</v>
      </c>
      <c r="AB281" s="0" t="n">
        <v>5.806</v>
      </c>
      <c r="AC281" s="0" t="n">
        <v>0.17</v>
      </c>
    </row>
    <row r="282" customFormat="false" ht="12.75" hidden="false" customHeight="false" outlineLevel="0" collapsed="false">
      <c r="A282" s="0"/>
      <c r="C282" s="367" t="n">
        <v>45413</v>
      </c>
      <c r="D282" s="0" t="n">
        <v>1.65218258529541</v>
      </c>
      <c r="J282" s="367" t="n">
        <v>45413</v>
      </c>
      <c r="K282" s="0" t="n">
        <v>1.66557354626565</v>
      </c>
      <c r="S282" s="367" t="n">
        <v>45413</v>
      </c>
      <c r="T282" s="0" t="n">
        <v>5.773</v>
      </c>
      <c r="U282" s="0" t="n">
        <v>0.17</v>
      </c>
      <c r="W282" s="0" t="n">
        <f aca="false">AB282-T282</f>
        <v>0.0379999999999994</v>
      </c>
      <c r="X282" s="0" t="n">
        <f aca="false">AC282-U282</f>
        <v>0</v>
      </c>
      <c r="Y282" s="385" t="n">
        <f aca="false">I282-B282</f>
        <v>0</v>
      </c>
      <c r="AA282" s="367" t="n">
        <v>45413</v>
      </c>
      <c r="AB282" s="0" t="n">
        <v>5.811</v>
      </c>
      <c r="AC282" s="0" t="n">
        <v>0.17</v>
      </c>
    </row>
    <row r="283" customFormat="false" ht="12.75" hidden="false" customHeight="false" outlineLevel="0" collapsed="false">
      <c r="A283" s="0"/>
      <c r="C283" s="367" t="n">
        <v>45444</v>
      </c>
      <c r="D283" s="0" t="n">
        <v>1.65228667539827</v>
      </c>
      <c r="J283" s="367" t="n">
        <v>45444</v>
      </c>
      <c r="K283" s="0" t="n">
        <v>1.6656723333504</v>
      </c>
      <c r="S283" s="367" t="n">
        <v>45444</v>
      </c>
      <c r="T283" s="0" t="n">
        <v>5.811</v>
      </c>
      <c r="U283" s="0" t="n">
        <v>0.17</v>
      </c>
      <c r="W283" s="0" t="n">
        <f aca="false">AB283-T283</f>
        <v>0.0380000000000003</v>
      </c>
      <c r="X283" s="0" t="n">
        <f aca="false">AC283-U283</f>
        <v>0</v>
      </c>
      <c r="Y283" s="385" t="n">
        <f aca="false">I283-B283</f>
        <v>0</v>
      </c>
      <c r="AA283" s="367" t="n">
        <v>45444</v>
      </c>
      <c r="AB283" s="0" t="n">
        <v>5.849</v>
      </c>
      <c r="AC283" s="0" t="n">
        <v>0.17</v>
      </c>
    </row>
    <row r="284" customFormat="false" ht="12.75" hidden="false" customHeight="false" outlineLevel="0" collapsed="false">
      <c r="A284" s="0"/>
      <c r="C284" s="367" t="n">
        <v>45474</v>
      </c>
      <c r="D284" s="0" t="n">
        <v>1.65238595709915</v>
      </c>
      <c r="J284" s="367" t="n">
        <v>45474</v>
      </c>
      <c r="K284" s="0" t="n">
        <v>1.66576607865302</v>
      </c>
      <c r="S284" s="367" t="n">
        <v>45474</v>
      </c>
      <c r="T284" s="0" t="n">
        <v>5.856</v>
      </c>
      <c r="U284" s="0" t="n">
        <v>0.17</v>
      </c>
      <c r="W284" s="0" t="n">
        <f aca="false">AB284-T284</f>
        <v>0.0380000000000003</v>
      </c>
      <c r="X284" s="0" t="n">
        <f aca="false">AC284-U284</f>
        <v>0</v>
      </c>
      <c r="Y284" s="385" t="n">
        <f aca="false">I284-B284</f>
        <v>0</v>
      </c>
      <c r="AA284" s="367" t="n">
        <v>45474</v>
      </c>
      <c r="AB284" s="0" t="n">
        <v>5.894</v>
      </c>
      <c r="AC284" s="0" t="n">
        <v>0.17</v>
      </c>
    </row>
    <row r="285" customFormat="false" ht="12.75" hidden="false" customHeight="false" outlineLevel="0" collapsed="false">
      <c r="A285" s="0"/>
      <c r="C285" s="367" t="n">
        <v>45505</v>
      </c>
      <c r="D285" s="0" t="n">
        <v>1.65248704890027</v>
      </c>
      <c r="J285" s="367" t="n">
        <v>45505</v>
      </c>
      <c r="K285" s="0" t="n">
        <v>1.66586103153499</v>
      </c>
      <c r="S285" s="367" t="n">
        <v>45505</v>
      </c>
      <c r="T285" s="0" t="n">
        <v>5.894</v>
      </c>
      <c r="U285" s="0" t="n">
        <v>0.17</v>
      </c>
      <c r="W285" s="0" t="n">
        <f aca="false">AB285-T285</f>
        <v>0.0380000000000003</v>
      </c>
      <c r="X285" s="0" t="n">
        <f aca="false">AC285-U285</f>
        <v>0</v>
      </c>
      <c r="Y285" s="385" t="n">
        <f aca="false">I285-B285</f>
        <v>0</v>
      </c>
      <c r="AA285" s="367" t="n">
        <v>45505</v>
      </c>
      <c r="AB285" s="0" t="n">
        <v>5.932</v>
      </c>
      <c r="AC285" s="0" t="n">
        <v>0.17</v>
      </c>
    </row>
    <row r="286" customFormat="false" ht="12.75" hidden="false" customHeight="false" outlineLevel="0" collapsed="false">
      <c r="A286" s="0"/>
      <c r="C286" s="367" t="n">
        <v>45536</v>
      </c>
      <c r="D286" s="0" t="n">
        <v>1.65258661655476</v>
      </c>
      <c r="J286" s="367" t="n">
        <v>45536</v>
      </c>
      <c r="K286" s="0" t="n">
        <v>1.66595403539836</v>
      </c>
      <c r="S286" s="367" t="n">
        <v>45536</v>
      </c>
      <c r="T286" s="0" t="n">
        <v>5.888</v>
      </c>
      <c r="U286" s="0" t="n">
        <v>0.17</v>
      </c>
      <c r="W286" s="0" t="n">
        <f aca="false">AB286-T286</f>
        <v>0.0380000000000003</v>
      </c>
      <c r="X286" s="0" t="n">
        <f aca="false">AC286-U286</f>
        <v>0</v>
      </c>
      <c r="Y286" s="385" t="n">
        <f aca="false">I286-B286</f>
        <v>0</v>
      </c>
      <c r="AA286" s="367" t="n">
        <v>45536</v>
      </c>
      <c r="AB286" s="0" t="n">
        <v>5.926</v>
      </c>
      <c r="AC286" s="0" t="n">
        <v>0.17</v>
      </c>
    </row>
    <row r="287" customFormat="false" ht="12.75" hidden="false" customHeight="false" outlineLevel="0" collapsed="false">
      <c r="A287" s="0"/>
      <c r="C287" s="367" t="n">
        <v>45566</v>
      </c>
      <c r="D287" s="0" t="n">
        <v>1.65268152089781</v>
      </c>
      <c r="J287" s="367" t="n">
        <v>45566</v>
      </c>
      <c r="K287" s="0" t="n">
        <v>1.66604218310965</v>
      </c>
      <c r="S287" s="367" t="n">
        <v>45566</v>
      </c>
      <c r="T287" s="0" t="n">
        <v>5.888</v>
      </c>
      <c r="U287" s="0" t="n">
        <v>0.17</v>
      </c>
      <c r="W287" s="0" t="n">
        <f aca="false">AB287-T287</f>
        <v>0.0380000000000003</v>
      </c>
      <c r="X287" s="0" t="n">
        <f aca="false">AC287-U287</f>
        <v>0</v>
      </c>
      <c r="Y287" s="385" t="n">
        <f aca="false">I287-B287</f>
        <v>0</v>
      </c>
      <c r="AA287" s="367" t="n">
        <v>45566</v>
      </c>
      <c r="AB287" s="0" t="n">
        <v>5.926</v>
      </c>
      <c r="AC287" s="0" t="n">
        <v>0.17</v>
      </c>
    </row>
    <row r="288" customFormat="false" ht="12.75" hidden="false" customHeight="false" outlineLevel="0" collapsed="false">
      <c r="A288" s="0"/>
      <c r="C288" s="367" t="n">
        <v>45597</v>
      </c>
      <c r="D288" s="0" t="n">
        <v>1.65277808861991</v>
      </c>
      <c r="J288" s="367" t="n">
        <v>45597</v>
      </c>
      <c r="K288" s="0" t="n">
        <v>1.66613135087741</v>
      </c>
      <c r="S288" s="367" t="n">
        <v>45597</v>
      </c>
      <c r="T288" s="0" t="n">
        <v>6.036</v>
      </c>
      <c r="U288" s="0" t="n">
        <v>0.17</v>
      </c>
      <c r="W288" s="0" t="n">
        <f aca="false">AB288-T288</f>
        <v>0.0389999999999997</v>
      </c>
      <c r="X288" s="0" t="n">
        <f aca="false">AC288-U288</f>
        <v>0</v>
      </c>
      <c r="Y288" s="385" t="n">
        <f aca="false">I288-B288</f>
        <v>0</v>
      </c>
      <c r="AA288" s="367" t="n">
        <v>45597</v>
      </c>
      <c r="AB288" s="0" t="n">
        <v>6.075</v>
      </c>
      <c r="AC288" s="0" t="n">
        <v>0.17</v>
      </c>
    </row>
    <row r="289" customFormat="false" ht="12.75" hidden="false" customHeight="false" outlineLevel="0" collapsed="false">
      <c r="A289" s="0"/>
      <c r="C289" s="367" t="n">
        <v>45627</v>
      </c>
      <c r="D289" s="0" t="n">
        <v>1.65287008929499</v>
      </c>
      <c r="J289" s="367" t="n">
        <v>45627</v>
      </c>
      <c r="K289" s="0" t="n">
        <v>1.66621578565613</v>
      </c>
      <c r="S289" s="367" t="n">
        <v>45627</v>
      </c>
      <c r="T289" s="0" t="n">
        <v>6.188</v>
      </c>
      <c r="U289" s="0" t="n">
        <v>0.17</v>
      </c>
      <c r="W289" s="0" t="n">
        <f aca="false">AB289-T289</f>
        <v>0.0389999999999997</v>
      </c>
      <c r="X289" s="0" t="n">
        <f aca="false">AC289-U289</f>
        <v>0</v>
      </c>
      <c r="Y289" s="385" t="n">
        <f aca="false">I289-B289</f>
        <v>0</v>
      </c>
      <c r="AA289" s="367" t="n">
        <v>45627</v>
      </c>
      <c r="AB289" s="0" t="n">
        <v>6.227</v>
      </c>
      <c r="AC289" s="0" t="n">
        <v>0.17</v>
      </c>
    </row>
    <row r="290" customFormat="false" ht="12.75" hidden="false" customHeight="false" outlineLevel="0" collapsed="false">
      <c r="A290" s="0"/>
      <c r="C290" s="367" t="n">
        <v>45658</v>
      </c>
      <c r="D290" s="0" t="n">
        <v>1.65296365604381</v>
      </c>
      <c r="J290" s="367" t="n">
        <v>45658</v>
      </c>
      <c r="K290" s="0" t="n">
        <v>1.66630111613859</v>
      </c>
      <c r="W290" s="0" t="n">
        <f aca="false">AB290-T290</f>
        <v>0</v>
      </c>
      <c r="X290" s="0" t="n">
        <f aca="false">AC290-U290</f>
        <v>0</v>
      </c>
      <c r="Y290" s="385" t="n">
        <f aca="false">I290-B290</f>
        <v>0</v>
      </c>
    </row>
    <row r="291" customFormat="false" ht="12.75" hidden="false" customHeight="false" outlineLevel="0" collapsed="false">
      <c r="A291" s="0"/>
      <c r="C291" s="367" t="n">
        <v>45689</v>
      </c>
      <c r="D291" s="0" t="n">
        <v>1.65305569731924</v>
      </c>
      <c r="J291" s="367" t="n">
        <v>45689</v>
      </c>
      <c r="K291" s="0" t="n">
        <v>1.66638449608608</v>
      </c>
      <c r="W291" s="0" t="n">
        <f aca="false">AB291-T291</f>
        <v>0</v>
      </c>
      <c r="X291" s="0" t="n">
        <f aca="false">AC291-U291</f>
        <v>0</v>
      </c>
      <c r="Y291" s="385" t="n">
        <f aca="false">I291-B291</f>
        <v>0</v>
      </c>
    </row>
    <row r="292" customFormat="false" ht="12.75" hidden="false" customHeight="false" outlineLevel="0" collapsed="false">
      <c r="A292" s="0"/>
      <c r="C292" s="367" t="n">
        <v>45717</v>
      </c>
      <c r="D292" s="0" t="n">
        <v>1.65313751998431</v>
      </c>
      <c r="J292" s="367" t="n">
        <v>45717</v>
      </c>
      <c r="K292" s="0" t="n">
        <v>1.66645813024116</v>
      </c>
      <c r="W292" s="0" t="n">
        <f aca="false">AB292-T292</f>
        <v>0</v>
      </c>
      <c r="X292" s="0" t="n">
        <f aca="false">AC292-U292</f>
        <v>0</v>
      </c>
      <c r="Y292" s="385" t="n">
        <f aca="false">I292-B292</f>
        <v>0</v>
      </c>
    </row>
    <row r="293" customFormat="false" ht="12.75" hidden="false" customHeight="false" outlineLevel="0" collapsed="false">
      <c r="A293" s="0"/>
      <c r="C293" s="367" t="n">
        <v>45748</v>
      </c>
      <c r="D293" s="0" t="n">
        <v>1.65322665723489</v>
      </c>
      <c r="J293" s="367" t="n">
        <v>45748</v>
      </c>
      <c r="K293" s="0" t="n">
        <v>1.66653779709316</v>
      </c>
      <c r="W293" s="0" t="n">
        <f aca="false">AB293-T293</f>
        <v>0</v>
      </c>
      <c r="X293" s="0" t="n">
        <f aca="false">AC293-U293</f>
        <v>0</v>
      </c>
      <c r="Y293" s="385" t="n">
        <f aca="false">I293-B293</f>
        <v>0</v>
      </c>
    </row>
    <row r="294" customFormat="false" ht="12.75" hidden="false" customHeight="false" outlineLevel="0" collapsed="false">
      <c r="A294" s="0"/>
      <c r="C294" s="367" t="n">
        <v>45778</v>
      </c>
      <c r="D294" s="0" t="n">
        <v>1.65331146594163</v>
      </c>
      <c r="J294" s="367" t="n">
        <v>45778</v>
      </c>
      <c r="K294" s="0" t="n">
        <v>1.66661303610527</v>
      </c>
      <c r="W294" s="0" t="n">
        <f aca="false">AB294-T294</f>
        <v>0</v>
      </c>
      <c r="X294" s="0" t="n">
        <f aca="false">AC294-U294</f>
        <v>0</v>
      </c>
      <c r="Y294" s="385" t="n">
        <f aca="false">I294-B294</f>
        <v>0</v>
      </c>
    </row>
    <row r="295" customFormat="false" ht="12.75" hidden="false" customHeight="false" outlineLevel="0" collapsed="false">
      <c r="A295" s="0"/>
      <c r="C295" s="367" t="n">
        <v>45809</v>
      </c>
      <c r="D295" s="0" t="n">
        <v>1.6533975997807</v>
      </c>
      <c r="J295" s="367" t="n">
        <v>45809</v>
      </c>
      <c r="K295" s="0" t="n">
        <v>1.66668886295164</v>
      </c>
      <c r="W295" s="0" t="n">
        <f aca="false">AB295-T295</f>
        <v>0</v>
      </c>
      <c r="X295" s="0" t="n">
        <f aca="false">AC295-U295</f>
        <v>0</v>
      </c>
      <c r="Y295" s="385" t="n">
        <f aca="false">I295-B295</f>
        <v>0</v>
      </c>
    </row>
    <row r="296" customFormat="false" ht="12.75" hidden="false" customHeight="false" outlineLevel="0" collapsed="false">
      <c r="A296" s="0"/>
      <c r="C296" s="367" t="n">
        <v>45839</v>
      </c>
      <c r="D296" s="0" t="n">
        <v>1.65347950150673</v>
      </c>
      <c r="J296" s="367" t="n">
        <v>45839</v>
      </c>
      <c r="K296" s="0" t="n">
        <v>1.6667603853351</v>
      </c>
      <c r="W296" s="0" t="n">
        <f aca="false">AB296-T296</f>
        <v>0</v>
      </c>
      <c r="X296" s="0" t="n">
        <f aca="false">AC296-U296</f>
        <v>0</v>
      </c>
      <c r="Y296" s="385" t="n">
        <f aca="false">I296-B296</f>
        <v>0</v>
      </c>
    </row>
    <row r="297" customFormat="false" ht="12.75" hidden="false" customHeight="false" outlineLevel="0" collapsed="false">
      <c r="A297" s="0"/>
      <c r="C297" s="367" t="n">
        <v>45870</v>
      </c>
      <c r="D297" s="0" t="n">
        <v>1.65356263100529</v>
      </c>
      <c r="J297" s="367" t="n">
        <v>45870</v>
      </c>
      <c r="K297" s="0" t="n">
        <v>1.66683237116766</v>
      </c>
    </row>
    <row r="298" customFormat="false" ht="12.75" hidden="false" customHeight="false" outlineLevel="0" collapsed="false">
      <c r="A298" s="0"/>
      <c r="C298" s="367" t="n">
        <v>45901</v>
      </c>
      <c r="D298" s="0" t="n">
        <v>1.65364423336215</v>
      </c>
      <c r="J298" s="367" t="n">
        <v>45901</v>
      </c>
      <c r="K298" s="0" t="n">
        <v>1.66690240463997</v>
      </c>
    </row>
    <row r="299" customFormat="false" ht="12.75" hidden="false" customHeight="false" outlineLevel="0" collapsed="false">
      <c r="A299" s="0"/>
      <c r="C299" s="367" t="n">
        <v>45931</v>
      </c>
      <c r="D299" s="0" t="n">
        <v>1.65372174912838</v>
      </c>
      <c r="J299" s="367" t="n">
        <v>45931</v>
      </c>
      <c r="K299" s="0" t="n">
        <v>1.66696831983487</v>
      </c>
    </row>
    <row r="300" customFormat="false" ht="12.75" hidden="false" customHeight="false" outlineLevel="0" collapsed="false">
      <c r="A300" s="0"/>
      <c r="C300" s="367" t="n">
        <v>45962</v>
      </c>
      <c r="D300" s="0" t="n">
        <v>1.65380034580449</v>
      </c>
      <c r="J300" s="367" t="n">
        <v>45962</v>
      </c>
      <c r="K300" s="0" t="n">
        <v>1.66703451087167</v>
      </c>
    </row>
    <row r="301" customFormat="false" ht="12.75" hidden="false" customHeight="false" outlineLevel="0" collapsed="false">
      <c r="A301" s="0"/>
      <c r="C301" s="367" t="n">
        <v>45992</v>
      </c>
      <c r="D301" s="0" t="n">
        <v>1.65387495243311</v>
      </c>
      <c r="J301" s="367" t="n">
        <v>45992</v>
      </c>
      <c r="K301" s="0" t="n">
        <v>1.66709670714985</v>
      </c>
    </row>
    <row r="302" customFormat="false" ht="12.75" hidden="false" customHeight="false" outlineLevel="0" collapsed="false">
      <c r="A302" s="0"/>
      <c r="C302" s="367" t="n">
        <v>46023</v>
      </c>
      <c r="D302" s="0" t="n">
        <v>1.65395054258032</v>
      </c>
      <c r="J302" s="367" t="n">
        <v>46023</v>
      </c>
      <c r="K302" s="0" t="n">
        <v>1.66715905487407</v>
      </c>
    </row>
    <row r="303" customFormat="false" ht="12.75" hidden="false" customHeight="false" outlineLevel="0" collapsed="false">
      <c r="A303" s="0"/>
      <c r="C303" s="367" t="n">
        <v>46054</v>
      </c>
      <c r="D303" s="0" t="n">
        <v>1.6540246045047</v>
      </c>
      <c r="J303" s="367" t="n">
        <v>46054</v>
      </c>
      <c r="K303" s="0" t="n">
        <v>1.6672194491201</v>
      </c>
    </row>
    <row r="304" customFormat="false" ht="12.75" hidden="false" customHeight="false" outlineLevel="0" collapsed="false">
      <c r="A304" s="0"/>
      <c r="C304" s="367" t="n">
        <v>46082</v>
      </c>
      <c r="D304" s="0" t="n">
        <v>1.65409018543412</v>
      </c>
      <c r="J304" s="367" t="n">
        <v>46082</v>
      </c>
      <c r="K304" s="0" t="n">
        <v>1.66727231953385</v>
      </c>
    </row>
    <row r="305" customFormat="false" ht="12.75" hidden="false" customHeight="false" outlineLevel="0" collapsed="false">
      <c r="A305" s="0"/>
      <c r="C305" s="367" t="n">
        <v>46113</v>
      </c>
      <c r="D305" s="0" t="n">
        <v>1.65416133823842</v>
      </c>
      <c r="J305" s="367" t="n">
        <v>46113</v>
      </c>
      <c r="K305" s="0" t="n">
        <v>1.66732899530591</v>
      </c>
    </row>
    <row r="306" customFormat="false" ht="12.75" hidden="false" customHeight="false" outlineLevel="0" collapsed="false">
      <c r="A306" s="0"/>
      <c r="C306" s="367" t="n">
        <v>46143</v>
      </c>
      <c r="D306" s="0" t="n">
        <v>1.65422874016164</v>
      </c>
      <c r="J306" s="367" t="n">
        <v>46143</v>
      </c>
      <c r="K306" s="0" t="n">
        <v>1.66738198230601</v>
      </c>
    </row>
    <row r="307" customFormat="false" ht="12.75" hidden="false" customHeight="false" outlineLevel="0" collapsed="false">
      <c r="A307" s="0"/>
      <c r="C307" s="367" t="n">
        <v>46174</v>
      </c>
      <c r="D307" s="0" t="n">
        <v>1.6542968844763</v>
      </c>
      <c r="J307" s="367" t="n">
        <v>46174</v>
      </c>
      <c r="K307" s="0" t="n">
        <v>1.66743481281946</v>
      </c>
    </row>
    <row r="308" customFormat="false" ht="12.75" hidden="false" customHeight="false" outlineLevel="0" collapsed="false">
      <c r="A308" s="0"/>
      <c r="C308" s="367" t="n">
        <v>46204</v>
      </c>
      <c r="D308" s="0" t="n">
        <v>1.65436137459787</v>
      </c>
      <c r="J308" s="367" t="n">
        <v>46204</v>
      </c>
      <c r="K308" s="0" t="n">
        <v>1.66748407825877</v>
      </c>
    </row>
    <row r="309" customFormat="false" ht="12.75" hidden="false" customHeight="false" outlineLevel="0" collapsed="false">
      <c r="A309" s="0"/>
      <c r="C309" s="367" t="n">
        <v>46235</v>
      </c>
      <c r="D309" s="0" t="n">
        <v>1.65442650968687</v>
      </c>
      <c r="J309" s="367" t="n">
        <v>46235</v>
      </c>
      <c r="K309" s="0" t="n">
        <v>1.6675330628184</v>
      </c>
    </row>
    <row r="310" customFormat="false" ht="12.75" hidden="false" customHeight="false" outlineLevel="0" collapsed="false">
      <c r="A310" s="0"/>
      <c r="C310" s="367" t="n">
        <v>46266</v>
      </c>
      <c r="D310" s="0" t="n">
        <v>1.65449011522559</v>
      </c>
      <c r="J310" s="367" t="n">
        <v>46266</v>
      </c>
      <c r="K310" s="0" t="n">
        <v>1.66758009262728</v>
      </c>
    </row>
    <row r="311" customFormat="false" ht="12.75" hidden="false" customHeight="false" outlineLevel="0" collapsed="false">
      <c r="A311" s="0"/>
      <c r="C311" s="367" t="n">
        <v>46296</v>
      </c>
      <c r="D311" s="0" t="n">
        <v>1.65455021246989</v>
      </c>
      <c r="J311" s="367" t="n">
        <v>46296</v>
      </c>
      <c r="K311" s="0" t="n">
        <v>1.66762374401254</v>
      </c>
    </row>
    <row r="312" customFormat="false" ht="12.75" hidden="false" customHeight="false" outlineLevel="0" collapsed="false">
      <c r="A312" s="0"/>
      <c r="C312" s="367" t="n">
        <v>46327</v>
      </c>
      <c r="D312" s="0" t="n">
        <v>1.65461080773406</v>
      </c>
      <c r="J312" s="367" t="n">
        <v>46327</v>
      </c>
      <c r="K312" s="0" t="n">
        <v>1.66766692691817</v>
      </c>
    </row>
    <row r="313" customFormat="false" ht="12.75" hidden="false" customHeight="false" outlineLevel="0" collapsed="false">
      <c r="A313" s="0"/>
      <c r="C313" s="367" t="n">
        <v>46357</v>
      </c>
      <c r="D313" s="0" t="n">
        <v>1.65466799148865</v>
      </c>
      <c r="J313" s="367" t="n">
        <v>46357</v>
      </c>
      <c r="K313" s="0" t="n">
        <v>1.66770685521465</v>
      </c>
    </row>
    <row r="314" customFormat="false" ht="12.75" hidden="false" customHeight="false" outlineLevel="0" collapsed="false">
      <c r="A314" s="0"/>
      <c r="C314" s="367" t="n">
        <v>46388</v>
      </c>
      <c r="D314" s="0" t="n">
        <v>1.65472557582338</v>
      </c>
      <c r="J314" s="367" t="n">
        <v>46388</v>
      </c>
      <c r="K314" s="0" t="n">
        <v>1.66774619065326</v>
      </c>
    </row>
    <row r="315" customFormat="false" ht="12.75" hidden="false" customHeight="false" outlineLevel="0" collapsed="false">
      <c r="A315" s="0"/>
      <c r="C315" s="367" t="n">
        <v>46419</v>
      </c>
      <c r="D315" s="0" t="n">
        <v>1.65478162977302</v>
      </c>
      <c r="J315" s="367" t="n">
        <v>46419</v>
      </c>
      <c r="K315" s="0" t="n">
        <v>1.66778357062246</v>
      </c>
    </row>
    <row r="316" customFormat="false" ht="12.75" hidden="false" customHeight="false" outlineLevel="0" collapsed="false">
      <c r="A316" s="0"/>
      <c r="C316" s="367" t="n">
        <v>46447</v>
      </c>
      <c r="D316" s="0" t="n">
        <v>1.65483094361798</v>
      </c>
      <c r="J316" s="367" t="n">
        <v>46447</v>
      </c>
      <c r="K316" s="0" t="n">
        <v>1.66781565230335</v>
      </c>
    </row>
    <row r="317" customFormat="false" ht="12.75" hidden="false" customHeight="false" outlineLevel="0" collapsed="false">
      <c r="A317" s="0"/>
      <c r="C317" s="367" t="n">
        <v>46478</v>
      </c>
      <c r="D317" s="0" t="n">
        <v>1.65488408447029</v>
      </c>
      <c r="J317" s="367" t="n">
        <v>46478</v>
      </c>
      <c r="K317" s="0" t="n">
        <v>1.66784931023251</v>
      </c>
    </row>
    <row r="318" customFormat="false" ht="12.75" hidden="false" customHeight="false" outlineLevel="0" collapsed="false">
      <c r="A318" s="0"/>
      <c r="C318" s="367" t="n">
        <v>46508</v>
      </c>
      <c r="D318" s="0" t="n">
        <v>1.65493405355104</v>
      </c>
      <c r="J318" s="367" t="n">
        <v>46508</v>
      </c>
      <c r="K318" s="0" t="n">
        <v>1.66788002022782</v>
      </c>
    </row>
    <row r="319" customFormat="false" ht="12.75" hidden="false" customHeight="false" outlineLevel="0" collapsed="false">
      <c r="A319" s="0"/>
      <c r="C319" s="367" t="n">
        <v>46539</v>
      </c>
      <c r="D319" s="0" t="n">
        <v>1.65498418199186</v>
      </c>
      <c r="J319" s="367" t="n">
        <v>46539</v>
      </c>
      <c r="K319" s="0" t="n">
        <v>1.66790982951975</v>
      </c>
    </row>
    <row r="320" customFormat="false" ht="12.75" hidden="false" customHeight="false" outlineLevel="0" collapsed="false">
      <c r="A320" s="0"/>
      <c r="C320" s="367" t="n">
        <v>46569</v>
      </c>
      <c r="D320" s="0" t="n">
        <v>1.65503123556927</v>
      </c>
      <c r="J320" s="367" t="n">
        <v>46569</v>
      </c>
      <c r="K320" s="0" t="n">
        <v>1.66793681483638</v>
      </c>
    </row>
    <row r="321" customFormat="false" ht="12.75" hidden="false" customHeight="false" outlineLevel="0" collapsed="false">
      <c r="A321" s="0"/>
      <c r="C321" s="367" t="n">
        <v>46600</v>
      </c>
      <c r="D321" s="0" t="n">
        <v>1.65507835105615</v>
      </c>
      <c r="J321" s="367" t="n">
        <v>46600</v>
      </c>
      <c r="K321" s="0" t="n">
        <v>1.66796277510943</v>
      </c>
    </row>
    <row r="322" customFormat="false" ht="12.75" hidden="false" customHeight="false" outlineLevel="0" collapsed="false">
      <c r="A322" s="0"/>
      <c r="C322" s="367" t="n">
        <v>46631</v>
      </c>
      <c r="D322" s="0" t="n">
        <v>1.65512393517222</v>
      </c>
      <c r="J322" s="367" t="n">
        <v>46631</v>
      </c>
      <c r="K322" s="0" t="n">
        <v>1.66798677919425</v>
      </c>
    </row>
    <row r="323" customFormat="false" ht="12.75" hidden="false" customHeight="false" outlineLevel="0" collapsed="false">
      <c r="A323" s="0"/>
      <c r="C323" s="367" t="n">
        <v>46661</v>
      </c>
      <c r="D323" s="0" t="n">
        <v>1.6551665906438</v>
      </c>
      <c r="J323" s="367" t="n">
        <v>46661</v>
      </c>
      <c r="K323" s="0" t="n">
        <v>1.66800814632835</v>
      </c>
    </row>
    <row r="324" customFormat="false" ht="12.75" hidden="false" customHeight="false" outlineLevel="0" collapsed="false">
      <c r="A324" s="0"/>
      <c r="C324" s="367" t="n">
        <v>46692</v>
      </c>
      <c r="D324" s="0" t="n">
        <v>1.65520916104904</v>
      </c>
      <c r="J324" s="367" t="n">
        <v>46692</v>
      </c>
      <c r="K324" s="0" t="n">
        <v>1.66802830091786</v>
      </c>
    </row>
    <row r="325" customFormat="false" ht="12.75" hidden="false" customHeight="false" outlineLevel="0" collapsed="false">
      <c r="A325" s="0"/>
      <c r="C325" s="367" t="n">
        <v>46722</v>
      </c>
      <c r="D325" s="0" t="n">
        <v>1.65524889979916</v>
      </c>
      <c r="J325" s="367" t="n">
        <v>46722</v>
      </c>
      <c r="K325" s="0" t="n">
        <v>1.66804594260657</v>
      </c>
    </row>
    <row r="326" customFormat="false" ht="12.75" hidden="false" customHeight="false" outlineLevel="0" collapsed="false">
      <c r="A326" s="0"/>
      <c r="C326" s="367" t="n">
        <v>46753</v>
      </c>
      <c r="D326" s="0" t="n">
        <v>1.6552884560323</v>
      </c>
      <c r="J326" s="367" t="n">
        <v>46753</v>
      </c>
      <c r="K326" s="0" t="n">
        <v>1.66806224745071</v>
      </c>
    </row>
    <row r="327" customFormat="false" ht="12.75" hidden="false" customHeight="false" outlineLevel="0" collapsed="false">
      <c r="A327" s="0"/>
      <c r="C327" s="367" t="n">
        <v>46784</v>
      </c>
      <c r="D327" s="0" t="n">
        <v>1.65532648030673</v>
      </c>
      <c r="J327" s="367" t="n">
        <v>46784</v>
      </c>
      <c r="K327" s="0" t="n">
        <v>1.66807659578783</v>
      </c>
    </row>
    <row r="328" customFormat="false" ht="12.75" hidden="false" customHeight="false" outlineLevel="0" collapsed="false">
      <c r="A328" s="0"/>
      <c r="C328" s="367" t="n">
        <v>46813</v>
      </c>
      <c r="D328" s="0" t="n">
        <v>1.65536066441483</v>
      </c>
      <c r="J328" s="367" t="n">
        <v>46813</v>
      </c>
      <c r="K328" s="0" t="n">
        <v>1.6680882471471</v>
      </c>
    </row>
    <row r="329" customFormat="false" ht="12.75" hidden="false" customHeight="false" outlineLevel="0" collapsed="false">
      <c r="A329" s="0"/>
      <c r="C329" s="367" t="n">
        <v>46844</v>
      </c>
      <c r="D329" s="0" t="n">
        <v>1.65539572330903</v>
      </c>
      <c r="J329" s="367" t="n">
        <v>46844</v>
      </c>
      <c r="K329" s="0" t="n">
        <v>1.66809880857708</v>
      </c>
    </row>
    <row r="330" customFormat="false" ht="12.75" hidden="false" customHeight="false" outlineLevel="0" collapsed="false">
      <c r="A330" s="0"/>
      <c r="C330" s="367" t="n">
        <v>46874</v>
      </c>
      <c r="D330" s="0" t="n">
        <v>1.65542819235722</v>
      </c>
      <c r="J330" s="367" t="n">
        <v>46874</v>
      </c>
      <c r="K330" s="0" t="n">
        <v>1.66810716635593</v>
      </c>
    </row>
    <row r="331" customFormat="false" ht="12.75" hidden="false" customHeight="false" outlineLevel="0" collapsed="false">
      <c r="A331" s="0"/>
      <c r="C331" s="367" t="n">
        <v>46905</v>
      </c>
      <c r="D331" s="0" t="n">
        <v>1.65546023607102</v>
      </c>
      <c r="J331" s="367" t="n">
        <v>46905</v>
      </c>
      <c r="K331" s="0" t="n">
        <v>1.66811387764551</v>
      </c>
    </row>
    <row r="332" customFormat="false" ht="12.75" hidden="false" customHeight="false" outlineLevel="0" collapsed="false">
      <c r="A332" s="0"/>
      <c r="C332" s="367" t="n">
        <v>46935</v>
      </c>
      <c r="D332" s="0" t="n">
        <v>1.65548978703033</v>
      </c>
      <c r="J332" s="367" t="n">
        <v>46935</v>
      </c>
      <c r="K332" s="0" t="n">
        <v>1.66811850944327</v>
      </c>
    </row>
    <row r="333" customFormat="false" ht="12.75" hidden="false" customHeight="false" outlineLevel="0" collapsed="false">
      <c r="A333" s="0"/>
      <c r="C333" s="367" t="n">
        <v>46966</v>
      </c>
      <c r="D333" s="0" t="n">
        <v>1.65551881521568</v>
      </c>
      <c r="J333" s="367" t="n">
        <v>46966</v>
      </c>
      <c r="K333" s="0" t="n">
        <v>1.66812137052552</v>
      </c>
    </row>
    <row r="334" customFormat="false" ht="12.75" hidden="false" customHeight="false" outlineLevel="0" collapsed="false">
      <c r="A334" s="0"/>
      <c r="C334" s="367" t="n">
        <v>46997</v>
      </c>
      <c r="D334" s="0" t="n">
        <v>1.65554631079636</v>
      </c>
      <c r="J334" s="367" t="n">
        <v>46997</v>
      </c>
      <c r="K334" s="0" t="n">
        <v>1.66812227493617</v>
      </c>
    </row>
    <row r="335" customFormat="false" ht="12.75" hidden="false" customHeight="false" outlineLevel="0" collapsed="false">
      <c r="A335" s="0"/>
      <c r="C335" s="367" t="n">
        <v>47027</v>
      </c>
      <c r="D335" s="0" t="n">
        <v>1.65557146010622</v>
      </c>
      <c r="J335" s="367" t="n">
        <v>47027</v>
      </c>
      <c r="K335" s="0" t="n">
        <v>1.66812128716323</v>
      </c>
    </row>
    <row r="336" customFormat="false" ht="12.75" hidden="false" customHeight="false" outlineLevel="0" collapsed="false">
      <c r="A336" s="0"/>
      <c r="C336" s="367" t="n">
        <v>47058</v>
      </c>
      <c r="D336" s="0" t="n">
        <v>1.65559593969481</v>
      </c>
      <c r="J336" s="367" t="n">
        <v>47058</v>
      </c>
      <c r="K336" s="0" t="n">
        <v>1.66811834136483</v>
      </c>
    </row>
    <row r="337" customFormat="false" ht="12.75" hidden="false" customHeight="false" outlineLevel="0" collapsed="false">
      <c r="A337" s="0"/>
      <c r="C337" s="367" t="n">
        <v>47088</v>
      </c>
      <c r="D337" s="0" t="n">
        <v>1.65561817016967</v>
      </c>
      <c r="J337" s="367" t="n">
        <v>47088</v>
      </c>
      <c r="K337" s="0" t="n">
        <v>1.66811362760802</v>
      </c>
    </row>
    <row r="338" customFormat="false" ht="12.75" hidden="false" customHeight="false" outlineLevel="0" collapsed="false">
      <c r="A338" s="0"/>
      <c r="C338" s="367" t="n">
        <v>47119</v>
      </c>
      <c r="D338" s="0" t="n">
        <v>1.65563963349946</v>
      </c>
      <c r="J338" s="367" t="n">
        <v>47119</v>
      </c>
      <c r="K338" s="0" t="n">
        <v>1.6681068316652</v>
      </c>
    </row>
    <row r="339" customFormat="false" ht="12.75" hidden="false" customHeight="false" outlineLevel="0" collapsed="false">
      <c r="A339" s="0"/>
      <c r="C339" s="367" t="n">
        <v>47150</v>
      </c>
      <c r="D339" s="0" t="n">
        <v>1.65565956388458</v>
      </c>
      <c r="J339" s="367" t="n">
        <v>47150</v>
      </c>
      <c r="K339" s="0" t="n">
        <v>1.66809807913319</v>
      </c>
    </row>
    <row r="340" customFormat="false" ht="12.75" hidden="false" customHeight="false" outlineLevel="0" collapsed="false">
      <c r="A340" s="0"/>
      <c r="C340" s="367" t="n">
        <v>47178</v>
      </c>
      <c r="D340" s="0" t="n">
        <v>1.65567624787727</v>
      </c>
      <c r="J340" s="367" t="n">
        <v>47178</v>
      </c>
      <c r="K340" s="0" t="n">
        <v>1.66808849192102</v>
      </c>
    </row>
    <row r="341" customFormat="false" ht="12.75" hidden="false" customHeight="false" outlineLevel="0" collapsed="false">
      <c r="A341" s="0"/>
      <c r="C341" s="367" t="n">
        <v>47209</v>
      </c>
      <c r="D341" s="0" t="n">
        <v>1.65569326057069</v>
      </c>
      <c r="J341" s="367" t="n">
        <v>47209</v>
      </c>
      <c r="K341" s="0" t="n">
        <v>1.66807601566628</v>
      </c>
    </row>
    <row r="342" customFormat="false" ht="12.75" hidden="false" customHeight="false" outlineLevel="0" collapsed="false">
      <c r="A342" s="0"/>
      <c r="C342" s="367" t="n">
        <v>47239</v>
      </c>
      <c r="D342" s="0" t="n">
        <v>1.65570826475625</v>
      </c>
      <c r="J342" s="367" t="n">
        <v>47239</v>
      </c>
      <c r="K342" s="0" t="n">
        <v>1.66806207905801</v>
      </c>
    </row>
    <row r="343" customFormat="false" ht="12.75" hidden="false" customHeight="false" outlineLevel="0" collapsed="false">
      <c r="A343" s="0"/>
      <c r="C343" s="367" t="n">
        <v>47270</v>
      </c>
      <c r="D343" s="0" t="n">
        <v>1.65572226067016</v>
      </c>
      <c r="J343" s="367" t="n">
        <v>47270</v>
      </c>
      <c r="K343" s="0" t="n">
        <v>1.66804575304452</v>
      </c>
    </row>
    <row r="344" customFormat="false" ht="12.75" hidden="false" customHeight="false" outlineLevel="0" collapsed="false">
      <c r="A344" s="0"/>
      <c r="C344" s="367" t="n">
        <v>47300</v>
      </c>
      <c r="D344" s="0" t="n">
        <v>1.65573434531322</v>
      </c>
      <c r="J344" s="367" t="n">
        <v>47300</v>
      </c>
      <c r="K344" s="0" t="n">
        <v>1.6680280909764</v>
      </c>
    </row>
    <row r="345" customFormat="false" ht="12.75" hidden="false" customHeight="false" outlineLevel="0" collapsed="false">
      <c r="A345" s="0"/>
      <c r="C345" s="367" t="n">
        <v>47331</v>
      </c>
      <c r="D345" s="0" t="n">
        <v>1.65574532429366</v>
      </c>
      <c r="J345" s="367" t="n">
        <v>47331</v>
      </c>
      <c r="K345" s="0" t="n">
        <v>1.66800791545109</v>
      </c>
    </row>
    <row r="346" customFormat="false" ht="12.75" hidden="false" customHeight="false" outlineLevel="0" collapsed="false">
      <c r="A346" s="0"/>
      <c r="C346" s="367" t="n">
        <v>47362</v>
      </c>
      <c r="D346" s="0" t="n">
        <v>1.65575477002981</v>
      </c>
      <c r="J346" s="367" t="n">
        <v>47362</v>
      </c>
      <c r="K346" s="0" t="n">
        <v>1.66798578372794</v>
      </c>
    </row>
    <row r="347" customFormat="false" ht="12.75" hidden="false" customHeight="false" outlineLevel="0" collapsed="false">
      <c r="A347" s="0"/>
      <c r="C347" s="367" t="n">
        <v>47392</v>
      </c>
      <c r="D347" s="0" t="n">
        <v>1.65576245118641</v>
      </c>
      <c r="J347" s="367" t="n">
        <v>47392</v>
      </c>
      <c r="K347" s="0" t="n">
        <v>1.66796250344969</v>
      </c>
    </row>
    <row r="348" customFormat="false" ht="12.75" hidden="false" customHeight="false" outlineLevel="0" collapsed="false">
      <c r="A348" s="0"/>
      <c r="C348" s="367" t="n">
        <v>47423</v>
      </c>
      <c r="D348" s="0" t="n">
        <v>1.65576887981821</v>
      </c>
      <c r="J348" s="367" t="n">
        <v>47423</v>
      </c>
      <c r="K348" s="0" t="n">
        <v>1.66793652268634</v>
      </c>
    </row>
    <row r="349" customFormat="false" ht="12.75" hidden="false" customHeight="false" outlineLevel="0" collapsed="false">
      <c r="A349" s="0"/>
      <c r="C349" s="367" t="n">
        <v>47453</v>
      </c>
      <c r="D349" s="0" t="n">
        <v>1.65577364115736</v>
      </c>
      <c r="J349" s="367" t="n">
        <v>47453</v>
      </c>
      <c r="K349" s="0" t="n">
        <v>1.6679095177072</v>
      </c>
    </row>
    <row r="350" customFormat="false" ht="12.75" hidden="false" customHeight="false" outlineLevel="0" collapsed="false">
      <c r="A350" s="0"/>
      <c r="C350" s="367" t="n">
        <v>47484</v>
      </c>
      <c r="D350" s="0" t="n">
        <v>1.65577705261228</v>
      </c>
      <c r="J350" s="367" t="n">
        <v>47484</v>
      </c>
      <c r="K350" s="0" t="n">
        <v>1.66787968828212</v>
      </c>
    </row>
    <row r="351" customFormat="false" ht="12.75" hidden="false" customHeight="false" outlineLevel="0" collapsed="false">
      <c r="A351" s="0"/>
      <c r="C351" s="367" t="n">
        <v>47515</v>
      </c>
      <c r="D351" s="0" t="n">
        <v>1.65577893073038</v>
      </c>
      <c r="J351" s="367" t="n">
        <v>47515</v>
      </c>
      <c r="K351" s="0" t="n">
        <v>1.66784790314159</v>
      </c>
    </row>
    <row r="352" customFormat="false" ht="12.75" hidden="false" customHeight="false" outlineLevel="0" collapsed="false">
      <c r="A352" s="0"/>
      <c r="C352" s="367" t="n">
        <v>47543</v>
      </c>
      <c r="D352" s="0" t="n">
        <v>1.65577930915427</v>
      </c>
      <c r="J352" s="367" t="n">
        <v>47543</v>
      </c>
      <c r="K352" s="0" t="n">
        <v>1.66781751310142</v>
      </c>
    </row>
    <row r="353" customFormat="false" ht="12.75" hidden="false" customHeight="false" outlineLevel="0" collapsed="false">
      <c r="A353" s="0"/>
      <c r="C353" s="367" t="n">
        <v>47574</v>
      </c>
      <c r="D353" s="0" t="n">
        <v>1.65577826897286</v>
      </c>
      <c r="J353" s="367" t="n">
        <v>47574</v>
      </c>
      <c r="K353" s="0" t="n">
        <v>1.66778200612495</v>
      </c>
    </row>
    <row r="354" customFormat="false" ht="12.75" hidden="false" customHeight="false" outlineLevel="0" collapsed="false">
      <c r="A354" s="0"/>
      <c r="C354" s="367" t="n">
        <v>47604</v>
      </c>
      <c r="D354" s="0" t="n">
        <v>1.65577580239911</v>
      </c>
      <c r="J354" s="367" t="n">
        <v>47604</v>
      </c>
      <c r="K354" s="0" t="n">
        <v>1.66774578277658</v>
      </c>
    </row>
    <row r="355" customFormat="false" ht="12.75" hidden="false" customHeight="false" outlineLevel="0" collapsed="false">
      <c r="A355" s="0"/>
      <c r="C355" s="367" t="n">
        <v>47635</v>
      </c>
      <c r="D355" s="0" t="n">
        <v>1.65577174500077</v>
      </c>
      <c r="J355" s="367" t="n">
        <v>47635</v>
      </c>
      <c r="K355" s="0" t="n">
        <v>1.66770642830066</v>
      </c>
    </row>
    <row r="356" customFormat="false" ht="12.75" hidden="false" customHeight="false" outlineLevel="0" collapsed="false">
      <c r="A356" s="0"/>
      <c r="C356" s="367" t="n">
        <v>47665</v>
      </c>
      <c r="D356" s="0" t="n">
        <v>1.65576635855518</v>
      </c>
      <c r="J356" s="367" t="n">
        <v>47665</v>
      </c>
      <c r="K356" s="0" t="n">
        <v>1.6676664818306</v>
      </c>
    </row>
    <row r="357" customFormat="false" ht="12.75" hidden="false" customHeight="false" outlineLevel="0" collapsed="false">
      <c r="A357" s="0"/>
      <c r="C357" s="367" t="n">
        <v>47696</v>
      </c>
      <c r="D357" s="0" t="n">
        <v>1.65575928398017</v>
      </c>
      <c r="J357" s="367" t="n">
        <v>47696</v>
      </c>
      <c r="K357" s="0" t="n">
        <v>1.66762328041587</v>
      </c>
    </row>
    <row r="358" customFormat="false" ht="12.75" hidden="false" customHeight="false" outlineLevel="0" collapsed="false">
      <c r="A358" s="0"/>
      <c r="C358" s="367" t="n">
        <v>47727</v>
      </c>
      <c r="D358" s="0" t="n">
        <v>1.65575067611166</v>
      </c>
      <c r="J358" s="367" t="n">
        <v>47727</v>
      </c>
      <c r="K358" s="0" t="n">
        <v>1.66757812423106</v>
      </c>
    </row>
    <row r="359" customFormat="false" ht="12.75" hidden="false" customHeight="false" outlineLevel="0" collapsed="false">
      <c r="A359" s="0"/>
      <c r="C359" s="367" t="n">
        <v>47757</v>
      </c>
      <c r="D359" s="0" t="n">
        <v>1.65574088603833</v>
      </c>
      <c r="J359" s="367" t="n">
        <v>47757</v>
      </c>
      <c r="K359" s="0" t="n">
        <v>1.66753256365144</v>
      </c>
    </row>
    <row r="360" customFormat="false" ht="12.75" hidden="false" customHeight="false" outlineLevel="0" collapsed="false">
      <c r="A360" s="0"/>
      <c r="C360" s="367" t="n">
        <v>47788</v>
      </c>
      <c r="D360" s="0" t="n">
        <v>1.65572926111518</v>
      </c>
      <c r="J360" s="367" t="n">
        <v>47788</v>
      </c>
      <c r="K360" s="0" t="n">
        <v>1.66748356147235</v>
      </c>
    </row>
    <row r="361" customFormat="false" ht="12.75" hidden="false" customHeight="false" outlineLevel="0" collapsed="false">
      <c r="A361" s="0"/>
      <c r="C361" s="367" t="n">
        <v>47818</v>
      </c>
      <c r="D361" s="0" t="n">
        <v>1.65571655136647</v>
      </c>
      <c r="J361" s="367" t="n">
        <v>47818</v>
      </c>
      <c r="K361" s="0" t="n">
        <v>1.6674342792912</v>
      </c>
    </row>
    <row r="362" customFormat="false" ht="12.75" hidden="false" customHeight="false" outlineLevel="0" collapsed="false">
      <c r="A362" s="0"/>
      <c r="C362" s="367" t="n">
        <v>47849</v>
      </c>
      <c r="D362" s="0" t="n">
        <v>1.65570190951028</v>
      </c>
      <c r="J362" s="367" t="n">
        <v>47849</v>
      </c>
      <c r="K362" s="0" t="n">
        <v>1.66738143180975</v>
      </c>
    </row>
    <row r="363" customFormat="false" ht="12.75" hidden="false" customHeight="false" outlineLevel="0" collapsed="false">
      <c r="A363" s="0"/>
      <c r="C363" s="367" t="n">
        <v>47880</v>
      </c>
      <c r="D363" s="0" t="n">
        <v>1.65568573451563</v>
      </c>
      <c r="J363" s="367" t="n">
        <v>47880</v>
      </c>
      <c r="K363" s="0" t="n">
        <v>1.66732663044023</v>
      </c>
    </row>
    <row r="364" customFormat="false" ht="12.75" hidden="false" customHeight="false" outlineLevel="0" collapsed="false">
      <c r="A364" s="0"/>
      <c r="C364" s="367" t="n">
        <v>47908</v>
      </c>
      <c r="D364" s="0" t="n">
        <v>1.65566980711439</v>
      </c>
      <c r="J364" s="367" t="n">
        <v>47908</v>
      </c>
      <c r="K364" s="0" t="n">
        <v>1.66727545318603</v>
      </c>
    </row>
    <row r="365" customFormat="false" ht="12.75" hidden="false" customHeight="false" outlineLevel="0" collapsed="false">
      <c r="A365" s="0"/>
      <c r="C365" s="367" t="n">
        <v>47939</v>
      </c>
      <c r="D365" s="0" t="n">
        <v>1.65565071433634</v>
      </c>
      <c r="J365" s="367" t="n">
        <v>47939</v>
      </c>
      <c r="K365" s="0" t="n">
        <v>1.66721693368202</v>
      </c>
    </row>
    <row r="366" customFormat="false" ht="12.75" hidden="false" customHeight="false" outlineLevel="0" collapsed="false">
      <c r="A366" s="0"/>
      <c r="C366" s="367" t="n">
        <v>47969</v>
      </c>
      <c r="D366" s="0" t="n">
        <v>1.65563077783472</v>
      </c>
      <c r="J366" s="367" t="n">
        <v>47969</v>
      </c>
      <c r="K366" s="0" t="n">
        <v>1.66715844210839</v>
      </c>
    </row>
    <row r="367" customFormat="false" ht="12.75" hidden="false" customHeight="false" outlineLevel="0" collapsed="false">
      <c r="A367" s="0"/>
      <c r="C367" s="367" t="n">
        <v>48000</v>
      </c>
      <c r="D367" s="0" t="n">
        <v>1.65560866856432</v>
      </c>
      <c r="J367" s="367" t="n">
        <v>48000</v>
      </c>
      <c r="K367" s="0" t="n">
        <v>1.66709607923998</v>
      </c>
    </row>
    <row r="368" customFormat="false" ht="12.75" hidden="false" customHeight="false" outlineLevel="0" collapsed="false">
      <c r="A368" s="0"/>
      <c r="C368" s="367" t="n">
        <v>48030</v>
      </c>
      <c r="D368" s="0" t="n">
        <v>1.65558581298603</v>
      </c>
      <c r="J368" s="367" t="n">
        <v>48030</v>
      </c>
      <c r="K368" s="0" t="n">
        <v>1.66703386869793</v>
      </c>
    </row>
    <row r="369" customFormat="false" ht="12.75" hidden="false" customHeight="false" outlineLevel="0" collapsed="false">
      <c r="A369" s="0"/>
      <c r="C369" s="367" t="n">
        <v>48061</v>
      </c>
      <c r="D369" s="0" t="n">
        <v>1.65556068745765</v>
      </c>
      <c r="J369" s="367" t="n">
        <v>48061</v>
      </c>
      <c r="K369" s="0" t="n">
        <v>1.66696766333893</v>
      </c>
    </row>
    <row r="370" customFormat="false" ht="12.75" hidden="false" customHeight="false" outlineLevel="0" collapsed="false">
      <c r="A370" s="0"/>
      <c r="C370" s="367" t="n">
        <v>48092</v>
      </c>
      <c r="D370" s="0" t="n">
        <v>1.65553402917709</v>
      </c>
      <c r="J370" s="367" t="n">
        <v>48092</v>
      </c>
      <c r="K370" s="0" t="n">
        <v>1.66689950559041</v>
      </c>
    </row>
    <row r="371" customFormat="false" ht="12.75" hidden="false" customHeight="false" outlineLevel="0" collapsed="false">
      <c r="A371" s="0"/>
      <c r="C371" s="367" t="n">
        <v>48122</v>
      </c>
      <c r="D371" s="0" t="n">
        <v>1.65550677152573</v>
      </c>
      <c r="J371" s="367" t="n">
        <v>48122</v>
      </c>
      <c r="K371" s="0" t="n">
        <v>1.66683168777574</v>
      </c>
    </row>
    <row r="372" customFormat="false" ht="12.75" hidden="false" customHeight="false" outlineLevel="0" collapsed="false">
      <c r="A372" s="0"/>
    </row>
    <row r="373" customFormat="false" ht="12.75" hidden="false" customHeight="false" outlineLevel="0" collapsed="false">
      <c r="A373" s="0"/>
    </row>
    <row r="374" customFormat="false" ht="12.75" hidden="false" customHeight="false" outlineLevel="0" collapsed="false">
      <c r="A374" s="0"/>
    </row>
    <row r="375" customFormat="false" ht="12.75" hidden="false" customHeight="false" outlineLevel="0" collapsed="false">
      <c r="A375" s="0"/>
    </row>
    <row r="376" customFormat="false" ht="12.75" hidden="false" customHeight="false" outlineLevel="0" collapsed="false">
      <c r="A376" s="0"/>
    </row>
    <row r="377" customFormat="false" ht="12.75" hidden="false" customHeight="false" outlineLevel="0" collapsed="false">
      <c r="A377" s="0"/>
    </row>
    <row r="378" customFormat="false" ht="12.75" hidden="false" customHeight="false" outlineLevel="0" collapsed="false">
      <c r="A378" s="0"/>
    </row>
    <row r="379" customFormat="false" ht="12.75" hidden="false" customHeight="false" outlineLevel="0" collapsed="false">
      <c r="A379" s="0"/>
    </row>
    <row r="380" customFormat="false" ht="12.75" hidden="false" customHeight="false" outlineLevel="0" collapsed="false">
      <c r="A380" s="0"/>
    </row>
    <row r="381" customFormat="false" ht="12.75" hidden="false" customHeight="false" outlineLevel="0" collapsed="false">
      <c r="A381" s="0"/>
    </row>
    <row r="382" customFormat="false" ht="12.75" hidden="false" customHeight="false" outlineLevel="0" collapsed="false">
      <c r="A382" s="0"/>
    </row>
    <row r="383" customFormat="false" ht="12.75" hidden="false" customHeight="false" outlineLevel="0" collapsed="false">
      <c r="A383" s="0"/>
    </row>
    <row r="384" customFormat="false" ht="12.75" hidden="false" customHeight="false" outlineLevel="0" collapsed="false">
      <c r="A384" s="0"/>
    </row>
    <row r="385" customFormat="false" ht="12.75" hidden="false" customHeight="false" outlineLevel="0" collapsed="false">
      <c r="A385" s="0"/>
    </row>
    <row r="386" customFormat="false" ht="12.75" hidden="false" customHeight="false" outlineLevel="0" collapsed="false">
      <c r="A386" s="0"/>
    </row>
    <row r="387" customFormat="false" ht="12.75" hidden="false" customHeight="false" outlineLevel="0" collapsed="false">
      <c r="A387" s="0"/>
    </row>
    <row r="388" customFormat="false" ht="12.75" hidden="false" customHeight="false" outlineLevel="0" collapsed="false">
      <c r="A388" s="0"/>
    </row>
    <row r="389" customFormat="false" ht="12.75" hidden="false" customHeight="false" outlineLevel="0" collapsed="false">
      <c r="A389" s="0"/>
    </row>
    <row r="390" customFormat="false" ht="12.75" hidden="false" customHeight="false" outlineLevel="0" collapsed="false">
      <c r="A390" s="0"/>
    </row>
    <row r="391" customFormat="false" ht="12.75" hidden="false" customHeight="false" outlineLevel="0" collapsed="false">
      <c r="A391" s="0"/>
    </row>
    <row r="392" customFormat="false" ht="12.75" hidden="false" customHeight="false" outlineLevel="0" collapsed="false">
      <c r="A392" s="0"/>
    </row>
    <row r="393" customFormat="false" ht="12.75" hidden="false" customHeight="false" outlineLevel="0" collapsed="false">
      <c r="A393" s="0"/>
    </row>
    <row r="394" customFormat="false" ht="12.75" hidden="false" customHeight="false" outlineLevel="0" collapsed="false">
      <c r="A394" s="0"/>
    </row>
    <row r="395" customFormat="false" ht="12.75" hidden="false" customHeight="false" outlineLevel="0" collapsed="false">
      <c r="A395" s="0"/>
    </row>
    <row r="396" customFormat="false" ht="12.75" hidden="false" customHeight="false" outlineLevel="0" collapsed="false">
      <c r="A396" s="0"/>
    </row>
    <row r="397" customFormat="false" ht="12.75" hidden="false" customHeight="false" outlineLevel="0" collapsed="false">
      <c r="A397" s="0"/>
    </row>
    <row r="398" customFormat="false" ht="12.75" hidden="false" customHeight="false" outlineLevel="0" collapsed="false">
      <c r="A398" s="0"/>
    </row>
    <row r="399" customFormat="false" ht="12.75" hidden="false" customHeight="false" outlineLevel="0" collapsed="false">
      <c r="A399" s="0"/>
    </row>
    <row r="400" customFormat="false" ht="12.75" hidden="false" customHeight="false" outlineLevel="0" collapsed="false">
      <c r="A400" s="0"/>
    </row>
    <row r="401" customFormat="false" ht="12.75" hidden="false" customHeight="false" outlineLevel="0" collapsed="false">
      <c r="A401" s="0"/>
    </row>
    <row r="402" customFormat="false" ht="12.75" hidden="false" customHeight="false" outlineLevel="0" collapsed="false">
      <c r="A402" s="0"/>
    </row>
    <row r="403" customFormat="false" ht="12.75" hidden="false" customHeight="false" outlineLevel="0" collapsed="false">
      <c r="A403" s="0"/>
    </row>
    <row r="404" customFormat="false" ht="12.75" hidden="false" customHeight="false" outlineLevel="0" collapsed="false">
      <c r="A404" s="0"/>
    </row>
    <row r="405" customFormat="false" ht="12.75" hidden="false" customHeight="false" outlineLevel="0" collapsed="false">
      <c r="A405" s="0"/>
    </row>
    <row r="406" customFormat="false" ht="12.75" hidden="false" customHeight="false" outlineLevel="0" collapsed="false">
      <c r="A406" s="0"/>
    </row>
    <row r="407" customFormat="false" ht="12.75" hidden="false" customHeight="false" outlineLevel="0" collapsed="false">
      <c r="A407" s="0"/>
    </row>
    <row r="408" customFormat="false" ht="12.75" hidden="false" customHeight="false" outlineLevel="0" collapsed="false">
      <c r="A408" s="0"/>
    </row>
    <row r="409" customFormat="false" ht="12.75" hidden="false" customHeight="false" outlineLevel="0" collapsed="false">
      <c r="A409" s="0"/>
    </row>
    <row r="410" customFormat="false" ht="12.75" hidden="false" customHeight="false" outlineLevel="0" collapsed="false">
      <c r="A410" s="0"/>
    </row>
    <row r="411" customFormat="false" ht="12.75" hidden="false" customHeight="false" outlineLevel="0" collapsed="false">
      <c r="A411" s="0"/>
    </row>
    <row r="412" customFormat="false" ht="12.75" hidden="false" customHeight="false" outlineLevel="0" collapsed="false">
      <c r="A412" s="0"/>
    </row>
    <row r="413" customFormat="false" ht="12.75" hidden="false" customHeight="false" outlineLevel="0" collapsed="false">
      <c r="A413" s="0"/>
    </row>
    <row r="414" customFormat="false" ht="12.75" hidden="false" customHeight="false" outlineLevel="0" collapsed="false">
      <c r="A414" s="0"/>
    </row>
    <row r="415" customFormat="false" ht="12.75" hidden="false" customHeight="false" outlineLevel="0" collapsed="false">
      <c r="A415" s="0"/>
    </row>
    <row r="416" customFormat="false" ht="12.75" hidden="false" customHeight="false" outlineLevel="0" collapsed="false">
      <c r="A416" s="0"/>
    </row>
    <row r="417" customFormat="false" ht="12.75" hidden="false" customHeight="false" outlineLevel="0" collapsed="false">
      <c r="A417" s="0"/>
    </row>
    <row r="418" customFormat="false" ht="12.75" hidden="false" customHeight="false" outlineLevel="0" collapsed="false">
      <c r="A418" s="0"/>
    </row>
    <row r="419" customFormat="false" ht="12.75" hidden="false" customHeight="false" outlineLevel="0" collapsed="false">
      <c r="A419" s="0"/>
    </row>
    <row r="420" customFormat="false" ht="12.75" hidden="false" customHeight="false" outlineLevel="0" collapsed="false">
      <c r="A420" s="0"/>
    </row>
    <row r="421" customFormat="false" ht="12.75" hidden="false" customHeight="false" outlineLevel="0" collapsed="false">
      <c r="A421" s="0"/>
    </row>
    <row r="422" customFormat="false" ht="12.75" hidden="false" customHeight="false" outlineLevel="0" collapsed="false">
      <c r="A422" s="0"/>
    </row>
    <row r="423" customFormat="false" ht="12.75" hidden="false" customHeight="false" outlineLevel="0" collapsed="false">
      <c r="A423" s="0"/>
    </row>
    <row r="424" customFormat="false" ht="12.75" hidden="false" customHeight="false" outlineLevel="0" collapsed="false">
      <c r="A424" s="0"/>
    </row>
    <row r="425" customFormat="false" ht="12.75" hidden="false" customHeight="false" outlineLevel="0" collapsed="false">
      <c r="A425" s="0"/>
    </row>
    <row r="426" customFormat="false" ht="12.75" hidden="false" customHeight="false" outlineLevel="0" collapsed="false">
      <c r="A426" s="0"/>
    </row>
    <row r="427" customFormat="false" ht="12.75" hidden="false" customHeight="false" outlineLevel="0" collapsed="false">
      <c r="A427" s="0"/>
    </row>
    <row r="428" customFormat="false" ht="12.75" hidden="false" customHeight="false" outlineLevel="0" collapsed="false">
      <c r="A428" s="0"/>
    </row>
    <row r="429" customFormat="false" ht="12.75" hidden="false" customHeight="false" outlineLevel="0" collapsed="false">
      <c r="A429" s="0"/>
    </row>
    <row r="430" customFormat="false" ht="12.75" hidden="false" customHeight="false" outlineLevel="0" collapsed="false">
      <c r="A430" s="0"/>
    </row>
    <row r="431" customFormat="false" ht="12.75" hidden="false" customHeight="false" outlineLevel="0" collapsed="false">
      <c r="A431" s="0"/>
    </row>
    <row r="432" customFormat="false" ht="12.75" hidden="false" customHeight="false" outlineLevel="0" collapsed="false">
      <c r="A432" s="0"/>
    </row>
    <row r="433" customFormat="false" ht="12.75" hidden="false" customHeight="false" outlineLevel="0" collapsed="false">
      <c r="A433" s="0"/>
    </row>
    <row r="434" customFormat="false" ht="12.75" hidden="false" customHeight="false" outlineLevel="0" collapsed="false">
      <c r="A434" s="0"/>
    </row>
    <row r="435" customFormat="false" ht="12.75" hidden="false" customHeight="false" outlineLevel="0" collapsed="false">
      <c r="A435" s="0"/>
    </row>
    <row r="436" customFormat="false" ht="12.75" hidden="false" customHeight="false" outlineLevel="0" collapsed="false">
      <c r="A436" s="0"/>
    </row>
    <row r="437" customFormat="false" ht="12.75" hidden="false" customHeight="false" outlineLevel="0" collapsed="false">
      <c r="A437" s="0"/>
    </row>
    <row r="438" customFormat="false" ht="12.75" hidden="false" customHeight="false" outlineLevel="0" collapsed="false">
      <c r="A438" s="0"/>
    </row>
    <row r="439" customFormat="false" ht="12.75" hidden="false" customHeight="false" outlineLevel="0" collapsed="false">
      <c r="A439" s="0"/>
    </row>
    <row r="440" customFormat="false" ht="12.75" hidden="false" customHeight="false" outlineLevel="0" collapsed="false">
      <c r="A440" s="0"/>
    </row>
    <row r="441" customFormat="false" ht="12.75" hidden="false" customHeight="false" outlineLevel="0" collapsed="false">
      <c r="A441" s="0"/>
    </row>
    <row r="442" customFormat="false" ht="12.75" hidden="false" customHeight="false" outlineLevel="0" collapsed="false">
      <c r="A442" s="0"/>
    </row>
    <row r="443" customFormat="false" ht="12.75" hidden="false" customHeight="false" outlineLevel="0" collapsed="false">
      <c r="A443" s="0"/>
    </row>
    <row r="444" customFormat="false" ht="12.75" hidden="false" customHeight="false" outlineLevel="0" collapsed="false">
      <c r="A444" s="0"/>
    </row>
    <row r="445" customFormat="false" ht="12.75" hidden="false" customHeight="false" outlineLevel="0" collapsed="false">
      <c r="A445" s="0"/>
    </row>
    <row r="446" customFormat="false" ht="12.75" hidden="false" customHeight="false" outlineLevel="0" collapsed="false">
      <c r="A446" s="0"/>
    </row>
    <row r="447" customFormat="false" ht="12.75" hidden="false" customHeight="false" outlineLevel="0" collapsed="false">
      <c r="A447" s="0"/>
    </row>
    <row r="448" customFormat="false" ht="12.75" hidden="false" customHeight="false" outlineLevel="0" collapsed="false">
      <c r="A448" s="0"/>
    </row>
    <row r="449" customFormat="false" ht="12.75" hidden="false" customHeight="false" outlineLevel="0" collapsed="false">
      <c r="A449" s="0"/>
    </row>
    <row r="450" customFormat="false" ht="12.75" hidden="false" customHeight="false" outlineLevel="0" collapsed="false">
      <c r="A450" s="0"/>
    </row>
    <row r="451" customFormat="false" ht="12.75" hidden="false" customHeight="false" outlineLevel="0" collapsed="false">
      <c r="A451" s="0"/>
    </row>
    <row r="452" customFormat="false" ht="12.75" hidden="false" customHeight="false" outlineLevel="0" collapsed="false">
      <c r="A452" s="0"/>
    </row>
    <row r="453" customFormat="false" ht="12.75" hidden="false" customHeight="false" outlineLevel="0" collapsed="false">
      <c r="A453" s="0"/>
    </row>
    <row r="454" customFormat="false" ht="12.75" hidden="false" customHeight="false" outlineLevel="0" collapsed="false">
      <c r="A454" s="0"/>
    </row>
    <row r="455" customFormat="false" ht="12.75" hidden="false" customHeight="false" outlineLevel="0" collapsed="false">
      <c r="A455" s="0"/>
    </row>
    <row r="456" customFormat="false" ht="12.75" hidden="false" customHeight="false" outlineLevel="0" collapsed="false">
      <c r="A456" s="0"/>
    </row>
    <row r="457" customFormat="false" ht="12.75" hidden="false" customHeight="false" outlineLevel="0" collapsed="false">
      <c r="A457" s="0"/>
    </row>
    <row r="458" customFormat="false" ht="12.75" hidden="false" customHeight="false" outlineLevel="0" collapsed="false">
      <c r="A458" s="0"/>
    </row>
    <row r="459" customFormat="false" ht="12.75" hidden="false" customHeight="false" outlineLevel="0" collapsed="false">
      <c r="A459" s="0"/>
    </row>
    <row r="460" customFormat="false" ht="12.75" hidden="false" customHeight="false" outlineLevel="0" collapsed="false">
      <c r="A460" s="0"/>
    </row>
    <row r="461" customFormat="false" ht="12.75" hidden="false" customHeight="false" outlineLevel="0" collapsed="false">
      <c r="A461" s="0"/>
    </row>
    <row r="462" customFormat="false" ht="12.75" hidden="false" customHeight="false" outlineLevel="0" collapsed="false">
      <c r="A462" s="0"/>
    </row>
    <row r="463" customFormat="false" ht="12.75" hidden="false" customHeight="false" outlineLevel="0" collapsed="false">
      <c r="A463" s="0"/>
    </row>
    <row r="464" customFormat="false" ht="12.75" hidden="false" customHeight="false" outlineLevel="0" collapsed="false">
      <c r="A464" s="0"/>
    </row>
    <row r="465" customFormat="false" ht="12.75" hidden="false" customHeight="false" outlineLevel="0" collapsed="false">
      <c r="A465" s="0"/>
    </row>
    <row r="466" customFormat="false" ht="12.75" hidden="false" customHeight="false" outlineLevel="0" collapsed="false">
      <c r="A466" s="0"/>
    </row>
    <row r="467" customFormat="false" ht="12.75" hidden="false" customHeight="false" outlineLevel="0" collapsed="false">
      <c r="A467" s="0"/>
    </row>
    <row r="468" customFormat="false" ht="12.75" hidden="false" customHeight="false" outlineLevel="0" collapsed="false">
      <c r="A468" s="0"/>
    </row>
    <row r="469" customFormat="false" ht="12.75" hidden="false" customHeight="false" outlineLevel="0" collapsed="false">
      <c r="A469" s="0"/>
    </row>
    <row r="470" customFormat="false" ht="12.75" hidden="false" customHeight="false" outlineLevel="0" collapsed="false">
      <c r="A470" s="0"/>
    </row>
    <row r="471" customFormat="false" ht="12.75" hidden="false" customHeight="false" outlineLevel="0" collapsed="false">
      <c r="A471" s="0"/>
    </row>
    <row r="472" customFormat="false" ht="12.75" hidden="false" customHeight="false" outlineLevel="0" collapsed="false">
      <c r="A472" s="0"/>
    </row>
    <row r="473" customFormat="false" ht="12.75" hidden="false" customHeight="false" outlineLevel="0" collapsed="false">
      <c r="A473" s="0"/>
    </row>
    <row r="474" customFormat="false" ht="12.75" hidden="false" customHeight="false" outlineLevel="0" collapsed="false">
      <c r="A474" s="0"/>
    </row>
    <row r="475" customFormat="false" ht="12.75" hidden="false" customHeight="false" outlineLevel="0" collapsed="false">
      <c r="A475" s="0"/>
    </row>
    <row r="476" customFormat="false" ht="12.75" hidden="false" customHeight="false" outlineLevel="0" collapsed="false">
      <c r="A476" s="0"/>
    </row>
    <row r="477" customFormat="false" ht="12.75" hidden="false" customHeight="false" outlineLevel="0" collapsed="false">
      <c r="A477" s="0"/>
    </row>
    <row r="478" customFormat="false" ht="12.75" hidden="false" customHeight="false" outlineLevel="0" collapsed="false">
      <c r="A478" s="0"/>
    </row>
    <row r="479" customFormat="false" ht="12.75" hidden="false" customHeight="false" outlineLevel="0" collapsed="false">
      <c r="A479" s="0"/>
    </row>
    <row r="480" customFormat="false" ht="12.75" hidden="false" customHeight="false" outlineLevel="0" collapsed="false">
      <c r="A480" s="0"/>
    </row>
    <row r="481" customFormat="false" ht="12.75" hidden="false" customHeight="false" outlineLevel="0" collapsed="false">
      <c r="A481" s="0"/>
    </row>
    <row r="482" customFormat="false" ht="12.75" hidden="false" customHeight="false" outlineLevel="0" collapsed="false">
      <c r="A482" s="0"/>
    </row>
    <row r="483" customFormat="false" ht="12.75" hidden="false" customHeight="false" outlineLevel="0" collapsed="false">
      <c r="A483" s="0"/>
    </row>
    <row r="484" customFormat="false" ht="12.75" hidden="false" customHeight="false" outlineLevel="0" collapsed="false">
      <c r="A484" s="0"/>
    </row>
    <row r="485" customFormat="false" ht="12.75" hidden="false" customHeight="false" outlineLevel="0" collapsed="false">
      <c r="A485" s="0"/>
    </row>
    <row r="486" customFormat="false" ht="12.75" hidden="false" customHeight="false" outlineLevel="0" collapsed="false">
      <c r="A486" s="0"/>
    </row>
    <row r="487" customFormat="false" ht="12.75" hidden="false" customHeight="false" outlineLevel="0" collapsed="false">
      <c r="A487" s="0"/>
    </row>
    <row r="488" customFormat="false" ht="12.75" hidden="false" customHeight="false" outlineLevel="0" collapsed="false">
      <c r="A488" s="0"/>
    </row>
    <row r="489" customFormat="false" ht="12.75" hidden="false" customHeight="false" outlineLevel="0" collapsed="false">
      <c r="A489" s="0"/>
    </row>
    <row r="490" customFormat="false" ht="12.75" hidden="false" customHeight="false" outlineLevel="0" collapsed="false">
      <c r="A490" s="0"/>
    </row>
    <row r="491" customFormat="false" ht="12.75" hidden="false" customHeight="false" outlineLevel="0" collapsed="false">
      <c r="A491" s="0"/>
    </row>
    <row r="492" customFormat="false" ht="12.75" hidden="false" customHeight="false" outlineLevel="0" collapsed="false">
      <c r="A492" s="0"/>
    </row>
    <row r="493" customFormat="false" ht="12.75" hidden="false" customHeight="false" outlineLevel="0" collapsed="false">
      <c r="A493" s="0"/>
    </row>
    <row r="494" customFormat="false" ht="12.75" hidden="false" customHeight="false" outlineLevel="0" collapsed="false">
      <c r="A494" s="0"/>
    </row>
    <row r="495" customFormat="false" ht="12.75" hidden="false" customHeight="false" outlineLevel="0" collapsed="false">
      <c r="A495" s="0"/>
    </row>
    <row r="496" customFormat="false" ht="12.75" hidden="false" customHeight="false" outlineLevel="0" collapsed="false">
      <c r="A496" s="0"/>
    </row>
    <row r="497" customFormat="false" ht="12.75" hidden="false" customHeight="false" outlineLevel="0" collapsed="false">
      <c r="A497" s="0"/>
    </row>
    <row r="498" customFormat="false" ht="12.75" hidden="false" customHeight="false" outlineLevel="0" collapsed="false">
      <c r="A498" s="0"/>
    </row>
    <row r="499" customFormat="false" ht="12.75" hidden="false" customHeight="false" outlineLevel="0" collapsed="false">
      <c r="A499" s="0"/>
    </row>
    <row r="500" customFormat="false" ht="12.75" hidden="false" customHeight="false" outlineLevel="0" collapsed="false">
      <c r="A500" s="0"/>
    </row>
    <row r="501" customFormat="false" ht="12.75" hidden="false" customHeight="false" outlineLevel="0" collapsed="false">
      <c r="A501" s="0"/>
    </row>
    <row r="502" customFormat="false" ht="12.75" hidden="false" customHeight="false" outlineLevel="0" collapsed="false">
      <c r="A502" s="0"/>
    </row>
    <row r="503" customFormat="false" ht="12.75" hidden="false" customHeight="false" outlineLevel="0" collapsed="false">
      <c r="A503" s="0"/>
    </row>
    <row r="504" customFormat="false" ht="12.75" hidden="false" customHeight="false" outlineLevel="0" collapsed="false">
      <c r="A504" s="0"/>
    </row>
    <row r="505" customFormat="false" ht="12.75" hidden="false" customHeight="false" outlineLevel="0" collapsed="false">
      <c r="A505" s="0"/>
    </row>
    <row r="506" customFormat="false" ht="12.75" hidden="false" customHeight="false" outlineLevel="0" collapsed="false">
      <c r="A506" s="0"/>
    </row>
    <row r="507" customFormat="false" ht="12.75" hidden="false" customHeight="false" outlineLevel="0" collapsed="false">
      <c r="A507" s="0"/>
    </row>
    <row r="508" customFormat="false" ht="12.75" hidden="false" customHeight="false" outlineLevel="0" collapsed="false">
      <c r="A508" s="0"/>
    </row>
    <row r="509" customFormat="false" ht="12.75" hidden="false" customHeight="false" outlineLevel="0" collapsed="false">
      <c r="A509" s="0"/>
    </row>
    <row r="510" customFormat="false" ht="12.75" hidden="false" customHeight="false" outlineLevel="0" collapsed="false">
      <c r="A510" s="0"/>
    </row>
    <row r="511" customFormat="false" ht="12.75" hidden="false" customHeight="false" outlineLevel="0" collapsed="false">
      <c r="A511" s="0"/>
    </row>
    <row r="512" customFormat="false" ht="12.75" hidden="false" customHeight="false" outlineLevel="0" collapsed="false">
      <c r="A512" s="0"/>
    </row>
    <row r="513" customFormat="false" ht="12.75" hidden="false" customHeight="false" outlineLevel="0" collapsed="false">
      <c r="A513" s="0"/>
    </row>
    <row r="514" customFormat="false" ht="12.75" hidden="false" customHeight="false" outlineLevel="0" collapsed="false">
      <c r="A514" s="0"/>
    </row>
    <row r="515" customFormat="false" ht="12.75" hidden="false" customHeight="false" outlineLevel="0" collapsed="false">
      <c r="A515" s="0"/>
    </row>
    <row r="516" customFormat="false" ht="12.75" hidden="false" customHeight="false" outlineLevel="0" collapsed="false">
      <c r="A516" s="0"/>
    </row>
    <row r="517" customFormat="false" ht="12.75" hidden="false" customHeight="false" outlineLevel="0" collapsed="false">
      <c r="A517" s="0"/>
    </row>
    <row r="518" customFormat="false" ht="12.75" hidden="false" customHeight="false" outlineLevel="0" collapsed="false">
      <c r="A518" s="0"/>
    </row>
    <row r="519" customFormat="false" ht="12.75" hidden="false" customHeight="false" outlineLevel="0" collapsed="false">
      <c r="A519" s="0"/>
    </row>
    <row r="520" customFormat="false" ht="12.75" hidden="false" customHeight="false" outlineLevel="0" collapsed="false">
      <c r="A520" s="0"/>
    </row>
    <row r="521" customFormat="false" ht="12.75" hidden="false" customHeight="false" outlineLevel="0" collapsed="false">
      <c r="A521" s="0"/>
    </row>
    <row r="522" customFormat="false" ht="12.75" hidden="false" customHeight="false" outlineLevel="0" collapsed="false">
      <c r="A522" s="0"/>
    </row>
    <row r="523" customFormat="false" ht="12.75" hidden="false" customHeight="false" outlineLevel="0" collapsed="false">
      <c r="A523" s="0"/>
    </row>
    <row r="524" customFormat="false" ht="12.75" hidden="false" customHeight="false" outlineLevel="0" collapsed="false">
      <c r="A524" s="0"/>
    </row>
    <row r="525" customFormat="false" ht="12.75" hidden="false" customHeight="false" outlineLevel="0" collapsed="false">
      <c r="A525" s="0"/>
    </row>
    <row r="526" customFormat="false" ht="12.75" hidden="false" customHeight="false" outlineLevel="0" collapsed="false">
      <c r="A526" s="0"/>
    </row>
    <row r="527" customFormat="false" ht="12.75" hidden="false" customHeight="false" outlineLevel="0" collapsed="false">
      <c r="A527" s="0"/>
    </row>
    <row r="528" customFormat="false" ht="12.75" hidden="false" customHeight="false" outlineLevel="0" collapsed="false">
      <c r="A528" s="0"/>
    </row>
    <row r="529" customFormat="false" ht="12.75" hidden="false" customHeight="false" outlineLevel="0" collapsed="false">
      <c r="A529" s="0"/>
    </row>
    <row r="530" customFormat="false" ht="12.75" hidden="false" customHeight="false" outlineLevel="0" collapsed="false">
      <c r="A530" s="0"/>
    </row>
    <row r="531" customFormat="false" ht="12.75" hidden="false" customHeight="false" outlineLevel="0" collapsed="false">
      <c r="A531" s="0"/>
    </row>
    <row r="532" customFormat="false" ht="12.75" hidden="false" customHeight="false" outlineLevel="0" collapsed="false">
      <c r="A532" s="0"/>
    </row>
    <row r="533" customFormat="false" ht="12.75" hidden="false" customHeight="false" outlineLevel="0" collapsed="false">
      <c r="A533" s="0"/>
    </row>
    <row r="534" customFormat="false" ht="12.75" hidden="false" customHeight="false" outlineLevel="0" collapsed="false">
      <c r="A534" s="0"/>
    </row>
    <row r="535" customFormat="false" ht="12.75" hidden="false" customHeight="false" outlineLevel="0" collapsed="false">
      <c r="A535" s="0"/>
    </row>
    <row r="536" customFormat="false" ht="12.75" hidden="false" customHeight="false" outlineLevel="0" collapsed="false">
      <c r="A536" s="0"/>
    </row>
    <row r="537" customFormat="false" ht="12.75" hidden="false" customHeight="false" outlineLevel="0" collapsed="false">
      <c r="A537" s="0"/>
    </row>
    <row r="538" customFormat="false" ht="12.75" hidden="false" customHeight="false" outlineLevel="0" collapsed="false">
      <c r="A538" s="0"/>
    </row>
    <row r="539" customFormat="false" ht="12.75" hidden="false" customHeight="false" outlineLevel="0" collapsed="false">
      <c r="A539" s="0"/>
    </row>
    <row r="540" customFormat="false" ht="12.75" hidden="false" customHeight="false" outlineLevel="0" collapsed="false">
      <c r="A540" s="0"/>
    </row>
    <row r="541" customFormat="false" ht="12.75" hidden="false" customHeight="false" outlineLevel="0" collapsed="false">
      <c r="A541" s="0"/>
    </row>
    <row r="542" customFormat="false" ht="12.75" hidden="false" customHeight="false" outlineLevel="0" collapsed="false">
      <c r="A542" s="0"/>
    </row>
    <row r="543" customFormat="false" ht="12.75" hidden="false" customHeight="false" outlineLevel="0" collapsed="false">
      <c r="A543" s="0"/>
    </row>
    <row r="544" customFormat="false" ht="12.75" hidden="false" customHeight="false" outlineLevel="0" collapsed="false">
      <c r="A544" s="0"/>
    </row>
    <row r="545" customFormat="false" ht="12.75" hidden="false" customHeight="false" outlineLevel="0" collapsed="false">
      <c r="A545" s="0"/>
    </row>
    <row r="546" customFormat="false" ht="12.75" hidden="false" customHeight="false" outlineLevel="0" collapsed="false">
      <c r="A546" s="0"/>
    </row>
    <row r="547" customFormat="false" ht="12.75" hidden="false" customHeight="false" outlineLevel="0" collapsed="false">
      <c r="A547" s="0"/>
    </row>
    <row r="548" customFormat="false" ht="12.75" hidden="false" customHeight="false" outlineLevel="0" collapsed="false">
      <c r="A548" s="0"/>
    </row>
    <row r="549" customFormat="false" ht="12.75" hidden="false" customHeight="false" outlineLevel="0" collapsed="false">
      <c r="A549" s="0"/>
    </row>
    <row r="550" customFormat="false" ht="12.75" hidden="false" customHeight="false" outlineLevel="0" collapsed="false">
      <c r="A550" s="0"/>
    </row>
    <row r="551" customFormat="false" ht="12.75" hidden="false" customHeight="false" outlineLevel="0" collapsed="false">
      <c r="A551" s="0"/>
    </row>
    <row r="552" customFormat="false" ht="12.75" hidden="false" customHeight="false" outlineLevel="0" collapsed="false">
      <c r="A552" s="0"/>
    </row>
    <row r="553" customFormat="false" ht="12.75" hidden="false" customHeight="false" outlineLevel="0" collapsed="false">
      <c r="A553" s="0"/>
    </row>
    <row r="554" customFormat="false" ht="12.75" hidden="false" customHeight="false" outlineLevel="0" collapsed="false">
      <c r="A554" s="0"/>
    </row>
    <row r="555" customFormat="false" ht="12.75" hidden="false" customHeight="false" outlineLevel="0" collapsed="false">
      <c r="A555" s="0"/>
    </row>
    <row r="556" customFormat="false" ht="12.75" hidden="false" customHeight="false" outlineLevel="0" collapsed="false">
      <c r="A556" s="0"/>
    </row>
    <row r="557" customFormat="false" ht="12.75" hidden="false" customHeight="false" outlineLevel="0" collapsed="false">
      <c r="A557" s="0"/>
    </row>
    <row r="558" customFormat="false" ht="12.75" hidden="false" customHeight="false" outlineLevel="0" collapsed="false">
      <c r="A558" s="0"/>
    </row>
    <row r="559" customFormat="false" ht="12.75" hidden="false" customHeight="false" outlineLevel="0" collapsed="false">
      <c r="A559" s="0"/>
    </row>
    <row r="560" customFormat="false" ht="12.75" hidden="false" customHeight="false" outlineLevel="0" collapsed="false">
      <c r="A560" s="0"/>
    </row>
    <row r="561" customFormat="false" ht="12.75" hidden="false" customHeight="false" outlineLevel="0" collapsed="false">
      <c r="A561" s="0"/>
    </row>
    <row r="562" customFormat="false" ht="12.75" hidden="false" customHeight="false" outlineLevel="0" collapsed="false">
      <c r="A562" s="0"/>
    </row>
    <row r="563" customFormat="false" ht="12.75" hidden="false" customHeight="false" outlineLevel="0" collapsed="false">
      <c r="A563" s="0"/>
    </row>
    <row r="564" customFormat="false" ht="12.75" hidden="false" customHeight="false" outlineLevel="0" collapsed="false">
      <c r="A564" s="0"/>
    </row>
    <row r="565" customFormat="false" ht="12.75" hidden="false" customHeight="false" outlineLevel="0" collapsed="false">
      <c r="A565" s="0"/>
    </row>
    <row r="566" customFormat="false" ht="12.75" hidden="false" customHeight="false" outlineLevel="0" collapsed="false">
      <c r="A566" s="0"/>
    </row>
    <row r="567" customFormat="false" ht="12.75" hidden="false" customHeight="false" outlineLevel="0" collapsed="false">
      <c r="A567" s="0"/>
    </row>
    <row r="568" customFormat="false" ht="12.75" hidden="false" customHeight="false" outlineLevel="0" collapsed="false">
      <c r="A568" s="0"/>
    </row>
    <row r="569" customFormat="false" ht="12.75" hidden="false" customHeight="false" outlineLevel="0" collapsed="false">
      <c r="A569" s="0"/>
    </row>
    <row r="570" customFormat="false" ht="12.75" hidden="false" customHeight="false" outlineLevel="0" collapsed="false">
      <c r="A570" s="0"/>
    </row>
    <row r="571" customFormat="false" ht="12.75" hidden="false" customHeight="false" outlineLevel="0" collapsed="false">
      <c r="A571" s="0"/>
    </row>
    <row r="572" customFormat="false" ht="12.75" hidden="false" customHeight="false" outlineLevel="0" collapsed="false">
      <c r="A572" s="0"/>
    </row>
    <row r="573" customFormat="false" ht="12.75" hidden="false" customHeight="false" outlineLevel="0" collapsed="false">
      <c r="A573" s="0"/>
    </row>
    <row r="574" customFormat="false" ht="12.75" hidden="false" customHeight="false" outlineLevel="0" collapsed="false">
      <c r="A574" s="0"/>
    </row>
    <row r="575" customFormat="false" ht="12.75" hidden="false" customHeight="false" outlineLevel="0" collapsed="false">
      <c r="A575" s="0"/>
    </row>
    <row r="576" customFormat="false" ht="12.75" hidden="false" customHeight="false" outlineLevel="0" collapsed="false">
      <c r="A576" s="0"/>
    </row>
    <row r="577" customFormat="false" ht="12.75" hidden="false" customHeight="false" outlineLevel="0" collapsed="false">
      <c r="A577" s="0"/>
    </row>
    <row r="578" customFormat="false" ht="12.75" hidden="false" customHeight="false" outlineLevel="0" collapsed="false">
      <c r="A578" s="0"/>
    </row>
    <row r="579" customFormat="false" ht="12.75" hidden="false" customHeight="false" outlineLevel="0" collapsed="false">
      <c r="A579" s="0"/>
    </row>
    <row r="580" customFormat="false" ht="12.75" hidden="false" customHeight="false" outlineLevel="0" collapsed="false">
      <c r="A580" s="0"/>
    </row>
    <row r="581" customFormat="false" ht="12.75" hidden="false" customHeight="false" outlineLevel="0" collapsed="false">
      <c r="A581" s="0"/>
    </row>
    <row r="582" customFormat="false" ht="12.75" hidden="false" customHeight="false" outlineLevel="0" collapsed="false">
      <c r="A582" s="0"/>
    </row>
    <row r="583" customFormat="false" ht="12.75" hidden="false" customHeight="false" outlineLevel="0" collapsed="false">
      <c r="A583" s="0"/>
    </row>
    <row r="584" customFormat="false" ht="12.75" hidden="false" customHeight="false" outlineLevel="0" collapsed="false">
      <c r="A584" s="0"/>
    </row>
    <row r="585" customFormat="false" ht="12.75" hidden="false" customHeight="false" outlineLevel="0" collapsed="false">
      <c r="A585" s="0"/>
    </row>
    <row r="586" customFormat="false" ht="12.75" hidden="false" customHeight="false" outlineLevel="0" collapsed="false">
      <c r="A586" s="0"/>
    </row>
    <row r="587" customFormat="false" ht="12.75" hidden="false" customHeight="false" outlineLevel="0" collapsed="false">
      <c r="A587" s="0"/>
    </row>
    <row r="588" customFormat="false" ht="12.75" hidden="false" customHeight="false" outlineLevel="0" collapsed="false">
      <c r="A588" s="0"/>
    </row>
    <row r="589" customFormat="false" ht="12.75" hidden="false" customHeight="false" outlineLevel="0" collapsed="false">
      <c r="A589" s="0"/>
    </row>
    <row r="590" customFormat="false" ht="12.75" hidden="false" customHeight="false" outlineLevel="0" collapsed="false">
      <c r="A590" s="0"/>
    </row>
    <row r="591" customFormat="false" ht="12.75" hidden="false" customHeight="false" outlineLevel="0" collapsed="false">
      <c r="A591" s="0"/>
    </row>
    <row r="592" customFormat="false" ht="12.75" hidden="false" customHeight="false" outlineLevel="0" collapsed="false">
      <c r="A592" s="0"/>
    </row>
    <row r="593" customFormat="false" ht="12.75" hidden="false" customHeight="false" outlineLevel="0" collapsed="false">
      <c r="A593" s="0"/>
    </row>
    <row r="594" customFormat="false" ht="12.75" hidden="false" customHeight="false" outlineLevel="0" collapsed="false">
      <c r="A594" s="0"/>
    </row>
    <row r="595" customFormat="false" ht="12.75" hidden="false" customHeight="false" outlineLevel="0" collapsed="false">
      <c r="A595" s="0"/>
    </row>
    <row r="596" customFormat="false" ht="12.75" hidden="false" customHeight="false" outlineLevel="0" collapsed="false">
      <c r="A596" s="0"/>
    </row>
    <row r="597" customFormat="false" ht="12.75" hidden="false" customHeight="false" outlineLevel="0" collapsed="false">
      <c r="A597" s="0"/>
    </row>
    <row r="598" customFormat="false" ht="12.75" hidden="false" customHeight="false" outlineLevel="0" collapsed="false">
      <c r="A598" s="0"/>
    </row>
    <row r="599" customFormat="false" ht="12.75" hidden="false" customHeight="false" outlineLevel="0" collapsed="false">
      <c r="A599" s="0"/>
    </row>
    <row r="600" customFormat="false" ht="12.75" hidden="false" customHeight="false" outlineLevel="0" collapsed="false">
      <c r="A600" s="0"/>
    </row>
    <row r="601" customFormat="false" ht="12.75" hidden="false" customHeight="false" outlineLevel="0" collapsed="false">
      <c r="A601" s="0"/>
    </row>
    <row r="602" customFormat="false" ht="12.75" hidden="false" customHeight="false" outlineLevel="0" collapsed="false">
      <c r="A602" s="0"/>
    </row>
    <row r="603" customFormat="false" ht="12.75" hidden="false" customHeight="false" outlineLevel="0" collapsed="false">
      <c r="A603" s="0"/>
    </row>
    <row r="604" customFormat="false" ht="12.75" hidden="false" customHeight="false" outlineLevel="0" collapsed="false">
      <c r="A604" s="0"/>
    </row>
    <row r="605" customFormat="false" ht="12.75" hidden="false" customHeight="false" outlineLevel="0" collapsed="false">
      <c r="A605" s="0"/>
    </row>
    <row r="606" customFormat="false" ht="12.75" hidden="false" customHeight="false" outlineLevel="0" collapsed="false">
      <c r="A606" s="0"/>
    </row>
    <row r="607" customFormat="false" ht="12.75" hidden="false" customHeight="false" outlineLevel="0" collapsed="false">
      <c r="A607" s="0"/>
    </row>
    <row r="608" customFormat="false" ht="12.75" hidden="false" customHeight="false" outlineLevel="0" collapsed="false">
      <c r="A608" s="0"/>
    </row>
    <row r="609" customFormat="false" ht="12.75" hidden="false" customHeight="false" outlineLevel="0" collapsed="false">
      <c r="A609" s="0"/>
    </row>
    <row r="610" customFormat="false" ht="12.75" hidden="false" customHeight="false" outlineLevel="0" collapsed="false">
      <c r="A610" s="0"/>
    </row>
    <row r="611" customFormat="false" ht="12.75" hidden="false" customHeight="false" outlineLevel="0" collapsed="false">
      <c r="A611" s="0"/>
    </row>
    <row r="612" customFormat="false" ht="12.75" hidden="false" customHeight="false" outlineLevel="0" collapsed="false">
      <c r="A612" s="0"/>
    </row>
    <row r="613" customFormat="false" ht="12.75" hidden="false" customHeight="false" outlineLevel="0" collapsed="false">
      <c r="A613" s="0"/>
    </row>
    <row r="614" customFormat="false" ht="12.75" hidden="false" customHeight="false" outlineLevel="0" collapsed="false">
      <c r="A614" s="0"/>
    </row>
    <row r="615" customFormat="false" ht="12.75" hidden="false" customHeight="false" outlineLevel="0" collapsed="false">
      <c r="A615" s="0"/>
    </row>
    <row r="616" customFormat="false" ht="12.75" hidden="false" customHeight="false" outlineLevel="0" collapsed="false">
      <c r="A616" s="0"/>
    </row>
    <row r="617" customFormat="false" ht="12.75" hidden="false" customHeight="false" outlineLevel="0" collapsed="false">
      <c r="A617" s="0"/>
    </row>
    <row r="618" customFormat="false" ht="12.75" hidden="false" customHeight="false" outlineLevel="0" collapsed="false">
      <c r="A618" s="0"/>
    </row>
    <row r="619" customFormat="false" ht="12.75" hidden="false" customHeight="false" outlineLevel="0" collapsed="false">
      <c r="A619" s="0"/>
    </row>
    <row r="620" customFormat="false" ht="12.75" hidden="false" customHeight="false" outlineLevel="0" collapsed="false">
      <c r="A620" s="0"/>
    </row>
    <row r="621" customFormat="false" ht="12.75" hidden="false" customHeight="false" outlineLevel="0" collapsed="false">
      <c r="A621" s="0"/>
    </row>
    <row r="622" customFormat="false" ht="12.75" hidden="false" customHeight="false" outlineLevel="0" collapsed="false">
      <c r="A622" s="0"/>
    </row>
    <row r="623" customFormat="false" ht="12.75" hidden="false" customHeight="false" outlineLevel="0" collapsed="false">
      <c r="A623" s="0"/>
    </row>
    <row r="624" customFormat="false" ht="12.75" hidden="false" customHeight="false" outlineLevel="0" collapsed="false">
      <c r="A624" s="0"/>
    </row>
    <row r="625" customFormat="false" ht="12.75" hidden="false" customHeight="false" outlineLevel="0" collapsed="false">
      <c r="A625" s="0"/>
    </row>
    <row r="626" customFormat="false" ht="12.75" hidden="false" customHeight="false" outlineLevel="0" collapsed="false">
      <c r="A626" s="0"/>
    </row>
    <row r="627" customFormat="false" ht="12.75" hidden="false" customHeight="false" outlineLevel="0" collapsed="false">
      <c r="A627" s="0"/>
    </row>
    <row r="628" customFormat="false" ht="12.75" hidden="false" customHeight="false" outlineLevel="0" collapsed="false">
      <c r="A628" s="0"/>
    </row>
    <row r="629" customFormat="false" ht="12.75" hidden="false" customHeight="false" outlineLevel="0" collapsed="false">
      <c r="A629" s="0"/>
    </row>
    <row r="630" customFormat="false" ht="12.75" hidden="false" customHeight="false" outlineLevel="0" collapsed="false">
      <c r="A630" s="0"/>
    </row>
    <row r="631" customFormat="false" ht="12.75" hidden="false" customHeight="false" outlineLevel="0" collapsed="false">
      <c r="A631" s="0"/>
    </row>
    <row r="632" customFormat="false" ht="12.75" hidden="false" customHeight="false" outlineLevel="0" collapsed="false">
      <c r="A632" s="0"/>
    </row>
    <row r="633" customFormat="false" ht="12.75" hidden="false" customHeight="false" outlineLevel="0" collapsed="false">
      <c r="A633" s="0"/>
    </row>
    <row r="634" customFormat="false" ht="12.75" hidden="false" customHeight="false" outlineLevel="0" collapsed="false">
      <c r="A634" s="0"/>
    </row>
    <row r="635" customFormat="false" ht="12.75" hidden="false" customHeight="false" outlineLevel="0" collapsed="false">
      <c r="A635" s="0"/>
    </row>
    <row r="636" customFormat="false" ht="12.75" hidden="false" customHeight="false" outlineLevel="0" collapsed="false">
      <c r="A636" s="0"/>
    </row>
    <row r="637" customFormat="false" ht="12.75" hidden="false" customHeight="false" outlineLevel="0" collapsed="false">
      <c r="A637" s="0"/>
    </row>
    <row r="638" customFormat="false" ht="12.75" hidden="false" customHeight="false" outlineLevel="0" collapsed="false">
      <c r="A638" s="0"/>
    </row>
    <row r="639" customFormat="false" ht="12.75" hidden="false" customHeight="false" outlineLevel="0" collapsed="false">
      <c r="A639" s="0"/>
    </row>
    <row r="640" customFormat="false" ht="12.75" hidden="false" customHeight="false" outlineLevel="0" collapsed="false">
      <c r="A640" s="0"/>
    </row>
    <row r="641" customFormat="false" ht="12.75" hidden="false" customHeight="false" outlineLevel="0" collapsed="false">
      <c r="A641" s="0"/>
    </row>
    <row r="642" customFormat="false" ht="12.75" hidden="false" customHeight="false" outlineLevel="0" collapsed="false">
      <c r="A642" s="0"/>
    </row>
    <row r="643" customFormat="false" ht="12.75" hidden="false" customHeight="false" outlineLevel="0" collapsed="false">
      <c r="A643" s="0"/>
    </row>
    <row r="644" customFormat="false" ht="12.75" hidden="false" customHeight="false" outlineLevel="0" collapsed="false">
      <c r="A644" s="0"/>
    </row>
    <row r="645" customFormat="false" ht="12.75" hidden="false" customHeight="false" outlineLevel="0" collapsed="false">
      <c r="A645" s="0"/>
    </row>
    <row r="646" customFormat="false" ht="12.75" hidden="false" customHeight="false" outlineLevel="0" collapsed="false">
      <c r="A646" s="0"/>
    </row>
    <row r="647" customFormat="false" ht="12.75" hidden="false" customHeight="false" outlineLevel="0" collapsed="false">
      <c r="A647" s="0"/>
    </row>
    <row r="648" customFormat="false" ht="12.75" hidden="false" customHeight="false" outlineLevel="0" collapsed="false">
      <c r="A648" s="0"/>
    </row>
    <row r="649" customFormat="false" ht="12.75" hidden="false" customHeight="false" outlineLevel="0" collapsed="false">
      <c r="A649" s="0"/>
    </row>
    <row r="650" customFormat="false" ht="12.75" hidden="false" customHeight="false" outlineLevel="0" collapsed="false">
      <c r="A650" s="0"/>
    </row>
    <row r="651" customFormat="false" ht="12.75" hidden="false" customHeight="false" outlineLevel="0" collapsed="false">
      <c r="A651" s="0"/>
    </row>
    <row r="652" customFormat="false" ht="12.75" hidden="false" customHeight="false" outlineLevel="0" collapsed="false">
      <c r="A652" s="0"/>
    </row>
    <row r="653" customFormat="false" ht="12.75" hidden="false" customHeight="false" outlineLevel="0" collapsed="false">
      <c r="A653" s="0"/>
    </row>
    <row r="654" customFormat="false" ht="12.75" hidden="false" customHeight="false" outlineLevel="0" collapsed="false">
      <c r="A654" s="0"/>
    </row>
    <row r="655" customFormat="false" ht="12.75" hidden="false" customHeight="false" outlineLevel="0" collapsed="false">
      <c r="A655" s="0"/>
    </row>
    <row r="656" customFormat="false" ht="12.75" hidden="false" customHeight="false" outlineLevel="0" collapsed="false">
      <c r="A656" s="0"/>
    </row>
    <row r="657" customFormat="false" ht="12.75" hidden="false" customHeight="false" outlineLevel="0" collapsed="false">
      <c r="A657" s="0"/>
    </row>
    <row r="658" customFormat="false" ht="12.75" hidden="false" customHeight="false" outlineLevel="0" collapsed="false">
      <c r="A658" s="0"/>
    </row>
    <row r="659" customFormat="false" ht="12.75" hidden="false" customHeight="false" outlineLevel="0" collapsed="false">
      <c r="A659" s="0"/>
    </row>
    <row r="660" customFormat="false" ht="12.75" hidden="false" customHeight="false" outlineLevel="0" collapsed="false">
      <c r="A660" s="0"/>
    </row>
    <row r="661" customFormat="false" ht="12.75" hidden="false" customHeight="false" outlineLevel="0" collapsed="false">
      <c r="A661" s="0"/>
    </row>
    <row r="662" customFormat="false" ht="12.75" hidden="false" customHeight="false" outlineLevel="0" collapsed="false">
      <c r="A662" s="0"/>
    </row>
    <row r="663" customFormat="false" ht="12.75" hidden="false" customHeight="false" outlineLevel="0" collapsed="false">
      <c r="A663" s="0"/>
    </row>
    <row r="664" customFormat="false" ht="12.75" hidden="false" customHeight="false" outlineLevel="0" collapsed="false">
      <c r="A664" s="0"/>
    </row>
    <row r="665" customFormat="false" ht="12.75" hidden="false" customHeight="false" outlineLevel="0" collapsed="false">
      <c r="A665" s="0"/>
    </row>
    <row r="666" customFormat="false" ht="12.75" hidden="false" customHeight="false" outlineLevel="0" collapsed="false">
      <c r="A666" s="0"/>
    </row>
    <row r="667" customFormat="false" ht="12.75" hidden="false" customHeight="false" outlineLevel="0" collapsed="false">
      <c r="A667" s="0"/>
    </row>
    <row r="668" customFormat="false" ht="12.75" hidden="false" customHeight="false" outlineLevel="0" collapsed="false">
      <c r="A668" s="0"/>
    </row>
    <row r="669" customFormat="false" ht="12.75" hidden="false" customHeight="false" outlineLevel="0" collapsed="false">
      <c r="A669" s="0"/>
    </row>
    <row r="670" customFormat="false" ht="12.75" hidden="false" customHeight="false" outlineLevel="0" collapsed="false">
      <c r="A670" s="0"/>
    </row>
    <row r="671" customFormat="false" ht="12.75" hidden="false" customHeight="false" outlineLevel="0" collapsed="false">
      <c r="A671" s="0"/>
    </row>
    <row r="672" customFormat="false" ht="12.75" hidden="false" customHeight="false" outlineLevel="0" collapsed="false">
      <c r="A672" s="0"/>
    </row>
    <row r="673" customFormat="false" ht="12.75" hidden="false" customHeight="false" outlineLevel="0" collapsed="false">
      <c r="A673" s="0"/>
    </row>
    <row r="674" customFormat="false" ht="12.75" hidden="false" customHeight="false" outlineLevel="0" collapsed="false">
      <c r="A674" s="0"/>
    </row>
    <row r="675" customFormat="false" ht="12.75" hidden="false" customHeight="false" outlineLevel="0" collapsed="false">
      <c r="A675" s="0"/>
    </row>
    <row r="676" customFormat="false" ht="12.75" hidden="false" customHeight="false" outlineLevel="0" collapsed="false">
      <c r="A676" s="0"/>
    </row>
    <row r="677" customFormat="false" ht="12.75" hidden="false" customHeight="false" outlineLevel="0" collapsed="false">
      <c r="A677" s="0"/>
    </row>
    <row r="678" customFormat="false" ht="12.75" hidden="false" customHeight="false" outlineLevel="0" collapsed="false">
      <c r="A678" s="0"/>
    </row>
    <row r="679" customFormat="false" ht="12.75" hidden="false" customHeight="false" outlineLevel="0" collapsed="false">
      <c r="A679" s="0"/>
    </row>
    <row r="680" customFormat="false" ht="12.75" hidden="false" customHeight="false" outlineLevel="0" collapsed="false">
      <c r="A680" s="0"/>
    </row>
    <row r="681" customFormat="false" ht="12.75" hidden="false" customHeight="false" outlineLevel="0" collapsed="false">
      <c r="A681" s="0"/>
    </row>
    <row r="682" customFormat="false" ht="12.75" hidden="false" customHeight="false" outlineLevel="0" collapsed="false">
      <c r="A682" s="0"/>
    </row>
    <row r="683" customFormat="false" ht="12.75" hidden="false" customHeight="false" outlineLevel="0" collapsed="false">
      <c r="A683" s="0"/>
    </row>
    <row r="684" customFormat="false" ht="12.75" hidden="false" customHeight="false" outlineLevel="0" collapsed="false">
      <c r="A684" s="0"/>
    </row>
    <row r="685" customFormat="false" ht="12.75" hidden="false" customHeight="false" outlineLevel="0" collapsed="false">
      <c r="A685" s="0"/>
    </row>
    <row r="686" customFormat="false" ht="12.75" hidden="false" customHeight="false" outlineLevel="0" collapsed="false">
      <c r="A686" s="0"/>
    </row>
    <row r="687" customFormat="false" ht="12.75" hidden="false" customHeight="false" outlineLevel="0" collapsed="false">
      <c r="A687" s="0"/>
    </row>
    <row r="688" customFormat="false" ht="12.75" hidden="false" customHeight="false" outlineLevel="0" collapsed="false">
      <c r="A688" s="0"/>
    </row>
    <row r="689" customFormat="false" ht="12.75" hidden="false" customHeight="false" outlineLevel="0" collapsed="false">
      <c r="A689" s="0"/>
    </row>
    <row r="690" customFormat="false" ht="12.75" hidden="false" customHeight="false" outlineLevel="0" collapsed="false">
      <c r="A690" s="0"/>
    </row>
    <row r="691" customFormat="false" ht="12.75" hidden="false" customHeight="false" outlineLevel="0" collapsed="false">
      <c r="A691" s="0"/>
    </row>
    <row r="692" customFormat="false" ht="12.75" hidden="false" customHeight="false" outlineLevel="0" collapsed="false">
      <c r="A692" s="0"/>
    </row>
    <row r="693" customFormat="false" ht="12.75" hidden="false" customHeight="false" outlineLevel="0" collapsed="false">
      <c r="A693" s="0"/>
    </row>
    <row r="694" customFormat="false" ht="12.75" hidden="false" customHeight="false" outlineLevel="0" collapsed="false">
      <c r="A694" s="0"/>
    </row>
    <row r="695" customFormat="false" ht="12.75" hidden="false" customHeight="false" outlineLevel="0" collapsed="false">
      <c r="A695" s="0"/>
    </row>
    <row r="696" customFormat="false" ht="12.75" hidden="false" customHeight="false" outlineLevel="0" collapsed="false">
      <c r="A696" s="0"/>
    </row>
    <row r="697" customFormat="false" ht="12.75" hidden="false" customHeight="false" outlineLevel="0" collapsed="false">
      <c r="A697" s="0"/>
    </row>
    <row r="698" customFormat="false" ht="12.75" hidden="false" customHeight="false" outlineLevel="0" collapsed="false">
      <c r="A698" s="0"/>
    </row>
    <row r="699" customFormat="false" ht="12.75" hidden="false" customHeight="false" outlineLevel="0" collapsed="false">
      <c r="A699" s="0"/>
    </row>
    <row r="700" customFormat="false" ht="12.75" hidden="false" customHeight="false" outlineLevel="0" collapsed="false">
      <c r="A700" s="0"/>
    </row>
    <row r="701" customFormat="false" ht="12.75" hidden="false" customHeight="false" outlineLevel="0" collapsed="false">
      <c r="A701" s="0"/>
    </row>
    <row r="702" customFormat="false" ht="12.75" hidden="false" customHeight="false" outlineLevel="0" collapsed="false">
      <c r="A702" s="0"/>
    </row>
    <row r="703" customFormat="false" ht="12.75" hidden="false" customHeight="false" outlineLevel="0" collapsed="false">
      <c r="A703" s="0"/>
    </row>
    <row r="704" customFormat="false" ht="12.75" hidden="false" customHeight="false" outlineLevel="0" collapsed="false">
      <c r="A704" s="0"/>
    </row>
    <row r="705" customFormat="false" ht="12.75" hidden="false" customHeight="false" outlineLevel="0" collapsed="false">
      <c r="A705" s="0"/>
    </row>
    <row r="706" customFormat="false" ht="12.75" hidden="false" customHeight="false" outlineLevel="0" collapsed="false">
      <c r="A706" s="0"/>
    </row>
    <row r="707" customFormat="false" ht="12.75" hidden="false" customHeight="false" outlineLevel="0" collapsed="false">
      <c r="A707" s="0"/>
    </row>
    <row r="708" customFormat="false" ht="12.75" hidden="false" customHeight="false" outlineLevel="0" collapsed="false">
      <c r="A708" s="0"/>
    </row>
    <row r="709" customFormat="false" ht="12.75" hidden="false" customHeight="false" outlineLevel="0" collapsed="false">
      <c r="A709" s="0"/>
    </row>
    <row r="710" customFormat="false" ht="12.75" hidden="false" customHeight="false" outlineLevel="0" collapsed="false">
      <c r="A710" s="0"/>
    </row>
    <row r="711" customFormat="false" ht="12.75" hidden="false" customHeight="false" outlineLevel="0" collapsed="false">
      <c r="A711" s="0"/>
    </row>
    <row r="712" customFormat="false" ht="12.75" hidden="false" customHeight="false" outlineLevel="0" collapsed="false">
      <c r="A712" s="0"/>
    </row>
    <row r="713" customFormat="false" ht="12.75" hidden="false" customHeight="false" outlineLevel="0" collapsed="false">
      <c r="A713" s="0"/>
    </row>
    <row r="714" customFormat="false" ht="12.75" hidden="false" customHeight="false" outlineLevel="0" collapsed="false">
      <c r="A714" s="0"/>
    </row>
    <row r="715" customFormat="false" ht="12.75" hidden="false" customHeight="false" outlineLevel="0" collapsed="false">
      <c r="A715" s="0"/>
    </row>
    <row r="716" customFormat="false" ht="12.75" hidden="false" customHeight="false" outlineLevel="0" collapsed="false">
      <c r="A716" s="0"/>
    </row>
    <row r="717" customFormat="false" ht="12.75" hidden="false" customHeight="false" outlineLevel="0" collapsed="false">
      <c r="A717" s="0"/>
    </row>
    <row r="718" customFormat="false" ht="12.75" hidden="false" customHeight="false" outlineLevel="0" collapsed="false">
      <c r="A718" s="0"/>
    </row>
    <row r="719" customFormat="false" ht="12.75" hidden="false" customHeight="false" outlineLevel="0" collapsed="false">
      <c r="A719" s="0"/>
    </row>
    <row r="720" customFormat="false" ht="12.75" hidden="false" customHeight="false" outlineLevel="0" collapsed="false">
      <c r="A720" s="0"/>
    </row>
    <row r="721" customFormat="false" ht="12.75" hidden="false" customHeight="false" outlineLevel="0" collapsed="false">
      <c r="A721" s="0"/>
    </row>
    <row r="722" customFormat="false" ht="12.75" hidden="false" customHeight="false" outlineLevel="0" collapsed="false">
      <c r="A722" s="0"/>
    </row>
    <row r="723" customFormat="false" ht="12.75" hidden="false" customHeight="false" outlineLevel="0" collapsed="false">
      <c r="A723" s="0"/>
    </row>
    <row r="724" customFormat="false" ht="12.75" hidden="false" customHeight="false" outlineLevel="0" collapsed="false">
      <c r="A724" s="0"/>
    </row>
    <row r="725" customFormat="false" ht="12.75" hidden="false" customHeight="false" outlineLevel="0" collapsed="false">
      <c r="A725" s="0"/>
    </row>
    <row r="726" customFormat="false" ht="12.75" hidden="false" customHeight="false" outlineLevel="0" collapsed="false">
      <c r="A726" s="0"/>
    </row>
    <row r="727" customFormat="false" ht="12.75" hidden="false" customHeight="false" outlineLevel="0" collapsed="false">
      <c r="A727" s="0"/>
    </row>
    <row r="728" customFormat="false" ht="12.75" hidden="false" customHeight="false" outlineLevel="0" collapsed="false">
      <c r="A728" s="0"/>
    </row>
    <row r="729" customFormat="false" ht="12.75" hidden="false" customHeight="false" outlineLevel="0" collapsed="false">
      <c r="A729" s="0"/>
    </row>
    <row r="730" customFormat="false" ht="12.75" hidden="false" customHeight="false" outlineLevel="0" collapsed="false">
      <c r="A730" s="0"/>
    </row>
    <row r="731" customFormat="false" ht="12.75" hidden="false" customHeight="false" outlineLevel="0" collapsed="false">
      <c r="A731" s="0"/>
    </row>
    <row r="732" customFormat="false" ht="12.75" hidden="false" customHeight="false" outlineLevel="0" collapsed="false">
      <c r="A732" s="0"/>
    </row>
    <row r="733" customFormat="false" ht="12.75" hidden="false" customHeight="false" outlineLevel="0" collapsed="false">
      <c r="A733" s="0"/>
    </row>
    <row r="734" customFormat="false" ht="12.75" hidden="false" customHeight="false" outlineLevel="0" collapsed="false">
      <c r="A734" s="0"/>
    </row>
    <row r="735" customFormat="false" ht="12.75" hidden="false" customHeight="false" outlineLevel="0" collapsed="false">
      <c r="A735" s="0"/>
    </row>
    <row r="736" customFormat="false" ht="12.75" hidden="false" customHeight="false" outlineLevel="0" collapsed="false">
      <c r="A736" s="0"/>
    </row>
    <row r="737" customFormat="false" ht="12.75" hidden="false" customHeight="false" outlineLevel="0" collapsed="false">
      <c r="A737" s="0"/>
    </row>
    <row r="738" customFormat="false" ht="12.75" hidden="false" customHeight="false" outlineLevel="0" collapsed="false">
      <c r="A738" s="0"/>
    </row>
    <row r="739" customFormat="false" ht="12.75" hidden="false" customHeight="false" outlineLevel="0" collapsed="false">
      <c r="A739" s="0"/>
    </row>
    <row r="740" customFormat="false" ht="12.75" hidden="false" customHeight="false" outlineLevel="0" collapsed="false">
      <c r="A740" s="0"/>
    </row>
    <row r="741" customFormat="false" ht="12.75" hidden="false" customHeight="false" outlineLevel="0" collapsed="false">
      <c r="A741" s="0"/>
    </row>
    <row r="742" customFormat="false" ht="12.75" hidden="false" customHeight="false" outlineLevel="0" collapsed="false">
      <c r="A742" s="0"/>
    </row>
    <row r="743" customFormat="false" ht="12.75" hidden="false" customHeight="false" outlineLevel="0" collapsed="false">
      <c r="A743" s="0"/>
    </row>
    <row r="744" customFormat="false" ht="12.75" hidden="false" customHeight="false" outlineLevel="0" collapsed="false">
      <c r="A744" s="0"/>
    </row>
    <row r="745" customFormat="false" ht="12.75" hidden="false" customHeight="false" outlineLevel="0" collapsed="false">
      <c r="A745" s="0"/>
    </row>
    <row r="746" customFormat="false" ht="12.75" hidden="false" customHeight="false" outlineLevel="0" collapsed="false">
      <c r="A746" s="0"/>
    </row>
    <row r="747" customFormat="false" ht="12.75" hidden="false" customHeight="false" outlineLevel="0" collapsed="false">
      <c r="A747" s="0"/>
    </row>
    <row r="748" customFormat="false" ht="12.75" hidden="false" customHeight="false" outlineLevel="0" collapsed="false">
      <c r="A748" s="0"/>
    </row>
    <row r="749" customFormat="false" ht="12.75" hidden="false" customHeight="false" outlineLevel="0" collapsed="false">
      <c r="A749" s="0"/>
    </row>
    <row r="750" customFormat="false" ht="12.75" hidden="false" customHeight="false" outlineLevel="0" collapsed="false">
      <c r="A750" s="0"/>
    </row>
    <row r="751" customFormat="false" ht="12.75" hidden="false" customHeight="false" outlineLevel="0" collapsed="false">
      <c r="A751" s="0"/>
    </row>
    <row r="752" customFormat="false" ht="12.75" hidden="false" customHeight="false" outlineLevel="0" collapsed="false">
      <c r="A752" s="0"/>
    </row>
    <row r="753" customFormat="false" ht="12.75" hidden="false" customHeight="false" outlineLevel="0" collapsed="false">
      <c r="A753" s="0"/>
    </row>
    <row r="754" customFormat="false" ht="12.75" hidden="false" customHeight="false" outlineLevel="0" collapsed="false">
      <c r="A754" s="0"/>
    </row>
    <row r="755" customFormat="false" ht="12.75" hidden="false" customHeight="false" outlineLevel="0" collapsed="false">
      <c r="A755" s="0"/>
    </row>
    <row r="756" customFormat="false" ht="12.75" hidden="false" customHeight="false" outlineLevel="0" collapsed="false">
      <c r="A756" s="0"/>
    </row>
    <row r="757" customFormat="false" ht="12.75" hidden="false" customHeight="false" outlineLevel="0" collapsed="false">
      <c r="A757" s="0"/>
    </row>
    <row r="758" customFormat="false" ht="12.75" hidden="false" customHeight="false" outlineLevel="0" collapsed="false">
      <c r="A758" s="0"/>
    </row>
    <row r="759" customFormat="false" ht="12.75" hidden="false" customHeight="false" outlineLevel="0" collapsed="false">
      <c r="A759" s="0"/>
    </row>
    <row r="760" customFormat="false" ht="12.75" hidden="false" customHeight="false" outlineLevel="0" collapsed="false">
      <c r="A760" s="0"/>
    </row>
    <row r="761" customFormat="false" ht="12.75" hidden="false" customHeight="false" outlineLevel="0" collapsed="false">
      <c r="A761" s="0"/>
    </row>
    <row r="762" customFormat="false" ht="12.75" hidden="false" customHeight="false" outlineLevel="0" collapsed="false">
      <c r="A762" s="0"/>
    </row>
    <row r="763" customFormat="false" ht="12.75" hidden="false" customHeight="false" outlineLevel="0" collapsed="false">
      <c r="A763" s="0"/>
    </row>
    <row r="764" customFormat="false" ht="12.75" hidden="false" customHeight="false" outlineLevel="0" collapsed="false">
      <c r="A764" s="0"/>
    </row>
    <row r="765" customFormat="false" ht="12.75" hidden="false" customHeight="false" outlineLevel="0" collapsed="false">
      <c r="A765" s="0"/>
    </row>
    <row r="766" customFormat="false" ht="12.75" hidden="false" customHeight="false" outlineLevel="0" collapsed="false">
      <c r="A766" s="0"/>
    </row>
    <row r="767" customFormat="false" ht="12.75" hidden="false" customHeight="false" outlineLevel="0" collapsed="false">
      <c r="A767" s="0"/>
    </row>
    <row r="768" customFormat="false" ht="12.75" hidden="false" customHeight="false" outlineLevel="0" collapsed="false">
      <c r="A768" s="0"/>
    </row>
    <row r="769" customFormat="false" ht="12.75" hidden="false" customHeight="false" outlineLevel="0" collapsed="false">
      <c r="A769" s="0"/>
    </row>
    <row r="770" customFormat="false" ht="12.75" hidden="false" customHeight="false" outlineLevel="0" collapsed="false">
      <c r="A770" s="0"/>
    </row>
    <row r="771" customFormat="false" ht="12.75" hidden="false" customHeight="false" outlineLevel="0" collapsed="false">
      <c r="A771" s="0"/>
    </row>
    <row r="772" customFormat="false" ht="12.75" hidden="false" customHeight="false" outlineLevel="0" collapsed="false">
      <c r="A772" s="0"/>
    </row>
    <row r="773" customFormat="false" ht="12.75" hidden="false" customHeight="false" outlineLevel="0" collapsed="false">
      <c r="A773" s="0"/>
    </row>
    <row r="774" customFormat="false" ht="12.75" hidden="false" customHeight="false" outlineLevel="0" collapsed="false">
      <c r="A774" s="0"/>
    </row>
    <row r="775" customFormat="false" ht="12.75" hidden="false" customHeight="false" outlineLevel="0" collapsed="false">
      <c r="A775" s="0"/>
    </row>
    <row r="776" customFormat="false" ht="12.75" hidden="false" customHeight="false" outlineLevel="0" collapsed="false">
      <c r="A776" s="0"/>
    </row>
    <row r="777" customFormat="false" ht="12.75" hidden="false" customHeight="false" outlineLevel="0" collapsed="false">
      <c r="A777" s="0"/>
    </row>
    <row r="778" customFormat="false" ht="12.75" hidden="false" customHeight="false" outlineLevel="0" collapsed="false">
      <c r="A778" s="0"/>
    </row>
    <row r="779" customFormat="false" ht="12.75" hidden="false" customHeight="false" outlineLevel="0" collapsed="false">
      <c r="A779" s="0"/>
    </row>
    <row r="780" customFormat="false" ht="12.75" hidden="false" customHeight="false" outlineLevel="0" collapsed="false">
      <c r="A780" s="0"/>
    </row>
    <row r="781" customFormat="false" ht="12.75" hidden="false" customHeight="false" outlineLevel="0" collapsed="false">
      <c r="A781" s="0"/>
    </row>
    <row r="782" customFormat="false" ht="12.75" hidden="false" customHeight="false" outlineLevel="0" collapsed="false">
      <c r="A782" s="0"/>
    </row>
    <row r="783" customFormat="false" ht="12.75" hidden="false" customHeight="false" outlineLevel="0" collapsed="false">
      <c r="A783" s="0"/>
    </row>
    <row r="784" customFormat="false" ht="12.75" hidden="false" customHeight="false" outlineLevel="0" collapsed="false">
      <c r="A784" s="0"/>
    </row>
    <row r="785" customFormat="false" ht="12.75" hidden="false" customHeight="false" outlineLevel="0" collapsed="false">
      <c r="A785" s="0"/>
    </row>
    <row r="786" customFormat="false" ht="12.75" hidden="false" customHeight="false" outlineLevel="0" collapsed="false">
      <c r="A786" s="0"/>
    </row>
    <row r="787" customFormat="false" ht="12.75" hidden="false" customHeight="false" outlineLevel="0" collapsed="false">
      <c r="A787" s="0"/>
    </row>
    <row r="788" customFormat="false" ht="12.75" hidden="false" customHeight="false" outlineLevel="0" collapsed="false">
      <c r="A788" s="0"/>
    </row>
    <row r="789" customFormat="false" ht="12.75" hidden="false" customHeight="false" outlineLevel="0" collapsed="false">
      <c r="A789" s="0"/>
    </row>
    <row r="790" customFormat="false" ht="12.75" hidden="false" customHeight="false" outlineLevel="0" collapsed="false">
      <c r="A790" s="0"/>
    </row>
    <row r="791" customFormat="false" ht="12.75" hidden="false" customHeight="false" outlineLevel="0" collapsed="false">
      <c r="A791" s="0"/>
    </row>
    <row r="792" customFormat="false" ht="12.75" hidden="false" customHeight="false" outlineLevel="0" collapsed="false">
      <c r="A792" s="0"/>
    </row>
    <row r="793" customFormat="false" ht="12.75" hidden="false" customHeight="false" outlineLevel="0" collapsed="false">
      <c r="A793" s="0"/>
    </row>
    <row r="794" customFormat="false" ht="12.75" hidden="false" customHeight="false" outlineLevel="0" collapsed="false">
      <c r="A794" s="0"/>
    </row>
    <row r="795" customFormat="false" ht="12.75" hidden="false" customHeight="false" outlineLevel="0" collapsed="false">
      <c r="A795" s="0"/>
    </row>
    <row r="796" customFormat="false" ht="12.75" hidden="false" customHeight="false" outlineLevel="0" collapsed="false">
      <c r="A796" s="0"/>
    </row>
    <row r="797" customFormat="false" ht="12.75" hidden="false" customHeight="false" outlineLevel="0" collapsed="false">
      <c r="A797" s="0"/>
    </row>
    <row r="798" customFormat="false" ht="12.75" hidden="false" customHeight="false" outlineLevel="0" collapsed="false">
      <c r="A798" s="0"/>
    </row>
    <row r="799" customFormat="false" ht="12.75" hidden="false" customHeight="false" outlineLevel="0" collapsed="false">
      <c r="A799" s="0"/>
    </row>
    <row r="800" customFormat="false" ht="12.75" hidden="false" customHeight="false" outlineLevel="0" collapsed="false">
      <c r="A800" s="0"/>
    </row>
    <row r="801" customFormat="false" ht="12.75" hidden="false" customHeight="false" outlineLevel="0" collapsed="false">
      <c r="A801" s="0"/>
    </row>
    <row r="802" customFormat="false" ht="12.75" hidden="false" customHeight="false" outlineLevel="0" collapsed="false">
      <c r="A802" s="0"/>
    </row>
    <row r="803" customFormat="false" ht="12.75" hidden="false" customHeight="false" outlineLevel="0" collapsed="false">
      <c r="A803" s="0"/>
    </row>
    <row r="804" customFormat="false" ht="12.75" hidden="false" customHeight="false" outlineLevel="0" collapsed="false">
      <c r="A804" s="0"/>
    </row>
    <row r="805" customFormat="false" ht="12.75" hidden="false" customHeight="false" outlineLevel="0" collapsed="false">
      <c r="A805" s="0"/>
    </row>
    <row r="806" customFormat="false" ht="12.75" hidden="false" customHeight="false" outlineLevel="0" collapsed="false">
      <c r="A806" s="0"/>
    </row>
    <row r="807" customFormat="false" ht="12.75" hidden="false" customHeight="false" outlineLevel="0" collapsed="false">
      <c r="A807" s="0"/>
    </row>
    <row r="808" customFormat="false" ht="12.75" hidden="false" customHeight="false" outlineLevel="0" collapsed="false">
      <c r="A808" s="0"/>
    </row>
    <row r="809" customFormat="false" ht="12.75" hidden="false" customHeight="false" outlineLevel="0" collapsed="false">
      <c r="A809" s="0"/>
    </row>
    <row r="810" customFormat="false" ht="12.75" hidden="false" customHeight="false" outlineLevel="0" collapsed="false">
      <c r="A810" s="0"/>
    </row>
    <row r="811" customFormat="false" ht="12.75" hidden="false" customHeight="false" outlineLevel="0" collapsed="false">
      <c r="A811" s="0"/>
    </row>
    <row r="812" customFormat="false" ht="12.75" hidden="false" customHeight="false" outlineLevel="0" collapsed="false">
      <c r="A812" s="0"/>
    </row>
    <row r="813" customFormat="false" ht="12.75" hidden="false" customHeight="false" outlineLevel="0" collapsed="false">
      <c r="A813" s="0"/>
    </row>
    <row r="814" customFormat="false" ht="12.75" hidden="false" customHeight="false" outlineLevel="0" collapsed="false">
      <c r="A814" s="0"/>
    </row>
    <row r="815" customFormat="false" ht="12.75" hidden="false" customHeight="false" outlineLevel="0" collapsed="false">
      <c r="A815" s="0"/>
    </row>
    <row r="816" customFormat="false" ht="12.75" hidden="false" customHeight="false" outlineLevel="0" collapsed="false">
      <c r="A816" s="0"/>
    </row>
    <row r="817" customFormat="false" ht="12.75" hidden="false" customHeight="false" outlineLevel="0" collapsed="false">
      <c r="A817" s="0"/>
    </row>
    <row r="818" customFormat="false" ht="12.75" hidden="false" customHeight="false" outlineLevel="0" collapsed="false">
      <c r="A818" s="0"/>
    </row>
    <row r="819" customFormat="false" ht="12.75" hidden="false" customHeight="false" outlineLevel="0" collapsed="false">
      <c r="A819" s="0"/>
    </row>
    <row r="820" customFormat="false" ht="12.75" hidden="false" customHeight="false" outlineLevel="0" collapsed="false">
      <c r="A820" s="0"/>
    </row>
    <row r="821" customFormat="false" ht="12.75" hidden="false" customHeight="false" outlineLevel="0" collapsed="false">
      <c r="A821" s="0"/>
    </row>
    <row r="822" customFormat="false" ht="12.75" hidden="false" customHeight="false" outlineLevel="0" collapsed="false">
      <c r="A822" s="0"/>
    </row>
    <row r="823" customFormat="false" ht="12.75" hidden="false" customHeight="false" outlineLevel="0" collapsed="false">
      <c r="A823" s="0"/>
    </row>
    <row r="824" customFormat="false" ht="12.75" hidden="false" customHeight="false" outlineLevel="0" collapsed="false">
      <c r="A824" s="0"/>
    </row>
    <row r="825" customFormat="false" ht="12.75" hidden="false" customHeight="false" outlineLevel="0" collapsed="false">
      <c r="A825" s="0"/>
    </row>
    <row r="826" customFormat="false" ht="12.75" hidden="false" customHeight="false" outlineLevel="0" collapsed="false">
      <c r="A826" s="0"/>
    </row>
    <row r="827" customFormat="false" ht="12.75" hidden="false" customHeight="false" outlineLevel="0" collapsed="false">
      <c r="A827" s="0"/>
    </row>
    <row r="828" customFormat="false" ht="12.75" hidden="false" customHeight="false" outlineLevel="0" collapsed="false">
      <c r="A828" s="0"/>
    </row>
    <row r="829" customFormat="false" ht="12.75" hidden="false" customHeight="false" outlineLevel="0" collapsed="false">
      <c r="A829" s="0"/>
    </row>
    <row r="830" customFormat="false" ht="12.75" hidden="false" customHeight="false" outlineLevel="0" collapsed="false">
      <c r="A830" s="0"/>
    </row>
    <row r="831" customFormat="false" ht="12.75" hidden="false" customHeight="false" outlineLevel="0" collapsed="false">
      <c r="A831" s="0"/>
    </row>
    <row r="832" customFormat="false" ht="12.75" hidden="false" customHeight="false" outlineLevel="0" collapsed="false">
      <c r="A832" s="0"/>
    </row>
    <row r="833" customFormat="false" ht="12.75" hidden="false" customHeight="false" outlineLevel="0" collapsed="false">
      <c r="A833" s="0"/>
    </row>
    <row r="834" customFormat="false" ht="12.75" hidden="false" customHeight="false" outlineLevel="0" collapsed="false">
      <c r="A834" s="0"/>
    </row>
    <row r="835" customFormat="false" ht="12.75" hidden="false" customHeight="false" outlineLevel="0" collapsed="false">
      <c r="A835" s="0"/>
    </row>
    <row r="836" customFormat="false" ht="12.75" hidden="false" customHeight="false" outlineLevel="0" collapsed="false">
      <c r="A836" s="0"/>
    </row>
    <row r="837" customFormat="false" ht="12.75" hidden="false" customHeight="false" outlineLevel="0" collapsed="false">
      <c r="A837" s="0"/>
    </row>
    <row r="838" customFormat="false" ht="12.75" hidden="false" customHeight="false" outlineLevel="0" collapsed="false">
      <c r="A838" s="0"/>
    </row>
    <row r="839" customFormat="false" ht="12.75" hidden="false" customHeight="false" outlineLevel="0" collapsed="false">
      <c r="A839" s="0"/>
    </row>
    <row r="840" customFormat="false" ht="12.75" hidden="false" customHeight="false" outlineLevel="0" collapsed="false">
      <c r="A840" s="0"/>
    </row>
    <row r="841" customFormat="false" ht="12.75" hidden="false" customHeight="false" outlineLevel="0" collapsed="false">
      <c r="A841" s="0"/>
    </row>
    <row r="842" customFormat="false" ht="12.75" hidden="false" customHeight="false" outlineLevel="0" collapsed="false">
      <c r="A842" s="0"/>
    </row>
    <row r="843" customFormat="false" ht="12.75" hidden="false" customHeight="false" outlineLevel="0" collapsed="false">
      <c r="A843" s="0"/>
    </row>
    <row r="844" customFormat="false" ht="12.75" hidden="false" customHeight="false" outlineLevel="0" collapsed="false">
      <c r="A844" s="0"/>
    </row>
    <row r="845" customFormat="false" ht="12.75" hidden="false" customHeight="false" outlineLevel="0" collapsed="false">
      <c r="A845" s="0"/>
    </row>
    <row r="846" customFormat="false" ht="12.75" hidden="false" customHeight="false" outlineLevel="0" collapsed="false">
      <c r="A846" s="0"/>
    </row>
    <row r="847" customFormat="false" ht="12.75" hidden="false" customHeight="false" outlineLevel="0" collapsed="false">
      <c r="A847" s="0"/>
    </row>
    <row r="848" customFormat="false" ht="12.75" hidden="false" customHeight="false" outlineLevel="0" collapsed="false">
      <c r="A848" s="0"/>
    </row>
    <row r="849" customFormat="false" ht="12.75" hidden="false" customHeight="false" outlineLevel="0" collapsed="false">
      <c r="A849" s="0"/>
    </row>
    <row r="850" customFormat="false" ht="12.75" hidden="false" customHeight="false" outlineLevel="0" collapsed="false">
      <c r="A850" s="0"/>
    </row>
    <row r="851" customFormat="false" ht="12.75" hidden="false" customHeight="false" outlineLevel="0" collapsed="false">
      <c r="A851" s="0"/>
    </row>
    <row r="852" customFormat="false" ht="12.75" hidden="false" customHeight="false" outlineLevel="0" collapsed="false">
      <c r="A852" s="0"/>
    </row>
    <row r="853" customFormat="false" ht="12.75" hidden="false" customHeight="false" outlineLevel="0" collapsed="false">
      <c r="A853" s="0"/>
    </row>
    <row r="854" customFormat="false" ht="12.75" hidden="false" customHeight="false" outlineLevel="0" collapsed="false">
      <c r="A854" s="0"/>
    </row>
    <row r="855" customFormat="false" ht="12.75" hidden="false" customHeight="false" outlineLevel="0" collapsed="false">
      <c r="A855" s="0"/>
    </row>
    <row r="856" customFormat="false" ht="12.75" hidden="false" customHeight="false" outlineLevel="0" collapsed="false">
      <c r="A856" s="0"/>
    </row>
    <row r="857" customFormat="false" ht="12.75" hidden="false" customHeight="false" outlineLevel="0" collapsed="false">
      <c r="A857" s="0"/>
    </row>
    <row r="858" customFormat="false" ht="12.75" hidden="false" customHeight="false" outlineLevel="0" collapsed="false">
      <c r="A858" s="0"/>
    </row>
    <row r="859" customFormat="false" ht="12.75" hidden="false" customHeight="false" outlineLevel="0" collapsed="false">
      <c r="A859" s="0"/>
    </row>
    <row r="860" customFormat="false" ht="12.75" hidden="false" customHeight="false" outlineLevel="0" collapsed="false">
      <c r="A860" s="0"/>
    </row>
    <row r="861" customFormat="false" ht="12.75" hidden="false" customHeight="false" outlineLevel="0" collapsed="false">
      <c r="A861" s="0"/>
    </row>
    <row r="862" customFormat="false" ht="12.75" hidden="false" customHeight="false" outlineLevel="0" collapsed="false">
      <c r="A862" s="0"/>
    </row>
    <row r="863" customFormat="false" ht="12.75" hidden="false" customHeight="false" outlineLevel="0" collapsed="false">
      <c r="A863" s="0"/>
    </row>
    <row r="864" customFormat="false" ht="12.75" hidden="false" customHeight="false" outlineLevel="0" collapsed="false">
      <c r="A864" s="0"/>
    </row>
    <row r="865" customFormat="false" ht="12.75" hidden="false" customHeight="false" outlineLevel="0" collapsed="false">
      <c r="A865" s="0"/>
    </row>
    <row r="866" customFormat="false" ht="12.75" hidden="false" customHeight="false" outlineLevel="0" collapsed="false">
      <c r="A866" s="0"/>
    </row>
    <row r="867" customFormat="false" ht="12.75" hidden="false" customHeight="false" outlineLevel="0" collapsed="false">
      <c r="A867" s="0"/>
    </row>
    <row r="868" customFormat="false" ht="12.75" hidden="false" customHeight="false" outlineLevel="0" collapsed="false">
      <c r="A868" s="0"/>
    </row>
    <row r="869" customFormat="false" ht="12.75" hidden="false" customHeight="false" outlineLevel="0" collapsed="false">
      <c r="A869" s="0"/>
    </row>
    <row r="870" customFormat="false" ht="12.75" hidden="false" customHeight="false" outlineLevel="0" collapsed="false">
      <c r="A870" s="0"/>
    </row>
    <row r="871" customFormat="false" ht="12.75" hidden="false" customHeight="false" outlineLevel="0" collapsed="false">
      <c r="A871" s="0"/>
    </row>
    <row r="872" customFormat="false" ht="12.75" hidden="false" customHeight="false" outlineLevel="0" collapsed="false">
      <c r="A872" s="0"/>
    </row>
    <row r="873" customFormat="false" ht="12.75" hidden="false" customHeight="false" outlineLevel="0" collapsed="false">
      <c r="A873" s="0"/>
    </row>
    <row r="874" customFormat="false" ht="12.75" hidden="false" customHeight="false" outlineLevel="0" collapsed="false">
      <c r="A874" s="0"/>
    </row>
    <row r="875" customFormat="false" ht="12.75" hidden="false" customHeight="false" outlineLevel="0" collapsed="false">
      <c r="A875" s="0"/>
    </row>
    <row r="876" customFormat="false" ht="12.75" hidden="false" customHeight="false" outlineLevel="0" collapsed="false">
      <c r="A876" s="0"/>
    </row>
    <row r="877" customFormat="false" ht="12.75" hidden="false" customHeight="false" outlineLevel="0" collapsed="false">
      <c r="A877" s="0"/>
    </row>
    <row r="878" customFormat="false" ht="12.75" hidden="false" customHeight="false" outlineLevel="0" collapsed="false">
      <c r="A878" s="0"/>
    </row>
    <row r="879" customFormat="false" ht="12.75" hidden="false" customHeight="false" outlineLevel="0" collapsed="false">
      <c r="A879" s="0"/>
    </row>
    <row r="880" customFormat="false" ht="12.75" hidden="false" customHeight="false" outlineLevel="0" collapsed="false">
      <c r="A880" s="0"/>
    </row>
    <row r="881" customFormat="false" ht="12.75" hidden="false" customHeight="false" outlineLevel="0" collapsed="false">
      <c r="A881" s="0"/>
    </row>
    <row r="882" customFormat="false" ht="12.75" hidden="false" customHeight="false" outlineLevel="0" collapsed="false">
      <c r="A882" s="0"/>
    </row>
    <row r="883" customFormat="false" ht="12.75" hidden="false" customHeight="false" outlineLevel="0" collapsed="false">
      <c r="A883" s="0"/>
    </row>
    <row r="884" customFormat="false" ht="12.75" hidden="false" customHeight="false" outlineLevel="0" collapsed="false">
      <c r="A884" s="0"/>
    </row>
    <row r="885" customFormat="false" ht="12.75" hidden="false" customHeight="false" outlineLevel="0" collapsed="false">
      <c r="A885" s="0"/>
    </row>
    <row r="886" customFormat="false" ht="12.75" hidden="false" customHeight="false" outlineLevel="0" collapsed="false">
      <c r="A886" s="0"/>
    </row>
    <row r="887" customFormat="false" ht="12.75" hidden="false" customHeight="false" outlineLevel="0" collapsed="false">
      <c r="A887" s="0"/>
    </row>
    <row r="888" customFormat="false" ht="12.75" hidden="false" customHeight="false" outlineLevel="0" collapsed="false">
      <c r="A888" s="0"/>
    </row>
    <row r="889" customFormat="false" ht="12.75" hidden="false" customHeight="false" outlineLevel="0" collapsed="false">
      <c r="A889" s="0"/>
    </row>
    <row r="890" customFormat="false" ht="12.75" hidden="false" customHeight="false" outlineLevel="0" collapsed="false">
      <c r="A890" s="0"/>
    </row>
    <row r="891" customFormat="false" ht="12.75" hidden="false" customHeight="false" outlineLevel="0" collapsed="false">
      <c r="A891" s="0"/>
    </row>
    <row r="892" customFormat="false" ht="12.75" hidden="false" customHeight="false" outlineLevel="0" collapsed="false">
      <c r="A892" s="0"/>
    </row>
    <row r="893" customFormat="false" ht="12.75" hidden="false" customHeight="false" outlineLevel="0" collapsed="false">
      <c r="A893" s="0"/>
    </row>
    <row r="894" customFormat="false" ht="12.75" hidden="false" customHeight="false" outlineLevel="0" collapsed="false">
      <c r="A894" s="0"/>
    </row>
    <row r="895" customFormat="false" ht="12.75" hidden="false" customHeight="false" outlineLevel="0" collapsed="false">
      <c r="A895" s="0"/>
    </row>
    <row r="896" customFormat="false" ht="12.75" hidden="false" customHeight="false" outlineLevel="0" collapsed="false">
      <c r="A896" s="0"/>
    </row>
    <row r="897" customFormat="false" ht="12.75" hidden="false" customHeight="false" outlineLevel="0" collapsed="false">
      <c r="A897" s="0"/>
    </row>
    <row r="898" customFormat="false" ht="12.75" hidden="false" customHeight="false" outlineLevel="0" collapsed="false">
      <c r="A898" s="0"/>
    </row>
    <row r="899" customFormat="false" ht="12.75" hidden="false" customHeight="false" outlineLevel="0" collapsed="false">
      <c r="A899" s="0"/>
    </row>
    <row r="900" customFormat="false" ht="12.75" hidden="false" customHeight="false" outlineLevel="0" collapsed="false">
      <c r="A900" s="0"/>
    </row>
    <row r="901" customFormat="false" ht="12.75" hidden="false" customHeight="false" outlineLevel="0" collapsed="false">
      <c r="A901" s="0"/>
    </row>
    <row r="902" customFormat="false" ht="12.75" hidden="false" customHeight="false" outlineLevel="0" collapsed="false">
      <c r="A902" s="0"/>
    </row>
    <row r="903" customFormat="false" ht="12.75" hidden="false" customHeight="false" outlineLevel="0" collapsed="false">
      <c r="A903" s="0"/>
    </row>
    <row r="904" customFormat="false" ht="12.75" hidden="false" customHeight="false" outlineLevel="0" collapsed="false">
      <c r="A904" s="0"/>
    </row>
    <row r="905" customFormat="false" ht="12.75" hidden="false" customHeight="false" outlineLevel="0" collapsed="false">
      <c r="A905" s="0"/>
    </row>
    <row r="906" customFormat="false" ht="12.75" hidden="false" customHeight="false" outlineLevel="0" collapsed="false">
      <c r="A906" s="0"/>
    </row>
    <row r="907" customFormat="false" ht="12.75" hidden="false" customHeight="false" outlineLevel="0" collapsed="false">
      <c r="A907" s="0"/>
    </row>
    <row r="908" customFormat="false" ht="12.75" hidden="false" customHeight="false" outlineLevel="0" collapsed="false">
      <c r="A908" s="0"/>
    </row>
    <row r="909" customFormat="false" ht="12.75" hidden="false" customHeight="false" outlineLevel="0" collapsed="false">
      <c r="A909" s="0"/>
    </row>
    <row r="910" customFormat="false" ht="12.75" hidden="false" customHeight="false" outlineLevel="0" collapsed="false">
      <c r="A910" s="0"/>
    </row>
    <row r="911" customFormat="false" ht="12.75" hidden="false" customHeight="false" outlineLevel="0" collapsed="false">
      <c r="A911" s="0"/>
    </row>
    <row r="912" customFormat="false" ht="12.75" hidden="false" customHeight="false" outlineLevel="0" collapsed="false">
      <c r="A912" s="0"/>
    </row>
    <row r="913" customFormat="false" ht="12.75" hidden="false" customHeight="false" outlineLevel="0" collapsed="false">
      <c r="A913" s="0"/>
    </row>
    <row r="914" customFormat="false" ht="12.75" hidden="false" customHeight="false" outlineLevel="0" collapsed="false">
      <c r="A914" s="0"/>
    </row>
    <row r="915" customFormat="false" ht="12.75" hidden="false" customHeight="false" outlineLevel="0" collapsed="false">
      <c r="A915" s="0"/>
    </row>
    <row r="916" customFormat="false" ht="12.75" hidden="false" customHeight="false" outlineLevel="0" collapsed="false">
      <c r="A916" s="0"/>
    </row>
    <row r="917" customFormat="false" ht="12.75" hidden="false" customHeight="false" outlineLevel="0" collapsed="false">
      <c r="A917" s="0"/>
    </row>
    <row r="918" customFormat="false" ht="12.75" hidden="false" customHeight="false" outlineLevel="0" collapsed="false">
      <c r="A918" s="0"/>
    </row>
    <row r="919" customFormat="false" ht="12.75" hidden="false" customHeight="false" outlineLevel="0" collapsed="false">
      <c r="A919" s="0"/>
    </row>
    <row r="920" customFormat="false" ht="12.75" hidden="false" customHeight="false" outlineLevel="0" collapsed="false">
      <c r="A920" s="0"/>
    </row>
    <row r="921" customFormat="false" ht="12.75" hidden="false" customHeight="false" outlineLevel="0" collapsed="false">
      <c r="A921" s="0"/>
    </row>
    <row r="922" customFormat="false" ht="12.75" hidden="false" customHeight="false" outlineLevel="0" collapsed="false">
      <c r="A922" s="0"/>
    </row>
    <row r="923" customFormat="false" ht="12.75" hidden="false" customHeight="false" outlineLevel="0" collapsed="false">
      <c r="A923" s="0"/>
    </row>
    <row r="924" customFormat="false" ht="12.75" hidden="false" customHeight="false" outlineLevel="0" collapsed="false">
      <c r="A924" s="0"/>
    </row>
    <row r="925" customFormat="false" ht="12.75" hidden="false" customHeight="false" outlineLevel="0" collapsed="false">
      <c r="A925" s="0"/>
    </row>
    <row r="926" customFormat="false" ht="12.75" hidden="false" customHeight="false" outlineLevel="0" collapsed="false">
      <c r="A926" s="0"/>
    </row>
    <row r="927" customFormat="false" ht="12.75" hidden="false" customHeight="false" outlineLevel="0" collapsed="false">
      <c r="A927" s="0"/>
    </row>
    <row r="928" customFormat="false" ht="12.75" hidden="false" customHeight="false" outlineLevel="0" collapsed="false">
      <c r="A928" s="0"/>
    </row>
    <row r="929" customFormat="false" ht="12.75" hidden="false" customHeight="false" outlineLevel="0" collapsed="false">
      <c r="A929" s="0"/>
    </row>
    <row r="930" customFormat="false" ht="12.75" hidden="false" customHeight="false" outlineLevel="0" collapsed="false">
      <c r="A930" s="0"/>
    </row>
    <row r="931" customFormat="false" ht="12.75" hidden="false" customHeight="false" outlineLevel="0" collapsed="false">
      <c r="A931" s="0"/>
    </row>
    <row r="932" customFormat="false" ht="12.75" hidden="false" customHeight="false" outlineLevel="0" collapsed="false">
      <c r="A932" s="0"/>
    </row>
    <row r="933" customFormat="false" ht="12.75" hidden="false" customHeight="false" outlineLevel="0" collapsed="false">
      <c r="A933" s="0"/>
    </row>
    <row r="934" customFormat="false" ht="12.75" hidden="false" customHeight="false" outlineLevel="0" collapsed="false">
      <c r="A934" s="0"/>
    </row>
    <row r="935" customFormat="false" ht="12.75" hidden="false" customHeight="false" outlineLevel="0" collapsed="false">
      <c r="A935" s="0"/>
    </row>
    <row r="936" customFormat="false" ht="12.75" hidden="false" customHeight="false" outlineLevel="0" collapsed="false">
      <c r="A936" s="0"/>
    </row>
    <row r="937" customFormat="false" ht="12.75" hidden="false" customHeight="false" outlineLevel="0" collapsed="false">
      <c r="A937" s="0"/>
    </row>
    <row r="938" customFormat="false" ht="12.75" hidden="false" customHeight="false" outlineLevel="0" collapsed="false">
      <c r="A938" s="0"/>
    </row>
    <row r="939" customFormat="false" ht="12.75" hidden="false" customHeight="false" outlineLevel="0" collapsed="false">
      <c r="A939" s="0"/>
    </row>
    <row r="940" customFormat="false" ht="12.75" hidden="false" customHeight="false" outlineLevel="0" collapsed="false">
      <c r="A940" s="0"/>
    </row>
    <row r="941" customFormat="false" ht="12.75" hidden="false" customHeight="false" outlineLevel="0" collapsed="false">
      <c r="A941" s="0"/>
    </row>
    <row r="942" customFormat="false" ht="12.75" hidden="false" customHeight="false" outlineLevel="0" collapsed="false">
      <c r="A942" s="0"/>
    </row>
    <row r="943" customFormat="false" ht="12.75" hidden="false" customHeight="false" outlineLevel="0" collapsed="false">
      <c r="A943" s="0"/>
    </row>
    <row r="944" customFormat="false" ht="12.75" hidden="false" customHeight="false" outlineLevel="0" collapsed="false">
      <c r="A944" s="0"/>
    </row>
    <row r="945" customFormat="false" ht="12.75" hidden="false" customHeight="false" outlineLevel="0" collapsed="false">
      <c r="A945" s="0"/>
    </row>
    <row r="946" customFormat="false" ht="12.75" hidden="false" customHeight="false" outlineLevel="0" collapsed="false">
      <c r="A946" s="0"/>
    </row>
    <row r="947" customFormat="false" ht="12.75" hidden="false" customHeight="false" outlineLevel="0" collapsed="false">
      <c r="A947" s="0"/>
    </row>
    <row r="948" customFormat="false" ht="12.75" hidden="false" customHeight="false" outlineLevel="0" collapsed="false">
      <c r="A948" s="0"/>
    </row>
    <row r="949" customFormat="false" ht="12.75" hidden="false" customHeight="false" outlineLevel="0" collapsed="false">
      <c r="A949" s="0"/>
    </row>
    <row r="950" customFormat="false" ht="12.75" hidden="false" customHeight="false" outlineLevel="0" collapsed="false">
      <c r="A950" s="0"/>
    </row>
    <row r="951" customFormat="false" ht="12.75" hidden="false" customHeight="false" outlineLevel="0" collapsed="false">
      <c r="A951" s="0"/>
    </row>
    <row r="952" customFormat="false" ht="12.75" hidden="false" customHeight="false" outlineLevel="0" collapsed="false">
      <c r="A952" s="0"/>
    </row>
    <row r="953" customFormat="false" ht="12.75" hidden="false" customHeight="false" outlineLevel="0" collapsed="false">
      <c r="A953" s="0"/>
    </row>
    <row r="954" customFormat="false" ht="12.75" hidden="false" customHeight="false" outlineLevel="0" collapsed="false">
      <c r="A954" s="0"/>
    </row>
    <row r="955" customFormat="false" ht="12.75" hidden="false" customHeight="false" outlineLevel="0" collapsed="false">
      <c r="A955" s="0"/>
    </row>
    <row r="956" customFormat="false" ht="12.75" hidden="false" customHeight="false" outlineLevel="0" collapsed="false">
      <c r="A956" s="0"/>
    </row>
    <row r="957" customFormat="false" ht="12.75" hidden="false" customHeight="false" outlineLevel="0" collapsed="false">
      <c r="A957" s="0"/>
    </row>
    <row r="958" customFormat="false" ht="12.75" hidden="false" customHeight="false" outlineLevel="0" collapsed="false">
      <c r="A958" s="0"/>
    </row>
    <row r="959" customFormat="false" ht="12.75" hidden="false" customHeight="false" outlineLevel="0" collapsed="false">
      <c r="A959" s="0"/>
    </row>
    <row r="960" customFormat="false" ht="12.75" hidden="false" customHeight="false" outlineLevel="0" collapsed="false">
      <c r="A960" s="0"/>
    </row>
    <row r="961" customFormat="false" ht="12.75" hidden="false" customHeight="false" outlineLevel="0" collapsed="false">
      <c r="A961" s="0"/>
    </row>
    <row r="962" customFormat="false" ht="12.75" hidden="false" customHeight="false" outlineLevel="0" collapsed="false">
      <c r="A962" s="0"/>
    </row>
    <row r="963" customFormat="false" ht="12.75" hidden="false" customHeight="false" outlineLevel="0" collapsed="false">
      <c r="A963" s="0"/>
    </row>
    <row r="964" customFormat="false" ht="12.75" hidden="false" customHeight="false" outlineLevel="0" collapsed="false">
      <c r="A964" s="0"/>
    </row>
    <row r="965" customFormat="false" ht="12.75" hidden="false" customHeight="false" outlineLevel="0" collapsed="false">
      <c r="A965" s="0"/>
    </row>
    <row r="966" customFormat="false" ht="12.75" hidden="false" customHeight="false" outlineLevel="0" collapsed="false">
      <c r="A966" s="0"/>
    </row>
    <row r="967" customFormat="false" ht="12.75" hidden="false" customHeight="false" outlineLevel="0" collapsed="false">
      <c r="A967" s="0"/>
    </row>
    <row r="968" customFormat="false" ht="12.75" hidden="false" customHeight="false" outlineLevel="0" collapsed="false">
      <c r="A968" s="0"/>
    </row>
    <row r="969" customFormat="false" ht="12.75" hidden="false" customHeight="false" outlineLevel="0" collapsed="false">
      <c r="A969" s="0"/>
    </row>
    <row r="970" customFormat="false" ht="12.75" hidden="false" customHeight="false" outlineLevel="0" collapsed="false">
      <c r="A970" s="0"/>
    </row>
    <row r="971" customFormat="false" ht="12.75" hidden="false" customHeight="false" outlineLevel="0" collapsed="false">
      <c r="A971" s="0"/>
    </row>
    <row r="972" customFormat="false" ht="12.75" hidden="false" customHeight="false" outlineLevel="0" collapsed="false">
      <c r="A972" s="0"/>
    </row>
    <row r="973" customFormat="false" ht="12.75" hidden="false" customHeight="false" outlineLevel="0" collapsed="false">
      <c r="A973" s="0"/>
    </row>
    <row r="974" customFormat="false" ht="12.75" hidden="false" customHeight="false" outlineLevel="0" collapsed="false">
      <c r="A974" s="0"/>
    </row>
    <row r="975" customFormat="false" ht="12.75" hidden="false" customHeight="false" outlineLevel="0" collapsed="false">
      <c r="A975" s="0"/>
    </row>
    <row r="976" customFormat="false" ht="12.75" hidden="false" customHeight="false" outlineLevel="0" collapsed="false">
      <c r="A976" s="0"/>
    </row>
    <row r="977" customFormat="false" ht="12.75" hidden="false" customHeight="false" outlineLevel="0" collapsed="false">
      <c r="A977" s="0"/>
    </row>
    <row r="978" customFormat="false" ht="12.75" hidden="false" customHeight="false" outlineLevel="0" collapsed="false">
      <c r="A978" s="0"/>
    </row>
    <row r="979" customFormat="false" ht="12.75" hidden="false" customHeight="false" outlineLevel="0" collapsed="false">
      <c r="A979" s="0"/>
    </row>
    <row r="980" customFormat="false" ht="12.75" hidden="false" customHeight="false" outlineLevel="0" collapsed="false">
      <c r="A980" s="0"/>
    </row>
    <row r="981" customFormat="false" ht="12.75" hidden="false" customHeight="false" outlineLevel="0" collapsed="false">
      <c r="A981" s="0"/>
    </row>
    <row r="982" customFormat="false" ht="12.75" hidden="false" customHeight="false" outlineLevel="0" collapsed="false">
      <c r="A982" s="0"/>
    </row>
    <row r="983" customFormat="false" ht="12.75" hidden="false" customHeight="false" outlineLevel="0" collapsed="false">
      <c r="A983" s="0"/>
    </row>
    <row r="984" customFormat="false" ht="12.75" hidden="false" customHeight="false" outlineLevel="0" collapsed="false">
      <c r="A984" s="0"/>
    </row>
    <row r="985" customFormat="false" ht="12.75" hidden="false" customHeight="false" outlineLevel="0" collapsed="false">
      <c r="A985" s="0"/>
    </row>
    <row r="986" customFormat="false" ht="12.75" hidden="false" customHeight="false" outlineLevel="0" collapsed="false">
      <c r="A986" s="0"/>
    </row>
    <row r="987" customFormat="false" ht="12.75" hidden="false" customHeight="false" outlineLevel="0" collapsed="false">
      <c r="A987" s="0"/>
    </row>
    <row r="988" customFormat="false" ht="12.75" hidden="false" customHeight="false" outlineLevel="0" collapsed="false">
      <c r="A988" s="0"/>
    </row>
    <row r="989" customFormat="false" ht="12.75" hidden="false" customHeight="false" outlineLevel="0" collapsed="false">
      <c r="A989" s="0"/>
    </row>
    <row r="990" customFormat="false" ht="12.75" hidden="false" customHeight="false" outlineLevel="0" collapsed="false">
      <c r="A990" s="0"/>
    </row>
    <row r="991" customFormat="false" ht="12.75" hidden="false" customHeight="false" outlineLevel="0" collapsed="false">
      <c r="A991" s="0"/>
    </row>
    <row r="992" customFormat="false" ht="12.75" hidden="false" customHeight="false" outlineLevel="0" collapsed="false">
      <c r="A992" s="0"/>
    </row>
    <row r="993" customFormat="false" ht="12.75" hidden="false" customHeight="false" outlineLevel="0" collapsed="false">
      <c r="A993" s="0"/>
    </row>
    <row r="994" customFormat="false" ht="12.75" hidden="false" customHeight="false" outlineLevel="0" collapsed="false">
      <c r="A994" s="0"/>
    </row>
    <row r="995" customFormat="false" ht="12.75" hidden="false" customHeight="false" outlineLevel="0" collapsed="false">
      <c r="A995" s="0"/>
    </row>
    <row r="996" customFormat="false" ht="12.75" hidden="false" customHeight="false" outlineLevel="0" collapsed="false">
      <c r="A996" s="0"/>
    </row>
    <row r="997" customFormat="false" ht="12.75" hidden="false" customHeight="false" outlineLevel="0" collapsed="false">
      <c r="A997" s="0"/>
    </row>
    <row r="998" customFormat="false" ht="12.75" hidden="false" customHeight="false" outlineLevel="0" collapsed="false">
      <c r="A998" s="0"/>
    </row>
    <row r="999" customFormat="false" ht="12.75" hidden="false" customHeight="false" outlineLevel="0" collapsed="false">
      <c r="A999" s="0"/>
    </row>
    <row r="1000" customFormat="false" ht="12.75" hidden="false" customHeight="false" outlineLevel="0" collapsed="false">
      <c r="A1000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Nymex_CURVE">
                <anchor moveWithCells="true" sizeWithCells="false">
                  <from>
                    <xdr:col>8</xdr:col>
                    <xdr:colOff>130320</xdr:colOff>
                    <xdr:row>0</xdr:row>
                    <xdr:rowOff>47520</xdr:rowOff>
                  </from>
                  <to>
                    <xdr:col>9</xdr:col>
                    <xdr:colOff>615240</xdr:colOff>
                    <xdr:row>2</xdr:row>
                    <xdr:rowOff>28440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4">
              <controlPr defaultSize="0" print="false" autoFill="0" autoPict="0" macro="xls.Module1.New_Nymex_Gas">
                <anchor moveWithCells="true" sizeWithCells="false">
                  <from>
                    <xdr:col>30</xdr:col>
                    <xdr:colOff>362160</xdr:colOff>
                    <xdr:row>1</xdr:row>
                    <xdr:rowOff>142920</xdr:rowOff>
                  </from>
                  <to>
                    <xdr:col>32</xdr:col>
                    <xdr:colOff>120240</xdr:colOff>
                    <xdr:row>3</xdr:row>
                    <xdr:rowOff>162000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1998-01-05T21:30:57Z</dcterms:created>
  <dc:creator>jzuffer</dc:creator>
  <dc:description>- Oracle 8i ODBC QueryFix Applied</dc:description>
  <dc:language>en-US</dc:language>
  <cp:lastModifiedBy>s_mcrouch</cp:lastModifiedBy>
  <cp:lastPrinted>2001-03-30T11:57:52Z</cp:lastPrinted>
  <dcterms:modified xsi:type="dcterms:W3CDTF">2000-12-01T14:46:56Z</dcterms:modified>
  <cp:revision>0</cp:revision>
  <dc:subject/>
  <dc:title/>
</cp:coreProperties>
</file>