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stin" sheetId="1" state="visible" r:id="rId3"/>
    <sheet name="Coral" sheetId="2" state="visible" r:id="rId4"/>
    <sheet name="ESA" sheetId="3" state="visible" r:id="rId5"/>
    <sheet name="PSCO" sheetId="4" state="visible" r:id="rId6"/>
    <sheet name="LV Cogen" sheetId="5" state="visible" r:id="rId7"/>
    <sheet name="Summary By Project" sheetId="6" state="visible" r:id="rId8"/>
    <sheet name="Summary By Unit" sheetId="7" state="visible" r:id="rId9"/>
    <sheet name="XNPV Payments" sheetId="8" state="visible" r:id="rId10"/>
    <sheet name="ABB Amounts" sheetId="9" state="visible" r:id="rId11"/>
  </sheets>
  <definedNames>
    <definedName function="false" hidden="false" localSheetId="5" name="_xlnm.Print_Area" vbProcedure="false">'Summary By Project'!$A$1:$K$11</definedName>
    <definedName function="false" hidden="false" name="Interest" vbProcedure="false">Coral!$E$3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GE over-invoiced Enron for the 10% progress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70</xdr:colOff>
                <xdr:row>7</xdr:row>
                <xdr:rowOff>7</xdr:rowOff>
              </xdr:from>
              <xdr:to>
                <xdr:col>4</xdr:col>
                <xdr:colOff>15</xdr:colOff>
                <xdr:row>10</xdr:row>
                <xdr:rowOff>10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This payment is less than 25% of the total contract price in order to reimburse Enron for being over-billed for the first milestone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70</xdr:colOff>
                <xdr:row>8</xdr:row>
                <xdr:rowOff>7</xdr:rowOff>
              </xdr:from>
              <xdr:to>
                <xdr:col>4</xdr:col>
                <xdr:colOff>77</xdr:colOff>
                <xdr:row>12</xdr:row>
                <xdr:rowOff>8</xdr:rowOff>
              </xdr:to>
            </anchor>
          </commentPr>
        </mc:Choice>
        <mc:Fallback/>
      </mc:AlternateContent>
    </commen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Already invoiced.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70</xdr:colOff>
                <xdr:row>9</xdr:row>
                <xdr:rowOff>7</xdr:rowOff>
              </xdr:from>
              <xdr:to>
                <xdr:col>4</xdr:col>
                <xdr:colOff>-11</xdr:colOff>
                <xdr:row>11</xdr:row>
                <xdr:rowOff>16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Enron was over-invoiced for the 10% progress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</xdr:row>
                <xdr:rowOff>7</xdr:rowOff>
              </xdr:from>
              <xdr:to>
                <xdr:col>7</xdr:col>
                <xdr:colOff>7</xdr:colOff>
                <xdr:row>11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Enron was over-invoiced for the 10% progress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41</xdr:colOff>
                <xdr:row>7</xdr:row>
                <xdr:rowOff>7</xdr:rowOff>
              </xdr:from>
              <xdr:to>
                <xdr:col>3</xdr:col>
                <xdr:colOff>36</xdr:colOff>
                <xdr:row>11</xdr:row>
                <xdr:rowOff>13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25% progress payment adjusted by the over-payment in September, 2000 -- already invoiced.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41</xdr:colOff>
                <xdr:row>8</xdr:row>
                <xdr:rowOff>7</xdr:rowOff>
              </xdr:from>
              <xdr:to>
                <xdr:col>3</xdr:col>
                <xdr:colOff>36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Enron was over-invoiced for the 10% progress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41</xdr:colOff>
                <xdr:row>7</xdr:row>
                <xdr:rowOff>7</xdr:rowOff>
              </xdr:from>
              <xdr:to>
                <xdr:col>3</xdr:col>
                <xdr:colOff>36</xdr:colOff>
                <xdr:row>11</xdr:row>
                <xdr:rowOff>13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25% progress payment adjusted by the over-payment in September,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41</xdr:colOff>
                <xdr:row>8</xdr:row>
                <xdr:rowOff>7</xdr:rowOff>
              </xdr:from>
              <xdr:to>
                <xdr:col>3</xdr:col>
                <xdr:colOff>36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Already invoiced -- scheduled to be paid by 12/13/00.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</xdr:row>
                <xdr:rowOff>7</xdr:rowOff>
              </xdr:from>
              <xdr:to>
                <xdr:col>7</xdr:col>
                <xdr:colOff>42</xdr:colOff>
                <xdr:row>8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Already invoiced -- scheduled to be paid by 12/13/00.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</xdr:colOff>
                <xdr:row>2</xdr:row>
                <xdr:rowOff>7</xdr:rowOff>
              </xdr:from>
              <xdr:to>
                <xdr:col>8</xdr:col>
                <xdr:colOff>53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Extra $7,000 charge for Spare bushings.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7</xdr:rowOff>
              </xdr:from>
              <xdr:to>
                <xdr:col>7</xdr:col>
                <xdr:colOff>67</xdr:colOff>
                <xdr:row>9</xdr:row>
                <xdr:rowOff>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ESA Cancellation Charges.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46</xdr:colOff>
                <xdr:row>2</xdr:row>
                <xdr:rowOff>3</xdr:rowOff>
              </xdr:from>
              <xdr:to>
                <xdr:col>1</xdr:col>
                <xdr:colOff>37</xdr:colOff>
                <xdr:row>5</xdr:row>
                <xdr:rowOff>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Already invoiced -- Coral Payment #3 and PSCO Payment #2.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96</xdr:colOff>
                <xdr:row>2</xdr:row>
                <xdr:rowOff>3</xdr:rowOff>
              </xdr:from>
              <xdr:to>
                <xdr:col>2</xdr:col>
                <xdr:colOff>5</xdr:colOff>
                <xdr:row>5</xdr:row>
                <xdr:rowOff>10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 PSCO #3.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45</xdr:colOff>
                <xdr:row>2</xdr:row>
                <xdr:rowOff>3</xdr:rowOff>
              </xdr:from>
              <xdr:to>
                <xdr:col>2</xdr:col>
                <xdr:colOff>67</xdr:colOff>
                <xdr:row>5</xdr:row>
                <xdr:rowOff>1</xdr:rowOff>
              </xdr:to>
            </anchor>
          </commentPr>
        </mc:Choice>
        <mc:Fallback/>
      </mc:AlternateContent>
    </comment>
    <comment ref="E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Coral #4.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69</xdr:colOff>
                <xdr:row>2</xdr:row>
                <xdr:rowOff>3</xdr:rowOff>
              </xdr:from>
              <xdr:to>
                <xdr:col>3</xdr:col>
                <xdr:colOff>90</xdr:colOff>
                <xdr:row>5</xdr:row>
                <xdr:rowOff>5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PSCO #4.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</xdr:row>
                <xdr:rowOff>7</xdr:rowOff>
              </xdr:from>
              <xdr:to>
                <xdr:col>8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LV Cogen #2.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2</xdr:row>
                <xdr:rowOff>3</xdr:rowOff>
              </xdr:from>
              <xdr:to>
                <xdr:col>6</xdr:col>
                <xdr:colOff>69</xdr:colOff>
                <xdr:row>6</xdr:row>
                <xdr:rowOff>9</xdr:rowOff>
              </xdr:to>
            </anchor>
          </commentPr>
        </mc:Choice>
        <mc:Fallback/>
      </mc:AlternateContent>
    </comment>
    <comment ref="I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LV Cogen #3.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2</xdr:row>
                <xdr:rowOff>3</xdr:rowOff>
              </xdr:from>
              <xdr:to>
                <xdr:col>7</xdr:col>
                <xdr:colOff>72</xdr:colOff>
                <xdr:row>6</xdr:row>
                <xdr:rowOff>9</xdr:rowOff>
              </xdr:to>
            </anchor>
          </commentPr>
        </mc:Choice>
        <mc:Fallback/>
      </mc:AlternateContent>
    </comment>
    <comment ref="L4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LV Cogen #4.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46</xdr:colOff>
                <xdr:row>2</xdr:row>
                <xdr:rowOff>3</xdr:rowOff>
              </xdr:from>
              <xdr:to>
                <xdr:col>10</xdr:col>
                <xdr:colOff>61</xdr:colOff>
                <xdr:row>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<sst xmlns="http://schemas.openxmlformats.org/spreadsheetml/2006/main" count="219" uniqueCount="103">
  <si>
    <t xml:space="preserve">ABB Transformers - Austin</t>
  </si>
  <si>
    <t xml:space="preserve">As of</t>
  </si>
  <si>
    <t xml:space="preserve">Contract Price</t>
  </si>
  <si>
    <t xml:space="preserve">Quantity</t>
  </si>
  <si>
    <t xml:space="preserve">Total Price</t>
  </si>
  <si>
    <t xml:space="preserve">Funding Request</t>
  </si>
  <si>
    <t xml:space="preserve">Drawdown</t>
  </si>
  <si>
    <t xml:space="preserve">Date</t>
  </si>
  <si>
    <t xml:space="preserve">Percent</t>
  </si>
  <si>
    <t xml:space="preserve">Amount</t>
  </si>
  <si>
    <t xml:space="preserve">Balance</t>
  </si>
  <si>
    <t xml:space="preserve">Payments</t>
  </si>
  <si>
    <t xml:space="preserve">Option Premium</t>
  </si>
  <si>
    <t xml:space="preserve">Made</t>
  </si>
  <si>
    <t xml:space="preserve">Milestone Payment #1</t>
  </si>
  <si>
    <t xml:space="preserve">To Date</t>
  </si>
  <si>
    <t xml:space="preserve">Milestone Payment #2</t>
  </si>
  <si>
    <t xml:space="preserve">Milestone Payment #3</t>
  </si>
  <si>
    <t xml:space="preserve">Sale of Transformers</t>
  </si>
  <si>
    <t xml:space="preserve">Balance Due as of 12/05/00</t>
  </si>
  <si>
    <t xml:space="preserve">ABB Transformers - Coral</t>
  </si>
  <si>
    <t xml:space="preserve">Milestone Payment #4</t>
  </si>
  <si>
    <t xml:space="preserve">N/A</t>
  </si>
  <si>
    <t xml:space="preserve">Due</t>
  </si>
  <si>
    <t xml:space="preserve">Milestone Payment #5</t>
  </si>
  <si>
    <t xml:space="preserve">ABB Transformers - ESA</t>
  </si>
  <si>
    <t xml:space="preserve">Made To Date</t>
  </si>
  <si>
    <t xml:space="preserve">Payments Due</t>
  </si>
  <si>
    <t xml:space="preserve">Cancellation Fees</t>
  </si>
  <si>
    <t xml:space="preserve">ABB Transformers - PSCO</t>
  </si>
  <si>
    <t xml:space="preserve">ABB Transformers - LV Cogen</t>
  </si>
  <si>
    <t xml:space="preserve">Number of</t>
  </si>
  <si>
    <t xml:space="preserve">Contract </t>
  </si>
  <si>
    <t xml:space="preserve">Option </t>
  </si>
  <si>
    <t xml:space="preserve">Progress Payments</t>
  </si>
  <si>
    <t xml:space="preserve">Total </t>
  </si>
  <si>
    <t xml:space="preserve">Total Amount</t>
  </si>
  <si>
    <t xml:space="preserve">Project</t>
  </si>
  <si>
    <t xml:space="preserve">Transformers</t>
  </si>
  <si>
    <t xml:space="preserve">Price</t>
  </si>
  <si>
    <t xml:space="preserve">Premium</t>
  </si>
  <si>
    <t xml:space="preserve">Payment #1</t>
  </si>
  <si>
    <t xml:space="preserve">Payment #2</t>
  </si>
  <si>
    <t xml:space="preserve">Payment #3</t>
  </si>
  <si>
    <t xml:space="preserve">Payment #4</t>
  </si>
  <si>
    <t xml:space="preserve">Payment #5</t>
  </si>
  <si>
    <t xml:space="preserve">Amount Paid</t>
  </si>
  <si>
    <t xml:space="preserve">Amount Due</t>
  </si>
  <si>
    <t xml:space="preserve">Austin</t>
  </si>
  <si>
    <t xml:space="preserve">SOLD</t>
  </si>
  <si>
    <t xml:space="preserve">Coral</t>
  </si>
  <si>
    <t xml:space="preserve">ESA</t>
  </si>
  <si>
    <t xml:space="preserve">PSCO</t>
  </si>
  <si>
    <t xml:space="preserve">LV Cogen</t>
  </si>
  <si>
    <t xml:space="preserve">TOTALS</t>
  </si>
  <si>
    <t xml:space="preserve">Progress Payment has been made</t>
  </si>
  <si>
    <t xml:space="preserve">Progress Payment due</t>
  </si>
  <si>
    <t xml:space="preserve">ABB Transformers</t>
  </si>
  <si>
    <t xml:space="preserve">Guaranteed Unit</t>
  </si>
  <si>
    <t xml:space="preserve">Contract</t>
  </si>
  <si>
    <t xml:space="preserve">Progress </t>
  </si>
  <si>
    <t xml:space="preserve">Unit/ABB Item #</t>
  </si>
  <si>
    <t xml:space="preserve">Project Designation</t>
  </si>
  <si>
    <t xml:space="preserve">Delivery Date</t>
  </si>
  <si>
    <t xml:space="preserve">Purchase Price</t>
  </si>
  <si>
    <t xml:space="preserve">Premium Paid</t>
  </si>
  <si>
    <t xml:space="preserve">Pymts. Made</t>
  </si>
  <si>
    <t xml:space="preserve">Retainage</t>
  </si>
  <si>
    <t xml:space="preserve">Pymts. Due</t>
  </si>
  <si>
    <t xml:space="preserve">lNL 9521-1</t>
  </si>
  <si>
    <t xml:space="preserve">LNL 9521-2</t>
  </si>
  <si>
    <t xml:space="preserve">LNL 9517-1</t>
  </si>
  <si>
    <t xml:space="preserve">LNL 9517-2</t>
  </si>
  <si>
    <t xml:space="preserve">LNL 9517-3</t>
  </si>
  <si>
    <t xml:space="preserve">LNL 9517-4</t>
  </si>
  <si>
    <t xml:space="preserve">LNL 9517-5</t>
  </si>
  <si>
    <t xml:space="preserve">LNL 9517-6</t>
  </si>
  <si>
    <t xml:space="preserve">LNL 9518-1</t>
  </si>
  <si>
    <t xml:space="preserve">LNL 9518-2</t>
  </si>
  <si>
    <t xml:space="preserve">Total</t>
  </si>
  <si>
    <t xml:space="preserve">Progress Payments Due </t>
  </si>
  <si>
    <t xml:space="preserve">Less Discount</t>
  </si>
  <si>
    <t xml:space="preserve">Less Retainage</t>
  </si>
  <si>
    <t xml:space="preserve">Excludes ESA transformers</t>
  </si>
  <si>
    <t xml:space="preserve">Total Amount Due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</si>
  <si>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The two units designated for ESA have been cancelled -- the progress payments due for these units are cancellation charges.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</si>
  <si>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Retainage amount per section 6.1.3 of the Agreement.</t>
    </r>
  </si>
  <si>
    <t xml:space="preserve">ABB Tranformer Payments Due</t>
  </si>
  <si>
    <t xml:space="preserve">ESA Cancellation</t>
  </si>
  <si>
    <t xml:space="preserve">Coral Pymt #3</t>
  </si>
  <si>
    <t xml:space="preserve">Coral Pymt #4</t>
  </si>
  <si>
    <t xml:space="preserve">PSCO Pymt #2</t>
  </si>
  <si>
    <t xml:space="preserve">PSCO Pymt. #3</t>
  </si>
  <si>
    <t xml:space="preserve">PSCO Pymt #4</t>
  </si>
  <si>
    <t xml:space="preserve">LV Pymt #2</t>
  </si>
  <si>
    <t xml:space="preserve">LV Pymt #3</t>
  </si>
  <si>
    <t xml:space="preserve">LV Pymt #4</t>
  </si>
  <si>
    <t xml:space="preserve">Discount Rate</t>
  </si>
  <si>
    <t xml:space="preserve">Nominal Value</t>
  </si>
  <si>
    <t xml:space="preserve">XNPV</t>
  </si>
  <si>
    <t xml:space="preserve">Discount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</si>
  <si>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Payment #5 for each set of transformers represents the 10% retainment amount to be paid the earlier of 36 months after Acceptance or 24 months after COD and is not shown in these calculations.</t>
    </r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</si>
  <si>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Retainage amount per section 6.1.3 of the Agreement.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</si>
</sst>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/dd/yy"/>
    <numFmt numFmtId="168" formatCode="[$-409]d\-mmm\-yy"/>
    <numFmt numFmtId="169" formatCode="0%"/>
    <numFmt numFmtId="170" formatCode="[$-409]#,##0_);[RED]\(#,##0\)"/>
    <numFmt numFmtId="171" formatCode="[$-409]m/d/yyyy"/>
    <numFmt numFmtId="172" formatCode="_(\$* #,##0.00_);_(\$* \(#,##0.00\);_(\$* \-??_);_(@_)"/>
    <numFmt numFmtId="173" formatCode="_(\$* #,##0_);_(\$* \(#,##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vertAlign val="superscript"/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6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56"/>
    <col collapsed="false" customWidth="true" hidden="false" outlineLevel="0" max="3" min="3" style="0" width="27.28"/>
    <col collapsed="false" customWidth="true" hidden="false" outlineLevel="0" max="4" min="4" style="0" width="10.28"/>
    <col collapsed="false" customWidth="true" hidden="false" outlineLevel="0" max="5" min="5" style="0" width="25.13"/>
    <col collapsed="false" customWidth="true" hidden="false" outlineLevel="0" max="6" min="6" style="0" width="11.56"/>
  </cols>
  <sheetData>
    <row r="1" customFormat="false" ht="12.75" hidden="false" customHeight="false" outlineLevel="0" collapsed="false">
      <c r="A1" s="1" t="s">
        <v>0</v>
      </c>
      <c r="F1" s="2"/>
    </row>
    <row r="2" customFormat="false" ht="12.75" hidden="false" customHeight="false" outlineLevel="0" collapsed="false">
      <c r="A2" s="1" t="s">
        <v>1</v>
      </c>
      <c r="B2" s="3"/>
      <c r="C2" s="4" t="s">
        <v>2</v>
      </c>
      <c r="D2" s="5" t="n">
        <v>562300</v>
      </c>
    </row>
    <row r="3" customFormat="false" ht="12.75" hidden="false" customHeight="false" outlineLevel="0" collapsed="false">
      <c r="A3" s="6" t="n">
        <v>36865</v>
      </c>
      <c r="B3" s="2"/>
      <c r="C3" s="7" t="s">
        <v>3</v>
      </c>
      <c r="D3" s="8" t="n">
        <v>2</v>
      </c>
    </row>
    <row r="4" customFormat="false" ht="12.75" hidden="false" customHeight="false" outlineLevel="0" collapsed="false">
      <c r="B4" s="9"/>
      <c r="C4" s="10" t="s">
        <v>4</v>
      </c>
      <c r="D4" s="11" t="n">
        <f aca="false">D3*D2</f>
        <v>1124600</v>
      </c>
    </row>
    <row r="5" customFormat="false" ht="12.75" hidden="false" customHeight="false" outlineLevel="0" collapsed="false">
      <c r="B5" s="6"/>
      <c r="C5" s="12"/>
      <c r="D5" s="12"/>
      <c r="E5" s="12"/>
      <c r="F5" s="2"/>
    </row>
    <row r="6" customFormat="false" ht="12.75" hidden="false" customHeight="false" outlineLevel="0" collapsed="false">
      <c r="C6" s="13" t="s">
        <v>5</v>
      </c>
      <c r="D6" s="13" t="s">
        <v>6</v>
      </c>
      <c r="E6" s="13" t="s">
        <v>6</v>
      </c>
    </row>
    <row r="7" customFormat="false" ht="12.75" hidden="false" customHeight="false" outlineLevel="0" collapsed="false">
      <c r="C7" s="14" t="s">
        <v>7</v>
      </c>
      <c r="D7" s="14" t="s">
        <v>8</v>
      </c>
      <c r="E7" s="14" t="s">
        <v>9</v>
      </c>
      <c r="F7" s="14" t="s">
        <v>10</v>
      </c>
    </row>
    <row r="8" customFormat="false" ht="12.75" hidden="false" customHeight="false" outlineLevel="0" collapsed="false">
      <c r="A8" s="15" t="s">
        <v>11</v>
      </c>
      <c r="B8" s="16" t="s">
        <v>12</v>
      </c>
      <c r="C8" s="17"/>
      <c r="D8" s="17"/>
      <c r="E8" s="18" t="n">
        <f aca="false">'Summary By Unit'!E6+'Summary By Unit'!E7</f>
        <v>880000</v>
      </c>
      <c r="F8" s="19" t="n">
        <f aca="false">E8</f>
        <v>880000</v>
      </c>
    </row>
    <row r="9" customFormat="false" ht="12.75" hidden="false" customHeight="false" outlineLevel="0" collapsed="false">
      <c r="A9" s="20" t="s">
        <v>13</v>
      </c>
      <c r="B9" s="21" t="s">
        <v>14</v>
      </c>
      <c r="C9" s="22" t="n">
        <v>36783</v>
      </c>
      <c r="D9" s="23" t="n">
        <v>0.1</v>
      </c>
      <c r="E9" s="24" t="n">
        <f aca="false">76800*2</f>
        <v>153600</v>
      </c>
      <c r="F9" s="25" t="n">
        <f aca="false">F8+E9</f>
        <v>1033600</v>
      </c>
    </row>
    <row r="10" customFormat="false" ht="12.75" hidden="false" customHeight="false" outlineLevel="0" collapsed="false">
      <c r="A10" s="20" t="s">
        <v>15</v>
      </c>
      <c r="B10" s="21" t="s">
        <v>16</v>
      </c>
      <c r="C10" s="22"/>
      <c r="D10" s="23" t="n">
        <v>0.25</v>
      </c>
      <c r="E10" s="24" t="n">
        <f aca="false">120005*2</f>
        <v>240010</v>
      </c>
      <c r="F10" s="25" t="n">
        <f aca="false">F9+E10</f>
        <v>1273610</v>
      </c>
    </row>
    <row r="11" customFormat="false" ht="12.75" hidden="false" customHeight="false" outlineLevel="0" collapsed="false">
      <c r="A11" s="20"/>
      <c r="B11" s="21" t="s">
        <v>17</v>
      </c>
      <c r="C11" s="22"/>
      <c r="D11" s="23" t="n">
        <v>0.65</v>
      </c>
      <c r="E11" s="24" t="n">
        <f aca="false">372495+365495</f>
        <v>737990</v>
      </c>
      <c r="F11" s="25" t="n">
        <f aca="false">F10+E11</f>
        <v>2011600</v>
      </c>
    </row>
    <row r="12" customFormat="false" ht="12.75" hidden="false" customHeight="false" outlineLevel="0" collapsed="false">
      <c r="A12" s="26"/>
      <c r="B12" s="27" t="s">
        <v>18</v>
      </c>
      <c r="C12" s="28" t="n">
        <v>36826</v>
      </c>
      <c r="D12" s="29"/>
      <c r="E12" s="30"/>
      <c r="F12" s="31"/>
    </row>
    <row r="14" customFormat="false" ht="12.75" hidden="false" customHeight="false" outlineLevel="0" collapsed="false">
      <c r="E14" s="1" t="s">
        <v>19</v>
      </c>
      <c r="F14" s="32" t="n">
        <v>0</v>
      </c>
    </row>
    <row r="17" customFormat="false" ht="12.75" hidden="false" customHeight="false" outlineLevel="0" collapsed="false">
      <c r="C17" s="33"/>
      <c r="E17" s="32"/>
    </row>
    <row r="18" customFormat="false" ht="12.75" hidden="false" customHeight="false" outlineLevel="0" collapsed="false">
      <c r="E18" s="33"/>
    </row>
    <row r="19" customFormat="false" ht="12.75" hidden="false" customHeight="false" outlineLevel="0" collapsed="false">
      <c r="E19" s="32"/>
    </row>
    <row r="20" customFormat="false" ht="12.75" hidden="false" customHeight="false" outlineLevel="0" collapsed="false">
      <c r="E20" s="33"/>
      <c r="F2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56"/>
    <col collapsed="false" customWidth="true" hidden="false" outlineLevel="0" max="3" min="3" style="0" width="27.99"/>
    <col collapsed="false" customWidth="true" hidden="false" outlineLevel="0" max="4" min="4" style="0" width="29.85"/>
    <col collapsed="false" customWidth="true" hidden="false" outlineLevel="0" max="5" min="5" style="0" width="25.13"/>
    <col collapsed="false" customWidth="true" hidden="false" outlineLevel="0" max="6" min="6" style="0" width="10.28"/>
    <col collapsed="false" customWidth="true" hidden="false" outlineLevel="0" max="7" min="7" style="0" width="13.85"/>
    <col collapsed="false" customWidth="true" hidden="false" outlineLevel="0" max="9" min="8" style="0" width="10.71"/>
  </cols>
  <sheetData>
    <row r="1" customFormat="false" ht="12.75" hidden="false" customHeight="false" outlineLevel="0" collapsed="false">
      <c r="A1" s="1" t="s">
        <v>20</v>
      </c>
      <c r="F1" s="2"/>
      <c r="G1" s="2"/>
      <c r="H1" s="2"/>
      <c r="I1" s="2"/>
    </row>
    <row r="2" customFormat="false" ht="12.75" hidden="false" customHeight="false" outlineLevel="0" collapsed="false">
      <c r="A2" s="1" t="s">
        <v>1</v>
      </c>
      <c r="B2" s="3"/>
      <c r="C2" s="4" t="s">
        <v>2</v>
      </c>
      <c r="D2" s="5" t="n">
        <v>786000</v>
      </c>
      <c r="G2" s="3"/>
      <c r="H2" s="24"/>
      <c r="I2" s="2"/>
    </row>
    <row r="3" customFormat="false" ht="12.75" hidden="false" customHeight="false" outlineLevel="0" collapsed="false">
      <c r="A3" s="6" t="n">
        <v>36865</v>
      </c>
      <c r="B3" s="2"/>
      <c r="C3" s="7" t="s">
        <v>3</v>
      </c>
      <c r="D3" s="8" t="n">
        <v>1</v>
      </c>
      <c r="G3" s="2"/>
      <c r="H3" s="2"/>
      <c r="I3" s="2"/>
    </row>
    <row r="4" customFormat="false" ht="12.75" hidden="false" customHeight="false" outlineLevel="0" collapsed="false">
      <c r="B4" s="9"/>
      <c r="C4" s="10" t="s">
        <v>4</v>
      </c>
      <c r="D4" s="11" t="n">
        <f aca="false">D3*D2</f>
        <v>786000</v>
      </c>
      <c r="G4" s="2"/>
      <c r="H4" s="2"/>
      <c r="I4" s="2"/>
    </row>
    <row r="5" customFormat="false" ht="12.75" hidden="false" customHeight="false" outlineLevel="0" collapsed="false">
      <c r="B5" s="6"/>
      <c r="C5" s="12"/>
      <c r="D5" s="12"/>
      <c r="E5" s="12"/>
      <c r="F5" s="2"/>
      <c r="G5" s="12"/>
      <c r="H5" s="34"/>
      <c r="I5" s="2"/>
    </row>
    <row r="6" customFormat="false" ht="12.75" hidden="false" customHeight="false" outlineLevel="0" collapsed="false">
      <c r="C6" s="13" t="s">
        <v>5</v>
      </c>
      <c r="D6" s="13" t="s">
        <v>6</v>
      </c>
      <c r="E6" s="13" t="s">
        <v>6</v>
      </c>
      <c r="G6" s="14"/>
      <c r="H6" s="12"/>
      <c r="I6" s="2"/>
    </row>
    <row r="7" customFormat="false" ht="12.75" hidden="false" customHeight="false" outlineLevel="0" collapsed="false">
      <c r="C7" s="14" t="s">
        <v>7</v>
      </c>
      <c r="D7" s="14" t="s">
        <v>8</v>
      </c>
      <c r="E7" s="14" t="s">
        <v>9</v>
      </c>
      <c r="F7" s="14" t="s">
        <v>10</v>
      </c>
      <c r="G7" s="14"/>
      <c r="H7" s="14"/>
      <c r="I7" s="14"/>
    </row>
    <row r="8" customFormat="false" ht="12.75" hidden="false" customHeight="false" outlineLevel="0" collapsed="false">
      <c r="A8" s="35" t="s">
        <v>11</v>
      </c>
      <c r="B8" s="16" t="s">
        <v>12</v>
      </c>
      <c r="C8" s="17"/>
      <c r="D8" s="17"/>
      <c r="E8" s="18" t="n">
        <f aca="false">1088000/6</f>
        <v>181333.333333333</v>
      </c>
      <c r="F8" s="19" t="n">
        <f aca="false">E8</f>
        <v>181333.333333333</v>
      </c>
      <c r="G8" s="14"/>
      <c r="H8" s="14"/>
      <c r="I8" s="36"/>
    </row>
    <row r="9" customFormat="false" ht="12.75" hidden="false" customHeight="false" outlineLevel="0" collapsed="false">
      <c r="A9" s="37" t="s">
        <v>13</v>
      </c>
      <c r="B9" s="21" t="s">
        <v>14</v>
      </c>
      <c r="C9" s="22" t="n">
        <v>36783</v>
      </c>
      <c r="D9" s="23" t="n">
        <v>0.1</v>
      </c>
      <c r="E9" s="24" t="n">
        <v>88400</v>
      </c>
      <c r="F9" s="25" t="n">
        <f aca="false">F8+E9</f>
        <v>269733.333333333</v>
      </c>
      <c r="G9" s="22"/>
      <c r="H9" s="38"/>
      <c r="I9" s="38"/>
    </row>
    <row r="10" customFormat="false" ht="12.75" hidden="false" customHeight="false" outlineLevel="0" collapsed="false">
      <c r="A10" s="37" t="s">
        <v>15</v>
      </c>
      <c r="B10" s="27" t="s">
        <v>16</v>
      </c>
      <c r="C10" s="28" t="n">
        <v>36852</v>
      </c>
      <c r="D10" s="29" t="n">
        <v>0.25</v>
      </c>
      <c r="E10" s="30" t="n">
        <v>186700</v>
      </c>
      <c r="F10" s="31" t="n">
        <f aca="false">F9+E10</f>
        <v>456433.333333333</v>
      </c>
      <c r="G10" s="24"/>
      <c r="H10" s="38"/>
      <c r="I10" s="38"/>
    </row>
    <row r="11" customFormat="false" ht="12.75" hidden="false" customHeight="false" outlineLevel="0" collapsed="false">
      <c r="A11" s="39"/>
      <c r="B11" s="16" t="s">
        <v>17</v>
      </c>
      <c r="C11" s="22" t="n">
        <v>36873</v>
      </c>
      <c r="D11" s="40" t="n">
        <v>0.4</v>
      </c>
      <c r="E11" s="41" t="n">
        <v>314400</v>
      </c>
      <c r="F11" s="42" t="n">
        <f aca="false">F10+E11</f>
        <v>770833.333333333</v>
      </c>
      <c r="G11" s="2"/>
      <c r="H11" s="43"/>
      <c r="I11" s="38"/>
    </row>
    <row r="12" customFormat="false" ht="12.75" hidden="false" customHeight="false" outlineLevel="0" collapsed="false">
      <c r="A12" s="44" t="s">
        <v>11</v>
      </c>
      <c r="B12" s="45" t="s">
        <v>21</v>
      </c>
      <c r="C12" s="34" t="s">
        <v>22</v>
      </c>
      <c r="D12" s="46" t="n">
        <v>0.15</v>
      </c>
      <c r="E12" s="47" t="n">
        <f aca="false">D12*D4</f>
        <v>117900</v>
      </c>
      <c r="F12" s="25" t="n">
        <f aca="false">F11+E12</f>
        <v>888733.333333333</v>
      </c>
      <c r="G12" s="2"/>
      <c r="H12" s="2"/>
      <c r="I12" s="2"/>
    </row>
    <row r="13" customFormat="false" ht="12.75" hidden="false" customHeight="false" outlineLevel="0" collapsed="false">
      <c r="A13" s="48" t="s">
        <v>23</v>
      </c>
      <c r="B13" s="27" t="s">
        <v>24</v>
      </c>
      <c r="C13" s="49" t="s">
        <v>22</v>
      </c>
      <c r="D13" s="29" t="n">
        <v>0.1</v>
      </c>
      <c r="E13" s="50" t="n">
        <f aca="false">D13*D4</f>
        <v>78600</v>
      </c>
      <c r="F13" s="31" t="n">
        <f aca="false">F12+E13</f>
        <v>967333.333333333</v>
      </c>
      <c r="G13" s="2"/>
      <c r="H13" s="2"/>
      <c r="I13" s="2"/>
    </row>
    <row r="14" customFormat="false" ht="12.75" hidden="false" customHeight="false" outlineLevel="0" collapsed="false">
      <c r="G14" s="2"/>
      <c r="H14" s="2"/>
      <c r="I14" s="2"/>
    </row>
    <row r="15" customFormat="false" ht="12.75" hidden="false" customHeight="false" outlineLevel="0" collapsed="false">
      <c r="E15" s="1" t="s">
        <v>19</v>
      </c>
      <c r="F15" s="32" t="n">
        <f aca="false">SUM(E11:E13)</f>
        <v>510900</v>
      </c>
      <c r="G15" s="2"/>
      <c r="H15" s="2"/>
      <c r="I15" s="2"/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</row>
    <row r="18" customFormat="false" ht="12.75" hidden="false" customHeight="false" outlineLevel="0" collapsed="false">
      <c r="B18" s="2"/>
      <c r="C18" s="2"/>
      <c r="D18" s="2"/>
      <c r="E18" s="2"/>
      <c r="F18" s="2"/>
      <c r="G18" s="2"/>
      <c r="H18" s="2"/>
      <c r="I18" s="2"/>
    </row>
    <row r="19" customFormat="false" ht="12.75" hidden="false" customHeight="false" outlineLevel="0" collapsed="false">
      <c r="B19" s="2"/>
      <c r="C19" s="2"/>
      <c r="D19" s="2"/>
      <c r="E19" s="2"/>
      <c r="F19" s="2"/>
      <c r="G19" s="2"/>
      <c r="H19" s="2"/>
      <c r="I19" s="2"/>
    </row>
    <row r="20" customFormat="false" ht="12.75" hidden="false" customHeight="false" outlineLevel="0" collapsed="false">
      <c r="E20" s="32"/>
    </row>
    <row r="21" customFormat="false" ht="12.75" hidden="false" customHeight="false" outlineLevel="0" collapsed="false">
      <c r="D21" s="33"/>
    </row>
    <row r="23" customFormat="false" ht="12.75" hidden="false" customHeight="false" outlineLevel="0" collapsed="false">
      <c r="E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E25" s="33"/>
    </row>
    <row r="26" customFormat="false" ht="12.75" hidden="false" customHeight="false" outlineLevel="0" collapsed="false">
      <c r="E26" s="33"/>
      <c r="F26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56"/>
    <col collapsed="false" customWidth="true" hidden="false" outlineLevel="0" max="3" min="3" style="0" width="22.42"/>
    <col collapsed="false" customWidth="true" hidden="false" outlineLevel="0" max="4" min="4" style="0" width="10.28"/>
    <col collapsed="false" customWidth="true" hidden="false" outlineLevel="0" max="5" min="5" style="0" width="25.13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1" t="s">
        <v>25</v>
      </c>
      <c r="F1" s="2"/>
    </row>
    <row r="2" customFormat="false" ht="12.75" hidden="false" customHeight="false" outlineLevel="0" collapsed="false">
      <c r="A2" s="1" t="s">
        <v>1</v>
      </c>
      <c r="B2" s="3"/>
      <c r="C2" s="4" t="s">
        <v>2</v>
      </c>
      <c r="D2" s="5" t="n">
        <v>786000</v>
      </c>
    </row>
    <row r="3" customFormat="false" ht="12.75" hidden="false" customHeight="false" outlineLevel="0" collapsed="false">
      <c r="A3" s="6" t="n">
        <v>36865</v>
      </c>
      <c r="B3" s="2"/>
      <c r="C3" s="7" t="s">
        <v>3</v>
      </c>
      <c r="D3" s="8" t="n">
        <v>2</v>
      </c>
    </row>
    <row r="4" customFormat="false" ht="12.75" hidden="false" customHeight="false" outlineLevel="0" collapsed="false">
      <c r="B4" s="9"/>
      <c r="C4" s="10" t="s">
        <v>4</v>
      </c>
      <c r="D4" s="11" t="n">
        <f aca="false">D3*D2</f>
        <v>1572000</v>
      </c>
    </row>
    <row r="5" customFormat="false" ht="12.75" hidden="false" customHeight="false" outlineLevel="0" collapsed="false">
      <c r="B5" s="6"/>
      <c r="C5" s="12"/>
      <c r="D5" s="12"/>
      <c r="E5" s="12"/>
      <c r="F5" s="2"/>
    </row>
    <row r="6" customFormat="false" ht="12.75" hidden="false" customHeight="false" outlineLevel="0" collapsed="false">
      <c r="C6" s="13" t="s">
        <v>5</v>
      </c>
      <c r="D6" s="13" t="s">
        <v>6</v>
      </c>
      <c r="E6" s="13" t="s">
        <v>6</v>
      </c>
    </row>
    <row r="7" customFormat="false" ht="12.75" hidden="false" customHeight="false" outlineLevel="0" collapsed="false">
      <c r="C7" s="14" t="s">
        <v>7</v>
      </c>
      <c r="D7" s="14" t="s">
        <v>8</v>
      </c>
      <c r="E7" s="14" t="s">
        <v>9</v>
      </c>
      <c r="F7" s="14" t="s">
        <v>10</v>
      </c>
    </row>
    <row r="8" customFormat="false" ht="12.75" hidden="false" customHeight="false" outlineLevel="0" collapsed="false">
      <c r="A8" s="15" t="s">
        <v>11</v>
      </c>
      <c r="B8" s="16" t="s">
        <v>12</v>
      </c>
      <c r="C8" s="17"/>
      <c r="D8" s="17"/>
      <c r="E8" s="18" t="n">
        <f aca="false">(1088000/6)*2</f>
        <v>362666.666666667</v>
      </c>
      <c r="F8" s="19" t="n">
        <f aca="false">E8</f>
        <v>362666.666666667</v>
      </c>
    </row>
    <row r="9" customFormat="false" ht="12.75" hidden="false" customHeight="false" outlineLevel="0" collapsed="false">
      <c r="A9" s="20" t="s">
        <v>26</v>
      </c>
      <c r="B9" s="21" t="s">
        <v>14</v>
      </c>
      <c r="C9" s="22" t="n">
        <v>36783</v>
      </c>
      <c r="D9" s="23" t="n">
        <v>0.1</v>
      </c>
      <c r="E9" s="24" t="n">
        <f aca="false">88400*2</f>
        <v>176800</v>
      </c>
      <c r="F9" s="25" t="n">
        <f aca="false">F8+E9</f>
        <v>539466.666666667</v>
      </c>
    </row>
    <row r="10" customFormat="false" ht="12.75" hidden="false" customHeight="false" outlineLevel="0" collapsed="false">
      <c r="A10" s="51" t="s">
        <v>27</v>
      </c>
      <c r="B10" s="52" t="s">
        <v>28</v>
      </c>
      <c r="C10" s="53" t="s">
        <v>22</v>
      </c>
      <c r="D10" s="54"/>
      <c r="E10" s="55" t="n">
        <v>323200</v>
      </c>
      <c r="F10" s="56" t="n">
        <f aca="false">F9+E10</f>
        <v>862666.666666667</v>
      </c>
    </row>
    <row r="12" customFormat="false" ht="12.75" hidden="false" customHeight="false" outlineLevel="0" collapsed="false">
      <c r="E12" s="1" t="s">
        <v>19</v>
      </c>
      <c r="F12" s="32" t="n">
        <f aca="false">E10</f>
        <v>323200</v>
      </c>
    </row>
    <row r="13" customFormat="false" ht="12.75" hidden="false" customHeight="false" outlineLevel="0" collapsed="false">
      <c r="F13" s="32"/>
    </row>
    <row r="17" customFormat="false" ht="12.75" hidden="false" customHeight="false" outlineLevel="0" collapsed="false">
      <c r="C17" s="33"/>
    </row>
    <row r="18" customFormat="false" ht="12.75" hidden="false" customHeight="false" outlineLevel="0" collapsed="false">
      <c r="E18" s="57"/>
    </row>
    <row r="19" customFormat="false" ht="12.75" hidden="false" customHeight="false" outlineLevel="0" collapsed="false">
      <c r="E19" s="33"/>
    </row>
    <row r="22" customFormat="false" ht="12.75" hidden="false" customHeight="false" outlineLevel="0" collapsed="false">
      <c r="E22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9.56"/>
    <col collapsed="false" customWidth="true" hidden="false" outlineLevel="0" max="3" min="3" style="0" width="18.99"/>
    <col collapsed="false" customWidth="true" hidden="false" outlineLevel="0" max="4" min="4" style="0" width="10.28"/>
    <col collapsed="false" customWidth="true" hidden="false" outlineLevel="0" max="5" min="5" style="0" width="25.13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1" t="s">
        <v>29</v>
      </c>
      <c r="F1" s="2"/>
    </row>
    <row r="2" customFormat="false" ht="12.75" hidden="false" customHeight="false" outlineLevel="0" collapsed="false">
      <c r="A2" s="1" t="s">
        <v>1</v>
      </c>
      <c r="B2" s="3"/>
      <c r="C2" s="4" t="s">
        <v>2</v>
      </c>
      <c r="D2" s="5" t="n">
        <v>786000</v>
      </c>
    </row>
    <row r="3" customFormat="false" ht="12.75" hidden="false" customHeight="false" outlineLevel="0" collapsed="false">
      <c r="A3" s="6" t="n">
        <v>36865</v>
      </c>
      <c r="B3" s="2"/>
      <c r="C3" s="7" t="s">
        <v>3</v>
      </c>
      <c r="D3" s="8" t="n">
        <v>3</v>
      </c>
    </row>
    <row r="4" customFormat="false" ht="12.75" hidden="false" customHeight="false" outlineLevel="0" collapsed="false">
      <c r="B4" s="9"/>
      <c r="C4" s="10" t="s">
        <v>4</v>
      </c>
      <c r="D4" s="11" t="n">
        <f aca="false">D3*D2</f>
        <v>2358000</v>
      </c>
    </row>
    <row r="5" customFormat="false" ht="12.75" hidden="false" customHeight="false" outlineLevel="0" collapsed="false">
      <c r="B5" s="6"/>
      <c r="C5" s="12"/>
      <c r="D5" s="12"/>
      <c r="E5" s="12"/>
      <c r="F5" s="2"/>
    </row>
    <row r="6" customFormat="false" ht="12.75" hidden="false" customHeight="false" outlineLevel="0" collapsed="false">
      <c r="C6" s="13" t="s">
        <v>5</v>
      </c>
      <c r="D6" s="13" t="s">
        <v>6</v>
      </c>
      <c r="E6" s="13" t="s">
        <v>6</v>
      </c>
    </row>
    <row r="7" customFormat="false" ht="12.75" hidden="false" customHeight="false" outlineLevel="0" collapsed="false">
      <c r="C7" s="14" t="s">
        <v>7</v>
      </c>
      <c r="D7" s="14" t="s">
        <v>8</v>
      </c>
      <c r="E7" s="14" t="s">
        <v>9</v>
      </c>
      <c r="F7" s="14" t="s">
        <v>10</v>
      </c>
    </row>
    <row r="8" customFormat="false" ht="12.75" hidden="false" customHeight="false" outlineLevel="0" collapsed="false">
      <c r="A8" s="15" t="s">
        <v>11</v>
      </c>
      <c r="B8" s="16" t="s">
        <v>12</v>
      </c>
      <c r="C8" s="17"/>
      <c r="D8" s="17"/>
      <c r="E8" s="18" t="n">
        <f aca="false">(1088000/6)*3</f>
        <v>544000</v>
      </c>
      <c r="F8" s="19" t="n">
        <f aca="false">E8</f>
        <v>544000</v>
      </c>
    </row>
    <row r="9" customFormat="false" ht="12.75" hidden="false" customHeight="false" outlineLevel="0" collapsed="false">
      <c r="A9" s="20" t="s">
        <v>26</v>
      </c>
      <c r="B9" s="21" t="s">
        <v>14</v>
      </c>
      <c r="C9" s="22" t="n">
        <v>36783</v>
      </c>
      <c r="D9" s="23" t="n">
        <v>0.1</v>
      </c>
      <c r="E9" s="24" t="n">
        <f aca="false">88400*3</f>
        <v>265200</v>
      </c>
      <c r="F9" s="25" t="n">
        <f aca="false">F8+E9</f>
        <v>809200</v>
      </c>
    </row>
    <row r="10" customFormat="false" ht="12.75" hidden="false" customHeight="false" outlineLevel="0" collapsed="false">
      <c r="A10" s="39"/>
      <c r="B10" s="16" t="s">
        <v>16</v>
      </c>
      <c r="C10" s="58" t="s">
        <v>22</v>
      </c>
      <c r="D10" s="40" t="n">
        <v>0.25</v>
      </c>
      <c r="E10" s="41" t="n">
        <f aca="false">186700*3</f>
        <v>560100</v>
      </c>
      <c r="F10" s="42" t="n">
        <f aca="false">F9+E10</f>
        <v>1369300</v>
      </c>
    </row>
    <row r="11" customFormat="false" ht="12.75" hidden="false" customHeight="false" outlineLevel="0" collapsed="false">
      <c r="A11" s="44" t="s">
        <v>11</v>
      </c>
      <c r="B11" s="45" t="s">
        <v>17</v>
      </c>
      <c r="C11" s="59" t="s">
        <v>22</v>
      </c>
      <c r="D11" s="46" t="n">
        <v>0.4</v>
      </c>
      <c r="E11" s="24" t="n">
        <f aca="false">D11*D4</f>
        <v>943200</v>
      </c>
      <c r="F11" s="25" t="n">
        <f aca="false">F10+E11</f>
        <v>2312500</v>
      </c>
    </row>
    <row r="12" customFormat="false" ht="12.75" hidden="false" customHeight="false" outlineLevel="0" collapsed="false">
      <c r="A12" s="44" t="s">
        <v>23</v>
      </c>
      <c r="B12" s="45" t="s">
        <v>21</v>
      </c>
      <c r="C12" s="34" t="s">
        <v>22</v>
      </c>
      <c r="D12" s="46" t="n">
        <v>0.15</v>
      </c>
      <c r="E12" s="47" t="n">
        <f aca="false">D12*D4</f>
        <v>353700</v>
      </c>
      <c r="F12" s="25" t="n">
        <f aca="false">F11+E12</f>
        <v>2666200</v>
      </c>
    </row>
    <row r="13" customFormat="false" ht="12.75" hidden="false" customHeight="false" outlineLevel="0" collapsed="false">
      <c r="A13" s="27"/>
      <c r="B13" s="27" t="s">
        <v>24</v>
      </c>
      <c r="C13" s="49" t="s">
        <v>22</v>
      </c>
      <c r="D13" s="29" t="n">
        <v>0.1</v>
      </c>
      <c r="E13" s="50" t="n">
        <f aca="false">D13*D4</f>
        <v>235800</v>
      </c>
      <c r="F13" s="31" t="n">
        <f aca="false">F12+E13</f>
        <v>2902000</v>
      </c>
    </row>
    <row r="15" customFormat="false" ht="12.75" hidden="false" customHeight="false" outlineLevel="0" collapsed="false">
      <c r="E15" s="1" t="s">
        <v>19</v>
      </c>
      <c r="F15" s="32" t="n">
        <f aca="false">E10+E11+E12+E13</f>
        <v>2092800</v>
      </c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9" customFormat="false" ht="12.75" hidden="false" customHeight="false" outlineLevel="0" collapsed="false">
      <c r="E19" s="33"/>
    </row>
    <row r="20" customFormat="false" ht="12.75" hidden="false" customHeight="false" outlineLevel="0" collapsed="false">
      <c r="E2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9.56"/>
    <col collapsed="false" customWidth="true" hidden="false" outlineLevel="0" max="3" min="3" style="0" width="18.99"/>
    <col collapsed="false" customWidth="true" hidden="false" outlineLevel="0" max="4" min="4" style="0" width="10.28"/>
    <col collapsed="false" customWidth="true" hidden="false" outlineLevel="0" max="5" min="5" style="0" width="25.13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1" t="s">
        <v>30</v>
      </c>
      <c r="F1" s="2"/>
    </row>
    <row r="2" customFormat="false" ht="12.75" hidden="false" customHeight="false" outlineLevel="0" collapsed="false">
      <c r="A2" s="1" t="s">
        <v>1</v>
      </c>
      <c r="B2" s="3"/>
      <c r="C2" s="4" t="s">
        <v>2</v>
      </c>
      <c r="D2" s="5" t="n">
        <v>782000</v>
      </c>
    </row>
    <row r="3" customFormat="false" ht="12.75" hidden="false" customHeight="false" outlineLevel="0" collapsed="false">
      <c r="A3" s="6" t="n">
        <v>36865</v>
      </c>
      <c r="B3" s="2"/>
      <c r="C3" s="7" t="s">
        <v>3</v>
      </c>
      <c r="D3" s="8" t="n">
        <v>2</v>
      </c>
    </row>
    <row r="4" customFormat="false" ht="12.75" hidden="false" customHeight="false" outlineLevel="0" collapsed="false">
      <c r="B4" s="9"/>
      <c r="C4" s="10" t="s">
        <v>4</v>
      </c>
      <c r="D4" s="11" t="n">
        <f aca="false">D3*D2</f>
        <v>1564000</v>
      </c>
    </row>
    <row r="5" customFormat="false" ht="12.75" hidden="false" customHeight="false" outlineLevel="0" collapsed="false">
      <c r="B5" s="6"/>
      <c r="C5" s="12"/>
      <c r="D5" s="12"/>
      <c r="E5" s="12"/>
      <c r="F5" s="2"/>
    </row>
    <row r="6" customFormat="false" ht="12.75" hidden="false" customHeight="false" outlineLevel="0" collapsed="false">
      <c r="C6" s="13" t="s">
        <v>5</v>
      </c>
      <c r="D6" s="13" t="s">
        <v>6</v>
      </c>
      <c r="E6" s="13" t="s">
        <v>6</v>
      </c>
    </row>
    <row r="7" customFormat="false" ht="12.75" hidden="false" customHeight="false" outlineLevel="0" collapsed="false">
      <c r="C7" s="14" t="s">
        <v>7</v>
      </c>
      <c r="D7" s="14" t="s">
        <v>8</v>
      </c>
      <c r="E7" s="14" t="s">
        <v>9</v>
      </c>
      <c r="F7" s="14" t="s">
        <v>10</v>
      </c>
    </row>
    <row r="8" customFormat="false" ht="12.75" hidden="false" customHeight="false" outlineLevel="0" collapsed="false">
      <c r="A8" s="15" t="s">
        <v>11</v>
      </c>
      <c r="B8" s="16" t="s">
        <v>12</v>
      </c>
      <c r="C8" s="17"/>
      <c r="D8" s="17"/>
      <c r="E8" s="18" t="n">
        <f aca="false">346000</f>
        <v>346000</v>
      </c>
      <c r="F8" s="19" t="n">
        <f aca="false">E8</f>
        <v>346000</v>
      </c>
    </row>
    <row r="9" customFormat="false" ht="12.75" hidden="false" customHeight="false" outlineLevel="0" collapsed="false">
      <c r="A9" s="20" t="s">
        <v>26</v>
      </c>
      <c r="B9" s="21" t="s">
        <v>14</v>
      </c>
      <c r="C9" s="22" t="n">
        <v>36783</v>
      </c>
      <c r="D9" s="23" t="n">
        <v>0.1</v>
      </c>
      <c r="E9" s="24" t="n">
        <f aca="false">88000*2</f>
        <v>176000</v>
      </c>
      <c r="F9" s="25" t="n">
        <f aca="false">F8+E9</f>
        <v>522000</v>
      </c>
    </row>
    <row r="10" customFormat="false" ht="12.75" hidden="false" customHeight="false" outlineLevel="0" collapsed="false">
      <c r="A10" s="39"/>
      <c r="B10" s="16" t="s">
        <v>16</v>
      </c>
      <c r="C10" s="58" t="s">
        <v>22</v>
      </c>
      <c r="D10" s="40" t="n">
        <v>0.25</v>
      </c>
      <c r="E10" s="41" t="n">
        <f aca="false">D10*D4-19600</f>
        <v>371400</v>
      </c>
      <c r="F10" s="42" t="n">
        <f aca="false">F9+E10</f>
        <v>893400</v>
      </c>
    </row>
    <row r="11" customFormat="false" ht="12.75" hidden="false" customHeight="false" outlineLevel="0" collapsed="false">
      <c r="A11" s="44" t="s">
        <v>11</v>
      </c>
      <c r="B11" s="45" t="s">
        <v>17</v>
      </c>
      <c r="C11" s="59" t="s">
        <v>22</v>
      </c>
      <c r="D11" s="46" t="n">
        <v>0.4</v>
      </c>
      <c r="E11" s="24" t="n">
        <f aca="false">D11*D4</f>
        <v>625600</v>
      </c>
      <c r="F11" s="25" t="n">
        <f aca="false">F10+E11</f>
        <v>1519000</v>
      </c>
    </row>
    <row r="12" customFormat="false" ht="12.75" hidden="false" customHeight="false" outlineLevel="0" collapsed="false">
      <c r="A12" s="44" t="s">
        <v>23</v>
      </c>
      <c r="B12" s="45" t="s">
        <v>21</v>
      </c>
      <c r="C12" s="34" t="s">
        <v>22</v>
      </c>
      <c r="D12" s="46" t="n">
        <v>0.15</v>
      </c>
      <c r="E12" s="47" t="n">
        <f aca="false">D12*D4</f>
        <v>234600</v>
      </c>
      <c r="F12" s="25" t="n">
        <f aca="false">F11+E12</f>
        <v>1753600</v>
      </c>
    </row>
    <row r="13" customFormat="false" ht="12.75" hidden="false" customHeight="false" outlineLevel="0" collapsed="false">
      <c r="A13" s="27"/>
      <c r="B13" s="27" t="s">
        <v>24</v>
      </c>
      <c r="C13" s="49" t="s">
        <v>22</v>
      </c>
      <c r="D13" s="29" t="n">
        <v>0.1</v>
      </c>
      <c r="E13" s="50" t="n">
        <f aca="false">D13*D4</f>
        <v>156400</v>
      </c>
      <c r="F13" s="31" t="n">
        <f aca="false">F12+E13</f>
        <v>1910000</v>
      </c>
    </row>
    <row r="15" customFormat="false" ht="12.75" hidden="false" customHeight="false" outlineLevel="0" collapsed="false">
      <c r="E15" s="1" t="s">
        <v>19</v>
      </c>
      <c r="F15" s="32" t="n">
        <f aca="false">E10+E11+E12+E13</f>
        <v>1388000</v>
      </c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E18" s="33"/>
    </row>
    <row r="19" customFormat="false" ht="12.75" hidden="false" customHeight="false" outlineLevel="0" collapsed="false">
      <c r="E19" s="33"/>
    </row>
    <row r="20" customFormat="false" ht="12.75" hidden="false" customHeight="false" outlineLevel="0" collapsed="false">
      <c r="E20" s="33"/>
      <c r="F2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0.28"/>
    <col collapsed="false" customWidth="true" hidden="false" outlineLevel="0" max="4" min="4" style="0" width="11.99"/>
    <col collapsed="false" customWidth="true" hidden="false" outlineLevel="0" max="5" min="5" style="0" width="11.56"/>
    <col collapsed="false" customWidth="true" hidden="false" outlineLevel="0" max="6" min="6" style="0" width="12.85"/>
    <col collapsed="false" customWidth="true" hidden="false" outlineLevel="0" max="7" min="7" style="0" width="12.99"/>
    <col collapsed="false" customWidth="true" hidden="false" outlineLevel="0" max="9" min="8" style="0" width="11.56"/>
    <col collapsed="false" customWidth="true" hidden="false" outlineLevel="0" max="10" min="10" style="0" width="12.7"/>
    <col collapsed="false" customWidth="true" hidden="false" outlineLevel="0" max="11" min="11" style="0" width="13.14"/>
    <col collapsed="false" customWidth="true" hidden="false" outlineLevel="0" max="12" min="12" style="0" width="12.7"/>
    <col collapsed="false" customWidth="true" hidden="false" outlineLevel="0" max="13" min="13" style="0" width="13.14"/>
  </cols>
  <sheetData>
    <row r="1" customFormat="false" ht="12.75" hidden="false" customHeight="false" outlineLevel="0" collapsed="false">
      <c r="A1" s="60"/>
      <c r="B1" s="61" t="s">
        <v>31</v>
      </c>
      <c r="C1" s="62" t="s">
        <v>32</v>
      </c>
      <c r="D1" s="61" t="s">
        <v>33</v>
      </c>
      <c r="E1" s="63" t="s">
        <v>34</v>
      </c>
      <c r="F1" s="63"/>
      <c r="G1" s="63"/>
      <c r="H1" s="63"/>
      <c r="I1" s="63"/>
      <c r="J1" s="39" t="s">
        <v>35</v>
      </c>
      <c r="K1" s="61" t="s">
        <v>36</v>
      </c>
    </row>
    <row r="2" customFormat="false" ht="12.75" hidden="false" customHeight="false" outlineLevel="0" collapsed="false">
      <c r="A2" s="64" t="s">
        <v>37</v>
      </c>
      <c r="B2" s="65" t="s">
        <v>38</v>
      </c>
      <c r="C2" s="66" t="s">
        <v>39</v>
      </c>
      <c r="D2" s="65" t="s">
        <v>40</v>
      </c>
      <c r="E2" s="67" t="s">
        <v>41</v>
      </c>
      <c r="F2" s="63" t="s">
        <v>42</v>
      </c>
      <c r="G2" s="63" t="s">
        <v>43</v>
      </c>
      <c r="H2" s="63" t="s">
        <v>44</v>
      </c>
      <c r="I2" s="63" t="s">
        <v>45</v>
      </c>
      <c r="J2" s="64" t="s">
        <v>46</v>
      </c>
      <c r="K2" s="65" t="s">
        <v>47</v>
      </c>
    </row>
    <row r="3" customFormat="false" ht="12.75" hidden="false" customHeight="false" outlineLevel="0" collapsed="false">
      <c r="A3" s="26" t="s">
        <v>48</v>
      </c>
      <c r="B3" s="68" t="n">
        <v>2</v>
      </c>
      <c r="C3" s="69" t="n">
        <f aca="false">Austin!D4</f>
        <v>1124600</v>
      </c>
      <c r="D3" s="69" t="n">
        <v>561400</v>
      </c>
      <c r="E3" s="70" t="n">
        <f aca="false">Austin!E9</f>
        <v>153600</v>
      </c>
      <c r="F3" s="71" t="n">
        <f aca="false">Austin!E10</f>
        <v>240010</v>
      </c>
      <c r="G3" s="70" t="n">
        <f aca="false">Austin!E11</f>
        <v>737990</v>
      </c>
      <c r="H3" s="72" t="s">
        <v>49</v>
      </c>
      <c r="I3" s="73"/>
      <c r="J3" s="74" t="n">
        <f aca="false">SUM(E3:G3)</f>
        <v>1131600</v>
      </c>
      <c r="K3" s="26" t="n">
        <f aca="false">0</f>
        <v>0</v>
      </c>
    </row>
    <row r="4" customFormat="false" ht="12.75" hidden="false" customHeight="false" outlineLevel="0" collapsed="false">
      <c r="A4" s="73" t="s">
        <v>50</v>
      </c>
      <c r="B4" s="75" t="n">
        <v>1</v>
      </c>
      <c r="C4" s="76" t="n">
        <f aca="false">Coral!D4</f>
        <v>786000</v>
      </c>
      <c r="D4" s="76" t="n">
        <f aca="false">Coral!E8</f>
        <v>181333.333333333</v>
      </c>
      <c r="E4" s="70" t="n">
        <f aca="false">Coral!E9</f>
        <v>88400</v>
      </c>
      <c r="F4" s="70" t="n">
        <f aca="false">Coral!E10</f>
        <v>186700</v>
      </c>
      <c r="G4" s="77" t="n">
        <f aca="false">Coral!E11</f>
        <v>314400</v>
      </c>
      <c r="H4" s="77" t="n">
        <f aca="false">Coral!E12</f>
        <v>117900</v>
      </c>
      <c r="I4" s="77" t="n">
        <f aca="false">Coral!E13</f>
        <v>78600</v>
      </c>
      <c r="J4" s="78" t="n">
        <f aca="false">E4+F4</f>
        <v>275100</v>
      </c>
      <c r="K4" s="78" t="n">
        <f aca="false">G4+H4+I4</f>
        <v>510900</v>
      </c>
    </row>
    <row r="5" customFormat="false" ht="12.75" hidden="false" customHeight="false" outlineLevel="0" collapsed="false">
      <c r="A5" s="73" t="s">
        <v>51</v>
      </c>
      <c r="B5" s="75" t="n">
        <v>2</v>
      </c>
      <c r="C5" s="76" t="n">
        <f aca="false">ESA!D4</f>
        <v>1572000</v>
      </c>
      <c r="D5" s="76" t="n">
        <f aca="false">ESA!E8</f>
        <v>362666.666666667</v>
      </c>
      <c r="E5" s="70" t="n">
        <f aca="false">ESA!E9</f>
        <v>176800</v>
      </c>
      <c r="F5" s="77" t="n">
        <v>323200</v>
      </c>
      <c r="G5" s="79" t="s">
        <v>28</v>
      </c>
      <c r="H5" s="80"/>
      <c r="I5" s="80"/>
      <c r="J5" s="78" t="n">
        <f aca="false">E5</f>
        <v>176800</v>
      </c>
      <c r="K5" s="78" t="n">
        <f aca="false">F5</f>
        <v>323200</v>
      </c>
    </row>
    <row r="6" customFormat="false" ht="12.75" hidden="false" customHeight="false" outlineLevel="0" collapsed="false">
      <c r="A6" s="73" t="s">
        <v>52</v>
      </c>
      <c r="B6" s="75" t="n">
        <v>3</v>
      </c>
      <c r="C6" s="76" t="n">
        <f aca="false">PSCO!D4</f>
        <v>2358000</v>
      </c>
      <c r="D6" s="76" t="n">
        <f aca="false">PSCO!E8</f>
        <v>544000</v>
      </c>
      <c r="E6" s="70" t="n">
        <f aca="false">PSCO!$E9</f>
        <v>265200</v>
      </c>
      <c r="F6" s="77" t="n">
        <f aca="false">PSCO!$E10</f>
        <v>560100</v>
      </c>
      <c r="G6" s="77" t="n">
        <f aca="false">PSCO!$E11</f>
        <v>943200</v>
      </c>
      <c r="H6" s="77" t="n">
        <f aca="false">PSCO!$E12</f>
        <v>353700</v>
      </c>
      <c r="I6" s="77" t="n">
        <f aca="false">PSCO!$E13</f>
        <v>235800</v>
      </c>
      <c r="J6" s="78" t="n">
        <f aca="false">E6</f>
        <v>265200</v>
      </c>
      <c r="K6" s="78" t="n">
        <f aca="false">F6+G6+H6+I6</f>
        <v>2092800</v>
      </c>
    </row>
    <row r="7" customFormat="false" ht="12.75" hidden="false" customHeight="false" outlineLevel="0" collapsed="false">
      <c r="A7" s="73" t="s">
        <v>53</v>
      </c>
      <c r="B7" s="81" t="n">
        <v>2</v>
      </c>
      <c r="C7" s="76" t="n">
        <f aca="false">'LV Cogen'!D4</f>
        <v>1564000</v>
      </c>
      <c r="D7" s="76" t="n">
        <f aca="false">'LV Cogen'!E8</f>
        <v>346000</v>
      </c>
      <c r="E7" s="70" t="n">
        <f aca="false">'LV Cogen'!$E9</f>
        <v>176000</v>
      </c>
      <c r="F7" s="77" t="n">
        <f aca="false">'LV Cogen'!$E10</f>
        <v>371400</v>
      </c>
      <c r="G7" s="77" t="n">
        <f aca="false">'LV Cogen'!$E11</f>
        <v>625600</v>
      </c>
      <c r="H7" s="77" t="n">
        <f aca="false">'LV Cogen'!$E12</f>
        <v>234600</v>
      </c>
      <c r="I7" s="77" t="n">
        <f aca="false">'LV Cogen'!$E13</f>
        <v>156400</v>
      </c>
      <c r="J7" s="78" t="n">
        <f aca="false">E7</f>
        <v>176000</v>
      </c>
      <c r="K7" s="78" t="n">
        <f aca="false">F7+G7+H7+I7</f>
        <v>1388000</v>
      </c>
    </row>
    <row r="8" customFormat="false" ht="12.75" hidden="false" customHeight="false" outlineLevel="0" collapsed="false">
      <c r="A8" s="82" t="s">
        <v>54</v>
      </c>
      <c r="B8" s="63" t="n">
        <f aca="false">SUM(B3:B7)</f>
        <v>10</v>
      </c>
      <c r="C8" s="83" t="n">
        <f aca="false">SUM(C3:C7)</f>
        <v>7404600</v>
      </c>
      <c r="D8" s="83" t="n">
        <f aca="false">SUM(D3:D7)</f>
        <v>1995400</v>
      </c>
      <c r="E8" s="83"/>
      <c r="F8" s="83"/>
      <c r="G8" s="83"/>
      <c r="H8" s="83"/>
      <c r="I8" s="83"/>
      <c r="J8" s="84" t="n">
        <f aca="false">SUM(J3:J7)</f>
        <v>2024700</v>
      </c>
      <c r="K8" s="84" t="n">
        <f aca="false">SUM(K3:K7)</f>
        <v>4314900</v>
      </c>
    </row>
    <row r="10" customFormat="false" ht="12.75" hidden="false" customHeight="false" outlineLevel="0" collapsed="false">
      <c r="D10" s="57"/>
      <c r="E10" s="85"/>
      <c r="F10" s="0" t="s">
        <v>55</v>
      </c>
    </row>
    <row r="11" customFormat="false" ht="12.75" hidden="false" customHeight="false" outlineLevel="0" collapsed="false">
      <c r="D11" s="33"/>
      <c r="E11" s="86"/>
      <c r="F11" s="0" t="s">
        <v>56</v>
      </c>
    </row>
    <row r="16" customFormat="false" ht="12.75" hidden="false" customHeight="false" outlineLevel="0" collapsed="false">
      <c r="D16" s="57"/>
    </row>
    <row r="23" customFormat="false" ht="12.75" hidden="false" customHeight="false" outlineLevel="0" collapsed="false">
      <c r="E23" s="12"/>
    </row>
  </sheetData>
  <mergeCells count="1">
    <mergeCell ref="E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8.7"/>
    <col collapsed="false" customWidth="true" hidden="false" outlineLevel="0" max="3" min="3" style="0" width="15.85"/>
    <col collapsed="false" customWidth="true" hidden="false" outlineLevel="0" max="4" min="4" style="0" width="14.7"/>
    <col collapsed="false" customWidth="true" hidden="false" outlineLevel="0" max="5" min="5" style="0" width="13.99"/>
    <col collapsed="false" customWidth="true" hidden="false" outlineLevel="0" max="6" min="6" style="0" width="12.56"/>
    <col collapsed="false" customWidth="true" hidden="false" outlineLevel="0" max="8" min="7" style="0" width="11.28"/>
    <col collapsed="false" customWidth="true" hidden="false" outlineLevel="0" max="9" min="9" style="0" width="14.7"/>
  </cols>
  <sheetData>
    <row r="1" customFormat="false" ht="15.75" hidden="false" customHeight="false" outlineLevel="0" collapsed="false">
      <c r="A1" s="87" t="s">
        <v>57</v>
      </c>
    </row>
    <row r="2" customFormat="false" ht="15.75" hidden="false" customHeight="false" outlineLevel="0" collapsed="false">
      <c r="A2" s="87"/>
    </row>
    <row r="4" customFormat="false" ht="12.75" hidden="false" customHeight="false" outlineLevel="0" collapsed="false">
      <c r="A4" s="88"/>
      <c r="B4" s="88"/>
      <c r="C4" s="61" t="s">
        <v>58</v>
      </c>
      <c r="D4" s="61" t="s">
        <v>59</v>
      </c>
      <c r="E4" s="61" t="s">
        <v>33</v>
      </c>
      <c r="F4" s="61" t="s">
        <v>60</v>
      </c>
      <c r="G4" s="61"/>
      <c r="H4" s="61" t="s">
        <v>60</v>
      </c>
      <c r="I4" s="89" t="s">
        <v>35</v>
      </c>
    </row>
    <row r="5" customFormat="false" ht="12.75" hidden="false" customHeight="false" outlineLevel="0" collapsed="false">
      <c r="A5" s="65" t="s">
        <v>61</v>
      </c>
      <c r="B5" s="65" t="s">
        <v>62</v>
      </c>
      <c r="C5" s="65" t="s">
        <v>63</v>
      </c>
      <c r="D5" s="65" t="s">
        <v>64</v>
      </c>
      <c r="E5" s="65" t="s">
        <v>65</v>
      </c>
      <c r="F5" s="65" t="s">
        <v>66</v>
      </c>
      <c r="G5" s="65" t="s">
        <v>67</v>
      </c>
      <c r="H5" s="65" t="s">
        <v>68</v>
      </c>
      <c r="I5" s="90" t="s">
        <v>64</v>
      </c>
    </row>
    <row r="6" customFormat="false" ht="12.75" hidden="false" customHeight="false" outlineLevel="0" collapsed="false">
      <c r="A6" s="91" t="s">
        <v>69</v>
      </c>
      <c r="B6" s="45" t="s">
        <v>48</v>
      </c>
      <c r="C6" s="92" t="n">
        <v>36819</v>
      </c>
      <c r="D6" s="93" t="n">
        <v>562300</v>
      </c>
      <c r="E6" s="94" t="n">
        <v>440000</v>
      </c>
      <c r="F6" s="93" t="n">
        <f aca="false">372495+Austin!$E$10/2+Austin!$E$9/2</f>
        <v>569300</v>
      </c>
      <c r="G6" s="93" t="n">
        <f aca="false">0.1*D6</f>
        <v>56230</v>
      </c>
      <c r="H6" s="95" t="s">
        <v>49</v>
      </c>
      <c r="I6" s="94" t="n">
        <f aca="false">E6+F6</f>
        <v>1009300</v>
      </c>
      <c r="J6" s="33"/>
    </row>
    <row r="7" customFormat="false" ht="12.75" hidden="false" customHeight="false" outlineLevel="0" collapsed="false">
      <c r="A7" s="91" t="s">
        <v>70</v>
      </c>
      <c r="B7" s="45" t="s">
        <v>48</v>
      </c>
      <c r="C7" s="92" t="n">
        <v>36819</v>
      </c>
      <c r="D7" s="93" t="n">
        <v>562300</v>
      </c>
      <c r="E7" s="93" t="n">
        <f aca="false">E6</f>
        <v>440000</v>
      </c>
      <c r="F7" s="93" t="n">
        <f aca="false">365495+Austin!$E$10/2+Austin!$E$9/2</f>
        <v>562300</v>
      </c>
      <c r="G7" s="93" t="n">
        <f aca="false">0.1*D7</f>
        <v>56230</v>
      </c>
      <c r="H7" s="95" t="s">
        <v>49</v>
      </c>
      <c r="I7" s="93" t="n">
        <f aca="false">F7+E7</f>
        <v>1002300</v>
      </c>
    </row>
    <row r="8" customFormat="false" ht="12.75" hidden="false" customHeight="false" outlineLevel="0" collapsed="false">
      <c r="A8" s="91" t="s">
        <v>71</v>
      </c>
      <c r="B8" s="45" t="s">
        <v>52</v>
      </c>
      <c r="C8" s="92" t="n">
        <v>36861</v>
      </c>
      <c r="D8" s="93" t="n">
        <v>786000</v>
      </c>
      <c r="E8" s="93" t="n">
        <f aca="false">0.05*D8</f>
        <v>39300</v>
      </c>
      <c r="F8" s="93" t="n">
        <f aca="false">'Summary By Project'!$J$6/3</f>
        <v>88400</v>
      </c>
      <c r="G8" s="93" t="n">
        <f aca="false">0.1*D8</f>
        <v>78600</v>
      </c>
      <c r="H8" s="93" t="n">
        <f aca="false">D8-F8</f>
        <v>697600</v>
      </c>
      <c r="I8" s="93" t="n">
        <f aca="false">E8+F8+H8</f>
        <v>825300</v>
      </c>
      <c r="J8" s="33"/>
    </row>
    <row r="9" customFormat="false" ht="12.75" hidden="false" customHeight="false" outlineLevel="0" collapsed="false">
      <c r="A9" s="91" t="s">
        <v>72</v>
      </c>
      <c r="B9" s="45" t="s">
        <v>52</v>
      </c>
      <c r="C9" s="92" t="n">
        <v>36847</v>
      </c>
      <c r="D9" s="93" t="n">
        <v>786000</v>
      </c>
      <c r="E9" s="93" t="n">
        <f aca="false">0.05*D9</f>
        <v>39300</v>
      </c>
      <c r="F9" s="93" t="n">
        <f aca="false">'Summary By Project'!$J$6/3</f>
        <v>88400</v>
      </c>
      <c r="G9" s="93" t="n">
        <f aca="false">0.1*D9</f>
        <v>78600</v>
      </c>
      <c r="H9" s="93" t="n">
        <f aca="false">D9-F9</f>
        <v>697600</v>
      </c>
      <c r="I9" s="93" t="n">
        <f aca="false">E9+F9+H9</f>
        <v>825300</v>
      </c>
      <c r="J9" s="33"/>
    </row>
    <row r="10" customFormat="false" ht="12.75" hidden="false" customHeight="false" outlineLevel="0" collapsed="false">
      <c r="A10" s="91" t="s">
        <v>73</v>
      </c>
      <c r="B10" s="45" t="s">
        <v>52</v>
      </c>
      <c r="C10" s="92" t="n">
        <v>36861</v>
      </c>
      <c r="D10" s="93" t="n">
        <v>786000</v>
      </c>
      <c r="E10" s="93" t="n">
        <f aca="false">0.05*D10</f>
        <v>39300</v>
      </c>
      <c r="F10" s="93" t="n">
        <f aca="false">'Summary By Project'!$J$6/3</f>
        <v>88400</v>
      </c>
      <c r="G10" s="93" t="n">
        <f aca="false">0.1*D10</f>
        <v>78600</v>
      </c>
      <c r="H10" s="93" t="n">
        <f aca="false">D10-F10</f>
        <v>697600</v>
      </c>
      <c r="I10" s="93" t="n">
        <f aca="false">E10+F10+H10</f>
        <v>825300</v>
      </c>
      <c r="J10" s="33"/>
    </row>
    <row r="11" customFormat="false" ht="12.75" hidden="false" customHeight="false" outlineLevel="0" collapsed="false">
      <c r="A11" s="91" t="s">
        <v>74</v>
      </c>
      <c r="B11" s="45" t="s">
        <v>50</v>
      </c>
      <c r="C11" s="92" t="n">
        <v>36847</v>
      </c>
      <c r="D11" s="93" t="n">
        <v>786000</v>
      </c>
      <c r="E11" s="93" t="n">
        <f aca="false">0.05*D11</f>
        <v>39300</v>
      </c>
      <c r="F11" s="93" t="n">
        <f aca="false">'Summary By Project'!J4</f>
        <v>275100</v>
      </c>
      <c r="G11" s="93" t="n">
        <f aca="false">0.1*D11</f>
        <v>78600</v>
      </c>
      <c r="H11" s="93" t="n">
        <f aca="false">D11-F11</f>
        <v>510900</v>
      </c>
      <c r="I11" s="93" t="n">
        <f aca="false">E11+F11+H11</f>
        <v>825300</v>
      </c>
      <c r="J11" s="33"/>
    </row>
    <row r="12" customFormat="false" ht="12.75" hidden="false" customHeight="false" outlineLevel="0" collapsed="false">
      <c r="A12" s="91" t="s">
        <v>75</v>
      </c>
      <c r="B12" s="45" t="s">
        <v>51</v>
      </c>
      <c r="C12" s="92" t="n">
        <v>36875</v>
      </c>
      <c r="D12" s="93" t="n">
        <v>786000</v>
      </c>
      <c r="E12" s="93" t="n">
        <f aca="false">E6</f>
        <v>440000</v>
      </c>
      <c r="F12" s="93" t="n">
        <f aca="false">'Summary By Project'!$J$5/2</f>
        <v>88400</v>
      </c>
      <c r="G12" s="95" t="s">
        <v>22</v>
      </c>
      <c r="H12" s="93" t="n">
        <f aca="false">'Summary By Project'!$K$5/2</f>
        <v>161600</v>
      </c>
      <c r="I12" s="93" t="n">
        <f aca="false">E12+F12+H12</f>
        <v>690000</v>
      </c>
      <c r="J12" s="33"/>
    </row>
    <row r="13" customFormat="false" ht="12.75" hidden="false" customHeight="false" outlineLevel="0" collapsed="false">
      <c r="A13" s="91" t="s">
        <v>76</v>
      </c>
      <c r="B13" s="45" t="s">
        <v>51</v>
      </c>
      <c r="C13" s="92" t="n">
        <v>36875</v>
      </c>
      <c r="D13" s="93" t="n">
        <v>786000</v>
      </c>
      <c r="E13" s="93" t="n">
        <f aca="false">E6</f>
        <v>440000</v>
      </c>
      <c r="F13" s="93" t="n">
        <f aca="false">'Summary By Project'!$J$5/2</f>
        <v>88400</v>
      </c>
      <c r="G13" s="95" t="s">
        <v>22</v>
      </c>
      <c r="H13" s="93" t="n">
        <f aca="false">'Summary By Project'!$K$5/2</f>
        <v>161600</v>
      </c>
      <c r="I13" s="93" t="n">
        <f aca="false">E13+F13+H13</f>
        <v>690000</v>
      </c>
      <c r="J13" s="33"/>
    </row>
    <row r="14" customFormat="false" ht="12.75" hidden="false" customHeight="false" outlineLevel="0" collapsed="false">
      <c r="A14" s="91" t="s">
        <v>77</v>
      </c>
      <c r="B14" s="45" t="s">
        <v>53</v>
      </c>
      <c r="C14" s="92" t="n">
        <v>37104</v>
      </c>
      <c r="D14" s="93" t="n">
        <v>782000</v>
      </c>
      <c r="E14" s="93" t="n">
        <f aca="false">0.05*D14</f>
        <v>39100</v>
      </c>
      <c r="F14" s="93" t="n">
        <f aca="false">'Summary By Project'!$J$7/2</f>
        <v>88000</v>
      </c>
      <c r="G14" s="93" t="n">
        <f aca="false">0.1*D14</f>
        <v>78200</v>
      </c>
      <c r="H14" s="93" t="n">
        <f aca="false">D14-F14</f>
        <v>694000</v>
      </c>
      <c r="I14" s="93" t="n">
        <f aca="false">E14+F14+H14</f>
        <v>821100</v>
      </c>
      <c r="J14" s="33"/>
    </row>
    <row r="15" customFormat="false" ht="12.75" hidden="false" customHeight="false" outlineLevel="0" collapsed="false">
      <c r="A15" s="26" t="s">
        <v>78</v>
      </c>
      <c r="B15" s="27" t="s">
        <v>53</v>
      </c>
      <c r="C15" s="96" t="n">
        <v>37104</v>
      </c>
      <c r="D15" s="97" t="n">
        <v>782000</v>
      </c>
      <c r="E15" s="97" t="n">
        <f aca="false">0.05*D15</f>
        <v>39100</v>
      </c>
      <c r="F15" s="97" t="n">
        <f aca="false">'Summary By Project'!$J$7/2</f>
        <v>88000</v>
      </c>
      <c r="G15" s="97" t="n">
        <f aca="false">0.1*D15</f>
        <v>78200</v>
      </c>
      <c r="H15" s="97" t="n">
        <f aca="false">D15-F15</f>
        <v>694000</v>
      </c>
      <c r="I15" s="97" t="n">
        <f aca="false">E15+F15+H15</f>
        <v>821100</v>
      </c>
      <c r="J15" s="33"/>
    </row>
    <row r="16" customFormat="false" ht="12.75" hidden="false" customHeight="false" outlineLevel="0" collapsed="false">
      <c r="A16" s="98" t="s">
        <v>79</v>
      </c>
      <c r="B16" s="98"/>
      <c r="C16" s="98"/>
      <c r="D16" s="99" t="n">
        <f aca="false">SUM(D6:D15)</f>
        <v>7404600</v>
      </c>
      <c r="E16" s="99" t="n">
        <f aca="false">SUM(E6:E15)</f>
        <v>1995400</v>
      </c>
      <c r="F16" s="99" t="n">
        <f aca="false">SUM(F6:F15)</f>
        <v>2024700</v>
      </c>
      <c r="G16" s="100" t="n">
        <f aca="false">SUM(G6:G15)</f>
        <v>583260</v>
      </c>
      <c r="H16" s="100" t="n">
        <f aca="false">SUM(H8:H15)</f>
        <v>4314900</v>
      </c>
      <c r="I16" s="100" t="n">
        <f aca="false">SUM(I6:I15)</f>
        <v>8335000</v>
      </c>
    </row>
    <row r="17" customFormat="false" ht="12.75" hidden="false" customHeight="false" outlineLevel="0" collapsed="false">
      <c r="A17" s="3"/>
      <c r="B17" s="3"/>
      <c r="C17" s="3"/>
      <c r="D17" s="101"/>
      <c r="E17" s="101"/>
      <c r="F17" s="101"/>
      <c r="G17" s="101"/>
      <c r="H17" s="101"/>
      <c r="I17" s="101"/>
    </row>
    <row r="18" customFormat="false" ht="12.75" hidden="false" customHeight="false" outlineLevel="0" collapsed="false">
      <c r="A18" s="3"/>
      <c r="B18" s="3"/>
      <c r="C18" s="3"/>
      <c r="D18" s="101"/>
      <c r="E18" s="101"/>
      <c r="F18" s="101"/>
      <c r="G18" s="101"/>
      <c r="H18" s="101"/>
      <c r="I18" s="101"/>
    </row>
    <row r="19" customFormat="false" ht="15" hidden="false" customHeight="false" outlineLevel="0" collapsed="false">
      <c r="A19" s="102" t="s">
        <v>80</v>
      </c>
      <c r="B19" s="102"/>
      <c r="C19" s="103" t="n">
        <f aca="false">H16</f>
        <v>4314900</v>
      </c>
      <c r="D19" s="101"/>
      <c r="E19" s="104"/>
      <c r="F19" s="101"/>
      <c r="G19" s="101"/>
      <c r="H19" s="101"/>
      <c r="I19" s="101"/>
    </row>
    <row r="20" customFormat="false" ht="17.25" hidden="false" customHeight="false" outlineLevel="0" collapsed="false">
      <c r="A20" s="105" t="s">
        <v>81</v>
      </c>
      <c r="B20" s="102"/>
      <c r="C20" s="106" t="n">
        <v>-30000</v>
      </c>
      <c r="D20" s="106"/>
      <c r="E20" s="101"/>
      <c r="F20" s="101"/>
      <c r="G20" s="101"/>
      <c r="H20" s="101"/>
      <c r="I20" s="101"/>
    </row>
    <row r="21" customFormat="false" ht="15" hidden="false" customHeight="false" outlineLevel="0" collapsed="false">
      <c r="A21" s="102" t="s">
        <v>80</v>
      </c>
      <c r="B21" s="102"/>
      <c r="C21" s="103" t="n">
        <f aca="false">C19+C20</f>
        <v>4284900</v>
      </c>
      <c r="D21" s="103"/>
      <c r="E21" s="101"/>
      <c r="F21" s="101"/>
      <c r="G21" s="104"/>
      <c r="H21" s="101"/>
      <c r="I21" s="101"/>
    </row>
    <row r="22" customFormat="false" ht="17.25" hidden="false" customHeight="false" outlineLevel="0" collapsed="false">
      <c r="A22" s="105" t="s">
        <v>82</v>
      </c>
      <c r="B22" s="102"/>
      <c r="C22" s="106" t="n">
        <f aca="false">-G16</f>
        <v>-583260</v>
      </c>
      <c r="D22" s="101" t="s">
        <v>83</v>
      </c>
      <c r="E22" s="101"/>
      <c r="F22" s="101"/>
      <c r="G22" s="101"/>
      <c r="H22" s="101"/>
      <c r="I22" s="101"/>
    </row>
    <row r="23" customFormat="false" ht="15.75" hidden="false" customHeight="false" outlineLevel="0" collapsed="false">
      <c r="A23" s="107" t="s">
        <v>84</v>
      </c>
      <c r="B23" s="107"/>
      <c r="C23" s="108" t="n">
        <f aca="false">C21+C22</f>
        <v>3701640</v>
      </c>
      <c r="D23" s="108"/>
      <c r="E23" s="101"/>
      <c r="F23" s="101"/>
      <c r="G23" s="101"/>
      <c r="H23" s="101"/>
      <c r="I23" s="101"/>
    </row>
    <row r="24" customFormat="false" ht="12.75" hidden="false" customHeight="false" outlineLevel="0" collapsed="false">
      <c r="H24" s="101"/>
      <c r="I24" s="104"/>
    </row>
    <row r="25" customFormat="false" ht="14.25" hidden="false" customHeight="false" outlineLevel="0" collapsed="false">
      <c r="A25" s="109" t="s">
        <v>85</v>
      </c>
      <c r="H25" s="101"/>
      <c r="I25" s="104"/>
    </row>
    <row r="26" customFormat="false" ht="14.25" hidden="false" customHeight="false" outlineLevel="0" collapsed="false">
      <c r="A26" s="109" t="s">
        <v>86</v>
      </c>
      <c r="H26" s="101"/>
    </row>
    <row r="29" customFormat="false" ht="12.75" hidden="false" customHeight="false" outlineLevel="0" collapsed="false">
      <c r="H29" s="104"/>
    </row>
    <row r="31" customFormat="false" ht="12.75" hidden="false" customHeight="false" outlineLevel="0" collapsed="false">
      <c r="F31" s="104"/>
      <c r="G31" s="104"/>
      <c r="H31" s="104"/>
    </row>
    <row r="33" customFormat="false" ht="12.75" hidden="false" customHeight="false" outlineLevel="0" collapsed="false">
      <c r="H33" s="104"/>
      <c r="I33" s="104"/>
    </row>
    <row r="34" customFormat="false" ht="15" hidden="false" customHeight="false" outlineLevel="0" collapsed="false">
      <c r="A34" s="110"/>
      <c r="B34" s="110"/>
      <c r="C34" s="110"/>
    </row>
    <row r="35" customFormat="false" ht="15" hidden="false" customHeight="false" outlineLevel="0" collapsed="false">
      <c r="B35" s="110"/>
      <c r="C35" s="110"/>
      <c r="H35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3.85"/>
    <col collapsed="false" customWidth="true" hidden="false" outlineLevel="0" max="3" min="3" style="0" width="15.56"/>
    <col collapsed="false" customWidth="true" hidden="false" outlineLevel="0" max="4" min="4" style="0" width="12.85"/>
    <col collapsed="false" customWidth="true" hidden="false" outlineLevel="0" max="9" min="5" style="0" width="13.85"/>
    <col collapsed="false" customWidth="true" hidden="false" outlineLevel="0" max="11" min="10" style="0" width="10.85"/>
    <col collapsed="false" customWidth="true" hidden="false" outlineLevel="0" max="13" min="12" style="0" width="10.99"/>
    <col collapsed="false" customWidth="true" hidden="false" outlineLevel="0" max="14" min="14" style="0" width="9.7"/>
  </cols>
  <sheetData>
    <row r="1" customFormat="false" ht="15.75" hidden="false" customHeight="false" outlineLevel="0" collapsed="false">
      <c r="A1" s="87" t="s">
        <v>87</v>
      </c>
    </row>
    <row r="2" customFormat="false" ht="12.75" hidden="false" customHeight="false" outlineLevel="0" collapsed="false">
      <c r="M2" s="43"/>
    </row>
    <row r="3" customFormat="false" ht="12.75" hidden="false" customHeight="false" outlineLevel="0" collapsed="false">
      <c r="A3" s="111" t="n">
        <v>36868</v>
      </c>
      <c r="B3" s="112" t="n">
        <v>36873</v>
      </c>
      <c r="C3" s="112" t="n">
        <v>36904</v>
      </c>
      <c r="D3" s="112" t="n">
        <v>36935</v>
      </c>
      <c r="E3" s="112" t="n">
        <v>36963</v>
      </c>
      <c r="F3" s="112" t="n">
        <v>36994</v>
      </c>
      <c r="G3" s="112" t="n">
        <v>37012</v>
      </c>
      <c r="H3" s="112" t="n">
        <v>37043</v>
      </c>
      <c r="I3" s="112" t="n">
        <v>37073</v>
      </c>
      <c r="J3" s="112" t="n">
        <v>37104</v>
      </c>
      <c r="K3" s="112" t="n">
        <v>37135</v>
      </c>
      <c r="L3" s="113" t="n">
        <v>37165</v>
      </c>
      <c r="M3" s="114"/>
    </row>
    <row r="4" customFormat="false" ht="12.75" hidden="false" customHeight="false" outlineLevel="0" collapsed="false">
      <c r="A4" s="115" t="n">
        <f aca="false">ESA!E10</f>
        <v>323200</v>
      </c>
      <c r="B4" s="116" t="n">
        <f aca="false">(PSCO!E10+Coral!E11)</f>
        <v>874500</v>
      </c>
      <c r="C4" s="116" t="n">
        <f aca="false">(PSCO!E11)</f>
        <v>943200</v>
      </c>
      <c r="D4" s="117" t="n">
        <v>0</v>
      </c>
      <c r="E4" s="116" t="n">
        <f aca="false">(Coral!E12)</f>
        <v>117900</v>
      </c>
      <c r="F4" s="116" t="n">
        <v>0</v>
      </c>
      <c r="G4" s="116" t="n">
        <f aca="false">PSCO!E12</f>
        <v>353700</v>
      </c>
      <c r="H4" s="116" t="n">
        <f aca="false">('LV Cogen'!E10)</f>
        <v>371400</v>
      </c>
      <c r="I4" s="116" t="n">
        <f aca="false">'LV Cogen'!E11</f>
        <v>625600</v>
      </c>
      <c r="J4" s="117" t="n">
        <v>0</v>
      </c>
      <c r="K4" s="117" t="n">
        <v>0</v>
      </c>
      <c r="L4" s="31" t="n">
        <f aca="false">'LV Cogen'!E12</f>
        <v>234600</v>
      </c>
      <c r="M4" s="38"/>
    </row>
    <row r="5" customFormat="false" ht="12.75" hidden="false" customHeight="false" outlineLevel="0" collapsed="false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43"/>
    </row>
    <row r="6" customFormat="false" ht="12.75" hidden="false" customHeight="false" outlineLevel="0" collapsed="false">
      <c r="A6" s="118" t="s">
        <v>88</v>
      </c>
    </row>
    <row r="7" customFormat="false" ht="12.75" hidden="false" customHeight="false" outlineLevel="0" collapsed="false">
      <c r="B7" s="119" t="s">
        <v>89</v>
      </c>
      <c r="C7" s="119"/>
      <c r="D7" s="119"/>
      <c r="E7" s="119" t="s">
        <v>90</v>
      </c>
      <c r="F7" s="43"/>
      <c r="G7" s="120"/>
    </row>
    <row r="8" customFormat="false" ht="12.75" hidden="false" customHeight="false" outlineLevel="0" collapsed="false">
      <c r="B8" s="121" t="s">
        <v>91</v>
      </c>
      <c r="C8" s="121" t="s">
        <v>92</v>
      </c>
      <c r="D8" s="121"/>
      <c r="E8" s="121"/>
      <c r="F8" s="121"/>
      <c r="G8" s="121" t="s">
        <v>93</v>
      </c>
      <c r="H8" s="43"/>
    </row>
    <row r="9" customFormat="false" ht="12.75" hidden="false" customHeight="false" outlineLevel="0" collapsed="false">
      <c r="H9" s="122" t="s">
        <v>94</v>
      </c>
      <c r="I9" s="122" t="s">
        <v>95</v>
      </c>
      <c r="J9" s="122"/>
      <c r="K9" s="122"/>
      <c r="L9" s="122" t="s">
        <v>96</v>
      </c>
      <c r="M9" s="120"/>
    </row>
    <row r="11" customFormat="false" ht="12.75" hidden="false" customHeight="false" outlineLevel="0" collapsed="false">
      <c r="A11" s="123" t="s">
        <v>97</v>
      </c>
      <c r="B11" s="124" t="n">
        <v>0.08</v>
      </c>
      <c r="C11" s="3"/>
      <c r="D11" s="3"/>
      <c r="E11" s="3"/>
    </row>
    <row r="12" customFormat="false" ht="12.75" hidden="false" customHeight="false" outlineLevel="0" collapsed="false">
      <c r="A12" s="125"/>
      <c r="B12" s="126"/>
      <c r="C12" s="3"/>
      <c r="D12" s="3"/>
      <c r="E12" s="3"/>
    </row>
    <row r="13" customFormat="false" ht="12.75" hidden="false" customHeight="false" outlineLevel="0" collapsed="false">
      <c r="A13" s="125" t="s">
        <v>98</v>
      </c>
      <c r="B13" s="127" t="n">
        <f aca="false">SUM(A4:M4)</f>
        <v>3844100</v>
      </c>
      <c r="C13" s="3"/>
      <c r="D13" s="3"/>
      <c r="E13" s="3"/>
    </row>
    <row r="14" customFormat="false" ht="15" hidden="false" customHeight="false" outlineLevel="0" collapsed="false">
      <c r="A14" s="128" t="s">
        <v>99</v>
      </c>
      <c r="B14" s="129" t="n">
        <f aca="false">XNPV(B11,A4:L4,A3:L3)</f>
        <v>3768969.39310779</v>
      </c>
      <c r="C14" s="3"/>
      <c r="D14" s="3"/>
      <c r="E14" s="3"/>
    </row>
    <row r="15" customFormat="false" ht="12.75" hidden="false" customHeight="false" outlineLevel="0" collapsed="false">
      <c r="A15" s="130" t="s">
        <v>100</v>
      </c>
      <c r="B15" s="131" t="n">
        <f aca="false">B13-B14</f>
        <v>75130.6068922142</v>
      </c>
      <c r="C15" s="3"/>
      <c r="D15" s="3"/>
      <c r="E15" s="3"/>
    </row>
    <row r="16" customFormat="false" ht="12.75" hidden="false" customHeight="false" outlineLevel="0" collapsed="false">
      <c r="A16" s="3"/>
      <c r="B16" s="3"/>
      <c r="C16" s="3"/>
      <c r="D16" s="3"/>
      <c r="E16" s="3"/>
    </row>
    <row r="17" customFormat="false" ht="14.25" hidden="false" customHeight="false" outlineLevel="0" collapsed="false">
      <c r="A17" s="132" t="s">
        <v>101</v>
      </c>
      <c r="B17" s="3"/>
      <c r="C17" s="3"/>
      <c r="D17" s="3"/>
      <c r="E17" s="3"/>
    </row>
    <row r="21" customFormat="false" ht="12.75" hidden="false" customHeight="false" outlineLevel="0" collapsed="false">
      <c r="G21" s="32"/>
      <c r="I21" s="32"/>
    </row>
    <row r="33" customFormat="false" ht="12.75" hidden="false" customHeight="false" outlineLevel="0" collapsed="false">
      <c r="G3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3" min="3" style="0" width="14.14"/>
  </cols>
  <sheetData>
    <row r="1" customFormat="false" ht="15.75" hidden="false" customHeight="false" outlineLevel="0" collapsed="false">
      <c r="A1" s="87" t="s">
        <v>57</v>
      </c>
    </row>
    <row r="3" customFormat="false" ht="15" hidden="false" customHeight="false" outlineLevel="0" collapsed="false">
      <c r="A3" s="102" t="s">
        <v>80</v>
      </c>
      <c r="B3" s="102"/>
      <c r="C3" s="103" t="n">
        <f aca="false">4307900</f>
        <v>4307900</v>
      </c>
      <c r="D3" s="110"/>
    </row>
    <row r="4" customFormat="false" ht="17.25" hidden="false" customHeight="false" outlineLevel="0" collapsed="false">
      <c r="A4" s="105" t="s">
        <v>81</v>
      </c>
      <c r="B4" s="102"/>
      <c r="C4" s="106" t="n">
        <v>-30000</v>
      </c>
      <c r="D4" s="110"/>
    </row>
    <row r="5" customFormat="false" ht="15" hidden="false" customHeight="false" outlineLevel="0" collapsed="false">
      <c r="A5" s="102" t="s">
        <v>80</v>
      </c>
      <c r="B5" s="102"/>
      <c r="C5" s="103" t="n">
        <f aca="false">C3+C4</f>
        <v>4277900</v>
      </c>
      <c r="D5" s="110"/>
    </row>
    <row r="6" customFormat="false" ht="17.25" hidden="false" customHeight="false" outlineLevel="0" collapsed="false">
      <c r="A6" s="105" t="s">
        <v>82</v>
      </c>
      <c r="B6" s="102"/>
      <c r="C6" s="106" t="n">
        <v>-470800</v>
      </c>
      <c r="D6" s="110"/>
    </row>
    <row r="7" customFormat="false" ht="15.75" hidden="false" customHeight="false" outlineLevel="0" collapsed="false">
      <c r="A7" s="107" t="s">
        <v>84</v>
      </c>
      <c r="B7" s="107"/>
      <c r="C7" s="108" t="n">
        <f aca="false">C5+C6</f>
        <v>3807100</v>
      </c>
      <c r="D7" s="110"/>
    </row>
    <row r="8" customFormat="false" ht="15" hidden="false" customHeight="false" outlineLevel="0" collapsed="false">
      <c r="A8" s="110"/>
      <c r="B8" s="110"/>
      <c r="C8" s="110"/>
      <c r="D8" s="110"/>
    </row>
    <row r="9" customFormat="false" ht="15" hidden="false" customHeight="false" outlineLevel="0" collapsed="false">
      <c r="A9" s="109" t="s">
        <v>102</v>
      </c>
      <c r="B9" s="110"/>
      <c r="C9" s="110"/>
      <c r="D9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2000-12-05T13:14:42Z</dcterms:created>
  <dc:creator>rwalker2</dc:creator>
  <dc:description/>
  <dc:language>en-US</dc:language>
  <cp:lastModifiedBy>rwalker2</cp:lastModifiedBy>
  <cp:lastPrinted>2000-12-11T13:41:44Z</cp:lastPrinted>
  <cp:revision>0</cp:revision>
  <dc:subject/>
  <dc:title/>
</cp:coreProperties>
</file>