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. used in model" sheetId="1" state="visible" r:id="rId3"/>
    <sheet name="Cashflows" sheetId="2" state="visible" r:id="rId4"/>
    <sheet name="Tax Scenarios" sheetId="3" state="visible" r:id="rId5"/>
    <sheet name="Employee Reimbur." sheetId="4" state="visible" r:id="rId6"/>
    <sheet name="Sheet5" sheetId="5" state="visible" r:id="rId7"/>
    <sheet name="Sheet6" sheetId="6" state="visible" r:id="rId8"/>
  </sheets>
  <definedNames>
    <definedName function="false" hidden="false" localSheetId="0" name="_xlnm.Print_Area" vbProcedure="false">'Assum. used in model'!$A$1:$O$86</definedName>
    <definedName function="false" hidden="false" localSheetId="1" name="_xlnm.Print_Area" vbProcedure="false">Cashflows!$A$1:$P$83</definedName>
    <definedName function="false" hidden="false" localSheetId="3" name="_xlnm.Print_Area" vbProcedure="false">'Employee Reimbur.'!$A$1:$M$32</definedName>
    <definedName function="false" hidden="false" localSheetId="2" name="_xlnm.Print_Area" vbProcedure="false">'Tax Scenarios'!$A$1:$K$37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<sst xmlns="http://schemas.openxmlformats.org/spreadsheetml/2006/main" count="338" uniqueCount="209">
  <si>
    <t xml:space="preserve">Enron PC and ISP Analysis</t>
  </si>
  <si>
    <t xml:space="preserve">Assumptions</t>
  </si>
  <si>
    <t xml:space="preserve">Red Text = Hard coded number</t>
  </si>
  <si>
    <t xml:space="preserve">Blue Text = Assumptions</t>
  </si>
  <si>
    <t xml:space="preserve">Scenario Choice</t>
  </si>
  <si>
    <t xml:space="preserve">Black Text = Formulas</t>
  </si>
  <si>
    <t xml:space="preserve">Cost Only</t>
  </si>
  <si>
    <t xml:space="preserve">Cost &amp; Cost savings Only</t>
  </si>
  <si>
    <t xml:space="preserve">Dom &amp; Int'l</t>
  </si>
  <si>
    <t xml:space="preserve">Full Subsidy</t>
  </si>
  <si>
    <t xml:space="preserve">Partial Subsidy</t>
  </si>
  <si>
    <t xml:space="preserve">Revenues / Benefits Assumptions</t>
  </si>
  <si>
    <t xml:space="preserve">Type</t>
  </si>
  <si>
    <t xml:space="preserve">Frequency</t>
  </si>
  <si>
    <t xml:space="preserve">Growth Rate</t>
  </si>
  <si>
    <t xml:space="preserve">Scenario in Use</t>
  </si>
  <si>
    <t xml:space="preserve">Scenario 1</t>
  </si>
  <si>
    <t xml:space="preserve">Scenario 2</t>
  </si>
  <si>
    <t xml:space="preserve">Scenario 3</t>
  </si>
  <si>
    <t xml:space="preserve">Scenario 4</t>
  </si>
  <si>
    <t xml:space="preserve">Scenario 5</t>
  </si>
  <si>
    <t xml:space="preserve">Scenario 6</t>
  </si>
  <si>
    <t xml:space="preserve">Scenario 7</t>
  </si>
  <si>
    <t xml:space="preserve">Scenario 8</t>
  </si>
  <si>
    <t xml:space="preserve">EBS Revunues</t>
  </si>
  <si>
    <t xml:space="preserve">D</t>
  </si>
  <si>
    <t xml:space="preserve">Revenue</t>
  </si>
  <si>
    <t xml:space="preserve">Annual</t>
  </si>
  <si>
    <t xml:space="preserve">Employee co-pay</t>
  </si>
  <si>
    <t xml:space="preserve">No</t>
  </si>
  <si>
    <t xml:space="preserve">Employee co-pay amount</t>
  </si>
  <si>
    <t xml:space="preserve">Commercial sales</t>
  </si>
  <si>
    <t xml:space="preserve">Commercial sales amount</t>
  </si>
  <si>
    <t xml:space="preserve">eCommerce revenue sharing</t>
  </si>
  <si>
    <t xml:space="preserve">Employee publications savings</t>
  </si>
  <si>
    <t xml:space="preserve">Benefit</t>
  </si>
  <si>
    <t xml:space="preserve">Reduction in training expense (including travel)</t>
  </si>
  <si>
    <t xml:space="preserve">Monetized productivity improvement per employee*</t>
  </si>
  <si>
    <t xml:space="preserve">I</t>
  </si>
  <si>
    <t xml:space="preserve">Increased retention benefit</t>
  </si>
  <si>
    <t xml:space="preserve">Real estate savings</t>
  </si>
  <si>
    <t xml:space="preserve">Portal savings</t>
  </si>
  <si>
    <t xml:space="preserve">Expense Assumptions</t>
  </si>
  <si>
    <t xml:space="preserve">Lease hardware</t>
  </si>
  <si>
    <t xml:space="preserve">Expense</t>
  </si>
  <si>
    <t xml:space="preserve">Yes</t>
  </si>
  <si>
    <t xml:space="preserve">Hardware lease cost</t>
  </si>
  <si>
    <t xml:space="preserve">C</t>
  </si>
  <si>
    <t xml:space="preserve">Purchase hardware</t>
  </si>
  <si>
    <t xml:space="preserve">Hardware purchase cost</t>
  </si>
  <si>
    <t xml:space="preserve">Per Unit</t>
  </si>
  <si>
    <t xml:space="preserve">% of employees with DSL connection 2001</t>
  </si>
  <si>
    <t xml:space="preserve">% of employees with cable connection 2001</t>
  </si>
  <si>
    <t xml:space="preserve">% of employees with ISDN connection 2001</t>
  </si>
  <si>
    <t xml:space="preserve">% of employees with 56K modem connection 2001</t>
  </si>
  <si>
    <t xml:space="preserve">% of employees with DSL connection 2002</t>
  </si>
  <si>
    <t xml:space="preserve">% of employees with cable connection 2002</t>
  </si>
  <si>
    <t xml:space="preserve">% of employees with ISDN connection 2002</t>
  </si>
  <si>
    <t xml:space="preserve">% of employees with 56K modem connection 2002</t>
  </si>
  <si>
    <t xml:space="preserve">% of employees with DSL connection 2003</t>
  </si>
  <si>
    <t xml:space="preserve">% of employees with cable connection 2003</t>
  </si>
  <si>
    <t xml:space="preserve">% of employees with ISDN connection 2003</t>
  </si>
  <si>
    <t xml:space="preserve">% of employees with 56K modem connection 2003</t>
  </si>
  <si>
    <t xml:space="preserve">Cost of DSL connection in 2001</t>
  </si>
  <si>
    <t xml:space="preserve">Cost of cable connection in 2001</t>
  </si>
  <si>
    <t xml:space="preserve">Cost of ISDN connection in 2001</t>
  </si>
  <si>
    <t xml:space="preserve">Cost of DSL connection in 2002</t>
  </si>
  <si>
    <t xml:space="preserve">Cost of cable connection in 2002</t>
  </si>
  <si>
    <t xml:space="preserve">Cost of ISDN connection in 2002</t>
  </si>
  <si>
    <t xml:space="preserve">Cost of DSL connection in 2003</t>
  </si>
  <si>
    <t xml:space="preserve">Cost of cable connection in 2003</t>
  </si>
  <si>
    <t xml:space="preserve">Cost of ISDN connection in 2003</t>
  </si>
  <si>
    <t xml:space="preserve">Cost of 56K modem connection</t>
  </si>
  <si>
    <t xml:space="preserve">Additional connectivity equipment cost per employee</t>
  </si>
  <si>
    <t xml:space="preserve">One Time</t>
  </si>
  <si>
    <t xml:space="preserve">US employees that will get hardware in 2001</t>
  </si>
  <si>
    <t xml:space="preserve">Int'l employees that will get hardware in 2001</t>
  </si>
  <si>
    <t xml:space="preserve">US employees that will get connectivity in 2001</t>
  </si>
  <si>
    <t xml:space="preserve">Int'l employees that will get connectivity in 2001</t>
  </si>
  <si>
    <t xml:space="preserve">Connectivity savings**</t>
  </si>
  <si>
    <t xml:space="preserve">Expense Savings</t>
  </si>
  <si>
    <t xml:space="preserve">Content licensing</t>
  </si>
  <si>
    <t xml:space="preserve">Split tunnel equipment per employee</t>
  </si>
  <si>
    <t xml:space="preserve">Every 3 Yrs.</t>
  </si>
  <si>
    <t xml:space="preserve">Domestic web development design &amp; implementation </t>
  </si>
  <si>
    <t xml:space="preserve">Int'l web development design &amp; implementation </t>
  </si>
  <si>
    <t xml:space="preserve">Co-pay administrative cost </t>
  </si>
  <si>
    <t xml:space="preserve">Enhome infrastucture cost/maintenance</t>
  </si>
  <si>
    <t xml:space="preserve">Increased broadband maintenance cost</t>
  </si>
  <si>
    <t xml:space="preserve">Increased broadband equipment cost</t>
  </si>
  <si>
    <t xml:space="preserve">Misc. administrative and management cost </t>
  </si>
  <si>
    <t xml:space="preserve">Reduction in fax/other office expense </t>
  </si>
  <si>
    <t xml:space="preserve">Laptop savings***</t>
  </si>
  <si>
    <t xml:space="preserve">Internal PC configuration savings****</t>
  </si>
  <si>
    <t xml:space="preserve">At Home Program uniformity savings</t>
  </si>
  <si>
    <t xml:space="preserve">LAND Rover savings over long distance connectivity</t>
  </si>
  <si>
    <t xml:space="preserve">General Assumptions</t>
  </si>
  <si>
    <t xml:space="preserve">Employees to participate</t>
  </si>
  <si>
    <t xml:space="preserve">Churn rate</t>
  </si>
  <si>
    <t xml:space="preserve">Yearly termination rate</t>
  </si>
  <si>
    <t xml:space="preserve">Discount rate</t>
  </si>
  <si>
    <t xml:space="preserve">Sales tax</t>
  </si>
  <si>
    <t xml:space="preserve">Months per year</t>
  </si>
  <si>
    <t xml:space="preserve">Tax treatment (A, B, C or D)</t>
  </si>
  <si>
    <t xml:space="preserve">Tax benefit rate</t>
  </si>
  <si>
    <t xml:space="preserve">3 Year NPV</t>
  </si>
  <si>
    <t xml:space="preserve">     *$10 equates to 15 minutes of saved time per week for 47 weeks ($470 per year per employee)</t>
  </si>
  <si>
    <t xml:space="preserve">     **This savings eliminates double counting the At Home Program participants who already have some sort of internet connection at home </t>
  </si>
  <si>
    <t xml:space="preserve">     ***Laptop savings come from the reduction of 100 laptops which saves $4,420 per laptop.</t>
  </si>
  <si>
    <t xml:space="preserve">     ****The savings come from not having to administer and reconfigure existing At Home Program PCs.</t>
  </si>
  <si>
    <t xml:space="preserve">Cashflow Analysis</t>
  </si>
  <si>
    <t xml:space="preserve">Black Text = Formulas/Text</t>
  </si>
  <si>
    <t xml:space="preserve">Year</t>
  </si>
  <si>
    <t xml:space="preserve">Total</t>
  </si>
  <si>
    <t xml:space="preserve">US Employee Hardware</t>
  </si>
  <si>
    <t xml:space="preserve">Number of employees added to participate</t>
  </si>
  <si>
    <t xml:space="preserve">Number of participating employees </t>
  </si>
  <si>
    <t xml:space="preserve">Int'l Employee Hardware</t>
  </si>
  <si>
    <t xml:space="preserve">Total Employee Hardware</t>
  </si>
  <si>
    <t xml:space="preserve">US Employee Connectivity</t>
  </si>
  <si>
    <t xml:space="preserve">Int'l Employee Connectivity</t>
  </si>
  <si>
    <t xml:space="preserve">Total Employee Connectivity</t>
  </si>
  <si>
    <t xml:space="preserve">Revenues/Benefits</t>
  </si>
  <si>
    <t xml:space="preserve">Employee co-pay amounts</t>
  </si>
  <si>
    <t xml:space="preserve">Enhanced employee productivity</t>
  </si>
  <si>
    <t xml:space="preserve">Reduced training costs</t>
  </si>
  <si>
    <t xml:space="preserve">Commercial revenue</t>
  </si>
  <si>
    <t xml:space="preserve">Retention Benefit</t>
  </si>
  <si>
    <t xml:space="preserve">Terminated employee buyout revenues</t>
  </si>
  <si>
    <t xml:space="preserve">Add benefit here</t>
  </si>
  <si>
    <t xml:space="preserve">     Total Revenue/Benefits</t>
  </si>
  <si>
    <t xml:space="preserve">Expenses/Costs</t>
  </si>
  <si>
    <t xml:space="preserve">Hardware lease charge</t>
  </si>
  <si>
    <t xml:space="preserve">DSL connectivity/ISP cost</t>
  </si>
  <si>
    <t xml:space="preserve">Cable connectivity/ISP cost</t>
  </si>
  <si>
    <t xml:space="preserve">ISDN connectivity/ISP cost</t>
  </si>
  <si>
    <t xml:space="preserve">56K connectivity/ISP cost</t>
  </si>
  <si>
    <t xml:space="preserve">Additional connectivity equipment cost</t>
  </si>
  <si>
    <t xml:space="preserve">Connectivity savings</t>
  </si>
  <si>
    <t xml:space="preserve">Content licensing cost</t>
  </si>
  <si>
    <t xml:space="preserve">Domestic web dev., design &amp; implementation cost</t>
  </si>
  <si>
    <t xml:space="preserve">Int'l web dev., design &amp; implementation cost</t>
  </si>
  <si>
    <t xml:space="preserve">Misc. administrative and management cost</t>
  </si>
  <si>
    <t xml:space="preserve">Split tunnel equipment cost</t>
  </si>
  <si>
    <t xml:space="preserve">Reduction in fax/other office expenses</t>
  </si>
  <si>
    <t xml:space="preserve">Laptop savings</t>
  </si>
  <si>
    <t xml:space="preserve">Internal PC configuration savings</t>
  </si>
  <si>
    <t xml:space="preserve">Land Rover savings over long distance connectivity</t>
  </si>
  <si>
    <t xml:space="preserve">Co-Pay administrative cost</t>
  </si>
  <si>
    <t xml:space="preserve">Add cost here</t>
  </si>
  <si>
    <t xml:space="preserve">     Total Expenses/Costs</t>
  </si>
  <si>
    <t xml:space="preserve">Net Pre-Tax Gain/(Loss)</t>
  </si>
  <si>
    <t xml:space="preserve">Tax Benefit/(Cost)</t>
  </si>
  <si>
    <t xml:space="preserve">Net Post-Tax Gain/(Loss)</t>
  </si>
  <si>
    <t xml:space="preserve">3 Year XNPV</t>
  </si>
  <si>
    <t xml:space="preserve">XNPV</t>
  </si>
  <si>
    <t xml:space="preserve">Tax Scenarios</t>
  </si>
  <si>
    <t xml:space="preserve">Tax Treatment A</t>
  </si>
  <si>
    <t xml:space="preserve">Tax Treatment B</t>
  </si>
  <si>
    <t xml:space="preserve">Tax Treatment C</t>
  </si>
  <si>
    <t xml:space="preserve">Tax Treatment D</t>
  </si>
  <si>
    <t xml:space="preserve">Enron Corp.</t>
  </si>
  <si>
    <t xml:space="preserve">Enron Cash Outflow (3 Year Total)</t>
  </si>
  <si>
    <t xml:space="preserve">Enron Income</t>
  </si>
  <si>
    <t xml:space="preserve">Enron Pre-tax Expense/Year for 3 Years</t>
  </si>
  <si>
    <t xml:space="preserve">Enron Post-tax Expense/Year for 3 Years</t>
  </si>
  <si>
    <t xml:space="preserve">Enron Employee</t>
  </si>
  <si>
    <t xml:space="preserve">Co-pay amount (monthly)</t>
  </si>
  <si>
    <t xml:space="preserve">Imputed Income</t>
  </si>
  <si>
    <t xml:space="preserve">Tax Liability</t>
  </si>
  <si>
    <t xml:space="preserve">      Total Cost to Employee*</t>
  </si>
  <si>
    <t xml:space="preserve">* Tax Treatment A Enron Employee Cost is a one time cost, while B,C &amp; D are yearly costs for 3 years</t>
  </si>
  <si>
    <t xml:space="preserve">TT A - </t>
  </si>
  <si>
    <t xml:space="preserve">Purchase equipment; amortize for business deduction; may be employee taxable income; assumes 75% participation rate; imputed income depends on Enron's value</t>
  </si>
  <si>
    <t xml:space="preserve">TT B - </t>
  </si>
  <si>
    <t xml:space="preserve">Lease equipment and retain ownership of lease; pass through lease costs to employees as monthly co-pay; no tax consequence for employees</t>
  </si>
  <si>
    <t xml:space="preserve">TT C - </t>
  </si>
  <si>
    <t xml:space="preserve">Take "working condition fringe benefit tax position" which requires monitoring of equipment use to ensure 50% business use; no emp tax but risky</t>
  </si>
  <si>
    <t xml:space="preserve">TT D - </t>
  </si>
  <si>
    <t xml:space="preserve">Lease equipment and retain ownership of lease</t>
  </si>
  <si>
    <t xml:space="preserve">Employees Participating in Free PC Program</t>
  </si>
  <si>
    <t xml:space="preserve">Participation Rate - A</t>
  </si>
  <si>
    <t xml:space="preserve">Participation Rate - B, C and D</t>
  </si>
  <si>
    <t xml:space="preserve">Enron Employee Ave. Tax Rate</t>
  </si>
  <si>
    <t xml:space="preserve">Enron Tax Benefit Rate</t>
  </si>
  <si>
    <t xml:space="preserve">Computer Useful Life</t>
  </si>
  <si>
    <t xml:space="preserve">Yrs.</t>
  </si>
  <si>
    <t xml:space="preserve">Enron Lease Payment per PC Package Pass Thru Amount</t>
  </si>
  <si>
    <t xml:space="preserve">per month</t>
  </si>
  <si>
    <t xml:space="preserve">PC Package Cost</t>
  </si>
  <si>
    <t xml:space="preserve">Months per Year</t>
  </si>
  <si>
    <t xml:space="preserve">Voluntary Termination Rate</t>
  </si>
  <si>
    <t xml:space="preserve">Involuntary Termination Rate</t>
  </si>
  <si>
    <t xml:space="preserve">Total Termination Rate</t>
  </si>
  <si>
    <t xml:space="preserve">BOY Employees</t>
  </si>
  <si>
    <t xml:space="preserve">New Employees</t>
  </si>
  <si>
    <t xml:space="preserve">One Year Tenure Terminations</t>
  </si>
  <si>
    <t xml:space="preserve">Two Year Tenure Terminations</t>
  </si>
  <si>
    <t xml:space="preserve">EOY Employees</t>
  </si>
  <si>
    <t xml:space="preserve">Voluntary</t>
  </si>
  <si>
    <t xml:space="preserve">Involuntary</t>
  </si>
  <si>
    <t xml:space="preserve">Voluntary 1 yr. tenure</t>
  </si>
  <si>
    <t xml:space="preserve">of voluntary</t>
  </si>
  <si>
    <t xml:space="preserve">Voluntary 2 yr. tenure</t>
  </si>
  <si>
    <t xml:space="preserve">1 yr. tenure reimbursement cost </t>
  </si>
  <si>
    <t xml:space="preserve">2 yr. tenure reimbursement cost </t>
  </si>
  <si>
    <t xml:space="preserve">1 yr. tenure reimbursement dollars</t>
  </si>
  <si>
    <t xml:space="preserve">2 yr. tenure reimbursement dollars</t>
  </si>
  <si>
    <t xml:space="preserve">Total dollars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</si>
</sst>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\$#,##0_);&quot;($&quot;#,##0\)"/>
    <numFmt numFmtId="166" formatCode="\$#,##0.00_);&quot;($&quot;#,##0.00\)"/>
    <numFmt numFmtId="167" formatCode="0%"/>
    <numFmt numFmtId="168" formatCode="0.0%"/>
    <numFmt numFmtId="169" formatCode="_(\$* #,##0.00_);_(\$* \(#,##0.00\);_(\$* \-??_);_(@_)"/>
    <numFmt numFmtId="170" formatCode="_(\$* #,##0_);_(\$* \(#,##0\);_(\$* \-??_);_(@_)"/>
    <numFmt numFmtId="171" formatCode="\$#,##0_);[RED]&quot;($&quot;#,##0\)"/>
    <numFmt numFmtId="172" formatCode="_(* #,##0.00_);_(* \(#,##0.00\);_(* \-??_);_(@_)"/>
    <numFmt numFmtId="173" formatCode="_(* #,##0_);_(* \(#,##0\);_(* \-??_);_(@_)"/>
    <numFmt numFmtId="174" formatCode="\$#,##0"/>
    <numFmt numFmtId="175" formatCode="#,##0"/>
    <numFmt numFmtId="176" formatCode="0.00%"/>
    <numFmt numFmtId="177" formatCode="[$-409]m/d/yyyy"/>
    <numFmt numFmtId="178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6"/>
      <name val="Times New Roman"/>
      <family val="1"/>
    </font>
    <font>
      <sz val="16"/>
      <color rgb="FFFF0000"/>
      <name val="Times New Roman"/>
      <family val="1"/>
    </font>
    <font>
      <b val="true"/>
      <i val="true"/>
      <u val="single"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u val="single"/>
      <sz val="10"/>
      <name val="Times New Roman"/>
      <family val="1"/>
    </font>
    <font>
      <i val="true"/>
      <sz val="10"/>
      <color rgb="FF00800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u val="single"/>
      <sz val="12"/>
      <name val="Times New Roman"/>
      <family val="1"/>
    </font>
    <font>
      <i val="true"/>
      <sz val="10"/>
      <name val="Times New Roman"/>
      <family val="1"/>
    </font>
    <font>
      <b val="true"/>
      <i val="true"/>
      <sz val="10"/>
      <name val="Times New Roman"/>
      <family val="1"/>
    </font>
    <font>
      <sz val="8"/>
      <name val="Times New Roman"/>
      <family val="1"/>
    </font>
    <font>
      <b val="true"/>
      <sz val="10"/>
      <name val="Arial"/>
      <family val="2"/>
    </font>
    <font>
      <b val="true"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4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3.56"/>
    <col collapsed="false" customWidth="true" hidden="false" outlineLevel="0" max="4" min="3" style="1" width="10.41"/>
    <col collapsed="false" customWidth="true" hidden="false" outlineLevel="0" max="5" min="5" style="2" width="3.7"/>
    <col collapsed="false" customWidth="true" hidden="false" outlineLevel="0" max="6" min="6" style="1" width="13.85"/>
    <col collapsed="false" customWidth="true" hidden="false" outlineLevel="0" max="7" min="7" style="1" width="11.7"/>
    <col collapsed="false" customWidth="true" hidden="false" outlineLevel="0" max="8" min="8" style="1" width="10.71"/>
    <col collapsed="false" customWidth="true" hidden="false" outlineLevel="0" max="9" min="9" style="1" width="2.7"/>
    <col collapsed="false" customWidth="true" hidden="false" outlineLevel="0" max="10" min="10" style="1" width="15.13"/>
    <col collapsed="false" customWidth="true" hidden="false" outlineLevel="0" max="11" min="11" style="1" width="2.7"/>
    <col collapsed="false" customWidth="true" hidden="false" outlineLevel="0" max="20" min="12" style="1" width="12.7"/>
    <col collapsed="false" customWidth="false" hidden="false" outlineLevel="0" max="257" min="21" style="1" width="9.14"/>
  </cols>
  <sheetData>
    <row r="1" customFormat="false" ht="20.25" hidden="false" customHeight="false" outlineLevel="0" collapsed="false">
      <c r="A1" s="3" t="s">
        <v>0</v>
      </c>
      <c r="J1" s="4"/>
      <c r="K1" s="4"/>
    </row>
    <row r="3" customFormat="false" ht="13.5" hidden="false" customHeight="false" outlineLevel="0" collapsed="false">
      <c r="A3" s="5" t="s">
        <v>1</v>
      </c>
      <c r="J3" s="6" t="s">
        <v>2</v>
      </c>
      <c r="K3" s="6"/>
      <c r="M3" s="7"/>
    </row>
    <row r="4" customFormat="false" ht="12.75" hidden="false" customHeight="true" outlineLevel="0" collapsed="false">
      <c r="A4" s="5"/>
      <c r="F4" s="8"/>
      <c r="I4" s="9"/>
      <c r="J4" s="10" t="s">
        <v>3</v>
      </c>
      <c r="K4" s="10"/>
      <c r="M4" s="7"/>
    </row>
    <row r="5" customFormat="false" ht="13.5" hidden="false" customHeight="false" outlineLevel="0" collapsed="false">
      <c r="B5" s="11" t="s">
        <v>4</v>
      </c>
      <c r="C5" s="12" t="n">
        <v>3</v>
      </c>
      <c r="E5" s="13"/>
      <c r="F5" s="13"/>
      <c r="G5" s="13"/>
      <c r="H5" s="13"/>
      <c r="I5" s="9"/>
      <c r="J5" s="14" t="s">
        <v>5</v>
      </c>
      <c r="K5" s="14"/>
      <c r="L5" s="15" t="s">
        <v>6</v>
      </c>
      <c r="M5" s="16"/>
      <c r="N5" s="17" t="s">
        <v>7</v>
      </c>
      <c r="O5" s="18"/>
      <c r="P5" s="17"/>
      <c r="Q5" s="18"/>
      <c r="R5" s="17"/>
      <c r="S5" s="18"/>
    </row>
    <row r="6" customFormat="false" ht="12.75" hidden="false" customHeight="false" outlineLevel="0" collapsed="false">
      <c r="B6" s="19"/>
      <c r="D6" s="13"/>
      <c r="E6" s="13"/>
      <c r="F6" s="13"/>
      <c r="G6" s="13"/>
      <c r="H6" s="13"/>
      <c r="I6" s="9"/>
      <c r="L6" s="20" t="s">
        <v>8</v>
      </c>
      <c r="M6" s="21" t="s">
        <v>8</v>
      </c>
      <c r="N6" s="20" t="s">
        <v>8</v>
      </c>
      <c r="O6" s="21" t="s">
        <v>8</v>
      </c>
      <c r="P6" s="20"/>
      <c r="Q6" s="21"/>
      <c r="R6" s="20"/>
      <c r="S6" s="21"/>
    </row>
    <row r="7" customFormat="false" ht="12.75" hidden="false" customHeight="true" outlineLevel="0" collapsed="false">
      <c r="B7" s="22"/>
      <c r="L7" s="23" t="s">
        <v>9</v>
      </c>
      <c r="M7" s="24" t="s">
        <v>10</v>
      </c>
      <c r="N7" s="23" t="s">
        <v>9</v>
      </c>
      <c r="O7" s="24" t="s">
        <v>10</v>
      </c>
      <c r="P7" s="23"/>
      <c r="Q7" s="24"/>
      <c r="R7" s="23"/>
      <c r="S7" s="24"/>
    </row>
    <row r="8" customFormat="false" ht="14.25" hidden="false" customHeight="false" outlineLevel="0" collapsed="false">
      <c r="A8" s="25" t="s">
        <v>11</v>
      </c>
      <c r="F8" s="26" t="s">
        <v>12</v>
      </c>
      <c r="G8" s="26" t="s">
        <v>13</v>
      </c>
      <c r="H8" s="26" t="s">
        <v>14</v>
      </c>
      <c r="J8" s="27" t="s">
        <v>15</v>
      </c>
      <c r="K8" s="26"/>
      <c r="L8" s="26" t="s">
        <v>16</v>
      </c>
      <c r="M8" s="26" t="s">
        <v>17</v>
      </c>
      <c r="N8" s="26" t="s">
        <v>18</v>
      </c>
      <c r="O8" s="26" t="s">
        <v>19</v>
      </c>
      <c r="P8" s="26" t="s">
        <v>20</v>
      </c>
      <c r="Q8" s="26" t="s">
        <v>21</v>
      </c>
      <c r="R8" s="26" t="s">
        <v>22</v>
      </c>
      <c r="S8" s="26" t="s">
        <v>23</v>
      </c>
    </row>
    <row r="9" customFormat="false" ht="12.75" hidden="false" customHeight="false" outlineLevel="0" collapsed="false">
      <c r="A9" s="28" t="s">
        <v>24</v>
      </c>
      <c r="C9" s="29"/>
      <c r="E9" s="2" t="s">
        <v>25</v>
      </c>
      <c r="F9" s="2" t="s">
        <v>26</v>
      </c>
      <c r="G9" s="29" t="s">
        <v>27</v>
      </c>
      <c r="H9" s="30" t="n">
        <v>0</v>
      </c>
      <c r="I9" s="31"/>
      <c r="J9" s="32" t="n">
        <f aca="false">IF($C$5=1,L9,IF($C$5=2,M9,IF($C$5=3,N9,IF($C$5=4,O9,0))))</f>
        <v>0</v>
      </c>
      <c r="K9" s="33"/>
      <c r="L9" s="33" t="n">
        <v>0</v>
      </c>
      <c r="M9" s="33" t="n">
        <v>0</v>
      </c>
      <c r="N9" s="33" t="n">
        <v>0</v>
      </c>
      <c r="O9" s="33" t="n">
        <v>0</v>
      </c>
    </row>
    <row r="10" customFormat="false" ht="12.75" hidden="false" customHeight="false" outlineLevel="0" collapsed="false">
      <c r="A10" s="28" t="s">
        <v>28</v>
      </c>
      <c r="F10" s="2" t="s">
        <v>26</v>
      </c>
      <c r="G10" s="34"/>
      <c r="H10" s="35"/>
      <c r="J10" s="36" t="str">
        <f aca="false">IF($C$5=1,L10,IF($C$5=2,M10,IF($C$5=3,N10,IF($C$5=4,O10,0))))</f>
        <v>No</v>
      </c>
      <c r="K10" s="37"/>
      <c r="L10" s="37" t="s">
        <v>29</v>
      </c>
      <c r="M10" s="37" t="s">
        <v>29</v>
      </c>
      <c r="N10" s="37" t="s">
        <v>29</v>
      </c>
      <c r="O10" s="37" t="s">
        <v>29</v>
      </c>
    </row>
    <row r="11" customFormat="false" ht="12.75" hidden="false" customHeight="false" outlineLevel="0" collapsed="false">
      <c r="A11" s="28" t="s">
        <v>30</v>
      </c>
      <c r="B11" s="38"/>
      <c r="C11" s="39"/>
      <c r="D11" s="31"/>
      <c r="E11" s="29"/>
      <c r="F11" s="2" t="s">
        <v>26</v>
      </c>
      <c r="G11" s="29" t="s">
        <v>27</v>
      </c>
      <c r="H11" s="30"/>
      <c r="I11" s="31"/>
      <c r="J11" s="40" t="n">
        <f aca="false">IF($C$5=1,L11,IF($C$5=2,M11,IF($C$5=3,N11,IF($C$5=4,O11,0))))</f>
        <v>0</v>
      </c>
      <c r="K11" s="41"/>
      <c r="L11" s="41" t="n">
        <f aca="false">IF(L10="No",0,60)</f>
        <v>0</v>
      </c>
      <c r="M11" s="41" t="n">
        <f aca="false">IF(M10="No",0,60)</f>
        <v>0</v>
      </c>
      <c r="N11" s="41" t="n">
        <f aca="false">IF(N10="No",0,240)</f>
        <v>0</v>
      </c>
      <c r="O11" s="41" t="n">
        <f aca="false">IF(O10="No",0,60)</f>
        <v>0</v>
      </c>
    </row>
    <row r="12" customFormat="false" ht="12.75" hidden="false" customHeight="false" outlineLevel="0" collapsed="false">
      <c r="A12" s="28" t="s">
        <v>31</v>
      </c>
      <c r="F12" s="2" t="s">
        <v>26</v>
      </c>
      <c r="G12" s="29"/>
      <c r="H12" s="42"/>
      <c r="J12" s="36" t="str">
        <f aca="false">IF($C$5=1,L12,IF($C$5=2,M12,IF($C$5=3,N12,IF($C$5=4,O12,0))))</f>
        <v>No</v>
      </c>
      <c r="K12" s="37"/>
      <c r="L12" s="37" t="s">
        <v>29</v>
      </c>
      <c r="M12" s="37" t="s">
        <v>29</v>
      </c>
      <c r="N12" s="37" t="s">
        <v>29</v>
      </c>
      <c r="O12" s="37" t="s">
        <v>29</v>
      </c>
    </row>
    <row r="13" customFormat="false" ht="12.75" hidden="false" customHeight="false" outlineLevel="0" collapsed="false">
      <c r="A13" s="28" t="s">
        <v>32</v>
      </c>
      <c r="E13" s="2" t="s">
        <v>25</v>
      </c>
      <c r="F13" s="2" t="s">
        <v>26</v>
      </c>
      <c r="G13" s="29" t="s">
        <v>27</v>
      </c>
      <c r="H13" s="30" t="n">
        <v>0</v>
      </c>
      <c r="J13" s="40" t="n">
        <f aca="false">IF($C$5=1,L13,IF($C$5=2,M13,IF($C$5=3,N13,IF($C$5=4,O13,0))))</f>
        <v>0</v>
      </c>
      <c r="K13" s="33"/>
      <c r="L13" s="33" t="n">
        <v>0</v>
      </c>
      <c r="M13" s="33" t="n">
        <v>0</v>
      </c>
      <c r="N13" s="33" t="n">
        <v>0</v>
      </c>
      <c r="O13" s="33" t="n">
        <v>0</v>
      </c>
    </row>
    <row r="14" customFormat="false" ht="12.75" hidden="false" customHeight="false" outlineLevel="0" collapsed="false">
      <c r="A14" s="28" t="s">
        <v>33</v>
      </c>
      <c r="B14" s="43"/>
      <c r="C14" s="44"/>
      <c r="E14" s="2" t="s">
        <v>25</v>
      </c>
      <c r="F14" s="2" t="s">
        <v>26</v>
      </c>
      <c r="G14" s="29" t="s">
        <v>27</v>
      </c>
      <c r="H14" s="30" t="n">
        <v>0</v>
      </c>
      <c r="J14" s="40" t="n">
        <f aca="false">IF($C$5=1,L14,IF($C$5=2,M14,IF($C$5=3,N14,IF($C$5=4,O14,0))))</f>
        <v>0</v>
      </c>
      <c r="K14" s="33"/>
      <c r="L14" s="33" t="n">
        <v>0</v>
      </c>
      <c r="M14" s="33" t="n">
        <v>0</v>
      </c>
      <c r="N14" s="33" t="n">
        <v>0</v>
      </c>
      <c r="O14" s="33" t="n">
        <v>0</v>
      </c>
    </row>
    <row r="15" customFormat="false" ht="12.75" hidden="false" customHeight="true" outlineLevel="0" collapsed="false">
      <c r="A15" s="28" t="s">
        <v>34</v>
      </c>
      <c r="B15" s="45"/>
      <c r="C15" s="44"/>
      <c r="E15" s="2" t="s">
        <v>25</v>
      </c>
      <c r="F15" s="2" t="s">
        <v>35</v>
      </c>
      <c r="G15" s="29" t="s">
        <v>27</v>
      </c>
      <c r="H15" s="30" t="n">
        <v>0</v>
      </c>
      <c r="J15" s="40" t="n">
        <f aca="false">IF($C$5=1,L15,IF($C$5=2,M15,IF($C$5=3,N15,IF($C$5=4,O15,0))))</f>
        <v>0</v>
      </c>
      <c r="K15" s="33"/>
      <c r="L15" s="33" t="n">
        <v>0</v>
      </c>
      <c r="M15" s="33" t="n">
        <v>0</v>
      </c>
      <c r="N15" s="33" t="n">
        <v>0</v>
      </c>
      <c r="O15" s="33" t="n">
        <v>0</v>
      </c>
    </row>
    <row r="16" customFormat="false" ht="12.75" hidden="false" customHeight="false" outlineLevel="0" collapsed="false">
      <c r="A16" s="28" t="s">
        <v>36</v>
      </c>
      <c r="C16" s="29"/>
      <c r="E16" s="2" t="s">
        <v>25</v>
      </c>
      <c r="F16" s="2" t="s">
        <v>35</v>
      </c>
      <c r="G16" s="29" t="s">
        <v>27</v>
      </c>
      <c r="H16" s="30" t="n">
        <v>0</v>
      </c>
      <c r="I16" s="31"/>
      <c r="J16" s="40" t="n">
        <f aca="false">IF($C$5=1,L16,IF($C$5=2,M16,IF($C$5=3,N16,IF($C$5=4,O16,0))))</f>
        <v>0</v>
      </c>
      <c r="K16" s="33"/>
      <c r="L16" s="33" t="n">
        <v>0</v>
      </c>
      <c r="M16" s="33" t="n">
        <v>0</v>
      </c>
      <c r="N16" s="33" t="n">
        <v>0</v>
      </c>
      <c r="O16" s="33" t="n">
        <v>0</v>
      </c>
    </row>
    <row r="17" customFormat="false" ht="12.75" hidden="false" customHeight="false" outlineLevel="0" collapsed="false">
      <c r="A17" s="28" t="s">
        <v>37</v>
      </c>
      <c r="C17" s="29"/>
      <c r="E17" s="2" t="s">
        <v>38</v>
      </c>
      <c r="F17" s="2" t="s">
        <v>35</v>
      </c>
      <c r="G17" s="29" t="s">
        <v>27</v>
      </c>
      <c r="H17" s="42"/>
      <c r="I17" s="31"/>
      <c r="J17" s="40" t="n">
        <f aca="false">IF($C$5=1,L17,IF($C$5=2,M17,IF($C$5=3,N17,IF($C$5=4,O17,0))))</f>
        <v>0</v>
      </c>
      <c r="K17" s="33"/>
      <c r="L17" s="33" t="n">
        <v>0</v>
      </c>
      <c r="M17" s="33" t="n">
        <v>0</v>
      </c>
      <c r="N17" s="33" t="n">
        <v>0</v>
      </c>
      <c r="O17" s="33" t="n">
        <v>0</v>
      </c>
    </row>
    <row r="18" customFormat="false" ht="12.75" hidden="false" customHeight="false" outlineLevel="0" collapsed="false">
      <c r="A18" s="28" t="s">
        <v>39</v>
      </c>
      <c r="C18" s="29"/>
      <c r="E18" s="2" t="s">
        <v>38</v>
      </c>
      <c r="F18" s="2" t="s">
        <v>35</v>
      </c>
      <c r="G18" s="29" t="s">
        <v>27</v>
      </c>
      <c r="H18" s="30" t="n">
        <v>0</v>
      </c>
      <c r="I18" s="31"/>
      <c r="J18" s="40" t="n">
        <f aca="false">IF($C$5=1,L18,IF($C$5=2,M18,IF($C$5=3,N18,IF($C$5=4,O18,0))))</f>
        <v>0</v>
      </c>
      <c r="K18" s="33"/>
      <c r="L18" s="33" t="n">
        <v>0</v>
      </c>
      <c r="M18" s="33" t="n">
        <v>0</v>
      </c>
      <c r="N18" s="33" t="n">
        <v>0</v>
      </c>
      <c r="O18" s="33" t="n">
        <v>0</v>
      </c>
    </row>
    <row r="19" customFormat="false" ht="12.75" hidden="false" customHeight="false" outlineLevel="0" collapsed="false">
      <c r="A19" s="28" t="s">
        <v>40</v>
      </c>
      <c r="B19" s="31"/>
      <c r="C19" s="29"/>
      <c r="D19" s="31"/>
      <c r="E19" s="29" t="s">
        <v>38</v>
      </c>
      <c r="F19" s="29" t="s">
        <v>35</v>
      </c>
      <c r="G19" s="29" t="s">
        <v>27</v>
      </c>
      <c r="H19" s="30" t="n">
        <v>0</v>
      </c>
      <c r="I19" s="31"/>
      <c r="J19" s="40" t="n">
        <f aca="false">IF($C$5=1,L19,IF($C$5=2,M19,IF($C$5=3,N19,IF($C$5=4,O19,0))))</f>
        <v>0</v>
      </c>
      <c r="K19" s="33"/>
      <c r="L19" s="33" t="n">
        <v>0</v>
      </c>
      <c r="M19" s="33" t="n">
        <v>0</v>
      </c>
      <c r="N19" s="33" t="n">
        <v>0</v>
      </c>
      <c r="O19" s="33" t="n">
        <v>0</v>
      </c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customFormat="false" ht="12.75" hidden="false" customHeight="false" outlineLevel="0" collapsed="false">
      <c r="A20" s="28" t="s">
        <v>41</v>
      </c>
      <c r="B20" s="31"/>
      <c r="C20" s="29"/>
      <c r="D20" s="31"/>
      <c r="E20" s="29" t="s">
        <v>38</v>
      </c>
      <c r="F20" s="29" t="s">
        <v>35</v>
      </c>
      <c r="G20" s="29" t="s">
        <v>27</v>
      </c>
      <c r="H20" s="30" t="n">
        <v>0</v>
      </c>
      <c r="I20" s="31"/>
      <c r="J20" s="40" t="n">
        <f aca="false">IF($C$5=1,L20,IF($C$5=2,M20,IF($C$5=3,N20,IF($C$5=4,O20,0))))</f>
        <v>0</v>
      </c>
      <c r="K20" s="33"/>
      <c r="L20" s="33" t="n">
        <v>0</v>
      </c>
      <c r="M20" s="33" t="n">
        <v>0</v>
      </c>
      <c r="N20" s="33" t="n">
        <v>0</v>
      </c>
      <c r="O20" s="33" t="n">
        <v>0</v>
      </c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customFormat="false" ht="6" hidden="false" customHeight="true" outlineLevel="0" collapsed="false">
      <c r="A21" s="28"/>
      <c r="C21" s="29"/>
      <c r="F21" s="2"/>
      <c r="G21" s="29"/>
      <c r="H21" s="30"/>
      <c r="I21" s="31"/>
      <c r="J21" s="40"/>
      <c r="K21" s="33"/>
      <c r="L21" s="33"/>
      <c r="M21" s="33"/>
      <c r="N21" s="33"/>
      <c r="O21" s="33"/>
    </row>
    <row r="22" customFormat="false" ht="13.5" hidden="false" customHeight="false" outlineLevel="0" collapsed="false">
      <c r="A22" s="25" t="s">
        <v>42</v>
      </c>
      <c r="F22" s="2"/>
      <c r="G22" s="31"/>
      <c r="J22" s="46"/>
    </row>
    <row r="23" customFormat="false" ht="12.75" hidden="false" customHeight="false" outlineLevel="0" collapsed="false">
      <c r="A23" s="28" t="s">
        <v>43</v>
      </c>
      <c r="B23" s="38"/>
      <c r="C23" s="39"/>
      <c r="D23" s="31"/>
      <c r="E23" s="29"/>
      <c r="F23" s="29" t="s">
        <v>44</v>
      </c>
      <c r="G23" s="29"/>
      <c r="H23" s="42"/>
      <c r="I23" s="31"/>
      <c r="J23" s="36" t="str">
        <f aca="false">IF($C$5=1,L23,IF($C$5=2,M23,IF($C$5=3,N23,IF($C$5=4,O23,0))))</f>
        <v>Yes</v>
      </c>
      <c r="K23" s="37"/>
      <c r="L23" s="37" t="s">
        <v>45</v>
      </c>
      <c r="M23" s="37" t="s">
        <v>45</v>
      </c>
      <c r="N23" s="37" t="s">
        <v>45</v>
      </c>
      <c r="O23" s="37" t="s">
        <v>45</v>
      </c>
    </row>
    <row r="24" customFormat="false" ht="12.75" hidden="false" customHeight="false" outlineLevel="0" collapsed="false">
      <c r="A24" s="28" t="s">
        <v>46</v>
      </c>
      <c r="C24" s="29"/>
      <c r="E24" s="2" t="s">
        <v>47</v>
      </c>
      <c r="F24" s="29" t="s">
        <v>44</v>
      </c>
      <c r="G24" s="29" t="s">
        <v>27</v>
      </c>
      <c r="H24" s="30" t="n">
        <v>0</v>
      </c>
      <c r="I24" s="31"/>
      <c r="J24" s="40" t="n">
        <f aca="false">IF($C$5=1,L24,IF($C$5=2,M24,IF($C$5=3,N24,IF($C$5=4,O24,0))))</f>
        <v>420</v>
      </c>
      <c r="K24" s="33"/>
      <c r="L24" s="33" t="n">
        <v>420</v>
      </c>
      <c r="M24" s="33" t="n">
        <v>210</v>
      </c>
      <c r="N24" s="33" t="n">
        <v>420</v>
      </c>
      <c r="O24" s="33" t="n">
        <v>210</v>
      </c>
    </row>
    <row r="25" customFormat="false" ht="12.75" hidden="false" customHeight="false" outlineLevel="0" collapsed="false">
      <c r="A25" s="28" t="s">
        <v>48</v>
      </c>
      <c r="B25" s="38"/>
      <c r="C25" s="39"/>
      <c r="D25" s="31"/>
      <c r="E25" s="29"/>
      <c r="F25" s="29" t="s">
        <v>44</v>
      </c>
      <c r="G25" s="29"/>
      <c r="H25" s="42"/>
      <c r="I25" s="31"/>
      <c r="J25" s="36" t="str">
        <f aca="false">IF($C$5=1,L25,IF($C$5=2,M25,IF($C$5=3,N25,IF($C$5=4,O25,0))))</f>
        <v>No</v>
      </c>
      <c r="K25" s="9"/>
      <c r="L25" s="9" t="s">
        <v>29</v>
      </c>
      <c r="M25" s="9" t="str">
        <f aca="false">IF(M23="Yes","No","Yes")</f>
        <v>No</v>
      </c>
      <c r="N25" s="9" t="str">
        <f aca="false">IF(N23="Yes","No","Yes")</f>
        <v>No</v>
      </c>
      <c r="O25" s="9" t="str">
        <f aca="false">IF(O23="Yes","No","Yes")</f>
        <v>No</v>
      </c>
    </row>
    <row r="26" customFormat="false" ht="12.75" hidden="false" customHeight="false" outlineLevel="0" collapsed="false">
      <c r="A26" s="28" t="s">
        <v>49</v>
      </c>
      <c r="C26" s="29"/>
      <c r="E26" s="2" t="s">
        <v>47</v>
      </c>
      <c r="F26" s="29" t="s">
        <v>44</v>
      </c>
      <c r="G26" s="29" t="s">
        <v>50</v>
      </c>
      <c r="H26" s="42"/>
      <c r="I26" s="31"/>
      <c r="J26" s="40" t="n">
        <f aca="false">IF($C$5=1,L26,IF($C$5=2,M26,IF($C$5=3,N26,IF($C$5=4,O26,0))))</f>
        <v>0</v>
      </c>
      <c r="K26" s="33"/>
      <c r="L26" s="33" t="n">
        <f aca="false">IF(L25="Yes",1260,0)</f>
        <v>0</v>
      </c>
      <c r="M26" s="33" t="n">
        <f aca="false">IF(M25="Yes",1260,0)</f>
        <v>0</v>
      </c>
      <c r="N26" s="33" t="n">
        <f aca="false">IF(N25="Yes",1260,0)</f>
        <v>0</v>
      </c>
      <c r="O26" s="33" t="n">
        <f aca="false">IF(O25="Yes",1260,0)</f>
        <v>0</v>
      </c>
    </row>
    <row r="27" customFormat="false" ht="12.75" hidden="false" customHeight="false" outlineLevel="0" collapsed="false">
      <c r="A27" s="28" t="s">
        <v>51</v>
      </c>
      <c r="C27" s="29"/>
      <c r="F27" s="29"/>
      <c r="G27" s="29"/>
      <c r="H27" s="42"/>
      <c r="I27" s="31"/>
      <c r="J27" s="47" t="n">
        <f aca="false">IF($C$5=1,L27,IF($C$5=2,M27,IF($C$5=3,N27,IF($C$5=4,O27,0))))</f>
        <v>0.1</v>
      </c>
      <c r="K27" s="33"/>
      <c r="L27" s="48" t="n">
        <v>0.1</v>
      </c>
      <c r="M27" s="48" t="n">
        <v>0.1</v>
      </c>
      <c r="N27" s="48" t="n">
        <v>0.1</v>
      </c>
      <c r="O27" s="48" t="n">
        <v>0.1</v>
      </c>
    </row>
    <row r="28" customFormat="false" ht="12.75" hidden="false" customHeight="false" outlineLevel="0" collapsed="false">
      <c r="A28" s="28" t="s">
        <v>52</v>
      </c>
      <c r="C28" s="29"/>
      <c r="F28" s="29"/>
      <c r="G28" s="29"/>
      <c r="H28" s="42"/>
      <c r="I28" s="31"/>
      <c r="J28" s="47" t="n">
        <f aca="false">IF($C$5=1,L28,IF($C$5=2,M28,IF($C$5=3,N28,IF($C$5=4,O28,0))))</f>
        <v>0.3</v>
      </c>
      <c r="K28" s="33"/>
      <c r="L28" s="48" t="n">
        <v>0.3</v>
      </c>
      <c r="M28" s="48" t="n">
        <v>0.3</v>
      </c>
      <c r="N28" s="48" t="n">
        <v>0.3</v>
      </c>
      <c r="O28" s="48" t="n">
        <v>0.3</v>
      </c>
    </row>
    <row r="29" customFormat="false" ht="12.75" hidden="false" customHeight="false" outlineLevel="0" collapsed="false">
      <c r="A29" s="28" t="s">
        <v>53</v>
      </c>
      <c r="C29" s="29"/>
      <c r="F29" s="29"/>
      <c r="G29" s="29"/>
      <c r="H29" s="42"/>
      <c r="I29" s="31"/>
      <c r="J29" s="47" t="n">
        <f aca="false">IF($C$5=1,L29,IF($C$5=2,M29,IF($C$5=3,N29,IF($C$5=4,O29,0))))</f>
        <v>0.3</v>
      </c>
      <c r="K29" s="33"/>
      <c r="L29" s="48" t="n">
        <v>0.3</v>
      </c>
      <c r="M29" s="48" t="n">
        <v>0.3</v>
      </c>
      <c r="N29" s="48" t="n">
        <v>0.3</v>
      </c>
      <c r="O29" s="48" t="n">
        <v>0.3</v>
      </c>
    </row>
    <row r="30" customFormat="false" ht="12.75" hidden="false" customHeight="false" outlineLevel="0" collapsed="false">
      <c r="A30" s="49" t="s">
        <v>54</v>
      </c>
      <c r="C30" s="29"/>
      <c r="F30" s="29"/>
      <c r="G30" s="29"/>
      <c r="H30" s="42"/>
      <c r="I30" s="31"/>
      <c r="J30" s="47" t="n">
        <f aca="false">IF($C$5=1,L30,IF($C$5=2,M30,IF($C$5=3,N30,IF($C$5=4,O30,0))))</f>
        <v>0.3</v>
      </c>
      <c r="K30" s="33"/>
      <c r="L30" s="48" t="n">
        <v>0.3</v>
      </c>
      <c r="M30" s="48" t="n">
        <v>0.3</v>
      </c>
      <c r="N30" s="48" t="n">
        <v>0.3</v>
      </c>
      <c r="O30" s="48" t="n">
        <v>0.3</v>
      </c>
    </row>
    <row r="31" customFormat="false" ht="12.75" hidden="false" customHeight="false" outlineLevel="0" collapsed="false">
      <c r="A31" s="28" t="s">
        <v>55</v>
      </c>
      <c r="C31" s="29"/>
      <c r="F31" s="29"/>
      <c r="G31" s="29"/>
      <c r="H31" s="42"/>
      <c r="I31" s="31"/>
      <c r="J31" s="47" t="n">
        <f aca="false">IF($C$5=1,L31,IF($C$5=2,M31,IF($C$5=3,N31,IF($C$5=4,O31,0))))</f>
        <v>0.2</v>
      </c>
      <c r="K31" s="33"/>
      <c r="L31" s="48" t="n">
        <v>0.2</v>
      </c>
      <c r="M31" s="48" t="n">
        <v>0.2</v>
      </c>
      <c r="N31" s="48" t="n">
        <v>0.2</v>
      </c>
      <c r="O31" s="48" t="n">
        <v>0.2</v>
      </c>
    </row>
    <row r="32" customFormat="false" ht="12.75" hidden="false" customHeight="false" outlineLevel="0" collapsed="false">
      <c r="A32" s="28" t="s">
        <v>56</v>
      </c>
      <c r="C32" s="29"/>
      <c r="F32" s="29"/>
      <c r="G32" s="29"/>
      <c r="H32" s="42"/>
      <c r="I32" s="31"/>
      <c r="J32" s="47" t="n">
        <f aca="false">IF($C$5=1,L32,IF($C$5=2,M32,IF($C$5=3,N32,IF($C$5=4,O32,0))))</f>
        <v>0.266666666666667</v>
      </c>
      <c r="K32" s="33"/>
      <c r="L32" s="48" t="n">
        <v>0.266666666666667</v>
      </c>
      <c r="M32" s="48" t="n">
        <v>0.266666666666667</v>
      </c>
      <c r="N32" s="48" t="n">
        <v>0.266666666666667</v>
      </c>
      <c r="O32" s="48" t="n">
        <v>0.266666666666667</v>
      </c>
    </row>
    <row r="33" customFormat="false" ht="12.75" hidden="false" customHeight="false" outlineLevel="0" collapsed="false">
      <c r="A33" s="28" t="s">
        <v>57</v>
      </c>
      <c r="C33" s="29"/>
      <c r="F33" s="29"/>
      <c r="G33" s="29"/>
      <c r="H33" s="42"/>
      <c r="I33" s="31"/>
      <c r="J33" s="47" t="n">
        <f aca="false">IF($C$5=1,L33,IF($C$5=2,M33,IF($C$5=3,N33,IF($C$5=4,O33,0))))</f>
        <v>0.266666666666667</v>
      </c>
      <c r="K33" s="33"/>
      <c r="L33" s="48" t="n">
        <v>0.266666666666667</v>
      </c>
      <c r="M33" s="48" t="n">
        <v>0.266666666666667</v>
      </c>
      <c r="N33" s="48" t="n">
        <v>0.266666666666667</v>
      </c>
      <c r="O33" s="48" t="n">
        <v>0.266666666666667</v>
      </c>
    </row>
    <row r="34" customFormat="false" ht="12.75" hidden="false" customHeight="false" outlineLevel="0" collapsed="false">
      <c r="A34" s="49" t="s">
        <v>58</v>
      </c>
      <c r="C34" s="29"/>
      <c r="F34" s="29"/>
      <c r="G34" s="29"/>
      <c r="H34" s="42"/>
      <c r="I34" s="31"/>
      <c r="J34" s="47" t="n">
        <f aca="false">IF($C$5=1,L34,IF($C$5=2,M34,IF($C$5=3,N34,IF($C$5=4,O34,0))))</f>
        <v>0.266666666666667</v>
      </c>
      <c r="K34" s="33"/>
      <c r="L34" s="48" t="n">
        <v>0.266666666666667</v>
      </c>
      <c r="M34" s="48" t="n">
        <v>0.266666666666667</v>
      </c>
      <c r="N34" s="48" t="n">
        <v>0.266666666666667</v>
      </c>
      <c r="O34" s="48" t="n">
        <v>0.266666666666667</v>
      </c>
    </row>
    <row r="35" customFormat="false" ht="12.75" hidden="false" customHeight="false" outlineLevel="0" collapsed="false">
      <c r="A35" s="28" t="s">
        <v>59</v>
      </c>
      <c r="C35" s="29"/>
      <c r="F35" s="29"/>
      <c r="G35" s="29"/>
      <c r="H35" s="42"/>
      <c r="I35" s="31"/>
      <c r="J35" s="47" t="n">
        <f aca="false">IF($C$5=1,L35,IF($C$5=2,M35,IF($C$5=3,N35,IF($C$5=4,O35,0))))</f>
        <v>0.3</v>
      </c>
      <c r="K35" s="33"/>
      <c r="L35" s="48" t="n">
        <v>0.3</v>
      </c>
      <c r="M35" s="48" t="n">
        <v>0.3</v>
      </c>
      <c r="N35" s="48" t="n">
        <v>0.3</v>
      </c>
      <c r="O35" s="48" t="n">
        <v>0.3</v>
      </c>
    </row>
    <row r="36" customFormat="false" ht="12.75" hidden="false" customHeight="false" outlineLevel="0" collapsed="false">
      <c r="A36" s="28" t="s">
        <v>60</v>
      </c>
      <c r="C36" s="29"/>
      <c r="F36" s="29"/>
      <c r="G36" s="29"/>
      <c r="H36" s="42"/>
      <c r="I36" s="31"/>
      <c r="J36" s="47" t="n">
        <f aca="false">IF($C$5=1,L36,IF($C$5=2,M36,IF($C$5=3,N36,IF($C$5=4,O36,0))))</f>
        <v>0.233333333333333</v>
      </c>
      <c r="K36" s="33"/>
      <c r="L36" s="48" t="n">
        <v>0.233333333333333</v>
      </c>
      <c r="M36" s="48" t="n">
        <v>0.233333333333333</v>
      </c>
      <c r="N36" s="48" t="n">
        <v>0.233333333333333</v>
      </c>
      <c r="O36" s="48" t="n">
        <v>0.233333333333333</v>
      </c>
    </row>
    <row r="37" customFormat="false" ht="12.75" hidden="false" customHeight="false" outlineLevel="0" collapsed="false">
      <c r="A37" s="28" t="s">
        <v>61</v>
      </c>
      <c r="C37" s="29"/>
      <c r="F37" s="29"/>
      <c r="G37" s="29"/>
      <c r="H37" s="42"/>
      <c r="I37" s="31"/>
      <c r="J37" s="47" t="n">
        <f aca="false">IF($C$5=1,L37,IF($C$5=2,M37,IF($C$5=3,N37,IF($C$5=4,O37,0))))</f>
        <v>0.233333333333333</v>
      </c>
      <c r="K37" s="33"/>
      <c r="L37" s="48" t="n">
        <v>0.233333333333333</v>
      </c>
      <c r="M37" s="48" t="n">
        <v>0.233333333333333</v>
      </c>
      <c r="N37" s="48" t="n">
        <v>0.233333333333333</v>
      </c>
      <c r="O37" s="48" t="n">
        <v>0.233333333333333</v>
      </c>
    </row>
    <row r="38" customFormat="false" ht="12.75" hidden="false" customHeight="false" outlineLevel="0" collapsed="false">
      <c r="A38" s="49" t="s">
        <v>62</v>
      </c>
      <c r="C38" s="29"/>
      <c r="F38" s="29"/>
      <c r="G38" s="29"/>
      <c r="H38" s="42"/>
      <c r="I38" s="31"/>
      <c r="J38" s="47" t="n">
        <f aca="false">IF($C$5=1,L38,IF($C$5=2,M38,IF($C$5=3,N38,IF($C$5=4,O38,0))))</f>
        <v>0.233333333333333</v>
      </c>
      <c r="K38" s="33"/>
      <c r="L38" s="48" t="n">
        <v>0.233333333333333</v>
      </c>
      <c r="M38" s="48" t="n">
        <v>0.233333333333333</v>
      </c>
      <c r="N38" s="48" t="n">
        <v>0.233333333333333</v>
      </c>
      <c r="O38" s="48" t="n">
        <v>0.233333333333333</v>
      </c>
    </row>
    <row r="39" customFormat="false" ht="12.75" hidden="false" customHeight="false" outlineLevel="0" collapsed="false">
      <c r="A39" s="28" t="s">
        <v>63</v>
      </c>
      <c r="C39" s="29"/>
      <c r="F39" s="29"/>
      <c r="G39" s="29"/>
      <c r="H39" s="42"/>
      <c r="I39" s="31"/>
      <c r="J39" s="40" t="n">
        <f aca="false">IF($C$5=1,L39,IF($C$5=2,M39,IF($C$5=3,N39,IF($C$5=4,O39,0))))</f>
        <v>540</v>
      </c>
      <c r="K39" s="33"/>
      <c r="L39" s="33" t="n">
        <v>540</v>
      </c>
      <c r="M39" s="33" t="n">
        <v>540</v>
      </c>
      <c r="N39" s="33" t="n">
        <v>540</v>
      </c>
      <c r="O39" s="33" t="n">
        <v>540</v>
      </c>
    </row>
    <row r="40" customFormat="false" ht="12.75" hidden="false" customHeight="false" outlineLevel="0" collapsed="false">
      <c r="A40" s="28" t="s">
        <v>64</v>
      </c>
      <c r="C40" s="29"/>
      <c r="F40" s="29"/>
      <c r="G40" s="29"/>
      <c r="H40" s="42"/>
      <c r="I40" s="31"/>
      <c r="J40" s="40" t="n">
        <f aca="false">IF($C$5=1,L40,IF($C$5=2,M40,IF($C$5=3,N40,IF($C$5=4,O40,0))))</f>
        <v>480</v>
      </c>
      <c r="K40" s="33"/>
      <c r="L40" s="33" t="n">
        <v>480</v>
      </c>
      <c r="M40" s="33" t="n">
        <v>480</v>
      </c>
      <c r="N40" s="33" t="n">
        <v>480</v>
      </c>
      <c r="O40" s="33" t="n">
        <v>480</v>
      </c>
    </row>
    <row r="41" customFormat="false" ht="12.75" hidden="false" customHeight="false" outlineLevel="0" collapsed="false">
      <c r="A41" s="49" t="s">
        <v>65</v>
      </c>
      <c r="C41" s="29"/>
      <c r="F41" s="29"/>
      <c r="G41" s="29"/>
      <c r="H41" s="42"/>
      <c r="I41" s="31"/>
      <c r="J41" s="40" t="n">
        <f aca="false">IF($C$5=1,L41,IF($C$5=2,M41,IF($C$5=3,N41,IF($C$5=4,O41,0))))</f>
        <v>900</v>
      </c>
      <c r="K41" s="33"/>
      <c r="L41" s="33" t="n">
        <v>900</v>
      </c>
      <c r="M41" s="33" t="n">
        <v>900</v>
      </c>
      <c r="N41" s="33" t="n">
        <v>900</v>
      </c>
      <c r="O41" s="33" t="n">
        <v>900</v>
      </c>
    </row>
    <row r="42" customFormat="false" ht="12.75" hidden="false" customHeight="false" outlineLevel="0" collapsed="false">
      <c r="A42" s="28" t="s">
        <v>66</v>
      </c>
      <c r="C42" s="29"/>
      <c r="F42" s="29"/>
      <c r="G42" s="29"/>
      <c r="H42" s="42"/>
      <c r="I42" s="31"/>
      <c r="J42" s="40" t="n">
        <f aca="false">IF($C$5=1,L42,IF($C$5=2,M42,IF($C$5=3,N42,IF($C$5=4,O42,0))))</f>
        <v>480</v>
      </c>
      <c r="K42" s="33"/>
      <c r="L42" s="33" t="n">
        <v>480</v>
      </c>
      <c r="M42" s="33" t="n">
        <v>480</v>
      </c>
      <c r="N42" s="33" t="n">
        <v>480</v>
      </c>
      <c r="O42" s="33" t="n">
        <v>480</v>
      </c>
    </row>
    <row r="43" customFormat="false" ht="12.75" hidden="false" customHeight="false" outlineLevel="0" collapsed="false">
      <c r="A43" s="28" t="s">
        <v>67</v>
      </c>
      <c r="C43" s="29"/>
      <c r="F43" s="29"/>
      <c r="G43" s="29"/>
      <c r="H43" s="42"/>
      <c r="I43" s="31"/>
      <c r="J43" s="40" t="n">
        <f aca="false">IF($C$5=1,L43,IF($C$5=2,M43,IF($C$5=3,N43,IF($C$5=4,O43,0))))</f>
        <v>420</v>
      </c>
      <c r="K43" s="33"/>
      <c r="L43" s="33" t="n">
        <v>420</v>
      </c>
      <c r="M43" s="33" t="n">
        <v>420</v>
      </c>
      <c r="N43" s="33" t="n">
        <v>420</v>
      </c>
      <c r="O43" s="33" t="n">
        <v>420</v>
      </c>
    </row>
    <row r="44" customFormat="false" ht="12.75" hidden="false" customHeight="false" outlineLevel="0" collapsed="false">
      <c r="A44" s="49" t="s">
        <v>68</v>
      </c>
      <c r="C44" s="29"/>
      <c r="F44" s="29"/>
      <c r="G44" s="29"/>
      <c r="H44" s="42"/>
      <c r="I44" s="31"/>
      <c r="J44" s="40" t="n">
        <f aca="false">IF($C$5=1,L44,IF($C$5=2,M44,IF($C$5=3,N44,IF($C$5=4,O44,0))))</f>
        <v>780</v>
      </c>
      <c r="K44" s="33"/>
      <c r="L44" s="33" t="n">
        <v>780</v>
      </c>
      <c r="M44" s="33" t="n">
        <v>780</v>
      </c>
      <c r="N44" s="33" t="n">
        <v>780</v>
      </c>
      <c r="O44" s="33" t="n">
        <v>780</v>
      </c>
    </row>
    <row r="45" customFormat="false" ht="12.75" hidden="false" customHeight="false" outlineLevel="0" collapsed="false">
      <c r="A45" s="28" t="s">
        <v>69</v>
      </c>
      <c r="C45" s="29"/>
      <c r="F45" s="29"/>
      <c r="G45" s="29"/>
      <c r="H45" s="42"/>
      <c r="I45" s="31"/>
      <c r="J45" s="40" t="n">
        <f aca="false">IF($C$5=1,L45,IF($C$5=2,M45,IF($C$5=3,N45,IF($C$5=4,O45,0))))</f>
        <v>420</v>
      </c>
      <c r="K45" s="33"/>
      <c r="L45" s="33" t="n">
        <v>420</v>
      </c>
      <c r="M45" s="33" t="n">
        <v>420</v>
      </c>
      <c r="N45" s="33" t="n">
        <v>420</v>
      </c>
      <c r="O45" s="33" t="n">
        <v>420</v>
      </c>
    </row>
    <row r="46" customFormat="false" ht="12.75" hidden="false" customHeight="false" outlineLevel="0" collapsed="false">
      <c r="A46" s="28" t="s">
        <v>70</v>
      </c>
      <c r="C46" s="29"/>
      <c r="F46" s="29"/>
      <c r="G46" s="29"/>
      <c r="H46" s="42"/>
      <c r="I46" s="31"/>
      <c r="J46" s="40" t="n">
        <f aca="false">IF($C$5=1,L46,IF($C$5=2,M46,IF($C$5=3,N46,IF($C$5=4,O46,0))))</f>
        <v>360</v>
      </c>
      <c r="K46" s="33"/>
      <c r="L46" s="33" t="n">
        <v>360</v>
      </c>
      <c r="M46" s="33" t="n">
        <v>360</v>
      </c>
      <c r="N46" s="33" t="n">
        <v>360</v>
      </c>
      <c r="O46" s="33" t="n">
        <v>360</v>
      </c>
    </row>
    <row r="47" customFormat="false" ht="12.75" hidden="false" customHeight="false" outlineLevel="0" collapsed="false">
      <c r="A47" s="49" t="s">
        <v>71</v>
      </c>
      <c r="C47" s="29"/>
      <c r="F47" s="29"/>
      <c r="G47" s="29"/>
      <c r="H47" s="42"/>
      <c r="I47" s="31"/>
      <c r="J47" s="40" t="n">
        <f aca="false">IF($C$5=1,L47,IF($C$5=2,M47,IF($C$5=3,N47,IF($C$5=4,O47,0))))</f>
        <v>660</v>
      </c>
      <c r="K47" s="33"/>
      <c r="L47" s="33" t="n">
        <v>660</v>
      </c>
      <c r="M47" s="33" t="n">
        <v>660</v>
      </c>
      <c r="N47" s="33" t="n">
        <v>660</v>
      </c>
      <c r="O47" s="33" t="n">
        <v>660</v>
      </c>
    </row>
    <row r="48" customFormat="false" ht="12.75" hidden="false" customHeight="false" outlineLevel="0" collapsed="false">
      <c r="A48" s="28" t="s">
        <v>72</v>
      </c>
      <c r="C48" s="29"/>
      <c r="F48" s="29"/>
      <c r="G48" s="29"/>
      <c r="H48" s="42"/>
      <c r="I48" s="31"/>
      <c r="J48" s="40" t="n">
        <f aca="false">IF($C$5=1,L48,IF($C$5=2,M48,IF($C$5=3,N48,IF($C$5=4,O48,0))))</f>
        <v>120</v>
      </c>
      <c r="K48" s="33"/>
      <c r="L48" s="33" t="n">
        <v>120</v>
      </c>
      <c r="M48" s="33" t="n">
        <v>120</v>
      </c>
      <c r="N48" s="33" t="n">
        <v>120</v>
      </c>
      <c r="O48" s="33" t="n">
        <v>120</v>
      </c>
    </row>
    <row r="49" customFormat="false" ht="12.75" hidden="false" customHeight="false" outlineLevel="0" collapsed="false">
      <c r="A49" s="28" t="s">
        <v>73</v>
      </c>
      <c r="B49" s="31"/>
      <c r="C49" s="29"/>
      <c r="D49" s="50"/>
      <c r="E49" s="29" t="s">
        <v>47</v>
      </c>
      <c r="F49" s="29" t="s">
        <v>44</v>
      </c>
      <c r="G49" s="29" t="s">
        <v>74</v>
      </c>
      <c r="H49" s="30" t="n">
        <v>0</v>
      </c>
      <c r="I49" s="31"/>
      <c r="J49" s="40" t="n">
        <f aca="false">IF($C$5=1,L49,IF($C$5=2,M49,IF($C$5=3,N49,IF($C$5=4,O49,0))))</f>
        <v>135</v>
      </c>
      <c r="K49" s="51"/>
      <c r="L49" s="33" t="n">
        <v>135</v>
      </c>
      <c r="M49" s="33" t="n">
        <v>135</v>
      </c>
      <c r="N49" s="33" t="n">
        <v>135</v>
      </c>
      <c r="O49" s="33" t="n">
        <v>135</v>
      </c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</row>
    <row r="50" customFormat="false" ht="12.75" hidden="false" customHeight="false" outlineLevel="0" collapsed="false">
      <c r="A50" s="28" t="s">
        <v>75</v>
      </c>
      <c r="B50" s="31"/>
      <c r="C50" s="29"/>
      <c r="D50" s="50"/>
      <c r="E50" s="29"/>
      <c r="F50" s="29"/>
      <c r="G50" s="29"/>
      <c r="H50" s="30"/>
      <c r="I50" s="31"/>
      <c r="J50" s="52" t="n">
        <f aca="false">IF($C$5=1,L50,IF($C$5=2,M50,IF($C$5=3,N50,IF($C$5=4,O50,0))))</f>
        <v>11500</v>
      </c>
      <c r="K50" s="51"/>
      <c r="L50" s="53" t="n">
        <v>11500</v>
      </c>
      <c r="M50" s="53" t="n">
        <v>11500</v>
      </c>
      <c r="N50" s="53" t="n">
        <v>11500</v>
      </c>
      <c r="O50" s="53" t="n">
        <v>11500</v>
      </c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</row>
    <row r="51" customFormat="false" ht="12.75" hidden="false" customHeight="false" outlineLevel="0" collapsed="false">
      <c r="A51" s="28" t="s">
        <v>76</v>
      </c>
      <c r="B51" s="31"/>
      <c r="C51" s="29"/>
      <c r="D51" s="50"/>
      <c r="E51" s="29"/>
      <c r="F51" s="29"/>
      <c r="G51" s="29"/>
      <c r="H51" s="30"/>
      <c r="I51" s="31"/>
      <c r="J51" s="52" t="n">
        <f aca="false">IF($C$5=1,L51,IF($C$5=2,M51,IF($C$5=3,N51,IF($C$5=4,O51,0))))</f>
        <v>3500</v>
      </c>
      <c r="K51" s="51"/>
      <c r="L51" s="53" t="n">
        <v>3500</v>
      </c>
      <c r="M51" s="53" t="n">
        <v>3500</v>
      </c>
      <c r="N51" s="53" t="n">
        <v>3500</v>
      </c>
      <c r="O51" s="53" t="n">
        <v>3500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1"/>
    </row>
    <row r="52" customFormat="false" ht="12.75" hidden="false" customHeight="false" outlineLevel="0" collapsed="false">
      <c r="A52" s="28" t="s">
        <v>77</v>
      </c>
      <c r="C52" s="29"/>
      <c r="D52" s="54"/>
      <c r="F52" s="29"/>
      <c r="G52" s="29"/>
      <c r="H52" s="30"/>
      <c r="I52" s="31"/>
      <c r="J52" s="52" t="n">
        <f aca="false">IF($C$5=1,L52,IF($C$5=2,M52,IF($C$5=3,N52,IF($C$5=4,O52,0))))</f>
        <v>11500</v>
      </c>
      <c r="K52" s="51"/>
      <c r="L52" s="55" t="n">
        <f aca="false">L50</f>
        <v>11500</v>
      </c>
      <c r="M52" s="55" t="n">
        <f aca="false">M50</f>
        <v>11500</v>
      </c>
      <c r="N52" s="55" t="n">
        <f aca="false">N50</f>
        <v>11500</v>
      </c>
      <c r="O52" s="55" t="n">
        <f aca="false">O50</f>
        <v>11500</v>
      </c>
    </row>
    <row r="53" customFormat="false" ht="12.75" hidden="false" customHeight="false" outlineLevel="0" collapsed="false">
      <c r="A53" s="28" t="s">
        <v>78</v>
      </c>
      <c r="C53" s="29"/>
      <c r="D53" s="54"/>
      <c r="F53" s="29"/>
      <c r="G53" s="29"/>
      <c r="H53" s="30"/>
      <c r="I53" s="31"/>
      <c r="J53" s="52" t="n">
        <f aca="false">IF($C$5=1,L53,IF($C$5=2,M53,IF($C$5=3,N53,IF($C$5=4,O53,0))))</f>
        <v>3500</v>
      </c>
      <c r="K53" s="51"/>
      <c r="L53" s="55" t="n">
        <f aca="false">L51</f>
        <v>3500</v>
      </c>
      <c r="M53" s="55" t="n">
        <f aca="false">M51</f>
        <v>3500</v>
      </c>
      <c r="N53" s="55" t="n">
        <f aca="false">N51</f>
        <v>3500</v>
      </c>
      <c r="O53" s="55" t="n">
        <f aca="false">O51</f>
        <v>3500</v>
      </c>
    </row>
    <row r="54" customFormat="false" ht="12.75" hidden="false" customHeight="false" outlineLevel="0" collapsed="false">
      <c r="A54" s="28" t="s">
        <v>79</v>
      </c>
      <c r="B54" s="31"/>
      <c r="C54" s="29"/>
      <c r="D54" s="50"/>
      <c r="E54" s="29" t="s">
        <v>38</v>
      </c>
      <c r="F54" s="56" t="s">
        <v>80</v>
      </c>
      <c r="G54" s="29" t="s">
        <v>27</v>
      </c>
      <c r="H54" s="30" t="n">
        <v>0</v>
      </c>
      <c r="I54" s="31"/>
      <c r="J54" s="40" t="n">
        <f aca="false">IF($C$5=1,L54,IF($C$5=2,M54,IF($C$5=3,N54,IF($C$5=4,O54,0))))</f>
        <v>-630000</v>
      </c>
      <c r="K54" s="51"/>
      <c r="L54" s="41" t="n">
        <v>0</v>
      </c>
      <c r="M54" s="41" t="n">
        <v>0</v>
      </c>
      <c r="N54" s="41" t="n">
        <f aca="false">((400*75)+(50*100)+(500*35))*12*-1</f>
        <v>-630000</v>
      </c>
      <c r="O54" s="41" t="n">
        <f aca="false">((400*75)+(50*100)+(500*35))*12*-1</f>
        <v>-630000</v>
      </c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</row>
    <row r="55" customFormat="false" ht="12.75" hidden="false" customHeight="false" outlineLevel="0" collapsed="false">
      <c r="A55" s="28" t="s">
        <v>81</v>
      </c>
      <c r="B55" s="57"/>
      <c r="C55" s="44"/>
      <c r="D55" s="31"/>
      <c r="E55" s="29" t="s">
        <v>47</v>
      </c>
      <c r="F55" s="29" t="s">
        <v>44</v>
      </c>
      <c r="G55" s="29" t="s">
        <v>74</v>
      </c>
      <c r="H55" s="42"/>
      <c r="I55" s="31"/>
      <c r="J55" s="40" t="n">
        <f aca="false">IF($C$5=1,L55,IF($C$5=2,M55,IF($C$5=3,N55,IF($C$5=4,O55,0))))</f>
        <v>0</v>
      </c>
      <c r="K55" s="33"/>
      <c r="L55" s="33" t="n">
        <v>0</v>
      </c>
      <c r="M55" s="33" t="n">
        <v>0</v>
      </c>
      <c r="N55" s="33" t="n">
        <v>0</v>
      </c>
      <c r="O55" s="33" t="n">
        <v>0</v>
      </c>
    </row>
    <row r="56" customFormat="false" ht="12.75" hidden="false" customHeight="false" outlineLevel="0" collapsed="false">
      <c r="A56" s="28" t="s">
        <v>82</v>
      </c>
      <c r="B56" s="57"/>
      <c r="C56" s="44"/>
      <c r="D56" s="31"/>
      <c r="E56" s="29" t="s">
        <v>47</v>
      </c>
      <c r="F56" s="29" t="s">
        <v>44</v>
      </c>
      <c r="G56" s="29" t="s">
        <v>83</v>
      </c>
      <c r="H56" s="42"/>
      <c r="I56" s="31"/>
      <c r="J56" s="40" t="n">
        <f aca="false">IF($C$5=1,L56,IF($C$5=2,M56,IF($C$5=3,N56,IF($C$5=4,O56,0))))</f>
        <v>173</v>
      </c>
      <c r="K56" s="33"/>
      <c r="L56" s="33" t="n">
        <v>173</v>
      </c>
      <c r="M56" s="33" t="n">
        <v>173</v>
      </c>
      <c r="N56" s="33" t="n">
        <v>173</v>
      </c>
      <c r="O56" s="33" t="n">
        <v>173</v>
      </c>
    </row>
    <row r="57" customFormat="false" ht="12.75" hidden="false" customHeight="false" outlineLevel="0" collapsed="false">
      <c r="A57" s="28" t="s">
        <v>84</v>
      </c>
      <c r="B57" s="57"/>
      <c r="C57" s="44"/>
      <c r="E57" s="2" t="s">
        <v>47</v>
      </c>
      <c r="F57" s="29" t="s">
        <v>44</v>
      </c>
      <c r="G57" s="29" t="s">
        <v>74</v>
      </c>
      <c r="H57" s="42"/>
      <c r="J57" s="40" t="n">
        <f aca="false">IF($C$5=1,L57,IF($C$5=2,M57,IF($C$5=3,N57,IF($C$5=4,O57,0))))</f>
        <v>500000</v>
      </c>
      <c r="K57" s="33"/>
      <c r="L57" s="33" t="n">
        <v>500000</v>
      </c>
      <c r="M57" s="33" t="n">
        <v>500000</v>
      </c>
      <c r="N57" s="33" t="n">
        <v>500000</v>
      </c>
      <c r="O57" s="33" t="n">
        <v>500000</v>
      </c>
    </row>
    <row r="58" customFormat="false" ht="12.75" hidden="false" customHeight="false" outlineLevel="0" collapsed="false">
      <c r="A58" s="28" t="s">
        <v>85</v>
      </c>
      <c r="B58" s="57"/>
      <c r="C58" s="44"/>
      <c r="E58" s="2" t="s">
        <v>47</v>
      </c>
      <c r="F58" s="29" t="s">
        <v>44</v>
      </c>
      <c r="G58" s="29" t="s">
        <v>74</v>
      </c>
      <c r="H58" s="42"/>
      <c r="J58" s="40" t="n">
        <f aca="false">IF($C$5=1,L58,IF($C$5=2,M58,IF($C$5=3,N58,IF($C$5=4,O58,0))))</f>
        <v>500000</v>
      </c>
      <c r="K58" s="33"/>
      <c r="L58" s="33" t="n">
        <v>500000</v>
      </c>
      <c r="M58" s="33" t="n">
        <v>500000</v>
      </c>
      <c r="N58" s="33" t="n">
        <v>500000</v>
      </c>
      <c r="O58" s="33" t="n">
        <v>500000</v>
      </c>
    </row>
    <row r="59" customFormat="false" ht="12.75" hidden="false" customHeight="false" outlineLevel="0" collapsed="false">
      <c r="A59" s="28" t="s">
        <v>86</v>
      </c>
      <c r="B59" s="57"/>
      <c r="C59" s="44"/>
      <c r="E59" s="2" t="s">
        <v>47</v>
      </c>
      <c r="F59" s="29" t="s">
        <v>44</v>
      </c>
      <c r="G59" s="29" t="s">
        <v>27</v>
      </c>
      <c r="H59" s="30" t="n">
        <v>0</v>
      </c>
      <c r="J59" s="40" t="n">
        <f aca="false">IF($C$5=1,L59,IF($C$5=2,M59,IF($C$5=3,N59,IF($C$5=4,O59,0))))</f>
        <v>0</v>
      </c>
      <c r="K59" s="33"/>
      <c r="L59" s="41" t="n">
        <f aca="false">IF(L10="Yes",50000,0)</f>
        <v>0</v>
      </c>
      <c r="M59" s="41" t="n">
        <f aca="false">IF(M10="Yes",50000,0)</f>
        <v>0</v>
      </c>
      <c r="N59" s="41" t="n">
        <f aca="false">IF(N10="Yes",50000,0)</f>
        <v>0</v>
      </c>
      <c r="O59" s="41" t="n">
        <f aca="false">IF(O10="Yes",50000,0)</f>
        <v>0</v>
      </c>
    </row>
    <row r="60" customFormat="false" ht="12.75" hidden="false" customHeight="false" outlineLevel="0" collapsed="false">
      <c r="A60" s="28" t="s">
        <v>87</v>
      </c>
      <c r="B60" s="57"/>
      <c r="C60" s="44"/>
      <c r="E60" s="2" t="s">
        <v>47</v>
      </c>
      <c r="F60" s="29" t="s">
        <v>44</v>
      </c>
      <c r="G60" s="29" t="s">
        <v>27</v>
      </c>
      <c r="H60" s="30" t="n">
        <v>0</v>
      </c>
      <c r="J60" s="40" t="n">
        <f aca="false">IF($C$5=1,L60,IF($C$5=2,M60,IF($C$5=3,N60,IF($C$5=4,O60,0))))</f>
        <v>500000</v>
      </c>
      <c r="K60" s="33"/>
      <c r="L60" s="33" t="n">
        <v>500000</v>
      </c>
      <c r="M60" s="33" t="n">
        <v>500000</v>
      </c>
      <c r="N60" s="33" t="n">
        <v>500000</v>
      </c>
      <c r="O60" s="33" t="n">
        <v>500000</v>
      </c>
    </row>
    <row r="61" customFormat="false" ht="12.75" hidden="false" customHeight="false" outlineLevel="0" collapsed="false">
      <c r="A61" s="28" t="s">
        <v>88</v>
      </c>
      <c r="B61" s="57"/>
      <c r="C61" s="44"/>
      <c r="D61" s="31"/>
      <c r="E61" s="29" t="s">
        <v>47</v>
      </c>
      <c r="F61" s="29" t="s">
        <v>44</v>
      </c>
      <c r="G61" s="29" t="s">
        <v>27</v>
      </c>
      <c r="H61" s="30" t="n">
        <v>0</v>
      </c>
      <c r="I61" s="31"/>
      <c r="J61" s="40" t="n">
        <f aca="false">IF($C$5=1,L61,IF($C$5=2,M61,IF($C$5=3,N61,IF($C$5=4,O61,0))))</f>
        <v>432000</v>
      </c>
      <c r="K61" s="33"/>
      <c r="L61" s="33" t="n">
        <v>432000</v>
      </c>
      <c r="M61" s="33" t="n">
        <v>432000</v>
      </c>
      <c r="N61" s="33" t="n">
        <v>432000</v>
      </c>
      <c r="O61" s="33" t="n">
        <v>432000</v>
      </c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</row>
    <row r="62" customFormat="false" ht="12.75" hidden="false" customHeight="false" outlineLevel="0" collapsed="false">
      <c r="A62" s="28" t="s">
        <v>89</v>
      </c>
      <c r="B62" s="57"/>
      <c r="C62" s="44"/>
      <c r="D62" s="31"/>
      <c r="E62" s="29" t="s">
        <v>47</v>
      </c>
      <c r="F62" s="29" t="s">
        <v>44</v>
      </c>
      <c r="G62" s="29" t="s">
        <v>74</v>
      </c>
      <c r="H62" s="30" t="n">
        <v>0</v>
      </c>
      <c r="I62" s="31"/>
      <c r="J62" s="40" t="n">
        <f aca="false">IF($C$5=1,L62,IF($C$5=2,M62,IF($C$5=3,N62,IF($C$5=4,O62,0))))</f>
        <v>81188</v>
      </c>
      <c r="K62" s="33"/>
      <c r="L62" s="33" t="n">
        <v>81188</v>
      </c>
      <c r="M62" s="33" t="n">
        <v>81188</v>
      </c>
      <c r="N62" s="33" t="n">
        <v>81188</v>
      </c>
      <c r="O62" s="33" t="n">
        <v>81188</v>
      </c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31"/>
    </row>
    <row r="63" customFormat="false" ht="12.75" hidden="false" customHeight="false" outlineLevel="0" collapsed="false">
      <c r="A63" s="28" t="s">
        <v>90</v>
      </c>
      <c r="B63" s="58"/>
      <c r="C63" s="44"/>
      <c r="E63" s="2" t="s">
        <v>47</v>
      </c>
      <c r="F63" s="29" t="s">
        <v>44</v>
      </c>
      <c r="G63" s="29" t="s">
        <v>27</v>
      </c>
      <c r="H63" s="30" t="n">
        <v>0</v>
      </c>
      <c r="J63" s="40" t="n">
        <f aca="false">IF($C$5=1,L63,IF($C$5=2,M63,IF($C$5=3,N63,IF($C$5=4,O63,0))))</f>
        <v>0</v>
      </c>
      <c r="K63" s="33"/>
      <c r="L63" s="33" t="n">
        <v>0</v>
      </c>
      <c r="M63" s="33" t="n">
        <v>0</v>
      </c>
      <c r="N63" s="33" t="n">
        <v>0</v>
      </c>
      <c r="O63" s="33" t="n">
        <v>0</v>
      </c>
    </row>
    <row r="64" customFormat="false" ht="12.75" hidden="false" customHeight="false" outlineLevel="0" collapsed="false">
      <c r="A64" s="28" t="s">
        <v>91</v>
      </c>
      <c r="B64" s="59"/>
      <c r="C64" s="44"/>
      <c r="E64" s="2" t="s">
        <v>25</v>
      </c>
      <c r="F64" s="2" t="s">
        <v>35</v>
      </c>
      <c r="G64" s="29" t="s">
        <v>27</v>
      </c>
      <c r="H64" s="30" t="n">
        <v>0</v>
      </c>
      <c r="J64" s="40" t="n">
        <f aca="false">IF($C$5=1,L64,IF($C$5=2,M64,IF($C$5=3,N64,IF($C$5=4,O64,0))))</f>
        <v>0</v>
      </c>
      <c r="K64" s="33"/>
      <c r="L64" s="33" t="n">
        <v>0</v>
      </c>
      <c r="M64" s="33" t="n">
        <v>0</v>
      </c>
      <c r="N64" s="33" t="n">
        <v>0</v>
      </c>
      <c r="O64" s="33" t="n">
        <v>0</v>
      </c>
    </row>
    <row r="65" customFormat="false" ht="12.75" hidden="false" customHeight="false" outlineLevel="0" collapsed="false">
      <c r="A65" s="28" t="s">
        <v>92</v>
      </c>
      <c r="E65" s="2" t="s">
        <v>38</v>
      </c>
      <c r="F65" s="56" t="s">
        <v>80</v>
      </c>
      <c r="G65" s="29" t="s">
        <v>27</v>
      </c>
      <c r="H65" s="30" t="n">
        <v>0</v>
      </c>
      <c r="J65" s="40" t="n">
        <f aca="false">IF($C$5=1,L65,IF($C$5=2,M65,IF($C$5=3,N65,IF($C$5=4,O65,0))))</f>
        <v>-442050</v>
      </c>
      <c r="K65" s="41"/>
      <c r="L65" s="41" t="n">
        <v>0</v>
      </c>
      <c r="M65" s="41" t="n">
        <v>0</v>
      </c>
      <c r="N65" s="41" t="n">
        <f aca="false">-(((50*4796)+(50*7945))-(100*1950))</f>
        <v>-442050</v>
      </c>
      <c r="O65" s="41" t="n">
        <f aca="false">-(((50*4796)+(50*7945))-(100*1950))</f>
        <v>-442050</v>
      </c>
    </row>
    <row r="66" customFormat="false" ht="12.75" hidden="false" customHeight="false" outlineLevel="0" collapsed="false">
      <c r="A66" s="28" t="s">
        <v>93</v>
      </c>
      <c r="E66" s="2" t="s">
        <v>38</v>
      </c>
      <c r="F66" s="56" t="s">
        <v>80</v>
      </c>
      <c r="G66" s="29" t="s">
        <v>27</v>
      </c>
      <c r="H66" s="30" t="n">
        <v>0</v>
      </c>
      <c r="J66" s="40" t="n">
        <f aca="false">IF($C$5=1,L66,IF($C$5=2,M66,IF($C$5=3,N66,IF($C$5=4,O66,0))))</f>
        <v>-175000</v>
      </c>
      <c r="K66" s="41"/>
      <c r="L66" s="33" t="n">
        <v>0</v>
      </c>
      <c r="M66" s="33" t="n">
        <v>0</v>
      </c>
      <c r="N66" s="33" t="n">
        <v>-175000</v>
      </c>
      <c r="O66" s="33" t="n">
        <v>-175000</v>
      </c>
    </row>
    <row r="67" customFormat="false" ht="12.75" hidden="false" customHeight="false" outlineLevel="0" collapsed="false">
      <c r="A67" s="28" t="s">
        <v>94</v>
      </c>
      <c r="B67" s="31"/>
      <c r="C67" s="29"/>
      <c r="D67" s="31"/>
      <c r="E67" s="29" t="s">
        <v>38</v>
      </c>
      <c r="F67" s="56" t="s">
        <v>80</v>
      </c>
      <c r="G67" s="29" t="s">
        <v>27</v>
      </c>
      <c r="H67" s="30" t="n">
        <v>0</v>
      </c>
      <c r="I67" s="31"/>
      <c r="J67" s="40" t="n">
        <f aca="false">IF($C$5=1,L67,IF($C$5=2,M67,IF($C$5=3,N67,IF($C$5=4,O67,0))))</f>
        <v>0</v>
      </c>
      <c r="K67" s="33"/>
      <c r="L67" s="41" t="n">
        <v>0</v>
      </c>
      <c r="M67" s="41" t="n">
        <v>0</v>
      </c>
      <c r="N67" s="41" t="n">
        <v>0</v>
      </c>
      <c r="O67" s="41" t="n">
        <v>0</v>
      </c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31"/>
    </row>
    <row r="68" customFormat="false" ht="12.75" hidden="false" customHeight="false" outlineLevel="0" collapsed="false">
      <c r="A68" s="28" t="s">
        <v>95</v>
      </c>
      <c r="B68" s="31"/>
      <c r="C68" s="29"/>
      <c r="D68" s="31"/>
      <c r="E68" s="29" t="s">
        <v>38</v>
      </c>
      <c r="F68" s="56" t="s">
        <v>80</v>
      </c>
      <c r="G68" s="29" t="s">
        <v>27</v>
      </c>
      <c r="H68" s="30" t="n">
        <v>0</v>
      </c>
      <c r="I68" s="31"/>
      <c r="J68" s="40" t="n">
        <f aca="false">IF($C$5=1,L68,IF($C$5=2,M68,IF($C$5=3,N68,IF($C$5=4,O68,0))))</f>
        <v>0</v>
      </c>
      <c r="K68" s="33"/>
      <c r="L68" s="33" t="n">
        <v>0</v>
      </c>
      <c r="M68" s="33" t="n">
        <v>0</v>
      </c>
      <c r="N68" s="33" t="n">
        <v>0</v>
      </c>
      <c r="O68" s="33" t="n">
        <v>0</v>
      </c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31"/>
    </row>
    <row r="69" customFormat="false" ht="6.75" hidden="false" customHeight="true" outlineLevel="0" collapsed="false">
      <c r="F69" s="2"/>
      <c r="G69" s="31"/>
      <c r="J69" s="46"/>
    </row>
    <row r="70" customFormat="false" ht="13.5" hidden="false" customHeight="false" outlineLevel="0" collapsed="false">
      <c r="A70" s="25" t="s">
        <v>96</v>
      </c>
      <c r="J70" s="46"/>
    </row>
    <row r="71" customFormat="false" ht="12.75" hidden="false" customHeight="false" outlineLevel="0" collapsed="false">
      <c r="A71" s="28" t="s">
        <v>97</v>
      </c>
      <c r="C71" s="29"/>
      <c r="G71" s="2"/>
      <c r="H71" s="42"/>
      <c r="I71" s="31"/>
      <c r="J71" s="60" t="n">
        <f aca="false">IF($C$5=1,L71,IF($C$5=2,M71,IF($C$5=3,N71,IF($C$5=4,O71,0))))</f>
        <v>15000</v>
      </c>
      <c r="K71" s="61"/>
      <c r="L71" s="62" t="n">
        <f aca="false">SUM(L50:L51)</f>
        <v>15000</v>
      </c>
      <c r="M71" s="62" t="n">
        <f aca="false">SUM(M50:M51)</f>
        <v>15000</v>
      </c>
      <c r="N71" s="62" t="n">
        <f aca="false">SUM(N50:N51)</f>
        <v>15000</v>
      </c>
      <c r="O71" s="62" t="n">
        <f aca="false">SUM(O50:O51)</f>
        <v>15000</v>
      </c>
    </row>
    <row r="72" customFormat="false" ht="12.75" hidden="false" customHeight="false" outlineLevel="0" collapsed="false">
      <c r="A72" s="28" t="s">
        <v>98</v>
      </c>
      <c r="C72" s="29"/>
      <c r="G72" s="2"/>
      <c r="H72" s="42"/>
      <c r="I72" s="31"/>
      <c r="J72" s="47" t="n">
        <f aca="false">IF($C$5=1,L72,IF($C$5=2,M72,IF($C$5=3,N72,IF($C$5=4,O72,0))))</f>
        <v>0.2</v>
      </c>
      <c r="K72" s="61"/>
      <c r="L72" s="48" t="n">
        <v>0.2</v>
      </c>
      <c r="M72" s="48" t="n">
        <v>0.2</v>
      </c>
      <c r="N72" s="48" t="n">
        <v>0.2</v>
      </c>
      <c r="O72" s="48" t="n">
        <v>0.2</v>
      </c>
    </row>
    <row r="73" customFormat="false" ht="12.75" hidden="false" customHeight="false" outlineLevel="0" collapsed="false">
      <c r="A73" s="28" t="s">
        <v>99</v>
      </c>
      <c r="C73" s="29"/>
      <c r="G73" s="2"/>
      <c r="H73" s="42"/>
      <c r="I73" s="31"/>
      <c r="J73" s="47" t="n">
        <f aca="false">IF($C$5=1,L73,IF($C$5=2,M73,IF($C$5=3,N73,IF($C$5=4,O73,0))))</f>
        <v>0.11</v>
      </c>
      <c r="K73" s="61"/>
      <c r="L73" s="48" t="n">
        <v>0.11</v>
      </c>
      <c r="M73" s="48" t="n">
        <v>0.11</v>
      </c>
      <c r="N73" s="48" t="n">
        <v>0.11</v>
      </c>
      <c r="O73" s="48" t="n">
        <v>0.11</v>
      </c>
    </row>
    <row r="74" customFormat="false" ht="12.75" hidden="false" customHeight="false" outlineLevel="0" collapsed="false">
      <c r="A74" s="28" t="s">
        <v>100</v>
      </c>
      <c r="B74" s="63"/>
      <c r="C74" s="44"/>
      <c r="J74" s="47" t="n">
        <f aca="false">IF($C$5=1,L74,IF($C$5=2,M74,IF($C$5=3,N74,IF($C$5=4,O74,0))))</f>
        <v>0.1</v>
      </c>
      <c r="K74" s="48"/>
      <c r="L74" s="48" t="n">
        <v>0.1</v>
      </c>
      <c r="M74" s="48" t="n">
        <v>0.1</v>
      </c>
      <c r="N74" s="48" t="n">
        <v>0.1</v>
      </c>
      <c r="O74" s="48" t="n">
        <v>0.1</v>
      </c>
    </row>
    <row r="75" customFormat="false" ht="12.75" hidden="false" customHeight="false" outlineLevel="0" collapsed="false">
      <c r="A75" s="28" t="s">
        <v>101</v>
      </c>
      <c r="B75" s="63"/>
      <c r="C75" s="44"/>
      <c r="J75" s="64" t="n">
        <f aca="false">IF($C$5=1,L75,IF($C$5=2,M75,IF($C$5=3,N75,IF($C$5=4,O75,0))))</f>
        <v>0.0825</v>
      </c>
      <c r="K75" s="48"/>
      <c r="L75" s="65" t="n">
        <v>0.0825</v>
      </c>
      <c r="M75" s="65" t="n">
        <v>0.0825</v>
      </c>
      <c r="N75" s="65" t="n">
        <v>0.0825</v>
      </c>
      <c r="O75" s="65" t="n">
        <v>0.0825</v>
      </c>
    </row>
    <row r="76" customFormat="false" ht="12.75" hidden="false" customHeight="false" outlineLevel="0" collapsed="false">
      <c r="A76" s="28" t="s">
        <v>102</v>
      </c>
      <c r="B76" s="63"/>
      <c r="C76" s="44"/>
      <c r="J76" s="60" t="n">
        <f aca="false">IF($C$5=1,L76,IF($C$5=2,M76,IF($C$5=3,N76,IF($C$5=4,O76,0))))</f>
        <v>12</v>
      </c>
      <c r="K76" s="61"/>
      <c r="L76" s="61" t="n">
        <v>12</v>
      </c>
      <c r="M76" s="61" t="n">
        <v>12</v>
      </c>
      <c r="N76" s="61" t="n">
        <v>12</v>
      </c>
      <c r="O76" s="61" t="n">
        <v>12</v>
      </c>
    </row>
    <row r="77" customFormat="false" ht="12.75" hidden="false" customHeight="false" outlineLevel="0" collapsed="false">
      <c r="A77" s="28" t="s">
        <v>103</v>
      </c>
      <c r="J77" s="36" t="str">
        <f aca="false">IF($C$5=1,L77,IF($C$5=2,M77,IF($C$5=3,N77,IF($C$5=4,O77,0))))</f>
        <v>D</v>
      </c>
      <c r="K77" s="37"/>
      <c r="L77" s="37" t="s">
        <v>25</v>
      </c>
      <c r="M77" s="37" t="s">
        <v>25</v>
      </c>
      <c r="N77" s="37" t="s">
        <v>25</v>
      </c>
      <c r="O77" s="37" t="s">
        <v>25</v>
      </c>
    </row>
    <row r="78" customFormat="false" ht="13.5" hidden="false" customHeight="false" outlineLevel="0" collapsed="false">
      <c r="A78" s="28" t="s">
        <v>104</v>
      </c>
      <c r="J78" s="66" t="n">
        <f aca="false">IF($C$5=1,L78,IF($C$5=2,M78,IF($C$5=3,N78,IF($C$5=4,O78,0))))</f>
        <v>0.4</v>
      </c>
      <c r="K78" s="67"/>
      <c r="L78" s="67" t="n">
        <v>0.4</v>
      </c>
      <c r="M78" s="67" t="n">
        <v>0.4</v>
      </c>
      <c r="N78" s="67" t="n">
        <v>0.4</v>
      </c>
      <c r="O78" s="67" t="n">
        <v>0.4</v>
      </c>
    </row>
    <row r="81" customFormat="false" ht="12.75" hidden="false" customHeight="false" outlineLevel="0" collapsed="false">
      <c r="A81" s="68"/>
      <c r="B81" s="68"/>
      <c r="C81" s="68"/>
      <c r="D81" s="68"/>
      <c r="E81" s="69"/>
      <c r="F81" s="68"/>
      <c r="G81" s="68"/>
      <c r="H81" s="68"/>
      <c r="I81" s="68"/>
      <c r="J81" s="69" t="s">
        <v>105</v>
      </c>
      <c r="K81" s="68"/>
      <c r="L81" s="70"/>
      <c r="M81" s="70"/>
      <c r="N81" s="70" t="n">
        <f aca="false">Cashflows!$F$81/1000000</f>
        <v>-25.4917272622566</v>
      </c>
      <c r="O81" s="70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</row>
    <row r="82" customFormat="false" ht="12.75" hidden="false" customHeight="false" outlineLevel="0" collapsed="false">
      <c r="B82" s="71"/>
      <c r="C82" s="72"/>
      <c r="D82" s="41"/>
      <c r="E82" s="73"/>
      <c r="F82" s="71"/>
    </row>
    <row r="83" customFormat="false" ht="12.75" hidden="false" customHeight="false" outlineLevel="0" collapsed="false">
      <c r="A83" s="14" t="s">
        <v>106</v>
      </c>
      <c r="B83" s="71"/>
      <c r="C83" s="74"/>
      <c r="D83" s="75"/>
      <c r="E83" s="73"/>
      <c r="F83" s="71"/>
    </row>
    <row r="84" customFormat="false" ht="12.75" hidden="false" customHeight="false" outlineLevel="0" collapsed="false">
      <c r="A84" s="14" t="s">
        <v>107</v>
      </c>
    </row>
    <row r="85" customFormat="false" ht="12.75" hidden="false" customHeight="false" outlineLevel="0" collapsed="false">
      <c r="A85" s="14" t="s">
        <v>108</v>
      </c>
    </row>
    <row r="86" customFormat="false" ht="12.75" hidden="false" customHeight="false" outlineLevel="0" collapsed="false">
      <c r="A86" s="14" t="s">
        <v>109</v>
      </c>
      <c r="L86" s="7"/>
      <c r="M86" s="7"/>
      <c r="N86" s="7"/>
    </row>
    <row r="87" customFormat="false" ht="12.75" hidden="false" customHeight="false" outlineLevel="0" collapsed="false">
      <c r="L87" s="7"/>
      <c r="M87" s="7"/>
      <c r="N87" s="7"/>
    </row>
    <row r="92" customFormat="false" ht="12.75" hidden="false" customHeight="false" outlineLevel="0" collapsed="false">
      <c r="D92" s="71"/>
      <c r="E92" s="73"/>
      <c r="F92" s="71"/>
      <c r="G92" s="73"/>
      <c r="H92" s="42"/>
    </row>
    <row r="93" customFormat="false" ht="12.75" hidden="false" customHeight="false" outlineLevel="0" collapsed="false">
      <c r="D93" s="71"/>
      <c r="E93" s="73"/>
      <c r="F93" s="71"/>
      <c r="G93" s="73"/>
      <c r="H93" s="42"/>
    </row>
    <row r="94" customFormat="false" ht="12.75" hidden="false" customHeight="false" outlineLevel="0" collapsed="false">
      <c r="D94" s="71"/>
      <c r="E94" s="73"/>
      <c r="F94" s="71"/>
      <c r="G94" s="71"/>
      <c r="H94" s="42"/>
    </row>
    <row r="95" customFormat="false" ht="12.75" hidden="false" customHeight="false" outlineLevel="0" collapsed="false">
      <c r="D95" s="71"/>
      <c r="E95" s="73"/>
      <c r="F95" s="71"/>
      <c r="G95" s="71"/>
      <c r="H95" s="74"/>
    </row>
    <row r="96" customFormat="false" ht="12.75" hidden="false" customHeight="false" outlineLevel="0" collapsed="false">
      <c r="D96" s="71"/>
      <c r="E96" s="73"/>
      <c r="F96" s="71"/>
      <c r="G96" s="71"/>
      <c r="H96" s="71"/>
    </row>
    <row r="97" customFormat="false" ht="12.75" hidden="false" customHeight="false" outlineLevel="0" collapsed="false">
      <c r="D97" s="71"/>
      <c r="E97" s="73"/>
      <c r="F97" s="71"/>
      <c r="G97" s="71"/>
      <c r="H97" s="71"/>
    </row>
  </sheetData>
  <printOptions headings="false" gridLines="false" gridLinesSet="true" horizontalCentered="false" verticalCentered="false"/>
  <pageMargins left="0.740277777777778" right="0.279861111111111" top="0.670138888888889" bottom="0.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9" topLeftCell="F10" activePane="bottomRight" state="frozen"/>
      <selection pane="topLeft" activeCell="A1" activeCellId="0" sqref="A1"/>
      <selection pane="topRight" activeCell="F1" activeCellId="0" sqref="F1"/>
      <selection pane="bottomLeft" activeCell="A10" activeCellId="0" sqref="A10"/>
      <selection pane="bottomRight" activeCell="F10" activeCellId="0" sqref="F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14.7"/>
    <col collapsed="false" customWidth="true" hidden="false" outlineLevel="0" max="3" min="3" style="1" width="14.14"/>
    <col collapsed="false" customWidth="true" hidden="false" outlineLevel="0" max="4" min="4" style="1" width="12.56"/>
    <col collapsed="false" customWidth="true" hidden="true" outlineLevel="0" max="5" min="5" style="1" width="14.14"/>
    <col collapsed="false" customWidth="true" hidden="false" outlineLevel="0" max="6" min="6" style="1" width="13.7"/>
    <col collapsed="false" customWidth="true" hidden="false" outlineLevel="0" max="14" min="7" style="1" width="13.14"/>
    <col collapsed="false" customWidth="true" hidden="false" outlineLevel="0" max="15" min="15" style="1" width="2.7"/>
    <col collapsed="false" customWidth="true" hidden="false" outlineLevel="0" max="16" min="16" style="1" width="15.85"/>
    <col collapsed="false" customWidth="false" hidden="false" outlineLevel="0" max="257" min="17" style="1" width="9.14"/>
  </cols>
  <sheetData>
    <row r="1" customFormat="false" ht="20.25" hidden="false" customHeight="false" outlineLevel="0" collapsed="false">
      <c r="A1" s="3" t="str">
        <f aca="false">'Assum. used in model'!A1</f>
        <v>Enron PC and ISP Analysis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F2" s="6" t="s">
        <v>2</v>
      </c>
    </row>
    <row r="3" customFormat="false" ht="13.5" hidden="false" customHeight="false" outlineLevel="0" collapsed="false">
      <c r="A3" s="5" t="s">
        <v>110</v>
      </c>
      <c r="F3" s="10" t="s">
        <v>3</v>
      </c>
    </row>
    <row r="4" customFormat="false" ht="13.5" hidden="false" customHeight="false" outlineLevel="0" collapsed="false">
      <c r="F4" s="14" t="s">
        <v>111</v>
      </c>
    </row>
    <row r="5" customFormat="false" ht="13.5" hidden="false" customHeight="false" outlineLevel="0" collapsed="false">
      <c r="B5" s="11" t="s">
        <v>4</v>
      </c>
      <c r="C5" s="76" t="n">
        <f aca="false">'Assum. used in model'!C5</f>
        <v>3</v>
      </c>
    </row>
    <row r="6" customFormat="false" ht="12.75" hidden="false" customHeight="false" outlineLevel="0" collapsed="false">
      <c r="B6" s="19"/>
      <c r="D6" s="73"/>
      <c r="F6" s="55"/>
      <c r="G6" s="55"/>
      <c r="H6" s="55"/>
      <c r="I6" s="55"/>
      <c r="J6" s="55"/>
      <c r="K6" s="55"/>
      <c r="L6" s="55"/>
      <c r="M6" s="55"/>
      <c r="N6" s="55"/>
    </row>
    <row r="7" customFormat="false" ht="12.75" hidden="false" customHeight="false" outlineLevel="0" collapsed="false">
      <c r="F7" s="55"/>
      <c r="G7" s="55"/>
      <c r="H7" s="55"/>
      <c r="I7" s="55"/>
      <c r="J7" s="55"/>
      <c r="K7" s="55"/>
      <c r="L7" s="55"/>
      <c r="M7" s="55"/>
      <c r="N7" s="55"/>
    </row>
    <row r="8" customFormat="false" ht="12.75" hidden="false" customHeight="false" outlineLevel="0" collapsed="false">
      <c r="E8" s="69" t="s">
        <v>112</v>
      </c>
      <c r="F8" s="69" t="s">
        <v>112</v>
      </c>
      <c r="G8" s="69" t="s">
        <v>112</v>
      </c>
      <c r="H8" s="69" t="s">
        <v>112</v>
      </c>
      <c r="I8" s="69" t="s">
        <v>112</v>
      </c>
      <c r="J8" s="69" t="s">
        <v>112</v>
      </c>
      <c r="K8" s="69" t="s">
        <v>112</v>
      </c>
      <c r="L8" s="69" t="s">
        <v>112</v>
      </c>
      <c r="M8" s="69" t="s">
        <v>112</v>
      </c>
      <c r="N8" s="69" t="s">
        <v>112</v>
      </c>
    </row>
    <row r="9" customFormat="false" ht="12.75" hidden="false" customHeight="false" outlineLevel="0" collapsed="false">
      <c r="E9" s="77" t="n">
        <v>2000</v>
      </c>
      <c r="F9" s="77" t="n">
        <v>2001</v>
      </c>
      <c r="G9" s="77" t="n">
        <v>2002</v>
      </c>
      <c r="H9" s="77" t="n">
        <v>2003</v>
      </c>
      <c r="I9" s="77" t="n">
        <v>2004</v>
      </c>
      <c r="J9" s="77" t="n">
        <v>2005</v>
      </c>
      <c r="K9" s="77" t="n">
        <v>2006</v>
      </c>
      <c r="L9" s="77" t="n">
        <v>2007</v>
      </c>
      <c r="M9" s="77" t="n">
        <v>2008</v>
      </c>
      <c r="N9" s="77" t="n">
        <v>2009</v>
      </c>
      <c r="P9" s="77" t="s">
        <v>113</v>
      </c>
    </row>
    <row r="10" customFormat="false" ht="13.5" hidden="false" customHeight="false" outlineLevel="0" collapsed="false">
      <c r="A10" s="25" t="s">
        <v>114</v>
      </c>
      <c r="E10" s="77"/>
      <c r="F10" s="78"/>
      <c r="G10" s="77"/>
      <c r="H10" s="77"/>
      <c r="I10" s="77"/>
      <c r="J10" s="77"/>
      <c r="K10" s="77"/>
      <c r="L10" s="77"/>
      <c r="M10" s="77"/>
      <c r="N10" s="77"/>
    </row>
    <row r="11" customFormat="false" ht="12.75" hidden="false" customHeight="false" outlineLevel="0" collapsed="false">
      <c r="A11" s="14" t="s">
        <v>115</v>
      </c>
      <c r="E11" s="55" t="n">
        <v>0</v>
      </c>
      <c r="F11" s="55" t="n">
        <f aca="false">'Assum. used in model'!$J$50</f>
        <v>11500</v>
      </c>
      <c r="G11" s="55" t="n">
        <f aca="false">F12*'Assum. used in model'!$J$72</f>
        <v>2300</v>
      </c>
      <c r="H11" s="55" t="n">
        <f aca="false">G12*'Assum. used in model'!$J$72</f>
        <v>2760</v>
      </c>
      <c r="I11" s="55" t="n">
        <f aca="false">H12*'Assum. used in model'!$J$72</f>
        <v>3312</v>
      </c>
      <c r="J11" s="55" t="n">
        <f aca="false">I12*'Assum. used in model'!$J$72</f>
        <v>3974.4</v>
      </c>
      <c r="K11" s="55" t="n">
        <f aca="false">J12*'Assum. used in model'!$J$72</f>
        <v>4769.28</v>
      </c>
      <c r="L11" s="55" t="n">
        <f aca="false">K12*'Assum. used in model'!$J$72</f>
        <v>5723.136</v>
      </c>
      <c r="M11" s="55" t="n">
        <f aca="false">L12*'Assum. used in model'!$J$72</f>
        <v>6867.7632</v>
      </c>
      <c r="N11" s="55" t="n">
        <f aca="false">M12*'Assum. used in model'!$J$72</f>
        <v>8241.31584</v>
      </c>
      <c r="P11" s="79" t="n">
        <f aca="false">SUM(E11:N11)</f>
        <v>49447.89504</v>
      </c>
    </row>
    <row r="12" customFormat="false" ht="12.75" hidden="false" customHeight="false" outlineLevel="0" collapsed="false">
      <c r="A12" s="1" t="s">
        <v>116</v>
      </c>
      <c r="E12" s="55" t="n">
        <f aca="false">E11</f>
        <v>0</v>
      </c>
      <c r="F12" s="55" t="n">
        <f aca="false">E12+F11</f>
        <v>11500</v>
      </c>
      <c r="G12" s="55" t="n">
        <f aca="false">F12+G11</f>
        <v>13800</v>
      </c>
      <c r="H12" s="55" t="n">
        <f aca="false">G12+H11</f>
        <v>16560</v>
      </c>
      <c r="I12" s="55" t="n">
        <f aca="false">H12+I11</f>
        <v>19872</v>
      </c>
      <c r="J12" s="55" t="n">
        <f aca="false">I12+J11</f>
        <v>23846.4</v>
      </c>
      <c r="K12" s="55" t="n">
        <f aca="false">J12+K11</f>
        <v>28615.68</v>
      </c>
      <c r="L12" s="55" t="n">
        <f aca="false">K12+L11</f>
        <v>34338.816</v>
      </c>
      <c r="M12" s="55" t="n">
        <f aca="false">L12+M11</f>
        <v>41206.5792</v>
      </c>
      <c r="N12" s="55" t="n">
        <f aca="false">M12+N11</f>
        <v>49447.89504</v>
      </c>
      <c r="P12" s="79" t="n">
        <f aca="false">N12</f>
        <v>49447.89504</v>
      </c>
    </row>
    <row r="13" customFormat="false" ht="12.75" hidden="false" customHeight="false" outlineLevel="0" collapsed="false">
      <c r="E13" s="55"/>
      <c r="F13" s="55"/>
      <c r="G13" s="55"/>
      <c r="H13" s="55"/>
      <c r="I13" s="55"/>
      <c r="J13" s="55"/>
      <c r="K13" s="55"/>
      <c r="L13" s="55"/>
      <c r="M13" s="55"/>
      <c r="N13" s="55"/>
      <c r="P13" s="79"/>
    </row>
    <row r="14" customFormat="false" ht="13.5" hidden="false" customHeight="false" outlineLevel="0" collapsed="false">
      <c r="A14" s="25" t="s">
        <v>117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P14" s="79"/>
    </row>
    <row r="15" customFormat="false" ht="12.75" hidden="false" customHeight="false" outlineLevel="0" collapsed="false">
      <c r="A15" s="14" t="s">
        <v>115</v>
      </c>
      <c r="E15" s="53" t="n">
        <v>0</v>
      </c>
      <c r="F15" s="55" t="n">
        <f aca="false">'Assum. used in model'!$J$51</f>
        <v>3500</v>
      </c>
      <c r="G15" s="55" t="n">
        <f aca="false">F16*'Assum. used in model'!$J$72</f>
        <v>700</v>
      </c>
      <c r="H15" s="55" t="n">
        <f aca="false">G16*'Assum. used in model'!$J$72</f>
        <v>840</v>
      </c>
      <c r="I15" s="55" t="n">
        <f aca="false">H16*'Assum. used in model'!$J$72</f>
        <v>1008</v>
      </c>
      <c r="J15" s="55" t="n">
        <f aca="false">I16*'Assum. used in model'!$J$72</f>
        <v>1209.6</v>
      </c>
      <c r="K15" s="55" t="n">
        <f aca="false">J16*'Assum. used in model'!$J$72</f>
        <v>1451.52</v>
      </c>
      <c r="L15" s="55" t="n">
        <f aca="false">K16*'Assum. used in model'!$J$72</f>
        <v>1741.824</v>
      </c>
      <c r="M15" s="55" t="n">
        <f aca="false">L16*'Assum. used in model'!$J$72</f>
        <v>2090.1888</v>
      </c>
      <c r="N15" s="55" t="n">
        <f aca="false">M16*'Assum. used in model'!$J$72</f>
        <v>2508.22656</v>
      </c>
      <c r="P15" s="79" t="n">
        <f aca="false">SUM(E15:N15)</f>
        <v>15049.35936</v>
      </c>
    </row>
    <row r="16" customFormat="false" ht="12.75" hidden="false" customHeight="false" outlineLevel="0" collapsed="false">
      <c r="A16" s="1" t="s">
        <v>116</v>
      </c>
      <c r="E16" s="55" t="n">
        <f aca="false">E15</f>
        <v>0</v>
      </c>
      <c r="F16" s="55" t="n">
        <f aca="false">E16+F15</f>
        <v>3500</v>
      </c>
      <c r="G16" s="55" t="n">
        <f aca="false">F16+G15</f>
        <v>4200</v>
      </c>
      <c r="H16" s="55" t="n">
        <f aca="false">G16+H15</f>
        <v>5040</v>
      </c>
      <c r="I16" s="55" t="n">
        <f aca="false">H16+I15</f>
        <v>6048</v>
      </c>
      <c r="J16" s="55" t="n">
        <f aca="false">I16+J15</f>
        <v>7257.6</v>
      </c>
      <c r="K16" s="55" t="n">
        <f aca="false">J16+K15</f>
        <v>8709.12</v>
      </c>
      <c r="L16" s="55" t="n">
        <f aca="false">K16+L15</f>
        <v>10450.944</v>
      </c>
      <c r="M16" s="55" t="n">
        <f aca="false">L16+M15</f>
        <v>12541.1328</v>
      </c>
      <c r="N16" s="55" t="n">
        <f aca="false">M16+N15</f>
        <v>15049.35936</v>
      </c>
      <c r="P16" s="79" t="n">
        <f aca="false">N16</f>
        <v>15049.35936</v>
      </c>
    </row>
    <row r="17" customFormat="false" ht="12.75" hidden="false" customHeight="false" outlineLevel="0" collapsed="false">
      <c r="E17" s="55"/>
      <c r="F17" s="55"/>
      <c r="G17" s="55"/>
      <c r="H17" s="55"/>
      <c r="I17" s="55"/>
      <c r="J17" s="55"/>
      <c r="K17" s="55"/>
      <c r="L17" s="55"/>
      <c r="M17" s="55"/>
      <c r="N17" s="55"/>
      <c r="P17" s="79"/>
    </row>
    <row r="18" customFormat="false" ht="13.5" hidden="false" customHeight="false" outlineLevel="0" collapsed="false">
      <c r="A18" s="25" t="s">
        <v>118</v>
      </c>
      <c r="E18" s="80" t="n">
        <f aca="false">E12+E16</f>
        <v>0</v>
      </c>
      <c r="F18" s="80" t="n">
        <f aca="false">F12+F16</f>
        <v>15000</v>
      </c>
      <c r="G18" s="80" t="n">
        <f aca="false">G12+G16</f>
        <v>18000</v>
      </c>
      <c r="H18" s="80" t="n">
        <f aca="false">H12+H16</f>
        <v>21600</v>
      </c>
      <c r="I18" s="80" t="n">
        <f aca="false">I12+I16</f>
        <v>25920</v>
      </c>
      <c r="J18" s="80" t="n">
        <f aca="false">J12+J16</f>
        <v>31104</v>
      </c>
      <c r="K18" s="80" t="n">
        <f aca="false">K12+K16</f>
        <v>37324.8</v>
      </c>
      <c r="L18" s="80" t="n">
        <f aca="false">L12+L16</f>
        <v>44789.76</v>
      </c>
      <c r="M18" s="80" t="n">
        <f aca="false">M12+M16</f>
        <v>53747.712</v>
      </c>
      <c r="N18" s="80" t="n">
        <f aca="false">N12+N16</f>
        <v>64497.2544</v>
      </c>
      <c r="P18" s="79" t="n">
        <f aca="false">N18</f>
        <v>64497.2544</v>
      </c>
    </row>
    <row r="19" customFormat="false" ht="12.75" hidden="false" customHeight="false" outlineLevel="0" collapsed="false">
      <c r="E19" s="55"/>
      <c r="F19" s="55"/>
      <c r="G19" s="55"/>
      <c r="H19" s="55"/>
      <c r="I19" s="55"/>
      <c r="J19" s="55"/>
      <c r="K19" s="55"/>
      <c r="L19" s="55"/>
      <c r="M19" s="55"/>
      <c r="N19" s="55"/>
      <c r="P19" s="79"/>
    </row>
    <row r="20" customFormat="false" ht="13.5" hidden="false" customHeight="false" outlineLevel="0" collapsed="false">
      <c r="A20" s="25" t="s">
        <v>119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P20" s="79"/>
    </row>
    <row r="21" customFormat="false" ht="12.75" hidden="false" customHeight="false" outlineLevel="0" collapsed="false">
      <c r="A21" s="14" t="s">
        <v>115</v>
      </c>
      <c r="E21" s="55" t="n">
        <v>0</v>
      </c>
      <c r="F21" s="55" t="n">
        <f aca="false">'Assum. used in model'!$J$52</f>
        <v>11500</v>
      </c>
      <c r="G21" s="55" t="n">
        <f aca="false">F22*'Assum. used in model'!$J$72</f>
        <v>2300</v>
      </c>
      <c r="H21" s="55" t="n">
        <f aca="false">G22*'Assum. used in model'!$J$72</f>
        <v>2760</v>
      </c>
      <c r="I21" s="55" t="n">
        <f aca="false">H22*'Assum. used in model'!$J$72</f>
        <v>3312</v>
      </c>
      <c r="J21" s="55" t="n">
        <f aca="false">I22*'Assum. used in model'!$J$72</f>
        <v>3974.4</v>
      </c>
      <c r="K21" s="55" t="n">
        <f aca="false">J22*'Assum. used in model'!$J$72</f>
        <v>4769.28</v>
      </c>
      <c r="L21" s="55" t="n">
        <f aca="false">K22*'Assum. used in model'!$J$72</f>
        <v>5723.136</v>
      </c>
      <c r="M21" s="55" t="n">
        <f aca="false">L22*'Assum. used in model'!$J$72</f>
        <v>6867.7632</v>
      </c>
      <c r="N21" s="55" t="n">
        <f aca="false">M22*'Assum. used in model'!$J$72</f>
        <v>8241.31584</v>
      </c>
      <c r="P21" s="79" t="n">
        <f aca="false">SUM(E21:N21)</f>
        <v>49447.89504</v>
      </c>
    </row>
    <row r="22" customFormat="false" ht="12.75" hidden="false" customHeight="false" outlineLevel="0" collapsed="false">
      <c r="A22" s="1" t="s">
        <v>116</v>
      </c>
      <c r="E22" s="55" t="n">
        <f aca="false">E21</f>
        <v>0</v>
      </c>
      <c r="F22" s="55" t="n">
        <f aca="false">E22+F21</f>
        <v>11500</v>
      </c>
      <c r="G22" s="55" t="n">
        <f aca="false">F22+G21</f>
        <v>13800</v>
      </c>
      <c r="H22" s="55" t="n">
        <f aca="false">G22+H21</f>
        <v>16560</v>
      </c>
      <c r="I22" s="55" t="n">
        <f aca="false">H22+I21</f>
        <v>19872</v>
      </c>
      <c r="J22" s="55" t="n">
        <f aca="false">I22+J21</f>
        <v>23846.4</v>
      </c>
      <c r="K22" s="55" t="n">
        <f aca="false">J22+K21</f>
        <v>28615.68</v>
      </c>
      <c r="L22" s="55" t="n">
        <f aca="false">K22+L21</f>
        <v>34338.816</v>
      </c>
      <c r="M22" s="55" t="n">
        <f aca="false">L22+M21</f>
        <v>41206.5792</v>
      </c>
      <c r="N22" s="55" t="n">
        <f aca="false">M22+N21</f>
        <v>49447.89504</v>
      </c>
      <c r="P22" s="79" t="n">
        <f aca="false">N22</f>
        <v>49447.89504</v>
      </c>
    </row>
    <row r="23" customFormat="false" ht="12.75" hidden="false" customHeight="false" outlineLevel="0" collapsed="false">
      <c r="E23" s="55"/>
      <c r="F23" s="55"/>
      <c r="G23" s="55"/>
      <c r="H23" s="55"/>
      <c r="I23" s="55"/>
      <c r="J23" s="55"/>
      <c r="K23" s="55"/>
      <c r="L23" s="55"/>
      <c r="M23" s="55"/>
      <c r="N23" s="55"/>
      <c r="P23" s="79"/>
    </row>
    <row r="24" customFormat="false" ht="13.5" hidden="false" customHeight="false" outlineLevel="0" collapsed="false">
      <c r="A24" s="25" t="s">
        <v>120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P24" s="79"/>
    </row>
    <row r="25" customFormat="false" ht="12.75" hidden="false" customHeight="false" outlineLevel="0" collapsed="false">
      <c r="A25" s="14" t="s">
        <v>115</v>
      </c>
      <c r="E25" s="53" t="n">
        <v>0</v>
      </c>
      <c r="F25" s="55" t="n">
        <f aca="false">'Assum. used in model'!$J$53</f>
        <v>3500</v>
      </c>
      <c r="G25" s="55" t="n">
        <f aca="false">F26*'Assum. used in model'!$J$72</f>
        <v>700</v>
      </c>
      <c r="H25" s="55" t="n">
        <f aca="false">G26*'Assum. used in model'!$J$72</f>
        <v>840</v>
      </c>
      <c r="I25" s="55" t="n">
        <f aca="false">H26*'Assum. used in model'!$J$72</f>
        <v>1008</v>
      </c>
      <c r="J25" s="55" t="n">
        <f aca="false">I26*'Assum. used in model'!$J$72</f>
        <v>1209.6</v>
      </c>
      <c r="K25" s="55" t="n">
        <f aca="false">J26*'Assum. used in model'!$J$72</f>
        <v>1451.52</v>
      </c>
      <c r="L25" s="55" t="n">
        <f aca="false">K26*'Assum. used in model'!$J$72</f>
        <v>1741.824</v>
      </c>
      <c r="M25" s="55" t="n">
        <f aca="false">L26*'Assum. used in model'!$J$72</f>
        <v>2090.1888</v>
      </c>
      <c r="N25" s="55" t="n">
        <f aca="false">M26*'Assum. used in model'!$J$72</f>
        <v>2508.22656</v>
      </c>
      <c r="P25" s="79" t="n">
        <f aca="false">SUM(E25:N25)</f>
        <v>15049.35936</v>
      </c>
    </row>
    <row r="26" customFormat="false" ht="12.75" hidden="false" customHeight="false" outlineLevel="0" collapsed="false">
      <c r="A26" s="1" t="s">
        <v>116</v>
      </c>
      <c r="E26" s="55" t="n">
        <f aca="false">E25</f>
        <v>0</v>
      </c>
      <c r="F26" s="55" t="n">
        <f aca="false">E26+F25</f>
        <v>3500</v>
      </c>
      <c r="G26" s="55" t="n">
        <f aca="false">F26+G25</f>
        <v>4200</v>
      </c>
      <c r="H26" s="55" t="n">
        <f aca="false">G26+H25</f>
        <v>5040</v>
      </c>
      <c r="I26" s="55" t="n">
        <f aca="false">H26+I25</f>
        <v>6048</v>
      </c>
      <c r="J26" s="55" t="n">
        <f aca="false">I26+J25</f>
        <v>7257.6</v>
      </c>
      <c r="K26" s="55" t="n">
        <f aca="false">J26+K25</f>
        <v>8709.12</v>
      </c>
      <c r="L26" s="55" t="n">
        <f aca="false">K26+L25</f>
        <v>10450.944</v>
      </c>
      <c r="M26" s="55" t="n">
        <f aca="false">L26+M25</f>
        <v>12541.1328</v>
      </c>
      <c r="N26" s="55" t="n">
        <f aca="false">M26+N25</f>
        <v>15049.35936</v>
      </c>
      <c r="P26" s="79" t="n">
        <f aca="false">N26</f>
        <v>15049.35936</v>
      </c>
    </row>
    <row r="27" customFormat="false" ht="12.75" hidden="false" customHeight="false" outlineLevel="0" collapsed="false">
      <c r="E27" s="55"/>
      <c r="F27" s="55"/>
      <c r="G27" s="55"/>
      <c r="H27" s="55"/>
      <c r="I27" s="55"/>
      <c r="J27" s="55"/>
      <c r="K27" s="55"/>
      <c r="L27" s="55"/>
      <c r="M27" s="55"/>
      <c r="N27" s="55"/>
      <c r="P27" s="79"/>
    </row>
    <row r="28" customFormat="false" ht="13.5" hidden="false" customHeight="false" outlineLevel="0" collapsed="false">
      <c r="A28" s="25" t="s">
        <v>121</v>
      </c>
      <c r="E28" s="80" t="n">
        <f aca="false">E22+E26</f>
        <v>0</v>
      </c>
      <c r="F28" s="80" t="n">
        <f aca="false">F22+F26</f>
        <v>15000</v>
      </c>
      <c r="G28" s="80" t="n">
        <f aca="false">G22+G26</f>
        <v>18000</v>
      </c>
      <c r="H28" s="80" t="n">
        <f aca="false">H22+H26</f>
        <v>21600</v>
      </c>
      <c r="I28" s="80" t="n">
        <f aca="false">I22+I26</f>
        <v>25920</v>
      </c>
      <c r="J28" s="80" t="n">
        <f aca="false">J22+J26</f>
        <v>31104</v>
      </c>
      <c r="K28" s="80" t="n">
        <f aca="false">K22+K26</f>
        <v>37324.8</v>
      </c>
      <c r="L28" s="80" t="n">
        <f aca="false">L22+L26</f>
        <v>44789.76</v>
      </c>
      <c r="M28" s="80" t="n">
        <f aca="false">M22+M26</f>
        <v>53747.712</v>
      </c>
      <c r="N28" s="80" t="n">
        <f aca="false">N22+N26</f>
        <v>64497.2544</v>
      </c>
      <c r="P28" s="79" t="n">
        <f aca="false">N28</f>
        <v>64497.2544</v>
      </c>
    </row>
    <row r="30" customFormat="false" ht="15.75" hidden="false" customHeight="false" outlineLevel="0" collapsed="false">
      <c r="A30" s="81" t="s">
        <v>122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</row>
    <row r="31" customFormat="false" ht="6.75" hidden="false" customHeight="true" outlineLevel="0" collapsed="false"/>
    <row r="32" customFormat="false" ht="12.75" hidden="false" customHeight="false" outlineLevel="0" collapsed="false">
      <c r="A32" s="69"/>
      <c r="B32" s="14" t="s">
        <v>24</v>
      </c>
      <c r="E32" s="41" t="n">
        <f aca="false">('Assum. used in model'!$J$9)</f>
        <v>0</v>
      </c>
      <c r="F32" s="41" t="n">
        <f aca="false">E32*(1+'Assum. used in model'!$H$9)</f>
        <v>0</v>
      </c>
      <c r="G32" s="41" t="n">
        <f aca="false">F32*(1+'Assum. used in model'!$H$9)</f>
        <v>0</v>
      </c>
      <c r="H32" s="41" t="n">
        <f aca="false">G32*(1+'Assum. used in model'!$H$9)</f>
        <v>0</v>
      </c>
      <c r="I32" s="41" t="n">
        <f aca="false">H32*(1+'Assum. used in model'!$H$9)</f>
        <v>0</v>
      </c>
      <c r="J32" s="41" t="n">
        <f aca="false">I32*(1+'Assum. used in model'!$H$9)</f>
        <v>0</v>
      </c>
      <c r="K32" s="41" t="n">
        <f aca="false">J32*(1+'Assum. used in model'!$H$9)</f>
        <v>0</v>
      </c>
      <c r="L32" s="41" t="n">
        <f aca="false">K32*(1+'Assum. used in model'!$H$9)</f>
        <v>0</v>
      </c>
      <c r="M32" s="41" t="n">
        <f aca="false">L32*(1+'Assum. used in model'!$H$9)</f>
        <v>0</v>
      </c>
      <c r="N32" s="41" t="n">
        <f aca="false">M32*(1+'Assum. used in model'!$H$9)</f>
        <v>0</v>
      </c>
      <c r="P32" s="41" t="n">
        <f aca="false">SUM(E32:N32)</f>
        <v>0</v>
      </c>
    </row>
    <row r="33" customFormat="false" ht="12.75" hidden="false" customHeight="false" outlineLevel="0" collapsed="false">
      <c r="A33" s="69"/>
      <c r="B33" s="14" t="s">
        <v>123</v>
      </c>
      <c r="E33" s="41" t="n">
        <f aca="false">('Assum. used in model'!$J$11*E18)</f>
        <v>0</v>
      </c>
      <c r="F33" s="41" t="n">
        <f aca="false">('Assum. used in model'!$J$11*F18)</f>
        <v>0</v>
      </c>
      <c r="G33" s="41" t="n">
        <f aca="false">('Assum. used in model'!$J$11*G18)</f>
        <v>0</v>
      </c>
      <c r="H33" s="41" t="n">
        <f aca="false">('Assum. used in model'!$J$11*H18)</f>
        <v>0</v>
      </c>
      <c r="I33" s="41" t="n">
        <f aca="false">('Assum. used in model'!$J$11*I18)</f>
        <v>0</v>
      </c>
      <c r="J33" s="41" t="n">
        <f aca="false">('Assum. used in model'!$J$11*J18)</f>
        <v>0</v>
      </c>
      <c r="K33" s="41" t="n">
        <f aca="false">('Assum. used in model'!$J$11*K18)</f>
        <v>0</v>
      </c>
      <c r="L33" s="41" t="n">
        <f aca="false">('Assum. used in model'!$J$11*L18)</f>
        <v>0</v>
      </c>
      <c r="M33" s="41" t="n">
        <f aca="false">('Assum. used in model'!$J$11*M18)</f>
        <v>0</v>
      </c>
      <c r="N33" s="41" t="n">
        <f aca="false">('Assum. used in model'!$J$11*N18)</f>
        <v>0</v>
      </c>
      <c r="P33" s="41" t="n">
        <f aca="false">SUM(E33:N33)</f>
        <v>0</v>
      </c>
    </row>
    <row r="34" customFormat="false" ht="12.75" hidden="false" customHeight="false" outlineLevel="0" collapsed="false">
      <c r="A34" s="69"/>
      <c r="B34" s="14" t="s">
        <v>124</v>
      </c>
      <c r="E34" s="41" t="n">
        <f aca="false">('Assum. used in model'!$J$17*E18)</f>
        <v>0</v>
      </c>
      <c r="F34" s="41" t="n">
        <f aca="false">('Assum. used in model'!$J$17*F18)</f>
        <v>0</v>
      </c>
      <c r="G34" s="41" t="n">
        <f aca="false">('Assum. used in model'!$J$17*G18)</f>
        <v>0</v>
      </c>
      <c r="H34" s="41" t="n">
        <f aca="false">('Assum. used in model'!$J$17*H18)</f>
        <v>0</v>
      </c>
      <c r="I34" s="41" t="n">
        <f aca="false">('Assum. used in model'!$J$17*I18)</f>
        <v>0</v>
      </c>
      <c r="J34" s="41" t="n">
        <f aca="false">('Assum. used in model'!$J$17*J18)</f>
        <v>0</v>
      </c>
      <c r="K34" s="41" t="n">
        <f aca="false">('Assum. used in model'!$J$17*K18)</f>
        <v>0</v>
      </c>
      <c r="L34" s="41" t="n">
        <f aca="false">('Assum. used in model'!$J$17*L18)</f>
        <v>0</v>
      </c>
      <c r="M34" s="41" t="n">
        <f aca="false">('Assum. used in model'!$J$17*M18)</f>
        <v>0</v>
      </c>
      <c r="N34" s="41" t="n">
        <f aca="false">('Assum. used in model'!$J$17*N18)</f>
        <v>0</v>
      </c>
      <c r="P34" s="41" t="n">
        <f aca="false">SUM(E34:N34)</f>
        <v>0</v>
      </c>
    </row>
    <row r="35" customFormat="false" ht="12.75" hidden="false" customHeight="false" outlineLevel="0" collapsed="false">
      <c r="A35" s="69"/>
      <c r="B35" s="14" t="s">
        <v>125</v>
      </c>
      <c r="E35" s="41" t="n">
        <f aca="false">'Assum. used in model'!$J$16</f>
        <v>0</v>
      </c>
      <c r="F35" s="41" t="n">
        <f aca="false">E35*(1+'Assum. used in model'!$H$16)</f>
        <v>0</v>
      </c>
      <c r="G35" s="41" t="n">
        <f aca="false">F35*(1+'Assum. used in model'!$H$16)</f>
        <v>0</v>
      </c>
      <c r="H35" s="41" t="n">
        <f aca="false">G35*(1+'Assum. used in model'!$H$16)</f>
        <v>0</v>
      </c>
      <c r="I35" s="41" t="n">
        <f aca="false">H35*(1+'Assum. used in model'!$H$16)</f>
        <v>0</v>
      </c>
      <c r="J35" s="41" t="n">
        <f aca="false">I35*(1+'Assum. used in model'!$H$16)</f>
        <v>0</v>
      </c>
      <c r="K35" s="41" t="n">
        <f aca="false">J35*(1+'Assum. used in model'!$H$16)</f>
        <v>0</v>
      </c>
      <c r="L35" s="41" t="n">
        <f aca="false">K35*(1+'Assum. used in model'!$H$16)</f>
        <v>0</v>
      </c>
      <c r="M35" s="41" t="n">
        <f aca="false">L35*(1+'Assum. used in model'!$H$16)</f>
        <v>0</v>
      </c>
      <c r="N35" s="41" t="n">
        <f aca="false">M35*(1+'Assum. used in model'!$H$16)</f>
        <v>0</v>
      </c>
      <c r="P35" s="41" t="n">
        <f aca="false">SUM(E35:N35)</f>
        <v>0</v>
      </c>
    </row>
    <row r="36" customFormat="false" ht="12.75" hidden="false" customHeight="false" outlineLevel="0" collapsed="false">
      <c r="A36" s="69"/>
      <c r="B36" s="1" t="s">
        <v>33</v>
      </c>
      <c r="E36" s="41" t="n">
        <f aca="false">'Assum. used in model'!$J$14</f>
        <v>0</v>
      </c>
      <c r="F36" s="41" t="n">
        <f aca="false">E36*(1+'Assum. used in model'!$H$14)</f>
        <v>0</v>
      </c>
      <c r="G36" s="41" t="n">
        <f aca="false">F36*(1+'Assum. used in model'!$H$14)</f>
        <v>0</v>
      </c>
      <c r="H36" s="41" t="n">
        <f aca="false">G36*(1+'Assum. used in model'!$H$14)</f>
        <v>0</v>
      </c>
      <c r="I36" s="41" t="n">
        <f aca="false">H36*(1+'Assum. used in model'!$H$14)</f>
        <v>0</v>
      </c>
      <c r="J36" s="41" t="n">
        <f aca="false">I36*(1+'Assum. used in model'!$H$14)</f>
        <v>0</v>
      </c>
      <c r="K36" s="41" t="n">
        <f aca="false">J36*(1+'Assum. used in model'!$H$14)</f>
        <v>0</v>
      </c>
      <c r="L36" s="41" t="n">
        <f aca="false">K36*(1+'Assum. used in model'!$H$14)</f>
        <v>0</v>
      </c>
      <c r="M36" s="41" t="n">
        <f aca="false">L36*(1+'Assum. used in model'!$H$14)</f>
        <v>0</v>
      </c>
      <c r="N36" s="41" t="n">
        <f aca="false">M36*(1+'Assum. used in model'!$H$14)</f>
        <v>0</v>
      </c>
      <c r="P36" s="41" t="n">
        <f aca="false">SUM(E36:N36)</f>
        <v>0</v>
      </c>
    </row>
    <row r="37" customFormat="false" ht="12.75" hidden="false" customHeight="false" outlineLevel="0" collapsed="false">
      <c r="A37" s="69"/>
      <c r="B37" s="1" t="s">
        <v>126</v>
      </c>
      <c r="E37" s="41" t="n">
        <f aca="false">'Assum. used in model'!$J$13</f>
        <v>0</v>
      </c>
      <c r="F37" s="41" t="n">
        <f aca="false">E37*(1+'Assum. used in model'!$H$13)</f>
        <v>0</v>
      </c>
      <c r="G37" s="41" t="n">
        <f aca="false">F37*(1+'Assum. used in model'!$H$13)</f>
        <v>0</v>
      </c>
      <c r="H37" s="41" t="n">
        <f aca="false">G37*(1+'Assum. used in model'!$H$13)</f>
        <v>0</v>
      </c>
      <c r="I37" s="41" t="n">
        <f aca="false">H37*(1+'Assum. used in model'!$H$13)</f>
        <v>0</v>
      </c>
      <c r="J37" s="41" t="n">
        <f aca="false">I37*(1+'Assum. used in model'!$H$13)</f>
        <v>0</v>
      </c>
      <c r="K37" s="41" t="n">
        <f aca="false">J37*(1+'Assum. used in model'!$H$13)</f>
        <v>0</v>
      </c>
      <c r="L37" s="41" t="n">
        <f aca="false">K37*(1+'Assum. used in model'!$H$13)</f>
        <v>0</v>
      </c>
      <c r="M37" s="41" t="n">
        <f aca="false">L37*(1+'Assum. used in model'!$H$13)</f>
        <v>0</v>
      </c>
      <c r="N37" s="41" t="n">
        <f aca="false">M37*(1+'Assum. used in model'!$H$13)</f>
        <v>0</v>
      </c>
      <c r="P37" s="41" t="n">
        <f aca="false">SUM(E37:N37)</f>
        <v>0</v>
      </c>
    </row>
    <row r="38" customFormat="false" ht="12.75" hidden="false" customHeight="false" outlineLevel="0" collapsed="false">
      <c r="A38" s="69"/>
      <c r="B38" s="14" t="s">
        <v>34</v>
      </c>
      <c r="E38" s="41" t="n">
        <f aca="false">'Assum. used in model'!$J$15</f>
        <v>0</v>
      </c>
      <c r="F38" s="41" t="n">
        <f aca="false">E38*(1+'Assum. used in model'!$H$15)</f>
        <v>0</v>
      </c>
      <c r="G38" s="41" t="n">
        <f aca="false">F38*(1+'Assum. used in model'!$H$15)</f>
        <v>0</v>
      </c>
      <c r="H38" s="41" t="n">
        <f aca="false">G38*(1+'Assum. used in model'!$H$15)</f>
        <v>0</v>
      </c>
      <c r="I38" s="41" t="n">
        <f aca="false">H38*(1+'Assum. used in model'!$H$15)</f>
        <v>0</v>
      </c>
      <c r="J38" s="41" t="n">
        <f aca="false">I38*(1+'Assum. used in model'!$H$15)</f>
        <v>0</v>
      </c>
      <c r="K38" s="41" t="n">
        <f aca="false">J38*(1+'Assum. used in model'!$H$15)</f>
        <v>0</v>
      </c>
      <c r="L38" s="41" t="n">
        <f aca="false">K38*(1+'Assum. used in model'!$H$15)</f>
        <v>0</v>
      </c>
      <c r="M38" s="41" t="n">
        <f aca="false">L38*(1+'Assum. used in model'!$H$15)</f>
        <v>0</v>
      </c>
      <c r="N38" s="41" t="n">
        <f aca="false">M38*(1+'Assum. used in model'!$H$15)</f>
        <v>0</v>
      </c>
      <c r="P38" s="41" t="n">
        <f aca="false">SUM(E38:M38)</f>
        <v>0</v>
      </c>
    </row>
    <row r="39" customFormat="false" ht="12.75" hidden="false" customHeight="false" outlineLevel="0" collapsed="false">
      <c r="A39" s="69"/>
      <c r="B39" s="1" t="s">
        <v>127</v>
      </c>
      <c r="E39" s="41" t="n">
        <f aca="false">'Assum. used in model'!$J$18</f>
        <v>0</v>
      </c>
      <c r="F39" s="41" t="n">
        <f aca="false">E39*(1+'Assum. used in model'!$H$18)</f>
        <v>0</v>
      </c>
      <c r="G39" s="41" t="n">
        <f aca="false">F39*(1+'Assum. used in model'!$H$18)</f>
        <v>0</v>
      </c>
      <c r="H39" s="41" t="n">
        <f aca="false">G39*(1+'Assum. used in model'!$H$18)</f>
        <v>0</v>
      </c>
      <c r="I39" s="41" t="n">
        <f aca="false">H39*(1+'Assum. used in model'!$H$18)</f>
        <v>0</v>
      </c>
      <c r="J39" s="41" t="n">
        <f aca="false">I39*(1+'Assum. used in model'!$H$18)</f>
        <v>0</v>
      </c>
      <c r="K39" s="41" t="n">
        <f aca="false">J39*(1+'Assum. used in model'!$H$18)</f>
        <v>0</v>
      </c>
      <c r="L39" s="41" t="n">
        <f aca="false">K39*(1+'Assum. used in model'!$H$18)</f>
        <v>0</v>
      </c>
      <c r="M39" s="41" t="n">
        <f aca="false">L39*(1+'Assum. used in model'!$H$18)</f>
        <v>0</v>
      </c>
      <c r="N39" s="41" t="n">
        <f aca="false">M39*(1+'Assum. used in model'!$H$18)</f>
        <v>0</v>
      </c>
      <c r="P39" s="41" t="n">
        <f aca="false">SUM(E39:N39)</f>
        <v>0</v>
      </c>
    </row>
    <row r="40" customFormat="false" ht="12.75" hidden="false" customHeight="false" outlineLevel="0" collapsed="false">
      <c r="A40" s="69"/>
      <c r="B40" s="1" t="s">
        <v>40</v>
      </c>
      <c r="E40" s="41" t="n">
        <f aca="false">'Assum. used in model'!$J$19</f>
        <v>0</v>
      </c>
      <c r="F40" s="41" t="n">
        <f aca="false">E40*(1+'Assum. used in model'!$H$19)</f>
        <v>0</v>
      </c>
      <c r="G40" s="41" t="n">
        <f aca="false">F40*(1+'Assum. used in model'!$H$19)</f>
        <v>0</v>
      </c>
      <c r="H40" s="41" t="n">
        <f aca="false">G40*(1+'Assum. used in model'!$H$19)</f>
        <v>0</v>
      </c>
      <c r="I40" s="41" t="n">
        <f aca="false">H40*(1+'Assum. used in model'!$H$19)</f>
        <v>0</v>
      </c>
      <c r="J40" s="41" t="n">
        <f aca="false">I40*(1+'Assum. used in model'!$H$19)</f>
        <v>0</v>
      </c>
      <c r="K40" s="41" t="n">
        <f aca="false">J40*(1+'Assum. used in model'!$H$19)</f>
        <v>0</v>
      </c>
      <c r="L40" s="41" t="n">
        <f aca="false">K40*(1+'Assum. used in model'!$H$19)</f>
        <v>0</v>
      </c>
      <c r="M40" s="41" t="n">
        <f aca="false">L40*(1+'Assum. used in model'!$H$19)</f>
        <v>0</v>
      </c>
      <c r="N40" s="41" t="n">
        <f aca="false">M40*(1+'Assum. used in model'!$H$19)</f>
        <v>0</v>
      </c>
      <c r="P40" s="41" t="n">
        <f aca="false">SUM(E40:N40)</f>
        <v>0</v>
      </c>
    </row>
    <row r="41" customFormat="false" ht="12.75" hidden="false" customHeight="false" outlineLevel="0" collapsed="false">
      <c r="A41" s="69"/>
      <c r="B41" s="14" t="s">
        <v>41</v>
      </c>
      <c r="E41" s="41" t="n">
        <f aca="false">'Assum. used in model'!$J$20</f>
        <v>0</v>
      </c>
      <c r="F41" s="41" t="n">
        <f aca="false">E41*(1+'Assum. used in model'!$H$20)</f>
        <v>0</v>
      </c>
      <c r="G41" s="41" t="n">
        <f aca="false">F41*(1+'Assum. used in model'!$H$20)</f>
        <v>0</v>
      </c>
      <c r="H41" s="41" t="n">
        <f aca="false">G41*(1+'Assum. used in model'!$H$20)</f>
        <v>0</v>
      </c>
      <c r="I41" s="41" t="n">
        <f aca="false">H41*(1+'Assum. used in model'!$H$20)</f>
        <v>0</v>
      </c>
      <c r="J41" s="41" t="n">
        <f aca="false">I41*(1+'Assum. used in model'!$H$20)</f>
        <v>0</v>
      </c>
      <c r="K41" s="41" t="n">
        <f aca="false">J41*(1+'Assum. used in model'!$H$20)</f>
        <v>0</v>
      </c>
      <c r="L41" s="41" t="n">
        <f aca="false">K41*(1+'Assum. used in model'!$H$20)</f>
        <v>0</v>
      </c>
      <c r="M41" s="41" t="n">
        <f aca="false">L41*(1+'Assum. used in model'!$H$20)</f>
        <v>0</v>
      </c>
      <c r="N41" s="41" t="n">
        <f aca="false">M41*(1+'Assum. used in model'!$H$20)</f>
        <v>0</v>
      </c>
      <c r="P41" s="41" t="n">
        <f aca="false">SUM(E41:N41)</f>
        <v>0</v>
      </c>
    </row>
    <row r="42" customFormat="false" ht="12.75" hidden="false" customHeight="false" outlineLevel="0" collapsed="false">
      <c r="A42" s="82"/>
      <c r="B42" s="31" t="s">
        <v>128</v>
      </c>
      <c r="C42" s="31"/>
      <c r="D42" s="31"/>
      <c r="E42" s="83" t="n">
        <v>0</v>
      </c>
      <c r="F42" s="41" t="n">
        <f aca="false">'Employee Reimbur.'!E31</f>
        <v>146813.65958591</v>
      </c>
      <c r="G42" s="41" t="n">
        <f aca="false">'Employee Reimbur.'!F31</f>
        <v>237326.191578445</v>
      </c>
      <c r="H42" s="41" t="n">
        <f aca="false">'Employee Reimbur.'!G31</f>
        <v>272632.602927255</v>
      </c>
      <c r="I42" s="41" t="n">
        <f aca="false">'Employee Reimbur.'!H31</f>
        <v>314654.893530734</v>
      </c>
      <c r="J42" s="41" t="n">
        <f aca="false">'Employee Reimbur.'!I31</f>
        <v>365863.178181931</v>
      </c>
      <c r="K42" s="41" t="n">
        <f aca="false">'Employee Reimbur.'!J31</f>
        <v>428062.5515818</v>
      </c>
      <c r="L42" s="41" t="n">
        <f aca="false">'Employee Reimbur.'!K31</f>
        <v>503403.590830178</v>
      </c>
      <c r="M42" s="41" t="n">
        <f aca="false">'Employee Reimbur.'!L31</f>
        <v>594469.75066438</v>
      </c>
      <c r="N42" s="41" t="n">
        <f aca="false">'Employee Reimbur.'!M31</f>
        <v>704364.042366951</v>
      </c>
      <c r="O42" s="31"/>
      <c r="P42" s="41" t="n">
        <f aca="false">SUM(E42:N42)</f>
        <v>3567590.46124759</v>
      </c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</row>
    <row r="43" customFormat="false" ht="12.75" hidden="false" customHeight="false" outlineLevel="0" collapsed="false">
      <c r="A43" s="69"/>
      <c r="B43" s="84" t="s">
        <v>129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P43" s="85"/>
    </row>
    <row r="44" customFormat="false" ht="13.5" hidden="false" customHeight="false" outlineLevel="0" collapsed="false">
      <c r="B44" s="86" t="s">
        <v>130</v>
      </c>
      <c r="C44" s="68"/>
      <c r="D44" s="68"/>
      <c r="E44" s="87" t="n">
        <f aca="false">SUM(E32:E43)</f>
        <v>0</v>
      </c>
      <c r="F44" s="87" t="n">
        <f aca="false">SUM(F32:F43)</f>
        <v>146813.65958591</v>
      </c>
      <c r="G44" s="87" t="n">
        <f aca="false">SUM(G32:G43)</f>
        <v>237326.191578445</v>
      </c>
      <c r="H44" s="87" t="n">
        <f aca="false">SUM(H32:H43)</f>
        <v>272632.602927255</v>
      </c>
      <c r="I44" s="87" t="n">
        <f aca="false">SUM(I32:I43)</f>
        <v>314654.893530734</v>
      </c>
      <c r="J44" s="87" t="n">
        <f aca="false">SUM(J32:J43)</f>
        <v>365863.178181931</v>
      </c>
      <c r="K44" s="87" t="n">
        <f aca="false">SUM(K32:K43)</f>
        <v>428062.5515818</v>
      </c>
      <c r="L44" s="87" t="n">
        <f aca="false">SUM(L32:L43)</f>
        <v>503403.590830178</v>
      </c>
      <c r="M44" s="87" t="n">
        <f aca="false">SUM(M32:M43)</f>
        <v>594469.75066438</v>
      </c>
      <c r="N44" s="87" t="n">
        <f aca="false">SUM(N32:N43)</f>
        <v>704364.042366951</v>
      </c>
      <c r="P44" s="87" t="n">
        <f aca="false">SUM(E44:N44)</f>
        <v>3567590.46124759</v>
      </c>
    </row>
    <row r="45" customFormat="false" ht="12.75" hidden="false" customHeight="false" outlineLevel="0" collapsed="false">
      <c r="E45" s="71"/>
      <c r="F45" s="71"/>
      <c r="G45" s="71"/>
      <c r="H45" s="71"/>
      <c r="I45" s="71"/>
      <c r="J45" s="71"/>
      <c r="K45" s="71"/>
      <c r="L45" s="71"/>
      <c r="M45" s="71"/>
      <c r="N45" s="71"/>
    </row>
    <row r="46" customFormat="false" ht="12.75" hidden="false" customHeight="false" outlineLevel="0" collapsed="false">
      <c r="E46" s="71"/>
      <c r="F46" s="41"/>
      <c r="G46" s="41"/>
      <c r="H46" s="41"/>
      <c r="I46" s="71"/>
      <c r="J46" s="71"/>
      <c r="K46" s="71"/>
      <c r="L46" s="71"/>
      <c r="M46" s="71"/>
      <c r="N46" s="71"/>
    </row>
    <row r="47" customFormat="false" ht="15.75" hidden="false" customHeight="false" outlineLevel="0" collapsed="false">
      <c r="A47" s="81" t="s">
        <v>131</v>
      </c>
      <c r="E47" s="71"/>
      <c r="F47" s="88"/>
      <c r="G47" s="88"/>
      <c r="H47" s="88"/>
      <c r="I47" s="88"/>
      <c r="J47" s="71"/>
      <c r="K47" s="71"/>
      <c r="L47" s="71"/>
      <c r="M47" s="71"/>
      <c r="N47" s="71"/>
    </row>
    <row r="48" customFormat="false" ht="6.75" hidden="false" customHeight="true" outlineLevel="0" collapsed="false">
      <c r="E48" s="71"/>
      <c r="F48" s="71"/>
      <c r="G48" s="71"/>
      <c r="H48" s="71"/>
      <c r="I48" s="71"/>
      <c r="J48" s="71"/>
      <c r="K48" s="71"/>
      <c r="L48" s="71"/>
      <c r="M48" s="71"/>
      <c r="N48" s="71"/>
    </row>
    <row r="49" customFormat="false" ht="12.75" hidden="false" customHeight="false" outlineLevel="0" collapsed="false">
      <c r="B49" s="14" t="s">
        <v>132</v>
      </c>
      <c r="E49" s="41" t="n">
        <f aca="false">'Assum. used in model'!$J$24*E18</f>
        <v>0</v>
      </c>
      <c r="F49" s="41" t="n">
        <f aca="false">'Assum. used in model'!$J$24*F18*(1+'Assum. used in model'!$H$24)</f>
        <v>6300000</v>
      </c>
      <c r="G49" s="41" t="n">
        <f aca="false">'Assum. used in model'!$J$24*G18*(1+'Assum. used in model'!$H$24)</f>
        <v>7560000</v>
      </c>
      <c r="H49" s="41" t="n">
        <f aca="false">'Assum. used in model'!$J$24*H18*(1+'Assum. used in model'!$H$24)</f>
        <v>9072000</v>
      </c>
      <c r="I49" s="41" t="n">
        <f aca="false">'Assum. used in model'!$J$24*I18*(1+'Assum. used in model'!$H$24)</f>
        <v>10886400</v>
      </c>
      <c r="J49" s="41" t="n">
        <f aca="false">'Assum. used in model'!$J$24*J18*(1+'Assum. used in model'!$H$24)</f>
        <v>13063680</v>
      </c>
      <c r="K49" s="41" t="n">
        <f aca="false">'Assum. used in model'!$J$24*K18*(1+'Assum. used in model'!$H$24)</f>
        <v>15676416</v>
      </c>
      <c r="L49" s="41" t="n">
        <f aca="false">'Assum. used in model'!$J$24*L18*(1+'Assum. used in model'!$H$24)</f>
        <v>18811699.2</v>
      </c>
      <c r="M49" s="41" t="n">
        <f aca="false">'Assum. used in model'!$J$24*M18*(1+'Assum. used in model'!$H$24)</f>
        <v>22574039.04</v>
      </c>
      <c r="N49" s="41" t="n">
        <f aca="false">'Assum. used in model'!$J$24*N18*(1+'Assum. used in model'!$H$24)</f>
        <v>27088846.848</v>
      </c>
      <c r="P49" s="41" t="n">
        <f aca="false">SUM(E49:N49)</f>
        <v>131033081.088</v>
      </c>
    </row>
    <row r="50" customFormat="false" ht="12.75" hidden="false" customHeight="false" outlineLevel="0" collapsed="false">
      <c r="A50" s="31"/>
      <c r="B50" s="89" t="s">
        <v>49</v>
      </c>
      <c r="C50" s="31"/>
      <c r="D50" s="31"/>
      <c r="E50" s="41" t="n">
        <f aca="false">'Assum. used in model'!$J$26*E18</f>
        <v>0</v>
      </c>
      <c r="F50" s="41" t="n">
        <f aca="false">'Assum. used in model'!$J$26*F18</f>
        <v>0</v>
      </c>
      <c r="G50" s="41" t="n">
        <f aca="false">'Assum. used in model'!$J$26*G18</f>
        <v>0</v>
      </c>
      <c r="H50" s="41" t="n">
        <f aca="false">'Assum. used in model'!$J$26*H18</f>
        <v>0</v>
      </c>
      <c r="I50" s="41" t="n">
        <f aca="false">'Assum. used in model'!$J$26*I18</f>
        <v>0</v>
      </c>
      <c r="J50" s="41" t="n">
        <f aca="false">'Assum. used in model'!$J$26*J18</f>
        <v>0</v>
      </c>
      <c r="K50" s="41" t="n">
        <f aca="false">'Assum. used in model'!$J$26*K18</f>
        <v>0</v>
      </c>
      <c r="L50" s="41" t="n">
        <f aca="false">'Assum. used in model'!$J$26*L18</f>
        <v>0</v>
      </c>
      <c r="M50" s="41" t="n">
        <f aca="false">'Assum. used in model'!$J$26*M18</f>
        <v>0</v>
      </c>
      <c r="N50" s="41" t="n">
        <f aca="false">'Assum. used in model'!$J$26*N18</f>
        <v>0</v>
      </c>
      <c r="O50" s="31"/>
      <c r="P50" s="41" t="n">
        <f aca="false">SUM(E50:N50)</f>
        <v>0</v>
      </c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</row>
    <row r="51" customFormat="false" ht="12.75" hidden="false" customHeight="false" outlineLevel="0" collapsed="false">
      <c r="A51" s="31"/>
      <c r="B51" s="14" t="s">
        <v>133</v>
      </c>
      <c r="C51" s="31"/>
      <c r="D51" s="31"/>
      <c r="E51" s="41" t="n">
        <f aca="false">('Assum. used in model'!$J$27*E22)*'Assum. used in model'!$J$39</f>
        <v>0</v>
      </c>
      <c r="F51" s="41" t="n">
        <f aca="false">('Assum. used in model'!$J$27*F22)*'Assum. used in model'!$J$39</f>
        <v>621000</v>
      </c>
      <c r="G51" s="41" t="n">
        <f aca="false">('Assum. used in model'!$J$31*G22)*'Assum. used in model'!$J$42</f>
        <v>1324800</v>
      </c>
      <c r="H51" s="41" t="n">
        <f aca="false">('Assum. used in model'!$J$35*H22)*'Assum. used in model'!$J$45</f>
        <v>2086560</v>
      </c>
      <c r="I51" s="41" t="n">
        <f aca="false">('Assum. used in model'!$J$35*I22)*'Assum. used in model'!$J$45</f>
        <v>2503872</v>
      </c>
      <c r="J51" s="41" t="n">
        <f aca="false">('Assum. used in model'!$J$35*J22)*'Assum. used in model'!$J$45</f>
        <v>3004646.4</v>
      </c>
      <c r="K51" s="41" t="n">
        <f aca="false">('Assum. used in model'!$J$35*K22)*'Assum. used in model'!$J$45</f>
        <v>3605575.68</v>
      </c>
      <c r="L51" s="41" t="n">
        <f aca="false">('Assum. used in model'!$J$35*L22)*'Assum. used in model'!$J$45</f>
        <v>4326690.816</v>
      </c>
      <c r="M51" s="41" t="n">
        <f aca="false">('Assum. used in model'!$J$35*M22)*'Assum. used in model'!$J$45</f>
        <v>5192028.9792</v>
      </c>
      <c r="N51" s="41" t="n">
        <f aca="false">('Assum. used in model'!$J$35*N22)*'Assum. used in model'!$J$45</f>
        <v>6230434.77504</v>
      </c>
      <c r="O51" s="31"/>
      <c r="P51" s="41" t="n">
        <f aca="false">SUM(E51:N51)</f>
        <v>28895608.65024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1"/>
    </row>
    <row r="52" customFormat="false" ht="12.75" hidden="false" customHeight="false" outlineLevel="0" collapsed="false">
      <c r="A52" s="31"/>
      <c r="B52" s="14" t="s">
        <v>134</v>
      </c>
      <c r="C52" s="31"/>
      <c r="D52" s="31"/>
      <c r="E52" s="41" t="n">
        <f aca="false">('Assum. used in model'!$J$28*E22)*'Assum. used in model'!$J$42</f>
        <v>0</v>
      </c>
      <c r="F52" s="41" t="n">
        <f aca="false">('Assum. used in model'!$J$28*F22)*'Assum. used in model'!$J$40</f>
        <v>1656000</v>
      </c>
      <c r="G52" s="41" t="n">
        <f aca="false">('Assum. used in model'!$J$32*G22)*'Assum. used in model'!$J$43</f>
        <v>1545600</v>
      </c>
      <c r="H52" s="41" t="n">
        <f aca="false">('Assum. used in model'!$J$36*H22)*'Assum. used in model'!$J$46</f>
        <v>1391040</v>
      </c>
      <c r="I52" s="41" t="n">
        <f aca="false">('Assum. used in model'!$J$36*I22)*'Assum. used in model'!$J$46</f>
        <v>1669248</v>
      </c>
      <c r="J52" s="41" t="n">
        <f aca="false">('Assum. used in model'!$J$36*J22)*'Assum. used in model'!$J$46</f>
        <v>2003097.6</v>
      </c>
      <c r="K52" s="41" t="n">
        <f aca="false">('Assum. used in model'!$J$36*K22)*'Assum. used in model'!$J$46</f>
        <v>2403717.12</v>
      </c>
      <c r="L52" s="41" t="n">
        <f aca="false">('Assum. used in model'!$J$36*L22)*'Assum. used in model'!$J$46</f>
        <v>2884460.544</v>
      </c>
      <c r="M52" s="41" t="n">
        <f aca="false">('Assum. used in model'!$J$36*M22)*'Assum. used in model'!$J$46</f>
        <v>3461352.6528</v>
      </c>
      <c r="N52" s="41" t="n">
        <f aca="false">('Assum. used in model'!$J$36*N22)*'Assum. used in model'!$J$46</f>
        <v>4153623.18336</v>
      </c>
      <c r="O52" s="31"/>
      <c r="P52" s="41" t="n">
        <f aca="false">SUM(E52:N52)</f>
        <v>21168139.10016</v>
      </c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</row>
    <row r="53" customFormat="false" ht="12.75" hidden="false" customHeight="false" outlineLevel="0" collapsed="false">
      <c r="A53" s="31"/>
      <c r="B53" s="14" t="s">
        <v>135</v>
      </c>
      <c r="C53" s="31"/>
      <c r="D53" s="31"/>
      <c r="E53" s="41"/>
      <c r="F53" s="41" t="n">
        <f aca="false">('Assum. used in model'!$J$29*F22)*'Assum. used in model'!$J$41</f>
        <v>3105000</v>
      </c>
      <c r="G53" s="41" t="n">
        <f aca="false">('Assum. used in model'!$J$33*G22)*'Assum. used in model'!$J$44</f>
        <v>2870400</v>
      </c>
      <c r="H53" s="41" t="n">
        <f aca="false">('Assum. used in model'!$J$37*H22)*'Assum. used in model'!$J$47</f>
        <v>2550240</v>
      </c>
      <c r="I53" s="41" t="n">
        <f aca="false">('Assum. used in model'!$J$37*I22)*'Assum. used in model'!$J$47</f>
        <v>3060288</v>
      </c>
      <c r="J53" s="41" t="n">
        <f aca="false">('Assum. used in model'!$J$37*J22)*'Assum. used in model'!$J$47</f>
        <v>3672345.6</v>
      </c>
      <c r="K53" s="41" t="n">
        <f aca="false">('Assum. used in model'!$J$37*K22)*'Assum. used in model'!$J$47</f>
        <v>4406814.72</v>
      </c>
      <c r="L53" s="41" t="n">
        <f aca="false">('Assum. used in model'!$J$37*L22)*'Assum. used in model'!$J$47</f>
        <v>5288177.664</v>
      </c>
      <c r="M53" s="41" t="n">
        <f aca="false">('Assum. used in model'!$J$37*M22)*'Assum. used in model'!$J$47</f>
        <v>6345813.1968</v>
      </c>
      <c r="N53" s="41" t="n">
        <f aca="false">('Assum. used in model'!$J$37*N22)*'Assum. used in model'!$J$47</f>
        <v>7614975.83616</v>
      </c>
      <c r="O53" s="31"/>
      <c r="P53" s="4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</row>
    <row r="54" customFormat="false" ht="12.75" hidden="false" customHeight="false" outlineLevel="0" collapsed="false">
      <c r="B54" s="14" t="s">
        <v>136</v>
      </c>
      <c r="E54" s="41" t="n">
        <f aca="false">(('Assum. used in model'!$J$30*E22)+E26)*'Assum. used in model'!$J$48</f>
        <v>0</v>
      </c>
      <c r="F54" s="41" t="n">
        <f aca="false">(('Assum. used in model'!$J$30*F22)+F26)*'Assum. used in model'!$J$48</f>
        <v>834000</v>
      </c>
      <c r="G54" s="41" t="n">
        <f aca="false">(('Assum. used in model'!$J$34*G22)+G26)*'Assum. used in model'!$J$48</f>
        <v>945600</v>
      </c>
      <c r="H54" s="41" t="n">
        <f aca="false">(('Assum. used in model'!$J$38*H22)+H26)*'Assum. used in model'!$J$48</f>
        <v>1068480</v>
      </c>
      <c r="I54" s="41" t="n">
        <f aca="false">(('Assum. used in model'!$J$38*I22)+I26)*'Assum. used in model'!$J$48</f>
        <v>1282176</v>
      </c>
      <c r="J54" s="41" t="n">
        <f aca="false">(('Assum. used in model'!$J$38*J22)+J26)*'Assum. used in model'!$J$48</f>
        <v>1538611.2</v>
      </c>
      <c r="K54" s="41" t="n">
        <f aca="false">(('Assum. used in model'!$J$38*K22)+K26)*'Assum. used in model'!$J$48</f>
        <v>1846333.44</v>
      </c>
      <c r="L54" s="41" t="n">
        <f aca="false">(('Assum. used in model'!$J$38*L22)+L26)*'Assum. used in model'!$J$48</f>
        <v>2215600.128</v>
      </c>
      <c r="M54" s="41" t="n">
        <f aca="false">(('Assum. used in model'!$J$38*M22)+M26)*'Assum. used in model'!$J$48</f>
        <v>2658720.1536</v>
      </c>
      <c r="N54" s="41" t="n">
        <f aca="false">(('Assum. used in model'!$J$38*N22)+N26)*'Assum. used in model'!$J$48</f>
        <v>3190464.18432</v>
      </c>
      <c r="P54" s="41" t="n">
        <f aca="false">SUM(E54:N54)</f>
        <v>15579985.10592</v>
      </c>
    </row>
    <row r="55" customFormat="false" ht="12.75" hidden="false" customHeight="false" outlineLevel="0" collapsed="false">
      <c r="B55" s="90" t="s">
        <v>137</v>
      </c>
      <c r="E55" s="41" t="n">
        <f aca="false">'Assum. used in model'!$J$49*(E21+E25)</f>
        <v>0</v>
      </c>
      <c r="F55" s="41" t="n">
        <f aca="false">'Assum. used in model'!$J$49*(F21+F25)</f>
        <v>2025000</v>
      </c>
      <c r="G55" s="41" t="n">
        <f aca="false">'Assum. used in model'!$J$49*(G21+G25)</f>
        <v>405000</v>
      </c>
      <c r="H55" s="41" t="n">
        <f aca="false">'Assum. used in model'!$J$49*(H21+H25)</f>
        <v>486000</v>
      </c>
      <c r="I55" s="41" t="n">
        <f aca="false">'Assum. used in model'!$J$49*(I21+I25)</f>
        <v>583200</v>
      </c>
      <c r="J55" s="41" t="n">
        <f aca="false">'Assum. used in model'!$J$49*(J21+J25)</f>
        <v>699840</v>
      </c>
      <c r="K55" s="41" t="n">
        <f aca="false">'Assum. used in model'!$J$49*(K21+K25)</f>
        <v>839808</v>
      </c>
      <c r="L55" s="41" t="n">
        <f aca="false">'Assum. used in model'!$J$49*(L21+L25)</f>
        <v>1007769.6</v>
      </c>
      <c r="M55" s="41" t="n">
        <f aca="false">'Assum. used in model'!$J$49*(M21+M25)</f>
        <v>1209323.52</v>
      </c>
      <c r="N55" s="41" t="n">
        <f aca="false">'Assum. used in model'!$J$49*(N21+N25)</f>
        <v>1451188.224</v>
      </c>
      <c r="P55" s="41" t="n">
        <f aca="false">SUM(E55:N55)</f>
        <v>8707129.344</v>
      </c>
    </row>
    <row r="56" customFormat="false" ht="12.75" hidden="false" customHeight="false" outlineLevel="0" collapsed="false">
      <c r="B56" s="14" t="s">
        <v>138</v>
      </c>
      <c r="E56" s="83" t="n">
        <v>0</v>
      </c>
      <c r="F56" s="41" t="n">
        <f aca="false">'Assum. used in model'!$J$54*(1+'Assum. used in model'!$H$54)</f>
        <v>-630000</v>
      </c>
      <c r="G56" s="41" t="n">
        <f aca="false">F56*(1+'Assum. used in model'!$H$54)</f>
        <v>-630000</v>
      </c>
      <c r="H56" s="41" t="n">
        <f aca="false">G56*(1+'Assum. used in model'!$H$54)</f>
        <v>-630000</v>
      </c>
      <c r="I56" s="41" t="n">
        <f aca="false">H56*(1+'Assum. used in model'!$H$54)</f>
        <v>-630000</v>
      </c>
      <c r="J56" s="41" t="n">
        <f aca="false">I56*(1+'Assum. used in model'!$H$54)</f>
        <v>-630000</v>
      </c>
      <c r="K56" s="41" t="n">
        <f aca="false">J56*(1+'Assum. used in model'!$H$54)</f>
        <v>-630000</v>
      </c>
      <c r="L56" s="41" t="n">
        <f aca="false">K56*(1+'Assum. used in model'!$H$54)</f>
        <v>-630000</v>
      </c>
      <c r="M56" s="41" t="n">
        <f aca="false">L56*(1+'Assum. used in model'!$H$54)</f>
        <v>-630000</v>
      </c>
      <c r="N56" s="41" t="n">
        <f aca="false">M56*(1+'Assum. used in model'!$H$54)</f>
        <v>-630000</v>
      </c>
      <c r="P56" s="41" t="n">
        <f aca="false">SUM(E56:N56)</f>
        <v>-5670000</v>
      </c>
    </row>
    <row r="57" customFormat="false" ht="12.75" hidden="false" customHeight="false" outlineLevel="0" collapsed="false">
      <c r="B57" s="14" t="s">
        <v>139</v>
      </c>
      <c r="E57" s="41" t="n">
        <f aca="false">'Assum. used in model'!$J$55*(E11+E15)</f>
        <v>0</v>
      </c>
      <c r="F57" s="41" t="n">
        <f aca="false">'Assum. used in model'!$J$55*(F11+F15)</f>
        <v>0</v>
      </c>
      <c r="G57" s="41" t="n">
        <f aca="false">'Assum. used in model'!$J$55*(G11+G15)</f>
        <v>0</v>
      </c>
      <c r="H57" s="41" t="n">
        <f aca="false">'Assum. used in model'!$J$55*(H11+H15)</f>
        <v>0</v>
      </c>
      <c r="I57" s="41" t="n">
        <f aca="false">'Assum. used in model'!$J$55*(I11+I15)</f>
        <v>0</v>
      </c>
      <c r="J57" s="41" t="n">
        <f aca="false">'Assum. used in model'!$J$55*(J11+J15)</f>
        <v>0</v>
      </c>
      <c r="K57" s="41" t="n">
        <f aca="false">'Assum. used in model'!$J$55*(K11+K15)</f>
        <v>0</v>
      </c>
      <c r="L57" s="41" t="n">
        <f aca="false">'Assum. used in model'!$J$55*(L11+L15)</f>
        <v>0</v>
      </c>
      <c r="M57" s="41" t="n">
        <f aca="false">'Assum. used in model'!$J$55*(M11+M15)</f>
        <v>0</v>
      </c>
      <c r="N57" s="41" t="n">
        <f aca="false">'Assum. used in model'!$J$55*(N11+N15)</f>
        <v>0</v>
      </c>
      <c r="P57" s="41" t="n">
        <f aca="false">SUM(E57:N57)</f>
        <v>0</v>
      </c>
    </row>
    <row r="58" customFormat="false" ht="12.75" hidden="false" customHeight="false" outlineLevel="0" collapsed="false">
      <c r="B58" s="14" t="s">
        <v>140</v>
      </c>
      <c r="E58" s="83" t="n">
        <v>0</v>
      </c>
      <c r="F58" s="41" t="n">
        <f aca="false">'Assum. used in model'!$J$57</f>
        <v>500000</v>
      </c>
      <c r="G58" s="83" t="n">
        <v>0</v>
      </c>
      <c r="H58" s="83" t="n">
        <v>0</v>
      </c>
      <c r="I58" s="83" t="n">
        <v>0</v>
      </c>
      <c r="J58" s="83" t="n">
        <v>0</v>
      </c>
      <c r="K58" s="83" t="n">
        <v>0</v>
      </c>
      <c r="L58" s="83" t="n">
        <v>0</v>
      </c>
      <c r="M58" s="83" t="n">
        <v>0</v>
      </c>
      <c r="N58" s="83" t="n">
        <v>0</v>
      </c>
      <c r="P58" s="41" t="n">
        <f aca="false">SUM(F58:N58)</f>
        <v>500000</v>
      </c>
    </row>
    <row r="59" customFormat="false" ht="12.75" hidden="false" customHeight="false" outlineLevel="0" collapsed="false">
      <c r="B59" s="14" t="s">
        <v>141</v>
      </c>
      <c r="E59" s="83" t="n">
        <v>0</v>
      </c>
      <c r="F59" s="41" t="n">
        <f aca="false">'Assum. used in model'!$J$58</f>
        <v>500000</v>
      </c>
      <c r="G59" s="83" t="n">
        <v>0</v>
      </c>
      <c r="H59" s="83" t="n">
        <v>0</v>
      </c>
      <c r="I59" s="83" t="n">
        <v>0</v>
      </c>
      <c r="J59" s="83" t="n">
        <v>0</v>
      </c>
      <c r="K59" s="83" t="n">
        <v>0</v>
      </c>
      <c r="L59" s="83" t="n">
        <v>0</v>
      </c>
      <c r="M59" s="83" t="n">
        <v>0</v>
      </c>
      <c r="N59" s="83" t="n">
        <v>0</v>
      </c>
      <c r="P59" s="41" t="n">
        <f aca="false">SUM(E59:N59)</f>
        <v>500000</v>
      </c>
    </row>
    <row r="60" customFormat="false" ht="12.75" hidden="false" customHeight="false" outlineLevel="0" collapsed="false">
      <c r="B60" s="90" t="s">
        <v>88</v>
      </c>
      <c r="E60" s="83" t="n">
        <v>0</v>
      </c>
      <c r="F60" s="41" t="n">
        <f aca="false">'Assum. used in model'!$J$61*(1+'Assum. used in model'!$H$61)</f>
        <v>432000</v>
      </c>
      <c r="G60" s="41" t="n">
        <f aca="false">F60*(1+'Assum. used in model'!$H$61)</f>
        <v>432000</v>
      </c>
      <c r="H60" s="41" t="n">
        <f aca="false">G60*(1+'Assum. used in model'!$H$61)</f>
        <v>432000</v>
      </c>
      <c r="I60" s="41" t="n">
        <f aca="false">H60*(1+'Assum. used in model'!$H$61)</f>
        <v>432000</v>
      </c>
      <c r="J60" s="41" t="n">
        <f aca="false">I60*(1+'Assum. used in model'!$H$61)</f>
        <v>432000</v>
      </c>
      <c r="K60" s="41" t="n">
        <f aca="false">J60*(1+'Assum. used in model'!$H$61)</f>
        <v>432000</v>
      </c>
      <c r="L60" s="41" t="n">
        <f aca="false">K60*(1+'Assum. used in model'!$H$61)</f>
        <v>432000</v>
      </c>
      <c r="M60" s="41" t="n">
        <f aca="false">L60*(1+'Assum. used in model'!$H$61)</f>
        <v>432000</v>
      </c>
      <c r="N60" s="41" t="n">
        <f aca="false">M60*(1+'Assum. used in model'!$H$61)</f>
        <v>432000</v>
      </c>
      <c r="P60" s="41" t="n">
        <f aca="false">SUM(E60:N60)</f>
        <v>3888000</v>
      </c>
    </row>
    <row r="61" customFormat="false" ht="12.75" hidden="false" customHeight="false" outlineLevel="0" collapsed="false">
      <c r="B61" s="90" t="s">
        <v>89</v>
      </c>
      <c r="E61" s="83" t="n">
        <v>0</v>
      </c>
      <c r="F61" s="41" t="n">
        <f aca="false">'Assum. used in model'!$J$62</f>
        <v>81188</v>
      </c>
      <c r="G61" s="83" t="n">
        <v>0</v>
      </c>
      <c r="H61" s="83" t="n">
        <v>0</v>
      </c>
      <c r="I61" s="83" t="n">
        <v>0</v>
      </c>
      <c r="J61" s="83" t="n">
        <v>0</v>
      </c>
      <c r="K61" s="83" t="n">
        <v>0</v>
      </c>
      <c r="L61" s="83" t="n">
        <v>0</v>
      </c>
      <c r="M61" s="83" t="n">
        <v>0</v>
      </c>
      <c r="N61" s="83" t="n">
        <v>0</v>
      </c>
      <c r="P61" s="41" t="n">
        <f aca="false">SUM(F61:N61)</f>
        <v>81188</v>
      </c>
    </row>
    <row r="62" customFormat="false" ht="12.75" hidden="false" customHeight="false" outlineLevel="0" collapsed="false">
      <c r="B62" s="14" t="s">
        <v>142</v>
      </c>
      <c r="E62" s="83" t="n">
        <v>0</v>
      </c>
      <c r="F62" s="41" t="n">
        <f aca="false">'Assum. used in model'!$J$63*(1+'Assum. used in model'!$H$63)</f>
        <v>0</v>
      </c>
      <c r="G62" s="41" t="n">
        <f aca="false">F62*(1+'Assum. used in model'!$H$63)</f>
        <v>0</v>
      </c>
      <c r="H62" s="41" t="n">
        <f aca="false">G62*(1+'Assum. used in model'!$H$63)</f>
        <v>0</v>
      </c>
      <c r="I62" s="41" t="n">
        <f aca="false">H62*(1+'Assum. used in model'!$H$63)</f>
        <v>0</v>
      </c>
      <c r="J62" s="41" t="n">
        <f aca="false">I62*(1+'Assum. used in model'!$H$63)</f>
        <v>0</v>
      </c>
      <c r="K62" s="41" t="n">
        <f aca="false">J62*(1+'Assum. used in model'!$H$63)</f>
        <v>0</v>
      </c>
      <c r="L62" s="41" t="n">
        <f aca="false">K62*(1+'Assum. used in model'!$H$63)</f>
        <v>0</v>
      </c>
      <c r="M62" s="41" t="n">
        <f aca="false">L62*(1+'Assum. used in model'!$H$63)</f>
        <v>0</v>
      </c>
      <c r="N62" s="41" t="n">
        <f aca="false">M62*(1+'Assum. used in model'!$H$63)</f>
        <v>0</v>
      </c>
      <c r="P62" s="41" t="n">
        <f aca="false">SUM(E62:N62)</f>
        <v>0</v>
      </c>
    </row>
    <row r="63" customFormat="false" ht="12.75" hidden="false" customHeight="false" outlineLevel="0" collapsed="false">
      <c r="B63" s="89" t="s">
        <v>143</v>
      </c>
      <c r="E63" s="41" t="n">
        <f aca="false">'Assum. used in model'!$J$56*(E21+E25)</f>
        <v>0</v>
      </c>
      <c r="F63" s="41" t="n">
        <f aca="false">(F11+F15)*'Assum. used in model'!$J$56</f>
        <v>2595000</v>
      </c>
      <c r="G63" s="41" t="n">
        <f aca="false">(G11+G15)*'Assum. used in model'!$J$56</f>
        <v>519000</v>
      </c>
      <c r="H63" s="41" t="n">
        <f aca="false">(H11+H15)*'Assum. used in model'!$J$56</f>
        <v>622800</v>
      </c>
      <c r="I63" s="41" t="n">
        <f aca="false">(I11+I15)*'Assum. used in model'!$J$56</f>
        <v>747360</v>
      </c>
      <c r="J63" s="41" t="n">
        <f aca="false">(J11+J15)*'Assum. used in model'!$J$56</f>
        <v>896832</v>
      </c>
      <c r="K63" s="41" t="n">
        <f aca="false">(K11+K15)*'Assum. used in model'!$J$56</f>
        <v>1076198.4</v>
      </c>
      <c r="L63" s="41" t="n">
        <f aca="false">(L11+L15)*'Assum. used in model'!$J$56</f>
        <v>1291438.08</v>
      </c>
      <c r="M63" s="41" t="n">
        <f aca="false">(M11+M15)*'Assum. used in model'!$J$56</f>
        <v>1549725.696</v>
      </c>
      <c r="N63" s="41" t="n">
        <f aca="false">(N11+N15)*'Assum. used in model'!$J$56</f>
        <v>1859670.8352</v>
      </c>
      <c r="P63" s="41" t="n">
        <f aca="false">SUM(E63:N63)</f>
        <v>11158025.0112</v>
      </c>
    </row>
    <row r="64" customFormat="false" ht="12.75" hidden="false" customHeight="false" outlineLevel="0" collapsed="false">
      <c r="A64" s="69"/>
      <c r="B64" s="1" t="s">
        <v>144</v>
      </c>
      <c r="E64" s="83" t="n">
        <v>0</v>
      </c>
      <c r="F64" s="41" t="n">
        <f aca="false">'Assum. used in model'!$J$64*(1+'Assum. used in model'!$H$64)</f>
        <v>0</v>
      </c>
      <c r="G64" s="41" t="n">
        <f aca="false">F64*(1+'Assum. used in model'!$H$64)</f>
        <v>0</v>
      </c>
      <c r="H64" s="41" t="n">
        <f aca="false">G64*(1+'Assum. used in model'!$H$64)</f>
        <v>0</v>
      </c>
      <c r="I64" s="41" t="n">
        <f aca="false">H64*(1+'Assum. used in model'!$H$64)</f>
        <v>0</v>
      </c>
      <c r="J64" s="41" t="n">
        <f aca="false">I64*(1+'Assum. used in model'!$H$64)</f>
        <v>0</v>
      </c>
      <c r="K64" s="41" t="n">
        <f aca="false">J64*(1+'Assum. used in model'!$H$64)</f>
        <v>0</v>
      </c>
      <c r="L64" s="41" t="n">
        <f aca="false">K64*(1+'Assum. used in model'!$H$64)</f>
        <v>0</v>
      </c>
      <c r="M64" s="41" t="n">
        <f aca="false">L64*(1+'Assum. used in model'!$H$64)</f>
        <v>0</v>
      </c>
      <c r="N64" s="41" t="n">
        <f aca="false">M64*(1+'Assum. used in model'!$H$64)</f>
        <v>0</v>
      </c>
      <c r="P64" s="41" t="n">
        <f aca="false">SUM(E64:N64)</f>
        <v>0</v>
      </c>
    </row>
    <row r="65" customFormat="false" ht="12.75" hidden="false" customHeight="false" outlineLevel="0" collapsed="false">
      <c r="A65" s="69"/>
      <c r="B65" s="1" t="s">
        <v>145</v>
      </c>
      <c r="E65" s="83" t="n">
        <v>0</v>
      </c>
      <c r="F65" s="41" t="n">
        <f aca="false">'Assum. used in model'!$J$65*(1+'Assum. used in model'!$H$65)</f>
        <v>-442050</v>
      </c>
      <c r="G65" s="41" t="n">
        <f aca="false">F65*(1+'Assum. used in model'!$H$65)</f>
        <v>-442050</v>
      </c>
      <c r="H65" s="41" t="n">
        <f aca="false">G65*(1+'Assum. used in model'!$H$65)</f>
        <v>-442050</v>
      </c>
      <c r="I65" s="41" t="n">
        <f aca="false">H65*(1+'Assum. used in model'!$H$65)</f>
        <v>-442050</v>
      </c>
      <c r="J65" s="41" t="n">
        <f aca="false">I65*(1+'Assum. used in model'!$H$65)</f>
        <v>-442050</v>
      </c>
      <c r="K65" s="41" t="n">
        <f aca="false">J65*(1+'Assum. used in model'!$H$65)</f>
        <v>-442050</v>
      </c>
      <c r="L65" s="41" t="n">
        <f aca="false">K65*(1+'Assum. used in model'!$H$65)</f>
        <v>-442050</v>
      </c>
      <c r="M65" s="41" t="n">
        <f aca="false">L65*(1+'Assum. used in model'!$H$65)</f>
        <v>-442050</v>
      </c>
      <c r="N65" s="41" t="n">
        <f aca="false">M65*(1+'Assum. used in model'!$H$65)</f>
        <v>-442050</v>
      </c>
      <c r="P65" s="41" t="n">
        <f aca="false">SUM(E65:N65)</f>
        <v>-3978450</v>
      </c>
    </row>
    <row r="66" customFormat="false" ht="12.75" hidden="false" customHeight="false" outlineLevel="0" collapsed="false">
      <c r="A66" s="69"/>
      <c r="B66" s="14" t="s">
        <v>146</v>
      </c>
      <c r="E66" s="83" t="n">
        <v>0</v>
      </c>
      <c r="F66" s="41" t="n">
        <f aca="false">'Assum. used in model'!$J$66*(1+'Assum. used in model'!$H$66)</f>
        <v>-175000</v>
      </c>
      <c r="G66" s="41" t="n">
        <f aca="false">F66*(1+'Assum. used in model'!$H$66)</f>
        <v>-175000</v>
      </c>
      <c r="H66" s="41" t="n">
        <f aca="false">G66*(1+'Assum. used in model'!$H$66)</f>
        <v>-175000</v>
      </c>
      <c r="I66" s="41" t="n">
        <f aca="false">H66*(1+'Assum. used in model'!$H$66)</f>
        <v>-175000</v>
      </c>
      <c r="J66" s="41" t="n">
        <f aca="false">I66*(1+'Assum. used in model'!$H$66)</f>
        <v>-175000</v>
      </c>
      <c r="K66" s="41" t="n">
        <f aca="false">J66*(1+'Assum. used in model'!$H$66)</f>
        <v>-175000</v>
      </c>
      <c r="L66" s="41" t="n">
        <f aca="false">K66*(1+'Assum. used in model'!$H$66)</f>
        <v>-175000</v>
      </c>
      <c r="M66" s="41" t="n">
        <f aca="false">L66*(1+'Assum. used in model'!$H$66)</f>
        <v>-175000</v>
      </c>
      <c r="N66" s="41" t="n">
        <f aca="false">M66*(1+'Assum. used in model'!$H$66)</f>
        <v>-175000</v>
      </c>
      <c r="P66" s="41" t="n">
        <f aca="false">SUM(E66:N66)</f>
        <v>-1575000</v>
      </c>
    </row>
    <row r="67" customFormat="false" ht="12.75" hidden="false" customHeight="false" outlineLevel="0" collapsed="false">
      <c r="A67" s="69"/>
      <c r="B67" s="1" t="s">
        <v>94</v>
      </c>
      <c r="E67" s="83" t="n">
        <v>0</v>
      </c>
      <c r="F67" s="41" t="n">
        <f aca="false">'Assum. used in model'!$J$67*(1+'Assum. used in model'!$H$67)</f>
        <v>0</v>
      </c>
      <c r="G67" s="41" t="n">
        <f aca="false">F67*(1+'Assum. used in model'!$H$67)</f>
        <v>0</v>
      </c>
      <c r="H67" s="41" t="n">
        <f aca="false">G67*(1+'Assum. used in model'!$H$67)</f>
        <v>0</v>
      </c>
      <c r="I67" s="41" t="n">
        <f aca="false">H67*(1+'Assum. used in model'!$H$67)</f>
        <v>0</v>
      </c>
      <c r="J67" s="41" t="n">
        <f aca="false">I67*(1+'Assum. used in model'!$H$67)</f>
        <v>0</v>
      </c>
      <c r="K67" s="41" t="n">
        <f aca="false">J67*(1+'Assum. used in model'!$H$67)</f>
        <v>0</v>
      </c>
      <c r="L67" s="41" t="n">
        <f aca="false">K67*(1+'Assum. used in model'!$H$67)</f>
        <v>0</v>
      </c>
      <c r="M67" s="41" t="n">
        <f aca="false">L67*(1+'Assum. used in model'!$H$67)</f>
        <v>0</v>
      </c>
      <c r="N67" s="41" t="n">
        <f aca="false">M67*(1+'Assum. used in model'!$H$67)</f>
        <v>0</v>
      </c>
      <c r="P67" s="41" t="n">
        <f aca="false">SUM(E67:N67)</f>
        <v>0</v>
      </c>
    </row>
    <row r="68" customFormat="false" ht="12.75" hidden="false" customHeight="false" outlineLevel="0" collapsed="false">
      <c r="A68" s="69"/>
      <c r="B68" s="14" t="s">
        <v>147</v>
      </c>
      <c r="E68" s="83" t="n">
        <v>0</v>
      </c>
      <c r="F68" s="41" t="n">
        <f aca="false">'Assum. used in model'!$J$68*(1+'Assum. used in model'!$H$68)</f>
        <v>0</v>
      </c>
      <c r="G68" s="41" t="n">
        <f aca="false">F68*(1+'Assum. used in model'!$H$68)</f>
        <v>0</v>
      </c>
      <c r="H68" s="41" t="n">
        <f aca="false">G68*(1+'Assum. used in model'!$H$68)</f>
        <v>0</v>
      </c>
      <c r="I68" s="41" t="n">
        <f aca="false">H68*(1+'Assum. used in model'!$H$68)</f>
        <v>0</v>
      </c>
      <c r="J68" s="41" t="n">
        <f aca="false">I68*(1+'Assum. used in model'!$H$68)</f>
        <v>0</v>
      </c>
      <c r="K68" s="41" t="n">
        <f aca="false">J68*(1+'Assum. used in model'!$H$68)</f>
        <v>0</v>
      </c>
      <c r="L68" s="41" t="n">
        <f aca="false">K68*(1+'Assum. used in model'!$H$68)</f>
        <v>0</v>
      </c>
      <c r="M68" s="41" t="n">
        <f aca="false">L68*(1+'Assum. used in model'!$H$68)</f>
        <v>0</v>
      </c>
      <c r="N68" s="41" t="n">
        <f aca="false">M68*(1+'Assum. used in model'!$H$68)</f>
        <v>0</v>
      </c>
      <c r="P68" s="41" t="n">
        <f aca="false">SUM(E68:N68)</f>
        <v>0</v>
      </c>
    </row>
    <row r="69" customFormat="false" ht="12.75" hidden="false" customHeight="false" outlineLevel="0" collapsed="false">
      <c r="B69" s="90" t="s">
        <v>87</v>
      </c>
      <c r="E69" s="83" t="n">
        <v>0</v>
      </c>
      <c r="F69" s="41" t="n">
        <f aca="false">'Assum. used in model'!$J$60*(1+'Assum. used in model'!$H$60)</f>
        <v>500000</v>
      </c>
      <c r="G69" s="41" t="n">
        <f aca="false">F69*(1+'Assum. used in model'!$H$60)</f>
        <v>500000</v>
      </c>
      <c r="H69" s="41" t="n">
        <f aca="false">G69*(1+'Assum. used in model'!$H$60)</f>
        <v>500000</v>
      </c>
      <c r="I69" s="41" t="n">
        <f aca="false">H69*(1+'Assum. used in model'!$H$60)</f>
        <v>500000</v>
      </c>
      <c r="J69" s="41" t="n">
        <f aca="false">I69*(1+'Assum. used in model'!$H$60)</f>
        <v>500000</v>
      </c>
      <c r="K69" s="41" t="n">
        <f aca="false">J69*(1+'Assum. used in model'!$H$60)</f>
        <v>500000</v>
      </c>
      <c r="L69" s="41" t="n">
        <f aca="false">K69*(1+'Assum. used in model'!$H$60)</f>
        <v>500000</v>
      </c>
      <c r="M69" s="41" t="n">
        <f aca="false">L69*(1+'Assum. used in model'!$H$60)</f>
        <v>500000</v>
      </c>
      <c r="N69" s="41" t="n">
        <f aca="false">M69*(1+'Assum. used in model'!$H$60)</f>
        <v>500000</v>
      </c>
      <c r="P69" s="41" t="n">
        <f aca="false">SUM(E69:N69)</f>
        <v>4500000</v>
      </c>
    </row>
    <row r="70" customFormat="false" ht="12.75" hidden="false" customHeight="false" outlineLevel="0" collapsed="false">
      <c r="B70" s="14" t="s">
        <v>148</v>
      </c>
      <c r="E70" s="83" t="n">
        <v>0</v>
      </c>
      <c r="F70" s="41" t="n">
        <f aca="false">'Assum. used in model'!$J$59*(1+'Assum. used in model'!$H$59)</f>
        <v>0</v>
      </c>
      <c r="G70" s="41" t="n">
        <f aca="false">F70*(1+'Assum. used in model'!$H$59)</f>
        <v>0</v>
      </c>
      <c r="H70" s="41" t="n">
        <f aca="false">G70*(1+'Assum. used in model'!$H$59)</f>
        <v>0</v>
      </c>
      <c r="I70" s="41" t="n">
        <f aca="false">H70*(1+'Assum. used in model'!$H$59)</f>
        <v>0</v>
      </c>
      <c r="J70" s="41" t="n">
        <f aca="false">I70*(1+'Assum. used in model'!$H$59)</f>
        <v>0</v>
      </c>
      <c r="K70" s="41" t="n">
        <f aca="false">J70*(1+'Assum. used in model'!$H$59)</f>
        <v>0</v>
      </c>
      <c r="L70" s="41" t="n">
        <f aca="false">K70*(1+'Assum. used in model'!$H$59)</f>
        <v>0</v>
      </c>
      <c r="M70" s="41" t="n">
        <f aca="false">L70*(1+'Assum. used in model'!$H$59)</f>
        <v>0</v>
      </c>
      <c r="N70" s="41" t="n">
        <f aca="false">M70*(1+'Assum. used in model'!$H$59)</f>
        <v>0</v>
      </c>
      <c r="P70" s="41" t="n">
        <f aca="false">SUM(E70:N70)</f>
        <v>0</v>
      </c>
    </row>
    <row r="71" customFormat="false" ht="12.75" hidden="false" customHeight="false" outlineLevel="0" collapsed="false">
      <c r="B71" s="91" t="s">
        <v>149</v>
      </c>
      <c r="E71" s="85" t="n">
        <f aca="false">'Assum. used in model'!$J$75*(E49+E55+E61+E63)</f>
        <v>0</v>
      </c>
      <c r="F71" s="85"/>
      <c r="G71" s="85"/>
      <c r="H71" s="85"/>
      <c r="I71" s="85"/>
      <c r="J71" s="85"/>
      <c r="K71" s="85"/>
      <c r="L71" s="85"/>
      <c r="M71" s="85"/>
      <c r="N71" s="85"/>
      <c r="P71" s="85" t="n">
        <f aca="false">SUM(E71:N71)</f>
        <v>0</v>
      </c>
    </row>
    <row r="72" customFormat="false" ht="13.5" hidden="false" customHeight="false" outlineLevel="0" collapsed="false">
      <c r="B72" s="86" t="s">
        <v>150</v>
      </c>
      <c r="E72" s="87" t="n">
        <f aca="false">SUM(E49:E71)</f>
        <v>0</v>
      </c>
      <c r="F72" s="87" t="n">
        <f aca="false">SUM(F49:F71)</f>
        <v>17902138</v>
      </c>
      <c r="G72" s="87" t="n">
        <f aca="false">SUM(G49:G71)</f>
        <v>14855350</v>
      </c>
      <c r="H72" s="87" t="n">
        <f aca="false">SUM(H49:H71)</f>
        <v>16962070</v>
      </c>
      <c r="I72" s="87" t="n">
        <f aca="false">SUM(I49:I71)</f>
        <v>20417494</v>
      </c>
      <c r="J72" s="87" t="n">
        <f aca="false">SUM(J49:J71)</f>
        <v>24564002.8</v>
      </c>
      <c r="K72" s="87" t="n">
        <f aca="false">SUM(K49:K71)</f>
        <v>29539813.36</v>
      </c>
      <c r="L72" s="87" t="n">
        <f aca="false">SUM(L49:L71)</f>
        <v>35510786.032</v>
      </c>
      <c r="M72" s="87" t="n">
        <f aca="false">SUM(M49:M71)</f>
        <v>42675953.2384</v>
      </c>
      <c r="N72" s="87" t="n">
        <f aca="false">SUM(N49:N71)</f>
        <v>51274153.88608</v>
      </c>
      <c r="P72" s="87" t="n">
        <f aca="false">SUM(E72:N72)</f>
        <v>253701761.31648</v>
      </c>
    </row>
    <row r="73" customFormat="false" ht="12.75" hidden="false" customHeight="false" outlineLevel="0" collapsed="false">
      <c r="P73" s="87"/>
    </row>
    <row r="74" customFormat="false" ht="12.75" hidden="false" customHeight="false" outlineLevel="0" collapsed="false">
      <c r="B74" s="91" t="s">
        <v>151</v>
      </c>
      <c r="E74" s="92" t="n">
        <f aca="false">E44-E72</f>
        <v>0</v>
      </c>
      <c r="F74" s="92" t="n">
        <f aca="false">F44-F72</f>
        <v>-17755324.3404141</v>
      </c>
      <c r="G74" s="92" t="n">
        <f aca="false">G44-G72</f>
        <v>-14618023.8084216</v>
      </c>
      <c r="H74" s="92" t="n">
        <f aca="false">H44-H72</f>
        <v>-16689437.3970727</v>
      </c>
      <c r="I74" s="92" t="n">
        <f aca="false">I44-I72</f>
        <v>-20102839.1064693</v>
      </c>
      <c r="J74" s="92" t="n">
        <f aca="false">J44-J72</f>
        <v>-24198139.6218181</v>
      </c>
      <c r="K74" s="92" t="n">
        <f aca="false">K44-K72</f>
        <v>-29111750.8084182</v>
      </c>
      <c r="L74" s="92" t="n">
        <f aca="false">L44-L72</f>
        <v>-35007382.4411698</v>
      </c>
      <c r="M74" s="92" t="n">
        <f aca="false">M44-M72</f>
        <v>-42081483.4877356</v>
      </c>
      <c r="N74" s="92" t="n">
        <f aca="false">N44-N72</f>
        <v>-50569789.8437131</v>
      </c>
      <c r="P74" s="93" t="n">
        <f aca="false">SUM(E74:N74)</f>
        <v>-250134170.855232</v>
      </c>
    </row>
    <row r="76" customFormat="false" ht="12.75" hidden="false" customHeight="false" outlineLevel="0" collapsed="false">
      <c r="B76" s="91" t="s">
        <v>152</v>
      </c>
      <c r="E76" s="55" t="n">
        <f aca="false">(E49+E54+E55+E58+E59+E60+E61+E63+E69)*'Assum. used in model'!$J$78</f>
        <v>0</v>
      </c>
      <c r="F76" s="55" t="n">
        <f aca="false">(F49+F51+F52+F53+F54+F55+F58+F59+F60+F61+F63+F69)*'Assum. used in model'!$J$78</f>
        <v>7659675.2</v>
      </c>
      <c r="G76" s="55" t="n">
        <f aca="false">(G49+G51+G52+G53+G54+G55+G58+G59+G60+G61+G63+G69)*'Assum. used in model'!$J$78</f>
        <v>6440960</v>
      </c>
      <c r="H76" s="55" t="n">
        <f aca="false">(H49+H51+H52+H53+H54+H55+H58+H59+H60+H61+H63+H69)*'Assum. used in model'!$J$78</f>
        <v>7283648</v>
      </c>
      <c r="I76" s="55" t="n">
        <f aca="false">(I49+I51+I52+I53+I54+I55+I58+I59+I60+I61+I63+I69)*'Assum. used in model'!$J$78</f>
        <v>8665817.6</v>
      </c>
      <c r="J76" s="55" t="n">
        <f aca="false">(J49+J51+J52+J53+J54+J55+J58+J59+J60+J61+J63+J69)*'Assum. used in model'!$J$78</f>
        <v>10324421.12</v>
      </c>
      <c r="K76" s="55" t="n">
        <f aca="false">(K49+K51+K52+K53+K54+K55+K58+K59+K60+K61+K63+K69)*'Assum. used in model'!$J$78</f>
        <v>12314745.344</v>
      </c>
      <c r="L76" s="55" t="n">
        <f aca="false">(L49+L51+L52+L53+L54+L55+L58+L59+L60+L61+L63+L69)*'Assum. used in model'!$J$78</f>
        <v>14703134.4128</v>
      </c>
      <c r="M76" s="55" t="n">
        <f aca="false">(M49+M51+M52+M53+M54+M55+M58+M59+M60+M61+M63+M69)*'Assum. used in model'!$J$78</f>
        <v>17569201.29536</v>
      </c>
      <c r="N76" s="55" t="n">
        <f aca="false">(N49+N51+N52+N53+N54+N55+N58+N59+N60+N61+N63+N69)*'Assum. used in model'!$J$78</f>
        <v>21008481.554432</v>
      </c>
      <c r="P76" s="41" t="n">
        <f aca="false">SUM(E76:N76)</f>
        <v>105970084.526592</v>
      </c>
    </row>
    <row r="78" customFormat="false" ht="14.25" hidden="false" customHeight="false" outlineLevel="0" collapsed="false">
      <c r="B78" s="86" t="s">
        <v>153</v>
      </c>
      <c r="E78" s="94" t="n">
        <f aca="false">E74+E76</f>
        <v>0</v>
      </c>
      <c r="F78" s="94" t="n">
        <f aca="false">F74+F76</f>
        <v>-10095649.1404141</v>
      </c>
      <c r="G78" s="94" t="n">
        <f aca="false">G74+G76</f>
        <v>-8177063.80842156</v>
      </c>
      <c r="H78" s="94" t="n">
        <f aca="false">H74+H76</f>
        <v>-9405789.39707275</v>
      </c>
      <c r="I78" s="94" t="n">
        <f aca="false">I74+I76</f>
        <v>-11437021.5064693</v>
      </c>
      <c r="J78" s="94" t="n">
        <f aca="false">J74+J76</f>
        <v>-13873718.5018181</v>
      </c>
      <c r="K78" s="94" t="n">
        <f aca="false">K74+K76</f>
        <v>-16797005.4644182</v>
      </c>
      <c r="L78" s="94" t="n">
        <f aca="false">L74+L76</f>
        <v>-20304248.0283698</v>
      </c>
      <c r="M78" s="94" t="n">
        <f aca="false">M74+M76</f>
        <v>-24512282.1923756</v>
      </c>
      <c r="N78" s="94" t="n">
        <f aca="false">N74+N76</f>
        <v>-29561308.289281</v>
      </c>
      <c r="P78" s="95" t="n">
        <f aca="false">SUM(E78:N78)</f>
        <v>-144164086.32864</v>
      </c>
    </row>
    <row r="79" customFormat="false" ht="13.5" hidden="false" customHeight="false" outlineLevel="0" collapsed="false"/>
    <row r="80" customFormat="false" ht="13.5" hidden="false" customHeight="false" outlineLevel="0" collapsed="false"/>
    <row r="81" customFormat="false" ht="13.5" hidden="false" customHeight="false" outlineLevel="0" collapsed="false">
      <c r="B81" s="96" t="s">
        <v>154</v>
      </c>
      <c r="F81" s="97" t="n">
        <f aca="false">XNPV('Assum. used in model'!$J$74,F85:H85,F84:H84)</f>
        <v>-25491727.2622566</v>
      </c>
      <c r="G81" s="98"/>
      <c r="H81" s="98"/>
      <c r="I81" s="98"/>
      <c r="J81" s="98"/>
      <c r="K81" s="98"/>
      <c r="L81" s="98"/>
      <c r="M81" s="98"/>
    </row>
    <row r="82" customFormat="false" ht="13.5" hidden="false" customHeight="false" outlineLevel="0" collapsed="false">
      <c r="B82" s="96" t="s">
        <v>155</v>
      </c>
      <c r="F82" s="97" t="n">
        <f aca="false">XNPV('Assum. used in model'!$J$74,Cashflows!F89:N89,Cashflows!F88:N88)</f>
        <v>-91607345.0419244</v>
      </c>
    </row>
    <row r="83" customFormat="false" ht="12.75" hidden="false" customHeight="false" outlineLevel="0" collapsed="false">
      <c r="E83" s="99"/>
      <c r="F83" s="99"/>
      <c r="G83" s="99"/>
      <c r="H83" s="99"/>
      <c r="I83" s="99"/>
      <c r="J83" s="99"/>
      <c r="K83" s="99"/>
      <c r="L83" s="99"/>
      <c r="M83" s="99"/>
    </row>
    <row r="84" customFormat="false" ht="12.75" hidden="false" customHeight="false" outlineLevel="0" collapsed="false">
      <c r="D84" s="100"/>
      <c r="E84" s="100" t="n">
        <v>36891</v>
      </c>
      <c r="F84" s="100" t="n">
        <v>37256</v>
      </c>
      <c r="G84" s="100" t="n">
        <v>37621</v>
      </c>
      <c r="H84" s="100" t="n">
        <v>37894</v>
      </c>
      <c r="I84" s="100"/>
      <c r="J84" s="100"/>
      <c r="K84" s="100"/>
      <c r="L84" s="100"/>
      <c r="M84" s="100"/>
      <c r="N84" s="100"/>
    </row>
    <row r="85" customFormat="false" ht="12.75" hidden="false" customHeight="false" outlineLevel="0" collapsed="false">
      <c r="D85" s="41"/>
      <c r="E85" s="41" t="n">
        <f aca="false">E78</f>
        <v>0</v>
      </c>
      <c r="F85" s="41" t="n">
        <f aca="false">F78</f>
        <v>-10095649.1404141</v>
      </c>
      <c r="G85" s="41" t="n">
        <f aca="false">G78</f>
        <v>-8177063.80842156</v>
      </c>
      <c r="H85" s="41" t="n">
        <f aca="false">H78</f>
        <v>-9405789.39707275</v>
      </c>
      <c r="I85" s="41"/>
      <c r="J85" s="41"/>
      <c r="K85" s="41"/>
      <c r="L85" s="41"/>
      <c r="M85" s="41"/>
      <c r="N85" s="41"/>
    </row>
    <row r="86" customFormat="false" ht="12.75" hidden="false" customHeight="false" outlineLevel="0" collapsed="false">
      <c r="G86" s="98"/>
    </row>
    <row r="88" customFormat="false" ht="12.75" hidden="false" customHeight="false" outlineLevel="0" collapsed="false">
      <c r="D88" s="100"/>
      <c r="E88" s="100" t="n">
        <v>36891</v>
      </c>
      <c r="F88" s="100" t="n">
        <v>37256</v>
      </c>
      <c r="G88" s="100" t="n">
        <v>37621</v>
      </c>
      <c r="H88" s="100" t="n">
        <v>37986</v>
      </c>
      <c r="I88" s="100" t="n">
        <v>38352</v>
      </c>
      <c r="J88" s="100" t="n">
        <v>38717</v>
      </c>
      <c r="K88" s="100" t="n">
        <v>39082</v>
      </c>
      <c r="L88" s="100" t="n">
        <v>39447</v>
      </c>
      <c r="M88" s="100" t="n">
        <v>39813</v>
      </c>
      <c r="N88" s="100" t="n">
        <v>40178</v>
      </c>
    </row>
    <row r="89" customFormat="false" ht="12.75" hidden="false" customHeight="false" outlineLevel="0" collapsed="false">
      <c r="D89" s="41"/>
      <c r="E89" s="41" t="n">
        <f aca="false">E78</f>
        <v>0</v>
      </c>
      <c r="F89" s="41" t="n">
        <f aca="false">F78</f>
        <v>-10095649.1404141</v>
      </c>
      <c r="G89" s="41" t="n">
        <f aca="false">G78</f>
        <v>-8177063.80842156</v>
      </c>
      <c r="H89" s="41" t="n">
        <f aca="false">H78</f>
        <v>-9405789.39707275</v>
      </c>
      <c r="I89" s="41" t="n">
        <f aca="false">I78</f>
        <v>-11437021.5064693</v>
      </c>
      <c r="J89" s="41" t="n">
        <f aca="false">J78</f>
        <v>-13873718.5018181</v>
      </c>
      <c r="K89" s="41" t="n">
        <f aca="false">K78</f>
        <v>-16797005.4644182</v>
      </c>
      <c r="L89" s="41" t="n">
        <f aca="false">L78</f>
        <v>-20304248.0283698</v>
      </c>
      <c r="M89" s="41" t="n">
        <f aca="false">M78</f>
        <v>-24512282.1923756</v>
      </c>
      <c r="N89" s="41" t="n">
        <f aca="false">N78</f>
        <v>-29561308.289281</v>
      </c>
    </row>
  </sheetData>
  <printOptions headings="false" gridLines="false" gridLinesSet="true" horizontalCentered="false" verticalCentered="false"/>
  <pageMargins left="0.409722222222222" right="0.359722222222222" top="0.529861111111111" bottom="0.5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1" width="12.42"/>
    <col collapsed="false" customWidth="true" hidden="false" outlineLevel="0" max="4" min="3" style="1" width="14.14"/>
    <col collapsed="false" customWidth="true" hidden="false" outlineLevel="0" max="8" min="5" style="1" width="15.7"/>
    <col collapsed="false" customWidth="false" hidden="false" outlineLevel="0" max="257" min="9" style="1" width="9.14"/>
  </cols>
  <sheetData>
    <row r="1" customFormat="false" ht="20.25" hidden="false" customHeight="false" outlineLevel="0" collapsed="false">
      <c r="A1" s="3" t="str">
        <f aca="false">'Assum. used in model'!A1</f>
        <v>Enron PC and ISP Analysis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3" customFormat="false" ht="13.5" hidden="false" customHeight="false" outlineLevel="0" collapsed="false">
      <c r="A3" s="5" t="s">
        <v>156</v>
      </c>
      <c r="D3" s="6" t="s">
        <v>2</v>
      </c>
    </row>
    <row r="4" customFormat="false" ht="12.75" hidden="false" customHeight="false" outlineLevel="0" collapsed="false">
      <c r="D4" s="10" t="s">
        <v>3</v>
      </c>
    </row>
    <row r="5" customFormat="false" ht="12.75" hidden="false" customHeight="false" outlineLevel="0" collapsed="false">
      <c r="D5" s="14" t="s">
        <v>5</v>
      </c>
    </row>
    <row r="6" customFormat="false" ht="12.75" hidden="false" customHeight="false" outlineLevel="0" collapsed="false">
      <c r="B6" s="101"/>
      <c r="C6" s="71"/>
      <c r="D6" s="71"/>
      <c r="E6" s="73"/>
    </row>
    <row r="7" customFormat="false" ht="12.75" hidden="false" customHeight="false" outlineLevel="0" collapsed="false">
      <c r="E7" s="102" t="s">
        <v>157</v>
      </c>
      <c r="F7" s="77" t="s">
        <v>158</v>
      </c>
      <c r="G7" s="77" t="s">
        <v>159</v>
      </c>
      <c r="H7" s="77" t="s">
        <v>160</v>
      </c>
    </row>
    <row r="8" customFormat="false" ht="15.75" hidden="false" customHeight="false" outlineLevel="0" collapsed="false">
      <c r="A8" s="81" t="s">
        <v>161</v>
      </c>
      <c r="E8" s="71"/>
    </row>
    <row r="9" customFormat="false" ht="12.75" hidden="false" customHeight="false" outlineLevel="0" collapsed="false">
      <c r="B9" s="14" t="s">
        <v>162</v>
      </c>
      <c r="E9" s="41" t="n">
        <f aca="false">E29*E36*E30</f>
        <v>0</v>
      </c>
      <c r="F9" s="55" t="n">
        <f aca="false">E35*E29*E31*E37*E34</f>
        <v>12600000</v>
      </c>
      <c r="G9" s="55" t="n">
        <f aca="false">E35*E29*E31*E37*E34</f>
        <v>12600000</v>
      </c>
      <c r="H9" s="55" t="n">
        <f aca="false">E35*E29*E31*E37*E34</f>
        <v>12600000</v>
      </c>
    </row>
    <row r="10" customFormat="false" ht="12.75" hidden="false" customHeight="false" outlineLevel="0" collapsed="false">
      <c r="B10" s="1" t="s">
        <v>163</v>
      </c>
      <c r="E10" s="41" t="n">
        <f aca="false">E16*E29*E30*E37</f>
        <v>0</v>
      </c>
      <c r="F10" s="41" t="n">
        <f aca="false">E29*E31*E35*E37*E34</f>
        <v>12600000</v>
      </c>
      <c r="G10" s="41" t="n">
        <f aca="false">G16*E29*E31*E37</f>
        <v>0</v>
      </c>
      <c r="H10" s="41" t="n">
        <f aca="false">H16*E29*E31*E37</f>
        <v>0</v>
      </c>
    </row>
    <row r="11" customFormat="false" ht="12.75" hidden="false" customHeight="false" outlineLevel="0" collapsed="false">
      <c r="B11" s="14" t="s">
        <v>164</v>
      </c>
      <c r="E11" s="41" t="n">
        <f aca="false">(E9-E10)/$E$34</f>
        <v>0</v>
      </c>
      <c r="F11" s="41" t="n">
        <f aca="false">(F9-F10)/$E$34</f>
        <v>0</v>
      </c>
      <c r="G11" s="41" t="n">
        <f aca="false">(G9-G10)/$E$34</f>
        <v>4200000</v>
      </c>
      <c r="H11" s="41" t="n">
        <f aca="false">(H9-H10)/$E$34</f>
        <v>4200000</v>
      </c>
    </row>
    <row r="12" customFormat="false" ht="12.75" hidden="false" customHeight="false" outlineLevel="0" collapsed="false">
      <c r="B12" s="14" t="s">
        <v>165</v>
      </c>
      <c r="E12" s="41" t="n">
        <f aca="false">E11-(E11*$E$33)</f>
        <v>0</v>
      </c>
      <c r="F12" s="41" t="n">
        <f aca="false">F11-(F11*$E$33)</f>
        <v>0</v>
      </c>
      <c r="G12" s="41" t="n">
        <f aca="false">G11-(G11*$E$33)</f>
        <v>2520000</v>
      </c>
      <c r="H12" s="41" t="n">
        <f aca="false">H11-(H11*$E$33)</f>
        <v>2520000</v>
      </c>
    </row>
    <row r="13" customFormat="false" ht="12.75" hidden="false" customHeight="false" outlineLevel="0" collapsed="false">
      <c r="E13" s="71"/>
    </row>
    <row r="14" customFormat="false" ht="12.75" hidden="false" customHeight="false" outlineLevel="0" collapsed="false">
      <c r="E14" s="71"/>
    </row>
    <row r="15" customFormat="false" ht="15.75" hidden="false" customHeight="false" outlineLevel="0" collapsed="false">
      <c r="A15" s="103" t="s">
        <v>166</v>
      </c>
      <c r="E15" s="71"/>
    </row>
    <row r="16" customFormat="false" ht="12.75" hidden="false" customHeight="false" outlineLevel="0" collapsed="false">
      <c r="B16" s="14" t="s">
        <v>167</v>
      </c>
      <c r="E16" s="104" t="n">
        <v>0</v>
      </c>
      <c r="F16" s="105" t="n">
        <v>0</v>
      </c>
      <c r="G16" s="105" t="n">
        <v>0</v>
      </c>
      <c r="H16" s="105" t="n">
        <v>0</v>
      </c>
    </row>
    <row r="17" customFormat="false" ht="12.75" hidden="false" customHeight="false" outlineLevel="0" collapsed="false">
      <c r="B17" s="1" t="s">
        <v>168</v>
      </c>
      <c r="E17" s="106" t="n">
        <f aca="false">E36</f>
        <v>0</v>
      </c>
      <c r="F17" s="98" t="n">
        <f aca="false">E35*E37</f>
        <v>420</v>
      </c>
      <c r="G17" s="98" t="n">
        <f aca="false">0*E37</f>
        <v>0</v>
      </c>
      <c r="H17" s="98" t="n">
        <f aca="false">(E35-H16)*E37</f>
        <v>420</v>
      </c>
    </row>
    <row r="18" customFormat="false" ht="12.75" hidden="false" customHeight="false" outlineLevel="0" collapsed="false">
      <c r="B18" s="1" t="s">
        <v>169</v>
      </c>
      <c r="E18" s="107" t="n">
        <f aca="false">E17*$E$32</f>
        <v>0</v>
      </c>
      <c r="F18" s="98" t="n">
        <f aca="false">F17*$E$32</f>
        <v>140</v>
      </c>
      <c r="G18" s="98" t="n">
        <f aca="false">G17*$E$32</f>
        <v>0</v>
      </c>
      <c r="H18" s="98" t="n">
        <f aca="false">H17*$E$32</f>
        <v>140</v>
      </c>
    </row>
    <row r="19" customFormat="false" ht="13.5" hidden="false" customHeight="false" outlineLevel="0" collapsed="false">
      <c r="A19" s="68"/>
      <c r="B19" s="96" t="s">
        <v>170</v>
      </c>
      <c r="C19" s="68"/>
      <c r="D19" s="68"/>
      <c r="E19" s="108" t="n">
        <f aca="false">E18+(E16*$E$37)</f>
        <v>0</v>
      </c>
      <c r="F19" s="95" t="n">
        <f aca="false">F18+(F16*$E$37)</f>
        <v>140</v>
      </c>
      <c r="G19" s="95" t="n">
        <f aca="false">G18+(G16*$E$37)</f>
        <v>0</v>
      </c>
      <c r="H19" s="95" t="n">
        <f aca="false">H18+(H16*$E$37)</f>
        <v>140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</row>
    <row r="20" customFormat="false" ht="13.5" hidden="false" customHeight="false" outlineLevel="0" collapsed="false"/>
    <row r="21" customFormat="false" ht="12.75" hidden="false" customHeight="false" outlineLevel="0" collapsed="false">
      <c r="A21" s="96" t="s">
        <v>171</v>
      </c>
    </row>
    <row r="23" customFormat="false" ht="12.75" hidden="false" customHeight="false" outlineLevel="0" collapsed="false">
      <c r="A23" s="109" t="s">
        <v>172</v>
      </c>
      <c r="B23" s="1" t="s">
        <v>173</v>
      </c>
    </row>
    <row r="24" customFormat="false" ht="12.75" hidden="false" customHeight="false" outlineLevel="0" collapsed="false">
      <c r="A24" s="109" t="s">
        <v>174</v>
      </c>
      <c r="B24" s="1" t="s">
        <v>175</v>
      </c>
    </row>
    <row r="25" customFormat="false" ht="12.75" hidden="false" customHeight="false" outlineLevel="0" collapsed="false">
      <c r="A25" s="109" t="s">
        <v>176</v>
      </c>
      <c r="B25" s="1" t="s">
        <v>177</v>
      </c>
    </row>
    <row r="26" customFormat="false" ht="12.75" hidden="false" customHeight="false" outlineLevel="0" collapsed="false">
      <c r="A26" s="109" t="s">
        <v>178</v>
      </c>
      <c r="B26" s="14" t="s">
        <v>179</v>
      </c>
    </row>
    <row r="29" customFormat="false" ht="12.75" hidden="false" customHeight="false" outlineLevel="0" collapsed="false">
      <c r="A29" s="14" t="s">
        <v>180</v>
      </c>
      <c r="E29" s="61" t="n">
        <v>10000</v>
      </c>
    </row>
    <row r="30" customFormat="false" ht="12.75" hidden="false" customHeight="false" outlineLevel="0" collapsed="false">
      <c r="A30" s="14" t="s">
        <v>181</v>
      </c>
      <c r="E30" s="48" t="n">
        <v>0.75</v>
      </c>
    </row>
    <row r="31" customFormat="false" ht="12.75" hidden="false" customHeight="false" outlineLevel="0" collapsed="false">
      <c r="A31" s="14" t="s">
        <v>182</v>
      </c>
      <c r="E31" s="48" t="n">
        <v>1</v>
      </c>
    </row>
    <row r="32" customFormat="false" ht="12.75" hidden="false" customHeight="false" outlineLevel="0" collapsed="false">
      <c r="A32" s="1" t="s">
        <v>183</v>
      </c>
      <c r="E32" s="48" t="n">
        <f aca="false">1/3</f>
        <v>0.333333333333333</v>
      </c>
    </row>
    <row r="33" customFormat="false" ht="12.75" hidden="false" customHeight="false" outlineLevel="0" collapsed="false">
      <c r="A33" s="14" t="s">
        <v>184</v>
      </c>
      <c r="E33" s="74" t="n">
        <f aca="false">'Assum. used in model'!J78</f>
        <v>0.4</v>
      </c>
    </row>
    <row r="34" customFormat="false" ht="12.75" hidden="false" customHeight="false" outlineLevel="0" collapsed="false">
      <c r="A34" s="1" t="s">
        <v>185</v>
      </c>
      <c r="E34" s="110" t="n">
        <v>3</v>
      </c>
      <c r="F34" s="1" t="s">
        <v>186</v>
      </c>
    </row>
    <row r="35" customFormat="false" ht="12.75" hidden="false" customHeight="false" outlineLevel="0" collapsed="false">
      <c r="A35" s="14" t="s">
        <v>187</v>
      </c>
      <c r="E35" s="33" t="n">
        <v>35</v>
      </c>
      <c r="F35" s="1" t="s">
        <v>188</v>
      </c>
    </row>
    <row r="36" customFormat="false" ht="12.75" hidden="false" customHeight="false" outlineLevel="0" collapsed="false">
      <c r="A36" s="1" t="s">
        <v>189</v>
      </c>
      <c r="E36" s="41" t="n">
        <f aca="false">'Assum. used in model'!J26</f>
        <v>0</v>
      </c>
    </row>
    <row r="37" customFormat="false" ht="12.75" hidden="false" customHeight="false" outlineLevel="0" collapsed="false">
      <c r="A37" s="1" t="s">
        <v>190</v>
      </c>
      <c r="E37" s="61" t="n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111" width="8.99"/>
    <col collapsed="false" customWidth="true" hidden="false" outlineLevel="0" max="8" min="5" style="111" width="12.7"/>
    <col collapsed="false" customWidth="true" hidden="false" outlineLevel="0" max="13" min="9" style="0" width="12.7"/>
  </cols>
  <sheetData>
    <row r="1" customFormat="false" ht="20.25" hidden="false" customHeight="false" outlineLevel="0" collapsed="false">
      <c r="A1" s="3" t="str">
        <f aca="false">'Assum. used in model'!A1</f>
        <v>Enron PC and ISP Analysis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customFormat="false" ht="12.75" hidden="false" customHeight="false" outlineLevel="0" collapsed="false">
      <c r="A2" s="1"/>
      <c r="B2" s="1"/>
      <c r="C2" s="68"/>
      <c r="D2" s="68"/>
      <c r="E2" s="68"/>
      <c r="F2" s="68"/>
      <c r="G2" s="68"/>
      <c r="H2" s="68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13" t="n">
        <v>0.0539571569418302</v>
      </c>
      <c r="C3" s="68" t="s">
        <v>191</v>
      </c>
      <c r="D3" s="68"/>
      <c r="E3" s="68"/>
      <c r="F3" s="68"/>
      <c r="G3" s="2"/>
      <c r="H3" s="68"/>
      <c r="I3" s="1"/>
      <c r="J3" s="1"/>
      <c r="K3" s="1"/>
      <c r="L3" s="1"/>
      <c r="M3" s="1"/>
    </row>
    <row r="4" customFormat="false" ht="12.75" hidden="false" customHeight="false" outlineLevel="0" collapsed="false">
      <c r="A4" s="1"/>
      <c r="B4" s="113" t="n">
        <v>0.0549430850587075</v>
      </c>
      <c r="C4" s="96" t="s">
        <v>192</v>
      </c>
      <c r="D4" s="68"/>
      <c r="E4" s="68"/>
      <c r="F4" s="68"/>
      <c r="G4" s="68"/>
      <c r="H4" s="68"/>
      <c r="I4" s="1"/>
      <c r="J4" s="1"/>
      <c r="K4" s="1"/>
      <c r="L4" s="1"/>
      <c r="M4" s="1"/>
    </row>
    <row r="5" customFormat="false" ht="13.5" hidden="false" customHeight="false" outlineLevel="0" collapsed="false">
      <c r="A5" s="1"/>
      <c r="B5" s="114" t="n">
        <f aca="false">B3+B4</f>
        <v>0.108900242000538</v>
      </c>
      <c r="C5" s="68" t="s">
        <v>193</v>
      </c>
      <c r="D5" s="68"/>
      <c r="E5" s="68"/>
      <c r="F5" s="68"/>
      <c r="G5" s="68"/>
      <c r="H5" s="68"/>
      <c r="I5" s="1"/>
      <c r="J5" s="1"/>
      <c r="K5" s="1"/>
      <c r="L5" s="1"/>
      <c r="M5" s="1"/>
    </row>
    <row r="6" customFormat="false" ht="13.5" hidden="false" customHeight="false" outlineLevel="0" collapsed="false">
      <c r="A6" s="1"/>
      <c r="B6" s="1"/>
      <c r="C6" s="68"/>
      <c r="D6" s="68"/>
      <c r="E6" s="68"/>
      <c r="F6" s="68"/>
      <c r="G6" s="68"/>
      <c r="H6" s="68"/>
      <c r="I6" s="1"/>
      <c r="J6" s="1"/>
      <c r="K6" s="1"/>
      <c r="L6" s="1"/>
      <c r="M6" s="1"/>
    </row>
    <row r="7" customFormat="false" ht="12.75" hidden="false" customHeight="false" outlineLevel="0" collapsed="false">
      <c r="A7" s="1"/>
      <c r="B7" s="1"/>
      <c r="C7" s="77"/>
      <c r="D7" s="77"/>
      <c r="E7" s="77" t="n">
        <v>2001</v>
      </c>
      <c r="F7" s="77" t="n">
        <v>2002</v>
      </c>
      <c r="G7" s="77" t="n">
        <v>2003</v>
      </c>
      <c r="H7" s="77" t="n">
        <v>2004</v>
      </c>
      <c r="I7" s="77" t="n">
        <v>2005</v>
      </c>
      <c r="J7" s="77" t="n">
        <v>2006</v>
      </c>
      <c r="K7" s="77" t="n">
        <v>2007</v>
      </c>
      <c r="L7" s="77" t="n">
        <v>2008</v>
      </c>
      <c r="M7" s="77" t="n">
        <v>2009</v>
      </c>
    </row>
    <row r="8" customFormat="false" ht="12.75" hidden="false" customHeight="false" outlineLevel="0" collapsed="false">
      <c r="A8" s="1"/>
      <c r="B8" s="1"/>
      <c r="C8" s="68"/>
      <c r="D8" s="109" t="s">
        <v>194</v>
      </c>
      <c r="E8" s="55" t="n">
        <f aca="false">Cashflows!F18</f>
        <v>15000</v>
      </c>
      <c r="F8" s="55" t="n">
        <f aca="false">E12</f>
        <v>14755.3105673568</v>
      </c>
      <c r="G8" s="55" t="n">
        <f aca="false">F12</f>
        <v>16774.2600580442</v>
      </c>
      <c r="H8" s="55" t="n">
        <f aca="false">G12</f>
        <v>19245.2354011632</v>
      </c>
      <c r="I8" s="55" t="n">
        <f aca="false">H12</f>
        <v>22266.7501077484</v>
      </c>
      <c r="J8" s="55" t="n">
        <f aca="false">I12</f>
        <v>25945.4896801938</v>
      </c>
      <c r="K8" s="55" t="n">
        <f aca="false">J12</f>
        <v>30409.5173966272</v>
      </c>
      <c r="L8" s="55" t="n">
        <f aca="false">K12</f>
        <v>35812.7225836528</v>
      </c>
      <c r="M8" s="55" t="n">
        <f aca="false">L12</f>
        <v>42339.9750155685</v>
      </c>
    </row>
    <row r="9" customFormat="false" ht="12.75" hidden="false" customHeight="false" outlineLevel="0" collapsed="false">
      <c r="A9" s="1"/>
      <c r="B9" s="1"/>
      <c r="C9" s="68"/>
      <c r="D9" s="109" t="s">
        <v>195</v>
      </c>
      <c r="E9" s="55" t="n">
        <v>0</v>
      </c>
      <c r="F9" s="55" t="n">
        <f aca="false">Cashflows!G11+Cashflows!G15-F34</f>
        <v>2528.098951331</v>
      </c>
      <c r="G9" s="55" t="n">
        <f aca="false">Cashflows!H11+Cashflows!H15-G34</f>
        <v>3056.26272823703</v>
      </c>
      <c r="H9" s="55" t="n">
        <f aca="false">Cashflows!I11+Cashflows!I15-H34</f>
        <v>3696.13036676663</v>
      </c>
      <c r="I9" s="55" t="n">
        <f aca="false">Cashflows!J11+Cashflows!J15-I34</f>
        <v>4462.26302908099</v>
      </c>
      <c r="J9" s="55" t="n">
        <f aca="false">Cashflows!K11+Cashflows!K15-J34</f>
        <v>5379.90337805619</v>
      </c>
      <c r="K9" s="55" t="n">
        <f aca="false">Cashflows!L11+Cashflows!L15-K34</f>
        <v>6479.46094438956</v>
      </c>
      <c r="L9" s="55" t="n">
        <f aca="false">Cashflows!M11+Cashflows!M15-L34</f>
        <v>7797.42216243642</v>
      </c>
      <c r="M9" s="55" t="n">
        <f aca="false">Cashflows!N11+Cashflows!N15-M34</f>
        <v>9377.56419744759</v>
      </c>
    </row>
    <row r="10" customFormat="false" ht="12.75" hidden="false" customHeight="false" outlineLevel="0" collapsed="false">
      <c r="A10" s="1"/>
      <c r="B10" s="1"/>
      <c r="C10" s="68"/>
      <c r="D10" s="109" t="s">
        <v>196</v>
      </c>
      <c r="E10" s="55" t="n">
        <f aca="false">((E$8+E$9)*$B$3)*$F$20</f>
        <v>244.689432643184</v>
      </c>
      <c r="F10" s="55" t="n">
        <f aca="false">((F$8+F$9)*$B$3)*$F$20</f>
        <v>281.937844617835</v>
      </c>
      <c r="G10" s="55" t="n">
        <f aca="false">((G$8+G$9)*$B$3)*$F$20</f>
        <v>323.487957972858</v>
      </c>
      <c r="H10" s="55" t="n">
        <f aca="false">((H$8+H$9)*$B$3)*$F$20</f>
        <v>374.233984920967</v>
      </c>
      <c r="I10" s="55" t="n">
        <f aca="false">((I$8+I$9)*$B$3)*$F$20</f>
        <v>436.020470637532</v>
      </c>
      <c r="J10" s="55" t="n">
        <f aca="false">((J$8+J$9)*$B$3)*$F$20</f>
        <v>510.999510316527</v>
      </c>
      <c r="K10" s="55" t="n">
        <f aca="false">((K$8+K$9)*$B$3)*$F$20</f>
        <v>601.756212070005</v>
      </c>
      <c r="L10" s="55" t="n">
        <f aca="false">((L$8+L$9)*$B$3)*$F$20</f>
        <v>711.396105027179</v>
      </c>
      <c r="M10" s="55" t="n">
        <f aca="false">((M$8+M$9)*$B$3)*$F$20</f>
        <v>843.649021848967</v>
      </c>
    </row>
    <row r="11" customFormat="false" ht="12.75" hidden="false" customHeight="false" outlineLevel="0" collapsed="false">
      <c r="A11" s="1"/>
      <c r="B11" s="1"/>
      <c r="C11" s="68"/>
      <c r="D11" s="109" t="s">
        <v>197</v>
      </c>
      <c r="E11" s="53" t="n">
        <v>0</v>
      </c>
      <c r="F11" s="55" t="n">
        <f aca="false">((E$8+E$9)*$B$3)*$F$21</f>
        <v>227.211616025813</v>
      </c>
      <c r="G11" s="55" t="n">
        <f aca="false">((F$8+F$9)*$B$3)*$F$21</f>
        <v>261.799427145132</v>
      </c>
      <c r="H11" s="55" t="n">
        <f aca="false">((G$8+G$9)*$B$3)*$F$21</f>
        <v>300.381675260511</v>
      </c>
      <c r="I11" s="55" t="n">
        <f aca="false">((H$8+H$9)*$B$3)*$F$21</f>
        <v>347.502985998041</v>
      </c>
      <c r="J11" s="55" t="n">
        <f aca="false">((I$8+I$9)*$B$3)*$F$21</f>
        <v>404.87615130628</v>
      </c>
      <c r="K11" s="55" t="n">
        <f aca="false">((J$8+J$9)*$B$3)*$F$21</f>
        <v>474.499545293918</v>
      </c>
      <c r="L11" s="55" t="n">
        <f aca="false">((K$8+K$9)*$B$3)*$F$21</f>
        <v>558.773625493576</v>
      </c>
      <c r="M11" s="55" t="n">
        <f aca="false">((L$8+L$9)*$B$3)*$F$21</f>
        <v>660.582097525238</v>
      </c>
      <c r="N11" s="55" t="n">
        <f aca="false">((M$8+M$9)*$B$3)*$F$21</f>
        <v>783.388377431183</v>
      </c>
    </row>
    <row r="12" customFormat="false" ht="12.75" hidden="false" customHeight="false" outlineLevel="0" collapsed="false">
      <c r="A12" s="1"/>
      <c r="B12" s="1"/>
      <c r="C12" s="68"/>
      <c r="D12" s="109" t="s">
        <v>198</v>
      </c>
      <c r="E12" s="55" t="n">
        <f aca="false">E8-E10-E11+E9</f>
        <v>14755.3105673568</v>
      </c>
      <c r="F12" s="55" t="n">
        <f aca="false">F8-F10-F11+F9</f>
        <v>16774.2600580442</v>
      </c>
      <c r="G12" s="55" t="n">
        <f aca="false">G8-G10-G11+G9</f>
        <v>19245.2354011632</v>
      </c>
      <c r="H12" s="55" t="n">
        <f aca="false">H8-H10-H11+H9</f>
        <v>22266.7501077484</v>
      </c>
      <c r="I12" s="55" t="n">
        <f aca="false">I8-I10-I11+I9</f>
        <v>25945.4896801938</v>
      </c>
      <c r="J12" s="55" t="n">
        <f aca="false">J8-J10-J11+J9</f>
        <v>30409.5173966272</v>
      </c>
      <c r="K12" s="55" t="n">
        <f aca="false">K8-K10-K11+K9</f>
        <v>35812.7225836528</v>
      </c>
      <c r="L12" s="55" t="n">
        <f aca="false">L8-L10-L11+L9</f>
        <v>42339.9750155685</v>
      </c>
      <c r="M12" s="55" t="n">
        <f aca="false">M8-M10-M11+M9</f>
        <v>50213.3080936419</v>
      </c>
    </row>
    <row r="13" customFormat="false" ht="12.75" hidden="false" customHeight="false" outlineLevel="0" collapsed="false">
      <c r="A13" s="1"/>
      <c r="B13" s="1"/>
      <c r="C13" s="68"/>
      <c r="D13" s="68"/>
      <c r="E13" s="68"/>
      <c r="F13" s="68"/>
      <c r="G13" s="68"/>
      <c r="H13" s="68"/>
      <c r="I13" s="1"/>
      <c r="J13" s="1"/>
      <c r="K13" s="1"/>
      <c r="L13" s="1"/>
      <c r="M13" s="1"/>
    </row>
    <row r="14" customFormat="false" ht="12.75" hidden="false" customHeight="false" outlineLevel="0" collapsed="false">
      <c r="A14" s="1"/>
      <c r="B14" s="1"/>
      <c r="C14" s="68"/>
      <c r="D14" s="68"/>
      <c r="E14" s="68"/>
      <c r="F14" s="68"/>
      <c r="G14" s="68"/>
      <c r="H14" s="68"/>
      <c r="I14" s="1"/>
      <c r="J14" s="1"/>
      <c r="K14" s="1"/>
      <c r="L14" s="1"/>
      <c r="M14" s="1"/>
    </row>
    <row r="15" customFormat="false" ht="12.75" hidden="false" customHeight="false" outlineLevel="0" collapsed="false">
      <c r="A15" s="1"/>
      <c r="B15" s="1"/>
      <c r="C15" s="1"/>
      <c r="D15" s="9" t="s">
        <v>199</v>
      </c>
      <c r="E15" s="55" t="n">
        <v>602</v>
      </c>
      <c r="F15" s="74" t="n">
        <f aca="false">E15/$E$17</f>
        <v>0.495473251028807</v>
      </c>
      <c r="G15" s="68"/>
      <c r="H15" s="68"/>
      <c r="I15" s="115"/>
      <c r="J15" s="74"/>
      <c r="K15" s="1"/>
      <c r="L15" s="1"/>
      <c r="M15" s="1"/>
    </row>
    <row r="16" customFormat="false" ht="12.75" hidden="false" customHeight="false" outlineLevel="0" collapsed="false">
      <c r="A16" s="1"/>
      <c r="B16" s="1"/>
      <c r="C16" s="1"/>
      <c r="D16" s="9" t="s">
        <v>200</v>
      </c>
      <c r="E16" s="55" t="n">
        <v>613</v>
      </c>
      <c r="F16" s="74" t="n">
        <f aca="false">E16/$E$17</f>
        <v>0.504526748971193</v>
      </c>
      <c r="G16" s="68"/>
      <c r="H16" s="68"/>
      <c r="I16" s="115"/>
      <c r="J16" s="74"/>
      <c r="K16" s="1"/>
      <c r="L16" s="1"/>
      <c r="M16" s="1"/>
    </row>
    <row r="17" customFormat="false" ht="13.5" hidden="false" customHeight="false" outlineLevel="0" collapsed="false">
      <c r="A17" s="1"/>
      <c r="B17" s="1"/>
      <c r="C17" s="1"/>
      <c r="D17" s="9" t="s">
        <v>113</v>
      </c>
      <c r="E17" s="116" t="n">
        <f aca="false">SUM(E15:E16)</f>
        <v>1215</v>
      </c>
      <c r="F17" s="117" t="n">
        <f aca="false">SUM(F15:F16)</f>
        <v>1</v>
      </c>
      <c r="G17" s="68"/>
      <c r="H17" s="68"/>
      <c r="I17" s="115"/>
      <c r="J17" s="74"/>
      <c r="K17" s="1"/>
      <c r="L17" s="1"/>
      <c r="M17" s="1"/>
    </row>
    <row r="18" customFormat="false" ht="13.5" hidden="false" customHeight="false" outlineLevel="0" collapsed="false">
      <c r="A18" s="1"/>
      <c r="B18" s="1"/>
      <c r="C18" s="1"/>
      <c r="D18" s="9"/>
      <c r="E18" s="1"/>
      <c r="F18" s="1"/>
      <c r="G18" s="1"/>
      <c r="H18" s="1"/>
      <c r="I18" s="1"/>
      <c r="J18" s="1"/>
      <c r="K18" s="1"/>
      <c r="L18" s="1"/>
      <c r="M18" s="1"/>
    </row>
    <row r="19" customFormat="false" ht="12.75" hidden="false" customHeight="false" outlineLevel="0" collapsed="false">
      <c r="A19" s="1"/>
      <c r="B19" s="1"/>
      <c r="C19" s="1"/>
      <c r="D19" s="9"/>
      <c r="E19" s="1"/>
      <c r="F19" s="1"/>
      <c r="G19" s="1"/>
      <c r="H19" s="1"/>
      <c r="I19" s="1"/>
      <c r="J19" s="1"/>
      <c r="K19" s="1"/>
      <c r="L19" s="1"/>
      <c r="M19" s="1"/>
    </row>
    <row r="20" customFormat="false" ht="12.75" hidden="false" customHeight="false" outlineLevel="0" collapsed="false">
      <c r="A20" s="1"/>
      <c r="B20" s="1"/>
      <c r="C20" s="1"/>
      <c r="D20" s="9" t="s">
        <v>201</v>
      </c>
      <c r="E20" s="55" t="n">
        <v>182</v>
      </c>
      <c r="F20" s="74" t="n">
        <f aca="false">E20/$E$15</f>
        <v>0.302325581395349</v>
      </c>
      <c r="G20" s="1" t="s">
        <v>202</v>
      </c>
      <c r="H20" s="1"/>
      <c r="I20" s="1"/>
      <c r="J20" s="1"/>
      <c r="K20" s="1"/>
      <c r="L20" s="1"/>
      <c r="M20" s="1"/>
    </row>
    <row r="21" customFormat="false" ht="12.75" hidden="false" customHeight="false" outlineLevel="0" collapsed="false">
      <c r="A21" s="1"/>
      <c r="B21" s="1"/>
      <c r="C21" s="1"/>
      <c r="D21" s="9" t="s">
        <v>203</v>
      </c>
      <c r="E21" s="55" t="n">
        <v>169</v>
      </c>
      <c r="F21" s="74" t="n">
        <f aca="false">E21/$E$15</f>
        <v>0.280730897009967</v>
      </c>
      <c r="G21" s="1" t="s">
        <v>202</v>
      </c>
      <c r="H21" s="1"/>
      <c r="I21" s="1"/>
      <c r="J21" s="1"/>
      <c r="K21" s="1"/>
      <c r="L21" s="1"/>
      <c r="M21" s="1"/>
    </row>
    <row r="22" customFormat="false" ht="12.75" hidden="false" customHeight="false" outlineLevel="0" collapsed="false">
      <c r="A22" s="1"/>
      <c r="B22" s="1"/>
      <c r="C22" s="1"/>
      <c r="D22" s="9"/>
      <c r="E22" s="55"/>
      <c r="F22" s="74"/>
      <c r="G22" s="1"/>
      <c r="H22" s="1"/>
      <c r="I22" s="1"/>
      <c r="J22" s="1"/>
      <c r="K22" s="1"/>
      <c r="L22" s="1"/>
      <c r="M22" s="1"/>
    </row>
    <row r="23" customFormat="false" ht="12.75" hidden="false" customHeight="false" outlineLevel="0" collapsed="false">
      <c r="A23" s="1"/>
      <c r="B23" s="1"/>
      <c r="C23" s="1"/>
      <c r="D23" s="1"/>
      <c r="E23" s="55"/>
      <c r="F23" s="74"/>
      <c r="G23" s="1"/>
      <c r="H23" s="1"/>
      <c r="I23" s="1"/>
      <c r="J23" s="1"/>
      <c r="K23" s="1"/>
      <c r="L23" s="1"/>
      <c r="M23" s="1"/>
    </row>
    <row r="24" customFormat="false" ht="12.75" hidden="false" customHeight="false" outlineLevel="0" collapsed="false">
      <c r="A24" s="1"/>
      <c r="B24" s="1"/>
      <c r="C24" s="1"/>
      <c r="D24" s="9" t="s">
        <v>204</v>
      </c>
      <c r="E24" s="41" t="n">
        <v>600</v>
      </c>
      <c r="F24" s="1"/>
      <c r="G24" s="1"/>
      <c r="H24" s="1"/>
      <c r="I24" s="1"/>
      <c r="J24" s="1"/>
      <c r="K24" s="1"/>
      <c r="L24" s="1"/>
      <c r="M24" s="1"/>
    </row>
    <row r="25" customFormat="false" ht="12.75" hidden="false" customHeight="false" outlineLevel="0" collapsed="false">
      <c r="A25" s="1"/>
      <c r="B25" s="1"/>
      <c r="C25" s="1"/>
      <c r="D25" s="9" t="s">
        <v>205</v>
      </c>
      <c r="E25" s="41" t="n">
        <v>300</v>
      </c>
      <c r="F25" s="1"/>
      <c r="G25" s="1"/>
      <c r="H25" s="1"/>
      <c r="I25" s="1"/>
      <c r="J25" s="1"/>
      <c r="K25" s="1"/>
      <c r="L25" s="1"/>
      <c r="M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customFormat="false" ht="12.75" hidden="false" customHeight="false" outlineLevel="0" collapsed="false">
      <c r="A28" s="1"/>
      <c r="B28" s="1"/>
      <c r="C28" s="1"/>
      <c r="D28" s="1"/>
      <c r="E28" s="77" t="n">
        <v>2001</v>
      </c>
      <c r="F28" s="77" t="n">
        <v>2002</v>
      </c>
      <c r="G28" s="77" t="n">
        <v>2003</v>
      </c>
      <c r="H28" s="77" t="n">
        <v>2004</v>
      </c>
      <c r="I28" s="77" t="n">
        <v>2005</v>
      </c>
      <c r="J28" s="77" t="n">
        <v>2006</v>
      </c>
      <c r="K28" s="77" t="n">
        <v>2007</v>
      </c>
      <c r="L28" s="77" t="n">
        <v>2008</v>
      </c>
      <c r="M28" s="77" t="n">
        <v>2009</v>
      </c>
    </row>
    <row r="29" customFormat="false" ht="12.75" hidden="false" customHeight="false" outlineLevel="0" collapsed="false">
      <c r="A29" s="1"/>
      <c r="B29" s="1"/>
      <c r="C29" s="1"/>
      <c r="D29" s="9" t="s">
        <v>206</v>
      </c>
      <c r="E29" s="41" t="n">
        <f aca="false">$E$24*E10</f>
        <v>146813.65958591</v>
      </c>
      <c r="F29" s="41" t="n">
        <f aca="false">$E$24*F10</f>
        <v>169162.706770701</v>
      </c>
      <c r="G29" s="41" t="n">
        <f aca="false">$E$24*G10</f>
        <v>194092.774783715</v>
      </c>
      <c r="H29" s="41" t="n">
        <f aca="false">$E$24*H10</f>
        <v>224540.39095258</v>
      </c>
      <c r="I29" s="41" t="n">
        <f aca="false">$E$24*I10</f>
        <v>261612.282382519</v>
      </c>
      <c r="J29" s="41" t="n">
        <f aca="false">$E$24*J10</f>
        <v>306599.706189916</v>
      </c>
      <c r="K29" s="41" t="n">
        <f aca="false">$E$24*K10</f>
        <v>361053.727242003</v>
      </c>
      <c r="L29" s="41" t="n">
        <f aca="false">$E$24*L10</f>
        <v>426837.663016308</v>
      </c>
      <c r="M29" s="41" t="n">
        <f aca="false">$E$24*M10</f>
        <v>506189.41310938</v>
      </c>
    </row>
    <row r="30" customFormat="false" ht="12.75" hidden="false" customHeight="false" outlineLevel="0" collapsed="false">
      <c r="A30" s="1"/>
      <c r="B30" s="1"/>
      <c r="C30" s="1"/>
      <c r="D30" s="9" t="s">
        <v>207</v>
      </c>
      <c r="E30" s="41" t="n">
        <f aca="false">$E$25*E11</f>
        <v>0</v>
      </c>
      <c r="F30" s="41" t="n">
        <f aca="false">$E$25*F11</f>
        <v>68163.484807744</v>
      </c>
      <c r="G30" s="41" t="n">
        <f aca="false">$E$25*G11</f>
        <v>78539.8281435397</v>
      </c>
      <c r="H30" s="41" t="n">
        <f aca="false">$E$25*H11</f>
        <v>90114.5025781534</v>
      </c>
      <c r="I30" s="41" t="n">
        <f aca="false">$E$25*I11</f>
        <v>104250.895799412</v>
      </c>
      <c r="J30" s="41" t="n">
        <f aca="false">$E$25*J11</f>
        <v>121462.845391884</v>
      </c>
      <c r="K30" s="41" t="n">
        <f aca="false">$E$25*K11</f>
        <v>142349.863588175</v>
      </c>
      <c r="L30" s="41" t="n">
        <f aca="false">$E$25*L11</f>
        <v>167632.087648073</v>
      </c>
      <c r="M30" s="41" t="n">
        <f aca="false">$E$25*M11</f>
        <v>198174.629257571</v>
      </c>
    </row>
    <row r="31" customFormat="false" ht="13.5" hidden="false" customHeight="false" outlineLevel="0" collapsed="false">
      <c r="A31" s="1"/>
      <c r="B31" s="1"/>
      <c r="C31" s="1"/>
      <c r="D31" s="9" t="s">
        <v>208</v>
      </c>
      <c r="E31" s="118" t="n">
        <f aca="false">SUM(E29:E30)</f>
        <v>146813.65958591</v>
      </c>
      <c r="F31" s="118" t="n">
        <f aca="false">SUM(F29:F30)</f>
        <v>237326.191578445</v>
      </c>
      <c r="G31" s="118" t="n">
        <f aca="false">SUM(G29:G30)</f>
        <v>272632.602927255</v>
      </c>
      <c r="H31" s="118" t="n">
        <f aca="false">SUM(H29:H30)</f>
        <v>314654.893530734</v>
      </c>
      <c r="I31" s="118" t="n">
        <f aca="false">SUM(I29:I30)</f>
        <v>365863.178181931</v>
      </c>
      <c r="J31" s="118" t="n">
        <f aca="false">SUM(J29:J30)</f>
        <v>428062.5515818</v>
      </c>
      <c r="K31" s="118" t="n">
        <f aca="false">SUM(K29:K30)</f>
        <v>503403.590830178</v>
      </c>
      <c r="L31" s="118" t="n">
        <f aca="false">SUM(L29:L30)</f>
        <v>594469.75066438</v>
      </c>
      <c r="M31" s="118" t="n">
        <f aca="false">SUM(M29:M30)</f>
        <v>704364.042366951</v>
      </c>
    </row>
    <row r="32" customFormat="false" ht="13.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customFormat="false" ht="12.75" hidden="false" customHeight="false" outlineLevel="0" collapsed="false">
      <c r="A34" s="1"/>
      <c r="B34" s="1"/>
      <c r="C34" s="1"/>
      <c r="D34" s="1"/>
      <c r="E34" s="1"/>
      <c r="F34" s="79" t="n">
        <f aca="false">E10+F11</f>
        <v>471.901048668997</v>
      </c>
      <c r="G34" s="79" t="n">
        <f aca="false">F10+G11</f>
        <v>543.737271762967</v>
      </c>
      <c r="H34" s="79" t="n">
        <f aca="false">G10+H11</f>
        <v>623.869633233369</v>
      </c>
      <c r="I34" s="79" t="n">
        <f aca="false">H10+I11</f>
        <v>721.736970919008</v>
      </c>
      <c r="J34" s="79" t="n">
        <f aca="false">I10+J11</f>
        <v>840.896621943811</v>
      </c>
      <c r="K34" s="79" t="n">
        <f aca="false">J10+K11</f>
        <v>985.499055610445</v>
      </c>
      <c r="L34" s="79" t="n">
        <f aca="false">K10+L11</f>
        <v>1160.52983756358</v>
      </c>
      <c r="M34" s="79" t="n">
        <f aca="false">L10+M11</f>
        <v>1371.97820255242</v>
      </c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customFormat="false" ht="12.7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customFormat="false" ht="12.7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customFormat="false" ht="12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customFormat="false" ht="12.75" hidden="false" customHeight="false" outlineLevel="0" collapsed="false">
      <c r="A40" s="1"/>
      <c r="B40" s="1"/>
      <c r="C40" s="68"/>
      <c r="D40" s="68"/>
      <c r="E40" s="68"/>
      <c r="F40" s="68"/>
      <c r="G40" s="68"/>
      <c r="H40" s="68"/>
      <c r="I40" s="1"/>
      <c r="J40" s="1"/>
      <c r="K40" s="1"/>
      <c r="L40" s="1"/>
      <c r="M40" s="1"/>
    </row>
    <row r="41" customFormat="false" ht="12.75" hidden="false" customHeight="false" outlineLevel="0" collapsed="false">
      <c r="A41" s="1"/>
      <c r="B41" s="1"/>
      <c r="C41" s="68"/>
      <c r="D41" s="68"/>
      <c r="E41" s="68"/>
      <c r="F41" s="68"/>
      <c r="G41" s="68"/>
      <c r="H41" s="68"/>
      <c r="I41" s="1"/>
      <c r="J41" s="1"/>
      <c r="K41" s="1"/>
      <c r="L41" s="1"/>
      <c r="M41" s="1"/>
    </row>
    <row r="42" customFormat="false" ht="12.75" hidden="false" customHeight="false" outlineLevel="0" collapsed="false">
      <c r="A42" s="1"/>
      <c r="B42" s="1"/>
      <c r="C42" s="68"/>
      <c r="D42" s="68"/>
      <c r="E42" s="68"/>
      <c r="F42" s="68"/>
      <c r="G42" s="68"/>
      <c r="H42" s="68"/>
      <c r="I42" s="1"/>
      <c r="J42" s="1"/>
      <c r="K42" s="1"/>
      <c r="L42" s="1"/>
      <c r="M42" s="1"/>
    </row>
    <row r="43" customFormat="false" ht="12.75" hidden="false" customHeight="false" outlineLevel="0" collapsed="false">
      <c r="A43" s="1"/>
      <c r="B43" s="1"/>
      <c r="C43" s="68"/>
      <c r="D43" s="68"/>
      <c r="E43" s="68"/>
      <c r="F43" s="68"/>
      <c r="G43" s="68"/>
      <c r="H43" s="68"/>
      <c r="I43" s="1"/>
      <c r="J43" s="1"/>
      <c r="K43" s="1"/>
      <c r="L43" s="1"/>
      <c r="M43" s="1"/>
    </row>
    <row r="44" customFormat="false" ht="12.75" hidden="false" customHeight="false" outlineLevel="0" collapsed="false">
      <c r="A44" s="1"/>
      <c r="B44" s="1"/>
      <c r="C44" s="68"/>
      <c r="D44" s="68"/>
      <c r="E44" s="68"/>
      <c r="F44" s="68"/>
      <c r="G44" s="68"/>
      <c r="H44" s="68"/>
      <c r="I44" s="1"/>
      <c r="J44" s="1"/>
      <c r="K44" s="1"/>
      <c r="L44" s="1"/>
      <c r="M44" s="1"/>
    </row>
    <row r="45" customFormat="false" ht="12.75" hidden="false" customHeight="false" outlineLevel="0" collapsed="false">
      <c r="A45" s="1"/>
      <c r="B45" s="1"/>
      <c r="C45" s="68"/>
      <c r="D45" s="68"/>
      <c r="E45" s="68"/>
      <c r="F45" s="68"/>
      <c r="G45" s="68"/>
      <c r="H45" s="68"/>
      <c r="I45" s="1"/>
      <c r="J45" s="1"/>
      <c r="K45" s="1"/>
      <c r="L45" s="1"/>
      <c r="M45" s="1"/>
    </row>
    <row r="46" customFormat="false" ht="12.75" hidden="false" customHeight="false" outlineLevel="0" collapsed="false">
      <c r="A46" s="1"/>
      <c r="B46" s="1"/>
      <c r="C46" s="68"/>
      <c r="D46" s="68"/>
      <c r="E46" s="68"/>
      <c r="F46" s="68"/>
      <c r="G46" s="68"/>
      <c r="H46" s="68"/>
      <c r="I46" s="1"/>
      <c r="J46" s="1"/>
      <c r="K46" s="1"/>
      <c r="L46" s="1"/>
      <c r="M46" s="1"/>
    </row>
    <row r="47" customFormat="false" ht="12.75" hidden="false" customHeight="false" outlineLevel="0" collapsed="false">
      <c r="A47" s="1"/>
      <c r="B47" s="1"/>
      <c r="C47" s="68"/>
      <c r="D47" s="68"/>
      <c r="E47" s="68"/>
      <c r="F47" s="68"/>
      <c r="G47" s="68"/>
      <c r="H47" s="68"/>
      <c r="I47" s="1"/>
      <c r="J47" s="1"/>
      <c r="K47" s="1"/>
      <c r="L47" s="1"/>
      <c r="M47" s="1"/>
    </row>
    <row r="48" customFormat="false" ht="12.75" hidden="false" customHeight="false" outlineLevel="0" collapsed="false">
      <c r="A48" s="1"/>
      <c r="B48" s="1"/>
      <c r="C48" s="68"/>
      <c r="D48" s="68"/>
      <c r="E48" s="68"/>
      <c r="F48" s="68"/>
      <c r="G48" s="68"/>
      <c r="H48" s="68"/>
      <c r="I48" s="1"/>
      <c r="J48" s="1"/>
      <c r="K48" s="1"/>
      <c r="L48" s="1"/>
      <c r="M48" s="1"/>
    </row>
    <row r="49" customFormat="false" ht="12.75" hidden="false" customHeight="false" outlineLevel="0" collapsed="false">
      <c r="A49" s="1"/>
      <c r="B49" s="1"/>
      <c r="C49" s="68"/>
      <c r="D49" s="68"/>
      <c r="E49" s="68"/>
      <c r="F49" s="68"/>
      <c r="G49" s="68"/>
      <c r="H49" s="68"/>
      <c r="I49" s="1"/>
      <c r="J49" s="1"/>
      <c r="K49" s="1"/>
      <c r="L49" s="1"/>
      <c r="M49" s="1"/>
    </row>
    <row r="50" customFormat="false" ht="12.75" hidden="false" customHeight="false" outlineLevel="0" collapsed="false">
      <c r="A50" s="1"/>
      <c r="B50" s="1"/>
      <c r="C50" s="68"/>
      <c r="D50" s="68"/>
      <c r="E50" s="68"/>
      <c r="F50" s="68"/>
      <c r="G50" s="68"/>
      <c r="H50" s="68"/>
      <c r="I50" s="1"/>
      <c r="J50" s="1"/>
      <c r="K50" s="1"/>
      <c r="L50" s="1"/>
      <c r="M50" s="1"/>
    </row>
    <row r="51" customFormat="false" ht="12.75" hidden="false" customHeight="false" outlineLevel="0" collapsed="false">
      <c r="A51" s="1"/>
      <c r="B51" s="1"/>
      <c r="C51" s="68"/>
      <c r="D51" s="68"/>
      <c r="E51" s="68"/>
      <c r="F51" s="68"/>
      <c r="G51" s="68"/>
      <c r="H51" s="68"/>
      <c r="I51" s="1"/>
      <c r="J51" s="1"/>
      <c r="K51" s="1"/>
      <c r="L51" s="1"/>
      <c r="M51" s="1"/>
    </row>
    <row r="52" customFormat="false" ht="12.75" hidden="false" customHeight="false" outlineLevel="0" collapsed="false">
      <c r="A52" s="1"/>
      <c r="B52" s="1"/>
      <c r="C52" s="68"/>
      <c r="D52" s="68"/>
      <c r="E52" s="68"/>
      <c r="F52" s="68"/>
      <c r="G52" s="68"/>
      <c r="H52" s="68"/>
      <c r="I52" s="1"/>
      <c r="J52" s="1"/>
      <c r="K52" s="1"/>
      <c r="L52" s="1"/>
      <c r="M52" s="1"/>
    </row>
    <row r="53" customFormat="false" ht="12.75" hidden="false" customHeight="false" outlineLevel="0" collapsed="false">
      <c r="A53" s="1"/>
      <c r="B53" s="1"/>
      <c r="C53" s="68"/>
      <c r="D53" s="68"/>
      <c r="E53" s="68"/>
      <c r="F53" s="68"/>
      <c r="G53" s="68"/>
      <c r="H53" s="68"/>
      <c r="I53" s="1"/>
      <c r="J53" s="1"/>
      <c r="K53" s="1"/>
      <c r="L53" s="1"/>
      <c r="M53" s="1"/>
    </row>
    <row r="54" customFormat="false" ht="12.75" hidden="false" customHeight="false" outlineLevel="0" collapsed="false">
      <c r="A54" s="1"/>
      <c r="B54" s="1"/>
      <c r="C54" s="68"/>
      <c r="D54" s="68"/>
      <c r="E54" s="68"/>
      <c r="F54" s="68"/>
      <c r="G54" s="68"/>
      <c r="H54" s="68"/>
      <c r="I54" s="1"/>
      <c r="J54" s="1"/>
      <c r="K54" s="1"/>
      <c r="L54" s="1"/>
      <c r="M54" s="1"/>
    </row>
    <row r="55" customFormat="false" ht="12.75" hidden="false" customHeight="false" outlineLevel="0" collapsed="false">
      <c r="A55" s="1"/>
      <c r="B55" s="1"/>
      <c r="C55" s="68"/>
      <c r="D55" s="68"/>
      <c r="E55" s="68"/>
      <c r="F55" s="68"/>
      <c r="G55" s="68"/>
      <c r="H55" s="68"/>
      <c r="I55" s="1"/>
      <c r="J55" s="1"/>
      <c r="K55" s="1"/>
      <c r="L55" s="1"/>
      <c r="M55" s="1"/>
    </row>
    <row r="56" customFormat="false" ht="12.75" hidden="false" customHeight="false" outlineLevel="0" collapsed="false">
      <c r="A56" s="1"/>
      <c r="B56" s="1"/>
      <c r="C56" s="68"/>
      <c r="D56" s="68"/>
      <c r="E56" s="68"/>
      <c r="F56" s="68"/>
      <c r="G56" s="68"/>
      <c r="H56" s="68"/>
      <c r="I56" s="1"/>
      <c r="J56" s="1"/>
      <c r="K56" s="1"/>
      <c r="L56" s="1"/>
      <c r="M56" s="1"/>
    </row>
    <row r="57" customFormat="false" ht="12.75" hidden="false" customHeight="false" outlineLevel="0" collapsed="false">
      <c r="A57" s="1"/>
      <c r="B57" s="1"/>
      <c r="C57" s="68"/>
      <c r="D57" s="68"/>
      <c r="E57" s="68"/>
      <c r="F57" s="68"/>
      <c r="G57" s="68"/>
      <c r="H57" s="68"/>
      <c r="I57" s="1"/>
      <c r="J57" s="1"/>
      <c r="K57" s="1"/>
      <c r="L57" s="1"/>
      <c r="M57" s="1"/>
    </row>
    <row r="58" customFormat="false" ht="12.75" hidden="false" customHeight="false" outlineLevel="0" collapsed="false">
      <c r="A58" s="1"/>
      <c r="B58" s="1"/>
      <c r="C58" s="68"/>
      <c r="D58" s="68"/>
      <c r="E58" s="68"/>
      <c r="F58" s="68"/>
      <c r="G58" s="68"/>
      <c r="H58" s="68"/>
      <c r="I58" s="1"/>
      <c r="J58" s="1"/>
      <c r="K58" s="1"/>
      <c r="L58" s="1"/>
      <c r="M58" s="1"/>
    </row>
    <row r="59" customFormat="false" ht="12.75" hidden="false" customHeight="false" outlineLevel="0" collapsed="false">
      <c r="A59" s="1"/>
      <c r="B59" s="1"/>
      <c r="C59" s="68"/>
      <c r="D59" s="68"/>
      <c r="E59" s="68"/>
      <c r="F59" s="68"/>
      <c r="G59" s="68"/>
      <c r="H59" s="68"/>
      <c r="I59" s="1"/>
      <c r="J59" s="1"/>
      <c r="K59" s="1"/>
      <c r="L59" s="1"/>
      <c r="M59" s="1"/>
    </row>
    <row r="60" customFormat="false" ht="12.75" hidden="false" customHeight="false" outlineLevel="0" collapsed="false">
      <c r="A60" s="1"/>
      <c r="B60" s="1"/>
      <c r="C60" s="68"/>
      <c r="D60" s="68"/>
      <c r="E60" s="68"/>
      <c r="F60" s="68"/>
      <c r="G60" s="68"/>
      <c r="H60" s="68"/>
      <c r="I60" s="1"/>
      <c r="J60" s="1"/>
      <c r="K60" s="1"/>
      <c r="L60" s="1"/>
      <c r="M60" s="1"/>
    </row>
    <row r="61" customFormat="false" ht="12.75" hidden="false" customHeight="false" outlineLevel="0" collapsed="false">
      <c r="A61" s="1"/>
      <c r="B61" s="1"/>
      <c r="C61" s="68"/>
      <c r="D61" s="68"/>
      <c r="E61" s="68"/>
      <c r="F61" s="68"/>
      <c r="G61" s="68"/>
      <c r="H61" s="68"/>
      <c r="I61" s="1"/>
      <c r="J61" s="1"/>
      <c r="K61" s="1"/>
      <c r="L61" s="1"/>
      <c r="M61" s="1"/>
    </row>
    <row r="62" customFormat="false" ht="12.75" hidden="false" customHeight="false" outlineLevel="0" collapsed="false">
      <c r="A62" s="1"/>
      <c r="B62" s="1"/>
      <c r="C62" s="68"/>
      <c r="D62" s="68"/>
      <c r="E62" s="68"/>
      <c r="F62" s="68"/>
      <c r="G62" s="68"/>
      <c r="H62" s="68"/>
      <c r="I62" s="1"/>
      <c r="J62" s="1"/>
      <c r="K62" s="1"/>
      <c r="L62" s="1"/>
      <c r="M62" s="1"/>
    </row>
    <row r="63" customFormat="false" ht="12.75" hidden="false" customHeight="false" outlineLevel="0" collapsed="false">
      <c r="A63" s="1"/>
      <c r="B63" s="1"/>
      <c r="C63" s="68"/>
      <c r="D63" s="68"/>
      <c r="E63" s="68"/>
      <c r="F63" s="68"/>
      <c r="G63" s="68"/>
      <c r="H63" s="68"/>
      <c r="I63" s="1"/>
      <c r="J63" s="1"/>
      <c r="K63" s="1"/>
      <c r="L63" s="1"/>
      <c r="M63" s="1"/>
    </row>
    <row r="64" customFormat="false" ht="12.75" hidden="false" customHeight="false" outlineLevel="0" collapsed="false">
      <c r="A64" s="1"/>
      <c r="B64" s="1"/>
      <c r="C64" s="68"/>
      <c r="D64" s="68"/>
      <c r="E64" s="68"/>
      <c r="F64" s="68"/>
      <c r="G64" s="68"/>
      <c r="H64" s="68"/>
      <c r="I64" s="1"/>
      <c r="J64" s="1"/>
      <c r="K64" s="1"/>
      <c r="L64" s="1"/>
      <c r="M64" s="1"/>
    </row>
    <row r="65" customFormat="false" ht="12.75" hidden="false" customHeight="false" outlineLevel="0" collapsed="false">
      <c r="A65" s="1"/>
      <c r="B65" s="1"/>
      <c r="C65" s="68"/>
      <c r="D65" s="68"/>
      <c r="E65" s="68"/>
      <c r="F65" s="68"/>
      <c r="G65" s="68"/>
      <c r="H65" s="68"/>
      <c r="I65" s="1"/>
      <c r="J65" s="1"/>
      <c r="K65" s="1"/>
      <c r="L65" s="1"/>
      <c r="M65" s="1"/>
    </row>
    <row r="66" customFormat="false" ht="12.75" hidden="false" customHeight="false" outlineLevel="0" collapsed="false">
      <c r="A66" s="1"/>
      <c r="B66" s="1"/>
      <c r="C66" s="68"/>
      <c r="D66" s="68"/>
      <c r="E66" s="68"/>
      <c r="F66" s="68"/>
      <c r="G66" s="68"/>
      <c r="H66" s="68"/>
      <c r="I66" s="1"/>
      <c r="J66" s="1"/>
      <c r="K66" s="1"/>
      <c r="L66" s="1"/>
      <c r="M66" s="1"/>
    </row>
    <row r="67" customFormat="false" ht="12.75" hidden="false" customHeight="false" outlineLevel="0" collapsed="false">
      <c r="A67" s="1"/>
      <c r="B67" s="1"/>
      <c r="C67" s="68"/>
      <c r="D67" s="68"/>
      <c r="E67" s="68"/>
      <c r="F67" s="68"/>
      <c r="G67" s="68"/>
      <c r="H67" s="68"/>
      <c r="I67" s="1"/>
      <c r="J67" s="1"/>
      <c r="K67" s="1"/>
      <c r="L67" s="1"/>
      <c r="M67" s="1"/>
    </row>
    <row r="68" customFormat="false" ht="12.75" hidden="false" customHeight="false" outlineLevel="0" collapsed="false">
      <c r="A68" s="1"/>
      <c r="B68" s="1"/>
      <c r="C68" s="68"/>
      <c r="D68" s="68"/>
      <c r="E68" s="68"/>
      <c r="F68" s="68"/>
      <c r="G68" s="68"/>
      <c r="H68" s="68"/>
      <c r="I68" s="1"/>
      <c r="J68" s="1"/>
      <c r="K68" s="1"/>
      <c r="L68" s="1"/>
      <c r="M68" s="1"/>
    </row>
    <row r="69" customFormat="false" ht="12.75" hidden="false" customHeight="false" outlineLevel="0" collapsed="false">
      <c r="A69" s="1"/>
      <c r="B69" s="1"/>
      <c r="C69" s="68"/>
      <c r="D69" s="68"/>
      <c r="E69" s="68"/>
      <c r="F69" s="68"/>
      <c r="G69" s="68"/>
      <c r="H69" s="68"/>
      <c r="I69" s="1"/>
      <c r="J69" s="1"/>
      <c r="K69" s="1"/>
      <c r="L69" s="1"/>
      <c r="M69" s="1"/>
    </row>
    <row r="70" customFormat="false" ht="12.75" hidden="false" customHeight="false" outlineLevel="0" collapsed="false">
      <c r="A70" s="1"/>
      <c r="B70" s="1"/>
      <c r="C70" s="68"/>
      <c r="D70" s="68"/>
      <c r="E70" s="68"/>
      <c r="F70" s="68"/>
      <c r="G70" s="68"/>
      <c r="H70" s="68"/>
      <c r="I70" s="1"/>
      <c r="J70" s="1"/>
      <c r="K70" s="1"/>
      <c r="L70" s="1"/>
      <c r="M70" s="1"/>
    </row>
    <row r="71" customFormat="false" ht="12.75" hidden="false" customHeight="false" outlineLevel="0" collapsed="false">
      <c r="A71" s="1"/>
      <c r="B71" s="1"/>
      <c r="C71" s="68"/>
      <c r="D71" s="68"/>
      <c r="E71" s="68"/>
      <c r="F71" s="68"/>
      <c r="G71" s="68"/>
      <c r="H71" s="68"/>
      <c r="I71" s="1"/>
      <c r="J71" s="1"/>
      <c r="K71" s="1"/>
      <c r="L71" s="1"/>
      <c r="M71" s="1"/>
    </row>
    <row r="72" customFormat="false" ht="12.75" hidden="false" customHeight="false" outlineLevel="0" collapsed="false">
      <c r="A72" s="1"/>
      <c r="B72" s="1"/>
      <c r="C72" s="68"/>
      <c r="D72" s="68"/>
      <c r="E72" s="68"/>
      <c r="F72" s="68"/>
      <c r="G72" s="68"/>
      <c r="H72" s="68"/>
      <c r="I72" s="1"/>
      <c r="J72" s="1"/>
      <c r="K72" s="1"/>
      <c r="L72" s="1"/>
      <c r="M72" s="1"/>
    </row>
    <row r="73" customFormat="false" ht="12.75" hidden="false" customHeight="false" outlineLevel="0" collapsed="false">
      <c r="A73" s="1"/>
      <c r="B73" s="1"/>
      <c r="C73" s="68"/>
      <c r="D73" s="68"/>
      <c r="E73" s="68"/>
      <c r="F73" s="68"/>
      <c r="G73" s="68"/>
      <c r="H73" s="68"/>
      <c r="I73" s="1"/>
      <c r="J73" s="1"/>
      <c r="K73" s="1"/>
      <c r="L73" s="1"/>
      <c r="M73" s="1"/>
    </row>
    <row r="74" customFormat="false" ht="12.75" hidden="false" customHeight="false" outlineLevel="0" collapsed="false">
      <c r="A74" s="1"/>
      <c r="B74" s="1"/>
      <c r="C74" s="68"/>
      <c r="D74" s="68"/>
      <c r="E74" s="68"/>
      <c r="F74" s="68"/>
      <c r="G74" s="68"/>
      <c r="H74" s="68"/>
      <c r="I74" s="1"/>
      <c r="J74" s="1"/>
      <c r="K74" s="1"/>
      <c r="L74" s="1"/>
      <c r="M74" s="1"/>
    </row>
    <row r="75" customFormat="false" ht="12.75" hidden="false" customHeight="false" outlineLevel="0" collapsed="false">
      <c r="A75" s="1"/>
      <c r="B75" s="1"/>
      <c r="C75" s="68"/>
      <c r="D75" s="68"/>
      <c r="E75" s="68"/>
      <c r="F75" s="68"/>
      <c r="G75" s="68"/>
      <c r="H75" s="68"/>
      <c r="I75" s="1"/>
      <c r="J75" s="1"/>
      <c r="K75" s="1"/>
      <c r="L75" s="1"/>
      <c r="M75" s="1"/>
    </row>
    <row r="76" customFormat="false" ht="12.75" hidden="false" customHeight="false" outlineLevel="0" collapsed="false">
      <c r="A76" s="1"/>
      <c r="B76" s="1"/>
      <c r="C76" s="68"/>
      <c r="D76" s="68"/>
      <c r="E76" s="68"/>
      <c r="F76" s="68"/>
      <c r="G76" s="68"/>
      <c r="H76" s="68"/>
      <c r="I76" s="1"/>
      <c r="J76" s="1"/>
      <c r="K76" s="1"/>
      <c r="L76" s="1"/>
      <c r="M76" s="1"/>
    </row>
    <row r="77" customFormat="false" ht="12.75" hidden="false" customHeight="false" outlineLevel="0" collapsed="false">
      <c r="A77" s="1"/>
      <c r="B77" s="1"/>
      <c r="C77" s="68"/>
      <c r="D77" s="68"/>
      <c r="E77" s="68"/>
      <c r="F77" s="68"/>
      <c r="G77" s="68"/>
      <c r="H77" s="68"/>
      <c r="I77" s="1"/>
      <c r="J77" s="1"/>
      <c r="K77" s="1"/>
      <c r="L77" s="1"/>
      <c r="M77" s="1"/>
    </row>
    <row r="78" customFormat="false" ht="12.75" hidden="false" customHeight="false" outlineLevel="0" collapsed="false">
      <c r="A78" s="1"/>
      <c r="B78" s="1"/>
      <c r="C78" s="68"/>
      <c r="D78" s="68"/>
      <c r="E78" s="68"/>
      <c r="F78" s="68"/>
      <c r="G78" s="68"/>
      <c r="H78" s="68"/>
      <c r="I78" s="1"/>
      <c r="J78" s="1"/>
      <c r="K78" s="1"/>
      <c r="L78" s="1"/>
      <c r="M78" s="1"/>
    </row>
    <row r="79" customFormat="false" ht="12.75" hidden="false" customHeight="false" outlineLevel="0" collapsed="false">
      <c r="A79" s="1"/>
      <c r="B79" s="1"/>
      <c r="C79" s="68"/>
      <c r="D79" s="68"/>
      <c r="E79" s="68"/>
      <c r="F79" s="68"/>
      <c r="G79" s="68"/>
      <c r="H79" s="68"/>
      <c r="I79" s="1"/>
      <c r="J79" s="1"/>
      <c r="K79" s="1"/>
      <c r="L79" s="1"/>
      <c r="M79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0.25" hidden="false" customHeight="false" outlineLevel="0" collapsed="false">
      <c r="A1" s="3" t="str">
        <f aca="false">'Assum. used in model'!A1</f>
        <v>Enron PC and ISP Analysis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0.25" hidden="false" customHeight="false" outlineLevel="0" collapsed="false">
      <c r="A1" s="3" t="str">
        <f aca="false">'Assum. used in model'!A1</f>
        <v>Enron PC and ISP Analysis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2000-04-20T16:26:24Z</dcterms:created>
  <dc:creator>Dejoun Windless</dc:creator>
  <dc:description/>
  <dc:language>en-US</dc:language>
  <cp:lastModifiedBy>sbrown</cp:lastModifiedBy>
  <cp:lastPrinted>2000-06-20T19:31:02Z</cp:lastPrinted>
  <cp:revision>0</cp:revision>
  <dc:subject/>
  <dc:title/>
</cp:coreProperties>
</file>